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dwchae23\Desktop\"/>
    </mc:Choice>
  </mc:AlternateContent>
  <bookViews>
    <workbookView xWindow="0" yWindow="0" windowWidth="28800" windowHeight="11625" tabRatio="660" activeTab="1"/>
  </bookViews>
  <sheets>
    <sheet name="개요" sheetId="51" r:id="rId1"/>
    <sheet name="NAV" sheetId="49" r:id="rId2"/>
    <sheet name="보고서" sheetId="56" r:id="rId3"/>
    <sheet name="&gt;" sheetId="80" r:id="rId4"/>
    <sheet name="검증" sheetId="81" r:id="rId5"/>
    <sheet name="체크리스트" sheetId="60" r:id="rId6"/>
    <sheet name="&gt;&gt;" sheetId="61" r:id="rId7"/>
    <sheet name="MEMO" sheetId="78" r:id="rId8"/>
    <sheet name="FS" sheetId="52" r:id="rId9"/>
    <sheet name="기초자산" sheetId="82" r:id="rId10"/>
    <sheet name="환율" sheetId="58" r:id="rId11"/>
    <sheet name="상장종가" sheetId="72" r:id="rId12"/>
    <sheet name="요청리스트" sheetId="77" r:id="rId13"/>
    <sheet name="&gt;&gt;&gt;" sheetId="69" r:id="rId14"/>
    <sheet name="MRC_총괄" sheetId="71" r:id="rId15"/>
    <sheet name="MRC_별첨" sheetId="70" r:id="rId16"/>
    <sheet name="종목정보tbl" sheetId="76" state="hidden" r:id="rId17"/>
    <sheet name="종목코드tbl" sheetId="75" state="hidden" r:id="rId18"/>
    <sheet name="Dropbox" sheetId="59" state="hidden" r:id="rId19"/>
  </sheets>
  <definedNames>
    <definedName name="_xlnm._FilterDatabase" localSheetId="11" hidden="1">상장종가!$H$1:$I$1</definedName>
    <definedName name="_xlnm._FilterDatabase" localSheetId="12" hidden="1">요청리스트!$B$8:$N$8</definedName>
  </definedNames>
  <calcPr calcId="162913"/>
</workbook>
</file>

<file path=xl/calcChain.xml><?xml version="1.0" encoding="utf-8"?>
<calcChain xmlns="http://schemas.openxmlformats.org/spreadsheetml/2006/main">
  <c r="K14" i="78" l="1"/>
  <c r="K11" i="78"/>
  <c r="J11" i="78"/>
  <c r="I11" i="78"/>
  <c r="H11" i="78"/>
  <c r="G11" i="78"/>
  <c r="F11" i="78"/>
  <c r="K10" i="78"/>
  <c r="J10" i="78"/>
  <c r="I10" i="78"/>
  <c r="H10" i="78"/>
  <c r="G10" i="78"/>
  <c r="F10" i="78"/>
  <c r="E10" i="78"/>
  <c r="E11" i="78"/>
  <c r="D10" i="78"/>
  <c r="K8" i="78"/>
  <c r="J8" i="78"/>
  <c r="I8" i="78"/>
  <c r="H8" i="78"/>
  <c r="G8" i="78"/>
  <c r="F8" i="78"/>
  <c r="E8" i="78"/>
  <c r="D8" i="78"/>
  <c r="H9" i="78"/>
  <c r="I9" i="78" s="1"/>
  <c r="J9" i="78" s="1"/>
  <c r="K9" i="78" s="1"/>
  <c r="G9" i="78"/>
  <c r="R1366" i="56" l="1"/>
  <c r="R1365" i="56"/>
  <c r="R1364" i="56"/>
  <c r="R1363" i="56"/>
  <c r="R1362" i="56"/>
  <c r="R1361" i="56"/>
  <c r="R1360" i="56"/>
  <c r="R1359" i="56"/>
  <c r="R1358" i="56"/>
  <c r="R1357" i="56"/>
  <c r="R1356" i="56"/>
  <c r="R1328" i="56"/>
  <c r="R1327" i="56"/>
  <c r="R1326" i="56"/>
  <c r="R1325" i="56"/>
  <c r="R1324" i="56"/>
  <c r="R1323" i="56"/>
  <c r="R1322" i="56"/>
  <c r="R1321" i="56"/>
  <c r="R1320" i="56"/>
  <c r="R1319" i="56"/>
  <c r="R1318" i="56"/>
  <c r="R1290" i="56"/>
  <c r="R1289" i="56"/>
  <c r="R1288" i="56"/>
  <c r="R1287" i="56"/>
  <c r="R1286" i="56"/>
  <c r="R1285" i="56"/>
  <c r="R1284" i="56"/>
  <c r="R1283" i="56"/>
  <c r="R1282" i="56"/>
  <c r="R1281" i="56"/>
  <c r="R1280" i="56"/>
  <c r="R1252" i="56"/>
  <c r="R1251" i="56"/>
  <c r="R1250" i="56"/>
  <c r="R1249" i="56"/>
  <c r="R1248" i="56"/>
  <c r="R1247" i="56"/>
  <c r="R1246" i="56"/>
  <c r="R1245" i="56"/>
  <c r="R1244" i="56"/>
  <c r="R1243" i="56"/>
  <c r="R1242" i="56"/>
  <c r="R1214" i="56"/>
  <c r="R1213" i="56"/>
  <c r="R1212" i="56"/>
  <c r="R1211" i="56"/>
  <c r="R1210" i="56"/>
  <c r="R1209" i="56"/>
  <c r="R1208" i="56"/>
  <c r="R1207" i="56"/>
  <c r="R1206" i="56"/>
  <c r="R1205" i="56"/>
  <c r="R1204" i="56"/>
  <c r="R1176" i="56"/>
  <c r="R1175" i="56"/>
  <c r="R1174" i="56"/>
  <c r="R1173" i="56"/>
  <c r="R1172" i="56"/>
  <c r="R1171" i="56"/>
  <c r="R1170" i="56"/>
  <c r="R1169" i="56"/>
  <c r="R1168" i="56"/>
  <c r="R1167" i="56"/>
  <c r="R1166" i="56"/>
  <c r="R1138" i="56"/>
  <c r="R1137" i="56"/>
  <c r="R1136" i="56"/>
  <c r="R1135" i="56"/>
  <c r="R1134" i="56"/>
  <c r="R1133" i="56"/>
  <c r="R1132" i="56"/>
  <c r="R1131" i="56"/>
  <c r="R1130" i="56"/>
  <c r="R1129" i="56"/>
  <c r="R1128" i="56"/>
  <c r="R1100" i="56"/>
  <c r="R1099" i="56"/>
  <c r="R1098" i="56"/>
  <c r="R1097" i="56"/>
  <c r="R1096" i="56"/>
  <c r="R1095" i="56"/>
  <c r="R1094" i="56"/>
  <c r="R1093" i="56"/>
  <c r="R1092" i="56"/>
  <c r="R1091" i="56"/>
  <c r="R1090" i="56"/>
  <c r="R1062" i="56"/>
  <c r="R1061" i="56"/>
  <c r="R1060" i="56"/>
  <c r="R1059" i="56"/>
  <c r="R1058" i="56"/>
  <c r="R1057" i="56"/>
  <c r="R1056" i="56"/>
  <c r="R1055" i="56"/>
  <c r="R1054" i="56"/>
  <c r="R1053" i="56"/>
  <c r="R1052" i="56"/>
  <c r="R1024" i="56"/>
  <c r="R1023" i="56"/>
  <c r="R1022" i="56"/>
  <c r="R1021" i="56"/>
  <c r="R1020" i="56"/>
  <c r="R1019" i="56"/>
  <c r="R1018" i="56"/>
  <c r="R1017" i="56"/>
  <c r="R1016" i="56"/>
  <c r="R1015" i="56"/>
  <c r="R1014" i="56"/>
  <c r="R986" i="56"/>
  <c r="R985" i="56"/>
  <c r="R984" i="56"/>
  <c r="R983" i="56"/>
  <c r="R982" i="56"/>
  <c r="R981" i="56"/>
  <c r="R980" i="56"/>
  <c r="R979" i="56"/>
  <c r="R978" i="56"/>
  <c r="R977" i="56"/>
  <c r="R976" i="56"/>
  <c r="R948" i="56"/>
  <c r="R947" i="56"/>
  <c r="R946" i="56"/>
  <c r="R945" i="56"/>
  <c r="R944" i="56"/>
  <c r="R943" i="56"/>
  <c r="R942" i="56"/>
  <c r="R941" i="56"/>
  <c r="R940" i="56"/>
  <c r="R939" i="56"/>
  <c r="R938" i="56"/>
  <c r="R910" i="56"/>
  <c r="R909" i="56"/>
  <c r="R908" i="56"/>
  <c r="R907" i="56"/>
  <c r="R906" i="56"/>
  <c r="R905" i="56"/>
  <c r="R904" i="56"/>
  <c r="R903" i="56"/>
  <c r="R902" i="56"/>
  <c r="R901" i="56"/>
  <c r="R900" i="56"/>
  <c r="R872" i="56"/>
  <c r="R871" i="56"/>
  <c r="R870" i="56"/>
  <c r="R869" i="56"/>
  <c r="R868" i="56"/>
  <c r="R867" i="56"/>
  <c r="R866" i="56"/>
  <c r="R865" i="56"/>
  <c r="R864" i="56"/>
  <c r="R863" i="56"/>
  <c r="R862" i="56"/>
  <c r="R834" i="56"/>
  <c r="R833" i="56"/>
  <c r="R832" i="56"/>
  <c r="R831" i="56"/>
  <c r="R830" i="56"/>
  <c r="R829" i="56"/>
  <c r="R828" i="56"/>
  <c r="R827" i="56"/>
  <c r="R826" i="56"/>
  <c r="R825" i="56"/>
  <c r="R824" i="56"/>
  <c r="R796" i="56"/>
  <c r="R795" i="56"/>
  <c r="R794" i="56"/>
  <c r="R793" i="56"/>
  <c r="R792" i="56"/>
  <c r="R791" i="56"/>
  <c r="R790" i="56"/>
  <c r="R789" i="56"/>
  <c r="R788" i="56"/>
  <c r="R787" i="56"/>
  <c r="R786" i="56"/>
  <c r="R758" i="56"/>
  <c r="R757" i="56"/>
  <c r="R756" i="56"/>
  <c r="R755" i="56"/>
  <c r="R754" i="56"/>
  <c r="R753" i="56"/>
  <c r="R752" i="56"/>
  <c r="R751" i="56"/>
  <c r="R750" i="56"/>
  <c r="R749" i="56"/>
  <c r="R748" i="56"/>
  <c r="R720" i="56"/>
  <c r="R719" i="56"/>
  <c r="R718" i="56"/>
  <c r="R717" i="56"/>
  <c r="R716" i="56"/>
  <c r="R715" i="56"/>
  <c r="R714" i="56"/>
  <c r="R713" i="56"/>
  <c r="R712" i="56"/>
  <c r="R711" i="56"/>
  <c r="R710" i="56"/>
  <c r="R682" i="56"/>
  <c r="R681" i="56"/>
  <c r="R680" i="56"/>
  <c r="R679" i="56"/>
  <c r="R678" i="56"/>
  <c r="R677" i="56"/>
  <c r="R676" i="56"/>
  <c r="R675" i="56"/>
  <c r="R674" i="56"/>
  <c r="R673" i="56"/>
  <c r="R672" i="56"/>
  <c r="R644" i="56"/>
  <c r="R643" i="56"/>
  <c r="R642" i="56"/>
  <c r="R641" i="56"/>
  <c r="R640" i="56"/>
  <c r="R639" i="56"/>
  <c r="R638" i="56"/>
  <c r="R637" i="56"/>
  <c r="R636" i="56"/>
  <c r="R635" i="56"/>
  <c r="R634" i="56"/>
  <c r="R606" i="56"/>
  <c r="R605" i="56"/>
  <c r="R604" i="56"/>
  <c r="R603" i="56"/>
  <c r="R602" i="56"/>
  <c r="R601" i="56"/>
  <c r="R600" i="56"/>
  <c r="R599" i="56"/>
  <c r="R598" i="56"/>
  <c r="R597" i="56"/>
  <c r="R596" i="56"/>
  <c r="R568" i="56"/>
  <c r="R567" i="56"/>
  <c r="R566" i="56"/>
  <c r="R565" i="56"/>
  <c r="R564" i="56"/>
  <c r="R563" i="56"/>
  <c r="R562" i="56"/>
  <c r="R561" i="56"/>
  <c r="R560" i="56"/>
  <c r="R559" i="56"/>
  <c r="R558" i="56"/>
  <c r="R530" i="56"/>
  <c r="R529" i="56"/>
  <c r="R528" i="56"/>
  <c r="R527" i="56"/>
  <c r="R526" i="56"/>
  <c r="R525" i="56"/>
  <c r="R524" i="56"/>
  <c r="R523" i="56"/>
  <c r="R522" i="56"/>
  <c r="R521" i="56"/>
  <c r="R520" i="56"/>
  <c r="R492" i="56"/>
  <c r="R491" i="56"/>
  <c r="R490" i="56"/>
  <c r="R489" i="56"/>
  <c r="R488" i="56"/>
  <c r="R487" i="56"/>
  <c r="R486" i="56"/>
  <c r="R485" i="56"/>
  <c r="R484" i="56"/>
  <c r="R483" i="56"/>
  <c r="R482" i="56"/>
  <c r="R454" i="56"/>
  <c r="R453" i="56"/>
  <c r="R452" i="56"/>
  <c r="R451" i="56"/>
  <c r="R450" i="56"/>
  <c r="R449" i="56"/>
  <c r="R448" i="56"/>
  <c r="R447" i="56"/>
  <c r="R446" i="56"/>
  <c r="R445" i="56"/>
  <c r="R444" i="56"/>
  <c r="R416" i="56"/>
  <c r="R415" i="56"/>
  <c r="R414" i="56"/>
  <c r="R413" i="56"/>
  <c r="R412" i="56"/>
  <c r="R411" i="56"/>
  <c r="R410" i="56"/>
  <c r="R409" i="56"/>
  <c r="R408" i="56"/>
  <c r="R407" i="56"/>
  <c r="R406" i="56"/>
  <c r="R378" i="56"/>
  <c r="R377" i="56"/>
  <c r="R376" i="56"/>
  <c r="R375" i="56"/>
  <c r="R374" i="56"/>
  <c r="R373" i="56"/>
  <c r="R372" i="56"/>
  <c r="R371" i="56"/>
  <c r="R370" i="56"/>
  <c r="R369" i="56"/>
  <c r="R368" i="56"/>
  <c r="R340" i="56"/>
  <c r="R339" i="56"/>
  <c r="R338" i="56"/>
  <c r="R337" i="56"/>
  <c r="R336" i="56"/>
  <c r="R335" i="56"/>
  <c r="R334" i="56"/>
  <c r="R333" i="56"/>
  <c r="R332" i="56"/>
  <c r="R331" i="56"/>
  <c r="R330" i="56"/>
  <c r="R302" i="56"/>
  <c r="R301" i="56"/>
  <c r="R300" i="56"/>
  <c r="R299" i="56"/>
  <c r="R298" i="56"/>
  <c r="R297" i="56"/>
  <c r="R296" i="56"/>
  <c r="R295" i="56"/>
  <c r="R294" i="56"/>
  <c r="R293" i="56"/>
  <c r="R292" i="56"/>
  <c r="R224" i="56"/>
  <c r="R223" i="56"/>
  <c r="R222" i="56"/>
  <c r="R221" i="56"/>
  <c r="R220" i="56"/>
  <c r="R219" i="56"/>
  <c r="R218" i="56"/>
  <c r="R217" i="56"/>
  <c r="R216" i="56"/>
  <c r="R215" i="56"/>
  <c r="R214" i="56"/>
  <c r="R213" i="56"/>
  <c r="R212" i="56"/>
  <c r="R211" i="56"/>
  <c r="R210" i="56"/>
  <c r="R209" i="56"/>
  <c r="R208" i="56"/>
  <c r="R207" i="56"/>
  <c r="R206" i="56"/>
  <c r="R205" i="56"/>
  <c r="R204" i="56"/>
  <c r="R203" i="56"/>
  <c r="R202" i="56"/>
  <c r="R201" i="56"/>
  <c r="R200" i="56"/>
  <c r="R199" i="56"/>
  <c r="R198" i="56"/>
  <c r="R197" i="56"/>
  <c r="R196" i="56"/>
  <c r="R195" i="56"/>
  <c r="R194" i="56"/>
  <c r="R193" i="56"/>
  <c r="R192" i="56"/>
  <c r="R191" i="56"/>
  <c r="R190" i="56"/>
  <c r="R189" i="56"/>
  <c r="R188" i="56"/>
  <c r="R187" i="56"/>
  <c r="R186" i="56"/>
  <c r="R185" i="56"/>
  <c r="R184" i="56"/>
  <c r="R183" i="56"/>
  <c r="R182" i="56"/>
  <c r="R181" i="56"/>
  <c r="R180" i="56"/>
  <c r="R179" i="56"/>
  <c r="R178" i="56"/>
  <c r="R177" i="56"/>
  <c r="R176" i="56"/>
  <c r="R175" i="56"/>
  <c r="R174" i="56"/>
  <c r="R173" i="56"/>
  <c r="R172" i="56"/>
  <c r="R171" i="56"/>
  <c r="R170" i="56"/>
  <c r="R169" i="56"/>
  <c r="R168" i="56"/>
  <c r="R167" i="56"/>
  <c r="R166" i="56"/>
  <c r="R165" i="56"/>
  <c r="R164" i="56"/>
  <c r="R163" i="56"/>
  <c r="R162" i="56"/>
  <c r="R161" i="56"/>
  <c r="R160" i="56"/>
  <c r="R159" i="56"/>
  <c r="R158" i="56"/>
  <c r="R157" i="56"/>
  <c r="R156" i="56"/>
  <c r="R155" i="56"/>
  <c r="R154" i="56"/>
  <c r="R153" i="56"/>
  <c r="R152" i="56"/>
  <c r="R151" i="56"/>
  <c r="R150" i="56"/>
  <c r="R149" i="56"/>
  <c r="R148" i="56"/>
  <c r="R147" i="56"/>
  <c r="R146" i="56"/>
  <c r="R145" i="56"/>
  <c r="R144" i="56"/>
  <c r="R143" i="56"/>
  <c r="R142" i="56"/>
  <c r="R141" i="56"/>
  <c r="R140" i="56"/>
  <c r="R139" i="56"/>
  <c r="R138" i="56"/>
  <c r="R137" i="56"/>
  <c r="R136" i="56"/>
  <c r="R135" i="56"/>
  <c r="R134" i="56"/>
  <c r="R133" i="56"/>
  <c r="R132" i="56"/>
  <c r="R131" i="56"/>
  <c r="R130" i="56"/>
  <c r="R129" i="56"/>
  <c r="R128" i="56"/>
  <c r="R127" i="56"/>
  <c r="R126" i="56"/>
  <c r="R125" i="56"/>
  <c r="R124" i="56"/>
  <c r="R123" i="56"/>
  <c r="R122" i="56"/>
  <c r="R121" i="56"/>
  <c r="R120" i="56"/>
  <c r="R119" i="56"/>
  <c r="R118" i="56"/>
  <c r="R117" i="56"/>
  <c r="R116" i="56"/>
  <c r="R115" i="56"/>
  <c r="R114" i="56"/>
  <c r="R113" i="56"/>
  <c r="R112" i="56"/>
  <c r="R111" i="56"/>
  <c r="R110" i="56"/>
  <c r="R109" i="56"/>
  <c r="R108" i="56"/>
  <c r="R107" i="56"/>
  <c r="R106" i="56"/>
  <c r="R105" i="56"/>
  <c r="R104" i="56"/>
  <c r="R103" i="56"/>
  <c r="R102" i="56"/>
  <c r="R101" i="56"/>
  <c r="R100" i="56"/>
  <c r="R99" i="56"/>
  <c r="R98" i="56"/>
  <c r="R97" i="56"/>
  <c r="R96" i="56"/>
  <c r="R95" i="56"/>
  <c r="R94" i="56"/>
  <c r="R93" i="56"/>
  <c r="R92" i="56"/>
  <c r="R91" i="56"/>
  <c r="R90" i="56"/>
  <c r="R89" i="56"/>
  <c r="R88" i="56"/>
  <c r="R87" i="56"/>
  <c r="R86" i="56"/>
  <c r="R85" i="56"/>
  <c r="R84" i="56"/>
  <c r="R83" i="56"/>
  <c r="R82" i="56"/>
  <c r="R81" i="56"/>
  <c r="R80" i="56"/>
  <c r="R79" i="56"/>
  <c r="R78" i="56"/>
  <c r="R77" i="56"/>
  <c r="R76" i="56"/>
  <c r="R75" i="56"/>
  <c r="C210" i="82" l="1"/>
  <c r="C211" i="82"/>
  <c r="C212" i="82"/>
  <c r="C213" i="82"/>
  <c r="C214" i="82"/>
  <c r="C215" i="82"/>
  <c r="C216" i="82"/>
  <c r="C217" i="82"/>
  <c r="C218" i="82"/>
  <c r="C219" i="82"/>
  <c r="C220" i="82"/>
  <c r="C221" i="82"/>
  <c r="C222" i="82"/>
  <c r="C223" i="82"/>
  <c r="C224" i="82"/>
  <c r="C225" i="82"/>
  <c r="C226" i="82"/>
  <c r="C227" i="82"/>
  <c r="C228" i="82"/>
  <c r="C229" i="82"/>
  <c r="C230" i="82"/>
  <c r="C231" i="82"/>
  <c r="C232" i="82"/>
  <c r="C233" i="82"/>
  <c r="C234" i="82"/>
  <c r="C235" i="82"/>
  <c r="C236" i="82"/>
  <c r="C237" i="82"/>
  <c r="C238" i="82"/>
  <c r="C239" i="82"/>
  <c r="C240" i="82"/>
  <c r="C241" i="82"/>
  <c r="C242" i="82"/>
  <c r="C243" i="82"/>
  <c r="C244" i="82"/>
  <c r="C245" i="82"/>
  <c r="C246" i="82"/>
  <c r="C247" i="82"/>
  <c r="C248" i="82"/>
  <c r="C249" i="82"/>
  <c r="C250" i="82"/>
  <c r="C251" i="82"/>
  <c r="C252" i="82"/>
  <c r="C253" i="82"/>
  <c r="C254" i="82"/>
  <c r="C255" i="82"/>
  <c r="C256" i="82"/>
  <c r="C257" i="82"/>
  <c r="C258" i="82"/>
  <c r="C259" i="82"/>
  <c r="C260" i="82"/>
  <c r="C261" i="82"/>
  <c r="C262" i="82"/>
  <c r="C263" i="82"/>
  <c r="C264" i="82"/>
  <c r="C265" i="82"/>
  <c r="C266" i="82"/>
  <c r="C267" i="82"/>
  <c r="C268" i="82"/>
  <c r="C269" i="82"/>
  <c r="C270" i="82"/>
  <c r="C271" i="82"/>
  <c r="C272" i="82"/>
  <c r="C273" i="82"/>
  <c r="C274" i="82"/>
  <c r="C275" i="82"/>
  <c r="C276" i="82"/>
  <c r="C277" i="82"/>
  <c r="C278" i="82"/>
  <c r="C279" i="82"/>
  <c r="C280" i="82"/>
  <c r="C281" i="82"/>
  <c r="C282" i="82"/>
  <c r="C283" i="82"/>
  <c r="C284" i="82"/>
  <c r="C285" i="82"/>
  <c r="C286" i="82"/>
  <c r="C287" i="82"/>
  <c r="C288" i="82"/>
  <c r="C289" i="82"/>
  <c r="C290" i="82"/>
  <c r="C291" i="82"/>
  <c r="C292" i="82"/>
  <c r="C293" i="82"/>
  <c r="C294" i="82"/>
  <c r="C295" i="82"/>
  <c r="C296" i="82"/>
  <c r="C297" i="82"/>
  <c r="C298" i="82"/>
  <c r="C299" i="82"/>
  <c r="C300" i="82"/>
  <c r="C301" i="82"/>
  <c r="C302" i="82"/>
  <c r="C303" i="82"/>
  <c r="C304" i="82"/>
  <c r="C305" i="82"/>
  <c r="C306" i="82"/>
  <c r="C307" i="82"/>
  <c r="C308" i="82"/>
  <c r="C309" i="82"/>
  <c r="C310" i="82"/>
  <c r="C311" i="82"/>
  <c r="C312" i="82"/>
  <c r="C313" i="82"/>
  <c r="C314" i="82"/>
  <c r="C315" i="82"/>
  <c r="C316" i="82"/>
  <c r="C317" i="82"/>
  <c r="C318" i="82"/>
  <c r="C319" i="82"/>
  <c r="C320" i="82"/>
  <c r="C321" i="82"/>
  <c r="C322" i="82"/>
  <c r="C323" i="82"/>
  <c r="C324" i="82"/>
  <c r="C325" i="82"/>
  <c r="C326" i="82"/>
  <c r="C327" i="82"/>
  <c r="C328" i="82"/>
  <c r="C329" i="82"/>
  <c r="C330" i="82"/>
  <c r="C331" i="82"/>
  <c r="C332" i="82"/>
  <c r="C333" i="82"/>
  <c r="C334" i="82"/>
  <c r="C335" i="82"/>
  <c r="C336" i="82"/>
  <c r="C337" i="82"/>
  <c r="C338" i="82"/>
  <c r="C339" i="82"/>
  <c r="C340" i="82"/>
  <c r="C341" i="82"/>
  <c r="C342" i="82"/>
  <c r="C343" i="82"/>
  <c r="C344" i="82"/>
  <c r="C345" i="82"/>
  <c r="C346" i="82"/>
  <c r="C347" i="82"/>
  <c r="C348" i="82"/>
  <c r="C349" i="82"/>
  <c r="C350" i="82"/>
  <c r="C351" i="82"/>
  <c r="C352" i="82"/>
  <c r="C353" i="82"/>
  <c r="C354" i="82"/>
  <c r="C355" i="82"/>
  <c r="C356" i="82"/>
  <c r="C357" i="82"/>
  <c r="C358" i="82"/>
  <c r="C359" i="82"/>
  <c r="C360" i="82"/>
  <c r="C361" i="82"/>
  <c r="C362" i="82"/>
  <c r="C363" i="82"/>
  <c r="C364" i="82"/>
  <c r="C365" i="82"/>
  <c r="C366" i="82"/>
  <c r="C367" i="82"/>
  <c r="C368" i="82"/>
  <c r="C369" i="82"/>
  <c r="C370" i="82"/>
  <c r="C371" i="82"/>
  <c r="C372" i="82"/>
  <c r="C373" i="82"/>
  <c r="C374" i="82"/>
  <c r="C375" i="82"/>
  <c r="C376" i="82"/>
  <c r="C377" i="82"/>
  <c r="C378" i="82"/>
  <c r="C379" i="82"/>
  <c r="C380" i="82"/>
  <c r="C381" i="82"/>
  <c r="C382" i="82"/>
  <c r="C383" i="82"/>
  <c r="C384" i="82"/>
  <c r="C385" i="82"/>
  <c r="C386" i="82"/>
  <c r="C387" i="82"/>
  <c r="C388" i="82"/>
  <c r="C389" i="82"/>
  <c r="C390" i="82"/>
  <c r="C391" i="82"/>
  <c r="C392" i="82"/>
  <c r="C393" i="82"/>
  <c r="C394" i="82"/>
  <c r="C395" i="82"/>
  <c r="C396" i="82"/>
  <c r="C397" i="82"/>
  <c r="C398" i="82"/>
  <c r="C399" i="82"/>
  <c r="C400" i="82"/>
  <c r="C401" i="82"/>
  <c r="C402" i="82"/>
  <c r="C403" i="82"/>
  <c r="C404" i="82"/>
  <c r="C405" i="82"/>
  <c r="C406" i="82"/>
  <c r="C407" i="82"/>
  <c r="C408" i="82"/>
  <c r="C209" i="82"/>
  <c r="A408" i="82"/>
  <c r="A407" i="82"/>
  <c r="A406" i="82"/>
  <c r="A405" i="82"/>
  <c r="A404" i="82"/>
  <c r="A403" i="82"/>
  <c r="A402" i="82"/>
  <c r="A401" i="82"/>
  <c r="A400" i="82"/>
  <c r="A399" i="82"/>
  <c r="A398" i="82"/>
  <c r="A397" i="82"/>
  <c r="A396" i="82"/>
  <c r="A395" i="82"/>
  <c r="A394" i="82"/>
  <c r="A393" i="82"/>
  <c r="A392" i="82"/>
  <c r="A391" i="82"/>
  <c r="A390" i="82"/>
  <c r="A389" i="82"/>
  <c r="A388" i="82"/>
  <c r="A387" i="82"/>
  <c r="A386" i="82"/>
  <c r="A385" i="82"/>
  <c r="A384" i="82"/>
  <c r="A383" i="82"/>
  <c r="A382" i="82"/>
  <c r="A381" i="82"/>
  <c r="A380" i="82"/>
  <c r="A379" i="82"/>
  <c r="A378" i="82"/>
  <c r="A377" i="82"/>
  <c r="A376" i="82"/>
  <c r="A375" i="82"/>
  <c r="A374" i="82"/>
  <c r="A373" i="82"/>
  <c r="A372" i="82"/>
  <c r="A371" i="82"/>
  <c r="A370" i="82"/>
  <c r="A369" i="82"/>
  <c r="A368" i="82"/>
  <c r="A367" i="82"/>
  <c r="A366" i="82"/>
  <c r="A365" i="82"/>
  <c r="A364" i="82"/>
  <c r="A363" i="82"/>
  <c r="A362" i="82"/>
  <c r="A361" i="82"/>
  <c r="A360" i="82"/>
  <c r="A359" i="82"/>
  <c r="A358" i="82"/>
  <c r="A357" i="82"/>
  <c r="A356" i="82"/>
  <c r="A355" i="82"/>
  <c r="A354" i="82"/>
  <c r="A353" i="82"/>
  <c r="A352" i="82"/>
  <c r="A351" i="82"/>
  <c r="A350" i="82"/>
  <c r="A349" i="82"/>
  <c r="A348" i="82"/>
  <c r="A347" i="82"/>
  <c r="A346" i="82"/>
  <c r="A345" i="82"/>
  <c r="A344" i="82"/>
  <c r="A343" i="82"/>
  <c r="A342" i="82"/>
  <c r="A341" i="82"/>
  <c r="A340" i="82"/>
  <c r="A339" i="82"/>
  <c r="A338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224" i="82"/>
  <c r="A223" i="82"/>
  <c r="A222" i="82"/>
  <c r="A221" i="82"/>
  <c r="A220" i="82"/>
  <c r="A219" i="82"/>
  <c r="A218" i="82"/>
  <c r="A217" i="82"/>
  <c r="A216" i="82"/>
  <c r="A215" i="82"/>
  <c r="A214" i="82"/>
  <c r="A213" i="82"/>
  <c r="A212" i="82"/>
  <c r="A211" i="82"/>
  <c r="A210" i="82"/>
  <c r="A209" i="82"/>
  <c r="F50" i="71" l="1"/>
  <c r="P249" i="81" l="1"/>
  <c r="P250" i="81"/>
  <c r="P251" i="81"/>
  <c r="P252" i="81"/>
  <c r="P253" i="81"/>
  <c r="P254" i="81"/>
  <c r="P255" i="81"/>
  <c r="P256" i="81"/>
  <c r="P257" i="81"/>
  <c r="P258" i="81"/>
  <c r="P259" i="81"/>
  <c r="P260" i="81"/>
  <c r="P261" i="81"/>
  <c r="P262" i="81"/>
  <c r="P263" i="81"/>
  <c r="P264" i="81"/>
  <c r="P265" i="81"/>
  <c r="P266" i="81"/>
  <c r="P267" i="81"/>
  <c r="P268" i="81"/>
  <c r="P269" i="81"/>
  <c r="P270" i="81"/>
  <c r="P271" i="81"/>
  <c r="P272" i="81"/>
  <c r="P273" i="81"/>
  <c r="P274" i="81"/>
  <c r="P275" i="81"/>
  <c r="P276" i="81"/>
  <c r="P277" i="81"/>
  <c r="P278" i="81"/>
  <c r="P279" i="81"/>
  <c r="P280" i="81"/>
  <c r="P281" i="81"/>
  <c r="P282" i="81"/>
  <c r="P283" i="81"/>
  <c r="P284" i="81"/>
  <c r="P285" i="81"/>
  <c r="P286" i="81"/>
  <c r="O286" i="81"/>
  <c r="O285" i="81"/>
  <c r="O284" i="81"/>
  <c r="O283" i="81"/>
  <c r="O282" i="81"/>
  <c r="O281" i="81"/>
  <c r="O280" i="81"/>
  <c r="O279" i="81"/>
  <c r="O278" i="81"/>
  <c r="O277" i="81"/>
  <c r="O276" i="81"/>
  <c r="O275" i="81"/>
  <c r="O274" i="81"/>
  <c r="O273" i="81"/>
  <c r="O272" i="81"/>
  <c r="O271" i="81"/>
  <c r="O270" i="81"/>
  <c r="O269" i="81"/>
  <c r="O268" i="81"/>
  <c r="O267" i="81"/>
  <c r="O266" i="81"/>
  <c r="O265" i="81"/>
  <c r="O264" i="81"/>
  <c r="O263" i="81"/>
  <c r="O262" i="81"/>
  <c r="O261" i="81"/>
  <c r="O260" i="81"/>
  <c r="O259" i="81"/>
  <c r="O258" i="81"/>
  <c r="O257" i="81"/>
  <c r="O256" i="81"/>
  <c r="O255" i="81"/>
  <c r="O254" i="81"/>
  <c r="O253" i="81"/>
  <c r="O252" i="81"/>
  <c r="O251" i="81"/>
  <c r="O250" i="81"/>
  <c r="O249" i="81"/>
  <c r="N249" i="81"/>
  <c r="N250" i="81"/>
  <c r="N251" i="81"/>
  <c r="N252" i="81"/>
  <c r="N253" i="81"/>
  <c r="N254" i="81"/>
  <c r="N255" i="81"/>
  <c r="N256" i="81"/>
  <c r="N257" i="81"/>
  <c r="N258" i="81"/>
  <c r="N259" i="81"/>
  <c r="N260" i="81"/>
  <c r="N261" i="81"/>
  <c r="N262" i="81"/>
  <c r="N263" i="81"/>
  <c r="N264" i="81"/>
  <c r="N265" i="81"/>
  <c r="N266" i="81"/>
  <c r="N267" i="81"/>
  <c r="N268" i="81"/>
  <c r="N269" i="81"/>
  <c r="N270" i="81"/>
  <c r="N271" i="81"/>
  <c r="N272" i="81"/>
  <c r="N273" i="81"/>
  <c r="N274" i="81"/>
  <c r="N275" i="81"/>
  <c r="N276" i="81"/>
  <c r="N277" i="81"/>
  <c r="N278" i="81"/>
  <c r="N279" i="81"/>
  <c r="N280" i="81"/>
  <c r="N281" i="81"/>
  <c r="N282" i="81"/>
  <c r="N283" i="81"/>
  <c r="N284" i="81"/>
  <c r="N285" i="81"/>
  <c r="N286" i="81"/>
  <c r="E1" i="72" l="1"/>
  <c r="DO401" i="51" l="1"/>
  <c r="DO402" i="51"/>
  <c r="DO403" i="51"/>
  <c r="DO404" i="51"/>
  <c r="DO405" i="51"/>
  <c r="DO406" i="51"/>
  <c r="DO407" i="51"/>
  <c r="DO400" i="51"/>
  <c r="DO389" i="51"/>
  <c r="DO390" i="51"/>
  <c r="DO391" i="51"/>
  <c r="DO392" i="51"/>
  <c r="DO393" i="51"/>
  <c r="DO394" i="51"/>
  <c r="DO395" i="51"/>
  <c r="DO388" i="51"/>
  <c r="DO377" i="51"/>
  <c r="DO378" i="51"/>
  <c r="DO379" i="51"/>
  <c r="DO380" i="51"/>
  <c r="DO381" i="51"/>
  <c r="DO382" i="51"/>
  <c r="DO383" i="51"/>
  <c r="DO376" i="51"/>
  <c r="DO365" i="51"/>
  <c r="DO366" i="51"/>
  <c r="DO367" i="51"/>
  <c r="DO368" i="51"/>
  <c r="DO369" i="51"/>
  <c r="DO370" i="51"/>
  <c r="DO371" i="51"/>
  <c r="DO364" i="51"/>
  <c r="DO353" i="51"/>
  <c r="DO354" i="51"/>
  <c r="DO355" i="51"/>
  <c r="DO356" i="51"/>
  <c r="DO357" i="51"/>
  <c r="DO358" i="51"/>
  <c r="DO359" i="51"/>
  <c r="DO352" i="51"/>
  <c r="DO341" i="51"/>
  <c r="DO342" i="51"/>
  <c r="DO343" i="51"/>
  <c r="DO344" i="51"/>
  <c r="DO345" i="51"/>
  <c r="DO346" i="51"/>
  <c r="DO347" i="51"/>
  <c r="DO340" i="51"/>
  <c r="DO329" i="51"/>
  <c r="DO330" i="51"/>
  <c r="DO331" i="51"/>
  <c r="DO332" i="51"/>
  <c r="DO333" i="51"/>
  <c r="DO334" i="51"/>
  <c r="DO335" i="51"/>
  <c r="DO328" i="51"/>
  <c r="DO317" i="51"/>
  <c r="DO318" i="51"/>
  <c r="DO319" i="51"/>
  <c r="DO320" i="51"/>
  <c r="DO321" i="51"/>
  <c r="DO322" i="51"/>
  <c r="DO323" i="51"/>
  <c r="DO316" i="51"/>
  <c r="DO305" i="51"/>
  <c r="DO306" i="51"/>
  <c r="DO307" i="51"/>
  <c r="DO308" i="51"/>
  <c r="DO309" i="51"/>
  <c r="DO310" i="51"/>
  <c r="DO311" i="51"/>
  <c r="DO304" i="51"/>
  <c r="DO293" i="51"/>
  <c r="DO294" i="51"/>
  <c r="DO295" i="51"/>
  <c r="DO296" i="51"/>
  <c r="DO297" i="51"/>
  <c r="DO298" i="51"/>
  <c r="DO299" i="51"/>
  <c r="DO292" i="51"/>
  <c r="DO281" i="51"/>
  <c r="DO282" i="51"/>
  <c r="DO283" i="51"/>
  <c r="DO284" i="51"/>
  <c r="DO285" i="51"/>
  <c r="DO286" i="51"/>
  <c r="DO287" i="51"/>
  <c r="DO280" i="51"/>
  <c r="DO269" i="51"/>
  <c r="DO270" i="51"/>
  <c r="DO271" i="51"/>
  <c r="DO272" i="51"/>
  <c r="DO273" i="51"/>
  <c r="DO274" i="51"/>
  <c r="DO275" i="51"/>
  <c r="DO268" i="51"/>
  <c r="DO257" i="51"/>
  <c r="DO258" i="51"/>
  <c r="DO259" i="51"/>
  <c r="DO260" i="51"/>
  <c r="DO261" i="51"/>
  <c r="DO262" i="51"/>
  <c r="DO263" i="51"/>
  <c r="DO256" i="51"/>
  <c r="DO245" i="51"/>
  <c r="DO246" i="51"/>
  <c r="DO247" i="51"/>
  <c r="DO248" i="51"/>
  <c r="DO249" i="51"/>
  <c r="DO250" i="51"/>
  <c r="DO251" i="51"/>
  <c r="DO244" i="51"/>
  <c r="DO233" i="51"/>
  <c r="DO234" i="51"/>
  <c r="DO235" i="51"/>
  <c r="DO236" i="51"/>
  <c r="DO237" i="51"/>
  <c r="DO238" i="51"/>
  <c r="DO239" i="51"/>
  <c r="DO232" i="51"/>
  <c r="DO221" i="51"/>
  <c r="DO222" i="51"/>
  <c r="DO223" i="51"/>
  <c r="DO224" i="51"/>
  <c r="DO225" i="51"/>
  <c r="DO226" i="51"/>
  <c r="DO227" i="51"/>
  <c r="DO220" i="51"/>
  <c r="DO209" i="51"/>
  <c r="DO210" i="51"/>
  <c r="DO211" i="51"/>
  <c r="DO212" i="51"/>
  <c r="DO213" i="51"/>
  <c r="DO214" i="51"/>
  <c r="DO215" i="51"/>
  <c r="DO208" i="51"/>
  <c r="DO197" i="51"/>
  <c r="DO198" i="51"/>
  <c r="DO199" i="51"/>
  <c r="DO200" i="51"/>
  <c r="DO201" i="51"/>
  <c r="DO202" i="51"/>
  <c r="DO203" i="51"/>
  <c r="DO196" i="51"/>
  <c r="DO185" i="51" l="1"/>
  <c r="DO186" i="51"/>
  <c r="DO187" i="51"/>
  <c r="DO188" i="51"/>
  <c r="DO189" i="51"/>
  <c r="DO190" i="51"/>
  <c r="DO191" i="51"/>
  <c r="DO184" i="51"/>
  <c r="DO173" i="51"/>
  <c r="DO174" i="51"/>
  <c r="DO175" i="51"/>
  <c r="DO176" i="51"/>
  <c r="DO177" i="51"/>
  <c r="DO178" i="51"/>
  <c r="DO179" i="51"/>
  <c r="DO172" i="51"/>
  <c r="DO161" i="51"/>
  <c r="DO162" i="51"/>
  <c r="DO163" i="51"/>
  <c r="DO164" i="51"/>
  <c r="DO165" i="51"/>
  <c r="DO166" i="51"/>
  <c r="DO167" i="51"/>
  <c r="DO160" i="51"/>
  <c r="DO149" i="51"/>
  <c r="DO150" i="51"/>
  <c r="DO151" i="51"/>
  <c r="DO152" i="51"/>
  <c r="DO153" i="51"/>
  <c r="DO154" i="51"/>
  <c r="DO155" i="51"/>
  <c r="DO148" i="51"/>
  <c r="DO137" i="51"/>
  <c r="DO138" i="51"/>
  <c r="DO139" i="51"/>
  <c r="DO140" i="51"/>
  <c r="DO141" i="51"/>
  <c r="DO142" i="51"/>
  <c r="DO143" i="51"/>
  <c r="DO136" i="51"/>
  <c r="DO125" i="51"/>
  <c r="DO126" i="51"/>
  <c r="DO127" i="51"/>
  <c r="DO128" i="51"/>
  <c r="DO129" i="51"/>
  <c r="DO130" i="51"/>
  <c r="DO131" i="51"/>
  <c r="DO124" i="51"/>
  <c r="DO113" i="51"/>
  <c r="DO114" i="51"/>
  <c r="DO115" i="51"/>
  <c r="DO116" i="51"/>
  <c r="DO117" i="51"/>
  <c r="DO118" i="51"/>
  <c r="DO119" i="51"/>
  <c r="DO112" i="51"/>
  <c r="DO101" i="51"/>
  <c r="DO102" i="51"/>
  <c r="DO103" i="51"/>
  <c r="DO104" i="51"/>
  <c r="DO105" i="51"/>
  <c r="DO106" i="51"/>
  <c r="DO107" i="51"/>
  <c r="DO100" i="51"/>
  <c r="DO77" i="51"/>
  <c r="DO78" i="51"/>
  <c r="DO79" i="51"/>
  <c r="DO80" i="51"/>
  <c r="DO81" i="51"/>
  <c r="DO82" i="51"/>
  <c r="DO83" i="51"/>
  <c r="DO76" i="51"/>
  <c r="DO89" i="51"/>
  <c r="DO90" i="51"/>
  <c r="DO91" i="51"/>
  <c r="DO92" i="51"/>
  <c r="DO93" i="51"/>
  <c r="DO94" i="51"/>
  <c r="DO95" i="51"/>
  <c r="DO88" i="51"/>
  <c r="DO65" i="51"/>
  <c r="DO66" i="51"/>
  <c r="DO67" i="51"/>
  <c r="DO68" i="51"/>
  <c r="DO69" i="51"/>
  <c r="DO70" i="51"/>
  <c r="DO71" i="51"/>
  <c r="DO64" i="51"/>
  <c r="DP401" i="51"/>
  <c r="DP402" i="51"/>
  <c r="DP403" i="51"/>
  <c r="DP404" i="51"/>
  <c r="DP405" i="51"/>
  <c r="DP406" i="51"/>
  <c r="DP407" i="51"/>
  <c r="DP400" i="51"/>
  <c r="DP389" i="51"/>
  <c r="DP390" i="51"/>
  <c r="DP391" i="51"/>
  <c r="DP392" i="51"/>
  <c r="DP393" i="51"/>
  <c r="DP394" i="51"/>
  <c r="DP395" i="51"/>
  <c r="DP388" i="51"/>
  <c r="DP377" i="51"/>
  <c r="DP378" i="51"/>
  <c r="DP379" i="51"/>
  <c r="DP380" i="51"/>
  <c r="DP381" i="51"/>
  <c r="DP382" i="51"/>
  <c r="DP383" i="51"/>
  <c r="DP376" i="51"/>
  <c r="DP365" i="51"/>
  <c r="DP366" i="51"/>
  <c r="DP367" i="51"/>
  <c r="DP368" i="51"/>
  <c r="DP369" i="51"/>
  <c r="DP370" i="51"/>
  <c r="DP371" i="51"/>
  <c r="DP364" i="51"/>
  <c r="DP353" i="51"/>
  <c r="DP354" i="51"/>
  <c r="DP355" i="51"/>
  <c r="DP356" i="51"/>
  <c r="DP357" i="51"/>
  <c r="DP358" i="51"/>
  <c r="DP359" i="51"/>
  <c r="DP352" i="51"/>
  <c r="DP341" i="51"/>
  <c r="DP342" i="51"/>
  <c r="DP343" i="51"/>
  <c r="DP344" i="51"/>
  <c r="DP345" i="51"/>
  <c r="DP346" i="51"/>
  <c r="DP347" i="51"/>
  <c r="DP340" i="51"/>
  <c r="DP329" i="51"/>
  <c r="DP330" i="51"/>
  <c r="DP331" i="51"/>
  <c r="DP332" i="51"/>
  <c r="DP333" i="51"/>
  <c r="DP334" i="51"/>
  <c r="DP335" i="51"/>
  <c r="DP328" i="51"/>
  <c r="DP317" i="51"/>
  <c r="DP318" i="51"/>
  <c r="DP319" i="51"/>
  <c r="DP320" i="51"/>
  <c r="DP321" i="51"/>
  <c r="DP322" i="51"/>
  <c r="DP323" i="51"/>
  <c r="DP316" i="51"/>
  <c r="DP305" i="51"/>
  <c r="DP306" i="51"/>
  <c r="DP307" i="51"/>
  <c r="DP308" i="51"/>
  <c r="DP309" i="51"/>
  <c r="DP310" i="51"/>
  <c r="DP311" i="51"/>
  <c r="DP304" i="51"/>
  <c r="DP293" i="51"/>
  <c r="DP294" i="51"/>
  <c r="DP295" i="51"/>
  <c r="DP296" i="51"/>
  <c r="DP297" i="51"/>
  <c r="DP298" i="51"/>
  <c r="DP299" i="51"/>
  <c r="DP292" i="51"/>
  <c r="DP281" i="51"/>
  <c r="DP282" i="51"/>
  <c r="DP283" i="51"/>
  <c r="DP284" i="51"/>
  <c r="DP285" i="51"/>
  <c r="DP286" i="51"/>
  <c r="DP287" i="51"/>
  <c r="DP280" i="51"/>
  <c r="DP269" i="51"/>
  <c r="DP270" i="51"/>
  <c r="DP271" i="51"/>
  <c r="DP272" i="51"/>
  <c r="DP273" i="51"/>
  <c r="DP274" i="51"/>
  <c r="DP275" i="51"/>
  <c r="DP268" i="51"/>
  <c r="DP257" i="51"/>
  <c r="DP258" i="51"/>
  <c r="DP259" i="51"/>
  <c r="DP260" i="51"/>
  <c r="DP261" i="51"/>
  <c r="DP262" i="51"/>
  <c r="DP263" i="51"/>
  <c r="DP256" i="51"/>
  <c r="DP245" i="51"/>
  <c r="DP246" i="51"/>
  <c r="DP247" i="51"/>
  <c r="DP248" i="51"/>
  <c r="DP249" i="51"/>
  <c r="DP250" i="51"/>
  <c r="DP251" i="51"/>
  <c r="DP244" i="51"/>
  <c r="DP233" i="51"/>
  <c r="DP234" i="51"/>
  <c r="DP235" i="51"/>
  <c r="DP236" i="51"/>
  <c r="DP237" i="51"/>
  <c r="DP238" i="51"/>
  <c r="DP239" i="51"/>
  <c r="DP232" i="51"/>
  <c r="DP221" i="51"/>
  <c r="DP222" i="51"/>
  <c r="DP223" i="51"/>
  <c r="DP224" i="51"/>
  <c r="DP225" i="51"/>
  <c r="DP226" i="51"/>
  <c r="DP227" i="51"/>
  <c r="DP220" i="51"/>
  <c r="DP209" i="51"/>
  <c r="DP210" i="51"/>
  <c r="DP211" i="51"/>
  <c r="DP212" i="51"/>
  <c r="DP213" i="51"/>
  <c r="DP214" i="51"/>
  <c r="DP215" i="51"/>
  <c r="DP208" i="51"/>
  <c r="DP197" i="51"/>
  <c r="DP198" i="51"/>
  <c r="DP199" i="51"/>
  <c r="DP200" i="51"/>
  <c r="DP201" i="51"/>
  <c r="DP202" i="51"/>
  <c r="DP203" i="51"/>
  <c r="DP196" i="51"/>
  <c r="DP185" i="51"/>
  <c r="DP186" i="51"/>
  <c r="DP187" i="51"/>
  <c r="DP188" i="51"/>
  <c r="DP189" i="51"/>
  <c r="DP190" i="51"/>
  <c r="DP191" i="51"/>
  <c r="DP184" i="51"/>
  <c r="DP173" i="51"/>
  <c r="DP174" i="51"/>
  <c r="DP175" i="51"/>
  <c r="DP176" i="51"/>
  <c r="DP177" i="51"/>
  <c r="DP178" i="51"/>
  <c r="DP179" i="51"/>
  <c r="DP172" i="51"/>
  <c r="DP161" i="51"/>
  <c r="DP162" i="51"/>
  <c r="DP163" i="51"/>
  <c r="DP164" i="51"/>
  <c r="DP165" i="51"/>
  <c r="DP166" i="51"/>
  <c r="DP167" i="51"/>
  <c r="DP160" i="51"/>
  <c r="DP149" i="51"/>
  <c r="DP150" i="51"/>
  <c r="DP151" i="51"/>
  <c r="DP152" i="51"/>
  <c r="DP153" i="51"/>
  <c r="DP154" i="51"/>
  <c r="DP155" i="51"/>
  <c r="DP148" i="51"/>
  <c r="DP137" i="51"/>
  <c r="DP138" i="51"/>
  <c r="DP139" i="51"/>
  <c r="DP140" i="51"/>
  <c r="DP141" i="51"/>
  <c r="DP142" i="51"/>
  <c r="DP143" i="51"/>
  <c r="DP136" i="51"/>
  <c r="DP125" i="51"/>
  <c r="DP126" i="51"/>
  <c r="DP127" i="51"/>
  <c r="DP128" i="51"/>
  <c r="DP129" i="51"/>
  <c r="DP130" i="51"/>
  <c r="DP131" i="51"/>
  <c r="DP124" i="51"/>
  <c r="DP113" i="51"/>
  <c r="DP114" i="51"/>
  <c r="DP115" i="51"/>
  <c r="DP116" i="51"/>
  <c r="DP117" i="51"/>
  <c r="DP118" i="51"/>
  <c r="DP119" i="51"/>
  <c r="DP112" i="51"/>
  <c r="DP101" i="51"/>
  <c r="DP102" i="51"/>
  <c r="DP103" i="51"/>
  <c r="DP104" i="51"/>
  <c r="DP105" i="51"/>
  <c r="DP106" i="51"/>
  <c r="DP107" i="51"/>
  <c r="DP100" i="51"/>
  <c r="C20" i="51" l="1"/>
  <c r="DW7" i="51" l="1"/>
  <c r="DV7" i="51"/>
  <c r="AN85" i="52" l="1"/>
  <c r="E24" i="51" l="1"/>
  <c r="D24" i="51"/>
  <c r="C24" i="51"/>
  <c r="H829" i="56" l="1"/>
  <c r="H828" i="56"/>
  <c r="H827" i="56"/>
  <c r="H826" i="56"/>
  <c r="H825" i="56"/>
  <c r="H824" i="56"/>
  <c r="H677" i="56"/>
  <c r="H676" i="56"/>
  <c r="H675" i="56"/>
  <c r="H674" i="56"/>
  <c r="H673" i="56"/>
  <c r="H672" i="56"/>
  <c r="A7" i="82" l="1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6" i="82" l="1"/>
  <c r="R1287" i="49" l="1"/>
  <c r="O1366" i="56" s="1"/>
  <c r="R1205" i="49"/>
  <c r="O1284" i="56" s="1"/>
  <c r="R1096" i="49"/>
  <c r="O1175" i="56" s="1"/>
  <c r="R1014" i="49"/>
  <c r="O1093" i="56" s="1"/>
  <c r="R905" i="49"/>
  <c r="O984" i="56" s="1"/>
  <c r="R823" i="49"/>
  <c r="O902" i="56" s="1"/>
  <c r="R714" i="49"/>
  <c r="O793" i="56" s="1"/>
  <c r="R632" i="49"/>
  <c r="O711" i="56" s="1"/>
  <c r="R523" i="49"/>
  <c r="O602" i="56" s="1"/>
  <c r="R441" i="49"/>
  <c r="O520" i="56" s="1"/>
  <c r="R332" i="49"/>
  <c r="O411" i="56" s="1"/>
  <c r="R214" i="49"/>
  <c r="O293" i="56" s="1"/>
  <c r="R175" i="49"/>
  <c r="O207" i="56" s="1"/>
  <c r="R147" i="49"/>
  <c r="O179" i="56" s="1"/>
  <c r="R119" i="49"/>
  <c r="O151" i="56" s="1"/>
  <c r="R91" i="49"/>
  <c r="O123" i="56" s="1"/>
  <c r="R63" i="49"/>
  <c r="O95" i="56" s="1"/>
  <c r="R789" i="49"/>
  <c r="O868" i="56" s="1"/>
  <c r="R489" i="49"/>
  <c r="O568" i="56" s="1"/>
  <c r="R140" i="49"/>
  <c r="O172" i="56" s="1"/>
  <c r="R84" i="49"/>
  <c r="O116" i="56" s="1"/>
  <c r="R1170" i="49"/>
  <c r="O1249" i="56" s="1"/>
  <c r="R139" i="49"/>
  <c r="O171" i="56" s="1"/>
  <c r="R787" i="49"/>
  <c r="O866" i="56" s="1"/>
  <c r="R405" i="49"/>
  <c r="O484" i="56" s="1"/>
  <c r="R82" i="49"/>
  <c r="O114" i="56" s="1"/>
  <c r="R1168" i="49"/>
  <c r="O1247" i="56" s="1"/>
  <c r="R295" i="49"/>
  <c r="O374" i="56" s="1"/>
  <c r="R867" i="49"/>
  <c r="O946" i="56" s="1"/>
  <c r="R485" i="49"/>
  <c r="O564" i="56" s="1"/>
  <c r="R108" i="49"/>
  <c r="O140" i="56" s="1"/>
  <c r="R975" i="49"/>
  <c r="O1054" i="56" s="1"/>
  <c r="R484" i="49"/>
  <c r="O563" i="56" s="1"/>
  <c r="R135" i="49"/>
  <c r="O167" i="56" s="1"/>
  <c r="R1247" i="49"/>
  <c r="O1326" i="56" s="1"/>
  <c r="R190" i="49"/>
  <c r="O222" i="56" s="1"/>
  <c r="R755" i="49"/>
  <c r="O834" i="56" s="1"/>
  <c r="R564" i="49"/>
  <c r="O643" i="56" s="1"/>
  <c r="R133" i="49"/>
  <c r="O165" i="56" s="1"/>
  <c r="R1245" i="49"/>
  <c r="O1324" i="56" s="1"/>
  <c r="R563" i="49"/>
  <c r="O642" i="56" s="1"/>
  <c r="R76" i="49"/>
  <c r="O108" i="56" s="1"/>
  <c r="R753" i="49"/>
  <c r="O832" i="56" s="1"/>
  <c r="R289" i="49"/>
  <c r="O368" i="56" s="1"/>
  <c r="R103" i="49"/>
  <c r="O135" i="56" s="1"/>
  <c r="R749" i="49"/>
  <c r="O828" i="56" s="1"/>
  <c r="R939" i="49"/>
  <c r="O1018" i="56" s="1"/>
  <c r="R557" i="49"/>
  <c r="O636" i="56" s="1"/>
  <c r="R154" i="49"/>
  <c r="O186" i="56" s="1"/>
  <c r="R938" i="49"/>
  <c r="O1017" i="56" s="1"/>
  <c r="R365" i="49"/>
  <c r="O444" i="56" s="1"/>
  <c r="R97" i="49"/>
  <c r="O129" i="56" s="1"/>
  <c r="R937" i="49"/>
  <c r="O1016" i="56" s="1"/>
  <c r="R637" i="49"/>
  <c r="O716" i="56" s="1"/>
  <c r="R152" i="49"/>
  <c r="O184" i="56" s="1"/>
  <c r="R1018" i="49"/>
  <c r="O1097" i="56" s="1"/>
  <c r="R445" i="49"/>
  <c r="O524" i="56" s="1"/>
  <c r="R1208" i="49"/>
  <c r="O1287" i="56" s="1"/>
  <c r="R178" i="49"/>
  <c r="O210" i="56" s="1"/>
  <c r="R634" i="49"/>
  <c r="O713" i="56" s="1"/>
  <c r="R525" i="49"/>
  <c r="O604" i="56" s="1"/>
  <c r="R93" i="49"/>
  <c r="O125" i="56" s="1"/>
  <c r="R1097" i="49"/>
  <c r="O1176" i="56" s="1"/>
  <c r="R524" i="49"/>
  <c r="O603" i="56" s="1"/>
  <c r="R92" i="49"/>
  <c r="O124" i="56" s="1"/>
  <c r="R1286" i="49"/>
  <c r="O1365" i="56" s="1"/>
  <c r="R1204" i="49"/>
  <c r="O1283" i="56" s="1"/>
  <c r="R1095" i="49"/>
  <c r="O1174" i="56" s="1"/>
  <c r="R1013" i="49"/>
  <c r="O1092" i="56" s="1"/>
  <c r="R904" i="49"/>
  <c r="O983" i="56" s="1"/>
  <c r="R822" i="49"/>
  <c r="O901" i="56" s="1"/>
  <c r="R713" i="49"/>
  <c r="O792" i="56" s="1"/>
  <c r="R631" i="49"/>
  <c r="O710" i="56" s="1"/>
  <c r="R522" i="49"/>
  <c r="O601" i="56" s="1"/>
  <c r="R413" i="49"/>
  <c r="O492" i="56" s="1"/>
  <c r="R331" i="49"/>
  <c r="O410" i="56" s="1"/>
  <c r="R215" i="49"/>
  <c r="O294" i="56" s="1"/>
  <c r="R174" i="49"/>
  <c r="O206" i="56" s="1"/>
  <c r="R146" i="49"/>
  <c r="O178" i="56" s="1"/>
  <c r="R118" i="49"/>
  <c r="O150" i="56" s="1"/>
  <c r="R90" i="49"/>
  <c r="O122" i="56" s="1"/>
  <c r="R62" i="49"/>
  <c r="O94" i="56" s="1"/>
  <c r="R707" i="49"/>
  <c r="O786" i="56" s="1"/>
  <c r="R598" i="49"/>
  <c r="O677" i="56" s="1"/>
  <c r="R407" i="49"/>
  <c r="O486" i="56" s="1"/>
  <c r="R112" i="49"/>
  <c r="O144" i="56" s="1"/>
  <c r="R897" i="49"/>
  <c r="O976" i="56" s="1"/>
  <c r="R488" i="49"/>
  <c r="O567" i="56" s="1"/>
  <c r="R83" i="49"/>
  <c r="O115" i="56" s="1"/>
  <c r="R1087" i="49"/>
  <c r="O1166" i="56" s="1"/>
  <c r="R166" i="49"/>
  <c r="O198" i="56" s="1"/>
  <c r="R977" i="49"/>
  <c r="O1056" i="56" s="1"/>
  <c r="R486" i="49"/>
  <c r="O565" i="56" s="1"/>
  <c r="R53" i="49"/>
  <c r="O85" i="56" s="1"/>
  <c r="R976" i="49"/>
  <c r="O1055" i="56" s="1"/>
  <c r="R294" i="49"/>
  <c r="O373" i="56" s="1"/>
  <c r="R1057" i="49"/>
  <c r="O1136" i="56" s="1"/>
  <c r="R593" i="49"/>
  <c r="O672" i="56" s="1"/>
  <c r="R107" i="49"/>
  <c r="O139" i="56" s="1"/>
  <c r="R1165" i="49"/>
  <c r="O1244" i="56" s="1"/>
  <c r="R374" i="49"/>
  <c r="O453" i="56" s="1"/>
  <c r="R973" i="49"/>
  <c r="O1052" i="56" s="1"/>
  <c r="R482" i="49"/>
  <c r="O561" i="56" s="1"/>
  <c r="R105" i="49"/>
  <c r="O137" i="56" s="1"/>
  <c r="R1054" i="49"/>
  <c r="O1133" i="56" s="1"/>
  <c r="R290" i="49"/>
  <c r="O369" i="56" s="1"/>
  <c r="R48" i="49"/>
  <c r="O80" i="56" s="1"/>
  <c r="R944" i="49"/>
  <c r="O1023" i="56" s="1"/>
  <c r="R671" i="49"/>
  <c r="O750" i="56" s="1"/>
  <c r="R131" i="49"/>
  <c r="O163" i="56" s="1"/>
  <c r="R558" i="49"/>
  <c r="O637" i="56" s="1"/>
  <c r="R71" i="49"/>
  <c r="O103" i="56" s="1"/>
  <c r="R830" i="49"/>
  <c r="O909" i="56" s="1"/>
  <c r="R366" i="49"/>
  <c r="O445" i="56" s="1"/>
  <c r="R70" i="49"/>
  <c r="O102" i="56" s="1"/>
  <c r="R1129" i="49"/>
  <c r="O1208" i="56" s="1"/>
  <c r="R447" i="49"/>
  <c r="O526" i="56" s="1"/>
  <c r="R69" i="49"/>
  <c r="O101" i="56" s="1"/>
  <c r="R746" i="49"/>
  <c r="O825" i="56" s="1"/>
  <c r="R255" i="49"/>
  <c r="O334" i="56" s="1"/>
  <c r="R96" i="49"/>
  <c r="O128" i="56" s="1"/>
  <c r="R1209" i="49"/>
  <c r="O1288" i="56" s="1"/>
  <c r="R151" i="49"/>
  <c r="O183" i="56" s="1"/>
  <c r="R717" i="49"/>
  <c r="O796" i="56" s="1"/>
  <c r="R335" i="49"/>
  <c r="O414" i="56" s="1"/>
  <c r="R66" i="49"/>
  <c r="O98" i="56" s="1"/>
  <c r="R907" i="49"/>
  <c r="O986" i="56" s="1"/>
  <c r="R149" i="49"/>
  <c r="O181" i="56" s="1"/>
  <c r="R906" i="49"/>
  <c r="O985" i="56" s="1"/>
  <c r="R442" i="49"/>
  <c r="O521" i="56" s="1"/>
  <c r="R64" i="49"/>
  <c r="O96" i="56" s="1"/>
  <c r="R1285" i="49"/>
  <c r="O1364" i="56" s="1"/>
  <c r="R1203" i="49"/>
  <c r="O1282" i="56" s="1"/>
  <c r="R1094" i="49"/>
  <c r="O1173" i="56" s="1"/>
  <c r="R1012" i="49"/>
  <c r="O1091" i="56" s="1"/>
  <c r="R903" i="49"/>
  <c r="O982" i="56" s="1"/>
  <c r="R821" i="49"/>
  <c r="O900" i="56" s="1"/>
  <c r="R712" i="49"/>
  <c r="O791" i="56" s="1"/>
  <c r="R603" i="49"/>
  <c r="O682" i="56" s="1"/>
  <c r="R521" i="49"/>
  <c r="O600" i="56" s="1"/>
  <c r="R412" i="49"/>
  <c r="O491" i="56" s="1"/>
  <c r="R330" i="49"/>
  <c r="O409" i="56" s="1"/>
  <c r="R216" i="49"/>
  <c r="O295" i="56" s="1"/>
  <c r="R173" i="49"/>
  <c r="O205" i="56" s="1"/>
  <c r="R145" i="49"/>
  <c r="O177" i="56" s="1"/>
  <c r="R117" i="49"/>
  <c r="O149" i="56" s="1"/>
  <c r="R89" i="49"/>
  <c r="O121" i="56" s="1"/>
  <c r="R61" i="49"/>
  <c r="O93" i="56" s="1"/>
  <c r="R898" i="49"/>
  <c r="O977" i="56" s="1"/>
  <c r="R298" i="49"/>
  <c r="O377" i="56" s="1"/>
  <c r="R56" i="49"/>
  <c r="O88" i="56" s="1"/>
  <c r="R979" i="49"/>
  <c r="O1058" i="56" s="1"/>
  <c r="R297" i="49"/>
  <c r="O376" i="56" s="1"/>
  <c r="R869" i="49"/>
  <c r="O948" i="56" s="1"/>
  <c r="R296" i="49"/>
  <c r="O375" i="56" s="1"/>
  <c r="R54" i="49"/>
  <c r="O86" i="56" s="1"/>
  <c r="R868" i="49"/>
  <c r="O947" i="56" s="1"/>
  <c r="R404" i="49"/>
  <c r="O483" i="56" s="1"/>
  <c r="R1058" i="49"/>
  <c r="O1137" i="56" s="1"/>
  <c r="R192" i="49"/>
  <c r="O224" i="56" s="1"/>
  <c r="R866" i="49"/>
  <c r="O945" i="56" s="1"/>
  <c r="R675" i="49"/>
  <c r="O754" i="56" s="1"/>
  <c r="R191" i="49"/>
  <c r="O223" i="56" s="1"/>
  <c r="R79" i="49"/>
  <c r="O111" i="56" s="1"/>
  <c r="R974" i="49"/>
  <c r="O1053" i="56" s="1"/>
  <c r="R674" i="49"/>
  <c r="O753" i="56" s="1"/>
  <c r="R162" i="49"/>
  <c r="O194" i="56" s="1"/>
  <c r="R50" i="49"/>
  <c r="O82" i="56" s="1"/>
  <c r="R1055" i="49"/>
  <c r="O1134" i="56" s="1"/>
  <c r="R291" i="49"/>
  <c r="O370" i="56" s="1"/>
  <c r="R49" i="49"/>
  <c r="O81" i="56" s="1"/>
  <c r="R863" i="49"/>
  <c r="O942" i="56" s="1"/>
  <c r="R481" i="49"/>
  <c r="O560" i="56" s="1"/>
  <c r="R132" i="49"/>
  <c r="O164" i="56" s="1"/>
  <c r="R1135" i="49"/>
  <c r="O1214" i="56" s="1"/>
  <c r="R187" i="49"/>
  <c r="O219" i="56" s="1"/>
  <c r="R183" i="49"/>
  <c r="O215" i="56" s="1"/>
  <c r="R99" i="49"/>
  <c r="O131" i="56" s="1"/>
  <c r="R1021" i="49"/>
  <c r="O1100" i="56" s="1"/>
  <c r="R257" i="49"/>
  <c r="O336" i="56" s="1"/>
  <c r="R1020" i="49"/>
  <c r="O1099" i="56" s="1"/>
  <c r="R638" i="49"/>
  <c r="O717" i="56" s="1"/>
  <c r="R125" i="49"/>
  <c r="O157" i="56" s="1"/>
  <c r="R1128" i="49"/>
  <c r="O1207" i="56" s="1"/>
  <c r="R446" i="49"/>
  <c r="O525" i="56" s="1"/>
  <c r="R68" i="49"/>
  <c r="O100" i="56" s="1"/>
  <c r="R745" i="49"/>
  <c r="O824" i="56" s="1"/>
  <c r="R95" i="49"/>
  <c r="O127" i="56" s="1"/>
  <c r="R826" i="49"/>
  <c r="O905" i="56" s="1"/>
  <c r="R444" i="49"/>
  <c r="O523" i="56" s="1"/>
  <c r="R1016" i="49"/>
  <c r="O1095" i="56" s="1"/>
  <c r="R252" i="49"/>
  <c r="O331" i="56" s="1"/>
  <c r="R824" i="49"/>
  <c r="O903" i="56" s="1"/>
  <c r="R1284" i="49"/>
  <c r="O1363" i="56" s="1"/>
  <c r="R1202" i="49"/>
  <c r="O1281" i="56" s="1"/>
  <c r="R1093" i="49"/>
  <c r="O1172" i="56" s="1"/>
  <c r="R1011" i="49"/>
  <c r="O1090" i="56" s="1"/>
  <c r="R902" i="49"/>
  <c r="O981" i="56" s="1"/>
  <c r="R793" i="49"/>
  <c r="O872" i="56" s="1"/>
  <c r="R711" i="49"/>
  <c r="O790" i="56" s="1"/>
  <c r="R602" i="49"/>
  <c r="O681" i="56" s="1"/>
  <c r="R520" i="49"/>
  <c r="O599" i="56" s="1"/>
  <c r="R411" i="49"/>
  <c r="O490" i="56" s="1"/>
  <c r="R329" i="49"/>
  <c r="O408" i="56" s="1"/>
  <c r="R217" i="49"/>
  <c r="O296" i="56" s="1"/>
  <c r="R172" i="49"/>
  <c r="O204" i="56" s="1"/>
  <c r="R144" i="49"/>
  <c r="O176" i="56" s="1"/>
  <c r="R116" i="49"/>
  <c r="O148" i="56" s="1"/>
  <c r="R88" i="49"/>
  <c r="O120" i="56" s="1"/>
  <c r="R60" i="49"/>
  <c r="O92" i="56" s="1"/>
  <c r="R980" i="49"/>
  <c r="O1059" i="56" s="1"/>
  <c r="R168" i="49"/>
  <c r="O200" i="56" s="1"/>
  <c r="R1279" i="49"/>
  <c r="O1358" i="56" s="1"/>
  <c r="R111" i="49"/>
  <c r="O143" i="56" s="1"/>
  <c r="R678" i="49"/>
  <c r="O757" i="56" s="1"/>
  <c r="R487" i="49"/>
  <c r="O566" i="56" s="1"/>
  <c r="R138" i="49"/>
  <c r="O170" i="56" s="1"/>
  <c r="R1277" i="49"/>
  <c r="O1356" i="56" s="1"/>
  <c r="R137" i="49"/>
  <c r="O169" i="56" s="1"/>
  <c r="R676" i="49"/>
  <c r="O755" i="56" s="1"/>
  <c r="R594" i="49"/>
  <c r="O673" i="56" s="1"/>
  <c r="R164" i="49"/>
  <c r="O196" i="56" s="1"/>
  <c r="R52" i="49"/>
  <c r="O84" i="56" s="1"/>
  <c r="R1166" i="49"/>
  <c r="O1245" i="56" s="1"/>
  <c r="R293" i="49"/>
  <c r="O372" i="56" s="1"/>
  <c r="R865" i="49"/>
  <c r="O944" i="56" s="1"/>
  <c r="R565" i="49"/>
  <c r="O644" i="56" s="1"/>
  <c r="R134" i="49"/>
  <c r="O166" i="56" s="1"/>
  <c r="R1246" i="49"/>
  <c r="O1325" i="56" s="1"/>
  <c r="R373" i="49"/>
  <c r="O452" i="56" s="1"/>
  <c r="R754" i="49"/>
  <c r="O833" i="56" s="1"/>
  <c r="R672" i="49"/>
  <c r="O751" i="56" s="1"/>
  <c r="R188" i="49"/>
  <c r="O220" i="56" s="1"/>
  <c r="R1244" i="49"/>
  <c r="O1323" i="56" s="1"/>
  <c r="R371" i="49"/>
  <c r="O450" i="56" s="1"/>
  <c r="R258" i="49"/>
  <c r="O337" i="56" s="1"/>
  <c r="R127" i="49"/>
  <c r="O159" i="56" s="1"/>
  <c r="R1130" i="49"/>
  <c r="O1209" i="56" s="1"/>
  <c r="R182" i="49"/>
  <c r="O214" i="56" s="1"/>
  <c r="R829" i="49"/>
  <c r="O908" i="56" s="1"/>
  <c r="R556" i="49"/>
  <c r="O635" i="56" s="1"/>
  <c r="R153" i="49"/>
  <c r="O185" i="56" s="1"/>
  <c r="R1210" i="49"/>
  <c r="O1289" i="56" s="1"/>
  <c r="R180" i="49"/>
  <c r="O212" i="56" s="1"/>
  <c r="R636" i="49"/>
  <c r="O715" i="56" s="1"/>
  <c r="R336" i="49"/>
  <c r="O415" i="56" s="1"/>
  <c r="R67" i="49"/>
  <c r="O99" i="56" s="1"/>
  <c r="R1126" i="49"/>
  <c r="O1205" i="56" s="1"/>
  <c r="R122" i="49"/>
  <c r="O154" i="56" s="1"/>
  <c r="R716" i="49"/>
  <c r="O795" i="56" s="1"/>
  <c r="R177" i="49"/>
  <c r="O209" i="56" s="1"/>
  <c r="R1206" i="49"/>
  <c r="O1285" i="56" s="1"/>
  <c r="R176" i="49"/>
  <c r="O208" i="56" s="1"/>
  <c r="R1283" i="49"/>
  <c r="O1362" i="56" s="1"/>
  <c r="R1201" i="49"/>
  <c r="O1280" i="56" s="1"/>
  <c r="R1092" i="49"/>
  <c r="O1171" i="56" s="1"/>
  <c r="R983" i="49"/>
  <c r="O1062" i="56" s="1"/>
  <c r="R901" i="49"/>
  <c r="O980" i="56" s="1"/>
  <c r="R792" i="49"/>
  <c r="O871" i="56" s="1"/>
  <c r="R710" i="49"/>
  <c r="O789" i="56" s="1"/>
  <c r="R601" i="49"/>
  <c r="O680" i="56" s="1"/>
  <c r="R519" i="49"/>
  <c r="O598" i="56" s="1"/>
  <c r="R410" i="49"/>
  <c r="O489" i="56" s="1"/>
  <c r="R328" i="49"/>
  <c r="O407" i="56" s="1"/>
  <c r="R218" i="49"/>
  <c r="O297" i="56" s="1"/>
  <c r="R171" i="49"/>
  <c r="O203" i="56" s="1"/>
  <c r="R143" i="49"/>
  <c r="O175" i="56" s="1"/>
  <c r="R115" i="49"/>
  <c r="O147" i="56" s="1"/>
  <c r="R87" i="49"/>
  <c r="O119" i="56" s="1"/>
  <c r="R59" i="49"/>
  <c r="O91" i="56" s="1"/>
  <c r="R1171" i="49"/>
  <c r="O1250" i="56" s="1"/>
  <c r="R788" i="49"/>
  <c r="O867" i="56" s="1"/>
  <c r="R597" i="49"/>
  <c r="O676" i="56" s="1"/>
  <c r="R167" i="49"/>
  <c r="O199" i="56" s="1"/>
  <c r="R1278" i="49"/>
  <c r="O1357" i="56" s="1"/>
  <c r="R677" i="49"/>
  <c r="O756" i="56" s="1"/>
  <c r="R213" i="49"/>
  <c r="O292" i="56" s="1"/>
  <c r="R109" i="49"/>
  <c r="O141" i="56" s="1"/>
  <c r="R1249" i="49"/>
  <c r="O1328" i="56" s="1"/>
  <c r="R136" i="49"/>
  <c r="O168" i="56" s="1"/>
  <c r="R784" i="49"/>
  <c r="O863" i="56" s="1"/>
  <c r="R163" i="49"/>
  <c r="O195" i="56" s="1"/>
  <c r="R1056" i="49"/>
  <c r="O1135" i="56" s="1"/>
  <c r="R483" i="49"/>
  <c r="O562" i="56" s="1"/>
  <c r="R106" i="49"/>
  <c r="O138" i="56" s="1"/>
  <c r="R864" i="49"/>
  <c r="O943" i="56" s="1"/>
  <c r="R673" i="49"/>
  <c r="O752" i="56" s="1"/>
  <c r="R161" i="49"/>
  <c r="O193" i="56" s="1"/>
  <c r="R77" i="49"/>
  <c r="O109" i="56" s="1"/>
  <c r="R1163" i="49"/>
  <c r="O1242" i="56" s="1"/>
  <c r="R160" i="49"/>
  <c r="O192" i="56" s="1"/>
  <c r="R862" i="49"/>
  <c r="O941" i="56" s="1"/>
  <c r="R562" i="49"/>
  <c r="O641" i="56" s="1"/>
  <c r="R159" i="49"/>
  <c r="O191" i="56" s="1"/>
  <c r="R47" i="49"/>
  <c r="O79" i="56" s="1"/>
  <c r="R367" i="49"/>
  <c r="O446" i="56" s="1"/>
  <c r="R1239" i="49"/>
  <c r="O1318" i="56" s="1"/>
  <c r="R126" i="49"/>
  <c r="O158" i="56" s="1"/>
  <c r="R747" i="49"/>
  <c r="O826" i="56" s="1"/>
  <c r="R256" i="49"/>
  <c r="O335" i="56" s="1"/>
  <c r="R1019" i="49"/>
  <c r="O1098" i="56" s="1"/>
  <c r="R337" i="49"/>
  <c r="O416" i="56" s="1"/>
  <c r="R827" i="49"/>
  <c r="O906" i="56" s="1"/>
  <c r="R527" i="49"/>
  <c r="O606" i="56" s="1"/>
  <c r="R123" i="49"/>
  <c r="O155" i="56" s="1"/>
  <c r="R935" i="49"/>
  <c r="O1014" i="56" s="1"/>
  <c r="R253" i="49"/>
  <c r="O332" i="56" s="1"/>
  <c r="R1125" i="49"/>
  <c r="O1204" i="56" s="1"/>
  <c r="R334" i="49"/>
  <c r="O413" i="56" s="1"/>
  <c r="R715" i="49"/>
  <c r="O794" i="56" s="1"/>
  <c r="R333" i="49"/>
  <c r="O412" i="56" s="1"/>
  <c r="R120" i="49"/>
  <c r="O152" i="56" s="1"/>
  <c r="R1282" i="49"/>
  <c r="O1361" i="56" s="1"/>
  <c r="R1173" i="49"/>
  <c r="O1252" i="56" s="1"/>
  <c r="R1091" i="49"/>
  <c r="O1170" i="56" s="1"/>
  <c r="R982" i="49"/>
  <c r="O1061" i="56" s="1"/>
  <c r="R900" i="49"/>
  <c r="O979" i="56" s="1"/>
  <c r="R791" i="49"/>
  <c r="O870" i="56" s="1"/>
  <c r="R709" i="49"/>
  <c r="O788" i="56" s="1"/>
  <c r="R600" i="49"/>
  <c r="O679" i="56" s="1"/>
  <c r="R518" i="49"/>
  <c r="O597" i="56" s="1"/>
  <c r="R409" i="49"/>
  <c r="O488" i="56" s="1"/>
  <c r="R327" i="49"/>
  <c r="O406" i="56" s="1"/>
  <c r="R219" i="49"/>
  <c r="O298" i="56" s="1"/>
  <c r="R170" i="49"/>
  <c r="O202" i="56" s="1"/>
  <c r="R142" i="49"/>
  <c r="O174" i="56" s="1"/>
  <c r="R114" i="49"/>
  <c r="O146" i="56" s="1"/>
  <c r="R86" i="49"/>
  <c r="O118" i="56" s="1"/>
  <c r="R58" i="49"/>
  <c r="O90" i="56" s="1"/>
  <c r="R1280" i="49"/>
  <c r="O1359" i="56" s="1"/>
  <c r="R679" i="49"/>
  <c r="O758" i="56" s="1"/>
  <c r="R222" i="49"/>
  <c r="O301" i="56" s="1"/>
  <c r="R55" i="49"/>
  <c r="O87" i="56" s="1"/>
  <c r="R1169" i="49"/>
  <c r="O1248" i="56" s="1"/>
  <c r="R223" i="49"/>
  <c r="O302" i="56" s="1"/>
  <c r="R1059" i="49"/>
  <c r="O1138" i="56" s="1"/>
  <c r="R595" i="49"/>
  <c r="O674" i="56" s="1"/>
  <c r="R81" i="49"/>
  <c r="O113" i="56" s="1"/>
  <c r="R785" i="49"/>
  <c r="O864" i="56" s="1"/>
  <c r="R403" i="49"/>
  <c r="O482" i="56" s="1"/>
  <c r="R80" i="49"/>
  <c r="O112" i="56" s="1"/>
  <c r="R1248" i="49"/>
  <c r="O1327" i="56" s="1"/>
  <c r="R375" i="49"/>
  <c r="O454" i="56" s="1"/>
  <c r="R51" i="49"/>
  <c r="O83" i="56" s="1"/>
  <c r="R783" i="49"/>
  <c r="O862" i="56" s="1"/>
  <c r="R292" i="49"/>
  <c r="O371" i="56" s="1"/>
  <c r="R78" i="49"/>
  <c r="O110" i="56" s="1"/>
  <c r="R1164" i="49"/>
  <c r="O1243" i="56" s="1"/>
  <c r="R189" i="49"/>
  <c r="O221" i="56" s="1"/>
  <c r="R945" i="49"/>
  <c r="O1024" i="56" s="1"/>
  <c r="R372" i="49"/>
  <c r="O451" i="56" s="1"/>
  <c r="R104" i="49"/>
  <c r="O136" i="56" s="1"/>
  <c r="R1053" i="49"/>
  <c r="O1132" i="56" s="1"/>
  <c r="R480" i="49"/>
  <c r="O559" i="56" s="1"/>
  <c r="R75" i="49"/>
  <c r="O107" i="56" s="1"/>
  <c r="R449" i="49"/>
  <c r="O528" i="56" s="1"/>
  <c r="R43" i="49"/>
  <c r="R639" i="49"/>
  <c r="O718" i="56" s="1"/>
  <c r="R448" i="49"/>
  <c r="O527" i="56" s="1"/>
  <c r="R98" i="49"/>
  <c r="O130" i="56" s="1"/>
  <c r="R1211" i="49"/>
  <c r="O1290" i="56" s="1"/>
  <c r="R181" i="49"/>
  <c r="O213" i="56" s="1"/>
  <c r="R828" i="49"/>
  <c r="O907" i="56" s="1"/>
  <c r="R555" i="49"/>
  <c r="O634" i="56" s="1"/>
  <c r="R124" i="49"/>
  <c r="O156" i="56" s="1"/>
  <c r="R1127" i="49"/>
  <c r="O1206" i="56" s="1"/>
  <c r="R254" i="49"/>
  <c r="O333" i="56" s="1"/>
  <c r="R1017" i="49"/>
  <c r="O1096" i="56" s="1"/>
  <c r="R526" i="49"/>
  <c r="O605" i="56" s="1"/>
  <c r="R94" i="49"/>
  <c r="O126" i="56" s="1"/>
  <c r="R825" i="49"/>
  <c r="O904" i="56" s="1"/>
  <c r="R443" i="49"/>
  <c r="O522" i="56" s="1"/>
  <c r="R65" i="49"/>
  <c r="O97" i="56" s="1"/>
  <c r="R1015" i="49"/>
  <c r="O1094" i="56" s="1"/>
  <c r="R251" i="49"/>
  <c r="O330" i="56" s="1"/>
  <c r="R1281" i="49"/>
  <c r="O1360" i="56" s="1"/>
  <c r="R1172" i="49"/>
  <c r="O1251" i="56" s="1"/>
  <c r="R1090" i="49"/>
  <c r="O1169" i="56" s="1"/>
  <c r="R981" i="49"/>
  <c r="O1060" i="56" s="1"/>
  <c r="R899" i="49"/>
  <c r="O978" i="56" s="1"/>
  <c r="R790" i="49"/>
  <c r="O869" i="56" s="1"/>
  <c r="R708" i="49"/>
  <c r="O787" i="56" s="1"/>
  <c r="R599" i="49"/>
  <c r="O678" i="56" s="1"/>
  <c r="R517" i="49"/>
  <c r="O596" i="56" s="1"/>
  <c r="R408" i="49"/>
  <c r="O487" i="56" s="1"/>
  <c r="R299" i="49"/>
  <c r="O378" i="56" s="1"/>
  <c r="R220" i="49"/>
  <c r="O299" i="56" s="1"/>
  <c r="R169" i="49"/>
  <c r="O201" i="56" s="1"/>
  <c r="R141" i="49"/>
  <c r="O173" i="56" s="1"/>
  <c r="R113" i="49"/>
  <c r="O145" i="56" s="1"/>
  <c r="R85" i="49"/>
  <c r="O117" i="56" s="1"/>
  <c r="R57" i="49"/>
  <c r="O89" i="56" s="1"/>
  <c r="R1089" i="49"/>
  <c r="O1168" i="56" s="1"/>
  <c r="R221" i="49"/>
  <c r="O300" i="56" s="1"/>
  <c r="R1088" i="49"/>
  <c r="O1167" i="56" s="1"/>
  <c r="R406" i="49"/>
  <c r="O485" i="56" s="1"/>
  <c r="R978" i="49"/>
  <c r="O1057" i="56" s="1"/>
  <c r="R596" i="49"/>
  <c r="O675" i="56" s="1"/>
  <c r="R110" i="49"/>
  <c r="O142" i="56" s="1"/>
  <c r="R786" i="49"/>
  <c r="O865" i="56" s="1"/>
  <c r="R165" i="49"/>
  <c r="O197" i="56" s="1"/>
  <c r="R1167" i="49"/>
  <c r="O1246" i="56" s="1"/>
  <c r="R936" i="49"/>
  <c r="O1015" i="56" s="1"/>
  <c r="R179" i="49"/>
  <c r="O211" i="56" s="1"/>
  <c r="R635" i="49"/>
  <c r="O714" i="56" s="1"/>
  <c r="R150" i="49"/>
  <c r="O182" i="56" s="1"/>
  <c r="R1207" i="49"/>
  <c r="O1286" i="56" s="1"/>
  <c r="R121" i="49"/>
  <c r="O153" i="56" s="1"/>
  <c r="R633" i="49"/>
  <c r="O712" i="56" s="1"/>
  <c r="R148" i="49"/>
  <c r="O180" i="56" s="1"/>
  <c r="R1243" i="49"/>
  <c r="O1322" i="56" s="1"/>
  <c r="R1134" i="49"/>
  <c r="O1213" i="56" s="1"/>
  <c r="R1052" i="49"/>
  <c r="O1131" i="56" s="1"/>
  <c r="R943" i="49"/>
  <c r="O1022" i="56" s="1"/>
  <c r="R861" i="49"/>
  <c r="O940" i="56" s="1"/>
  <c r="R752" i="49"/>
  <c r="O831" i="56" s="1"/>
  <c r="R670" i="49"/>
  <c r="O749" i="56" s="1"/>
  <c r="R561" i="49"/>
  <c r="O640" i="56" s="1"/>
  <c r="R479" i="49"/>
  <c r="O558" i="56" s="1"/>
  <c r="R370" i="49"/>
  <c r="O449" i="56" s="1"/>
  <c r="R261" i="49"/>
  <c r="O340" i="56" s="1"/>
  <c r="R186" i="49"/>
  <c r="O218" i="56" s="1"/>
  <c r="R158" i="49"/>
  <c r="O190" i="56" s="1"/>
  <c r="R130" i="49"/>
  <c r="O162" i="56" s="1"/>
  <c r="R102" i="49"/>
  <c r="O134" i="56" s="1"/>
  <c r="R74" i="49"/>
  <c r="O106" i="56" s="1"/>
  <c r="R46" i="49"/>
  <c r="O78" i="56" s="1"/>
  <c r="R1242" i="49"/>
  <c r="O1321" i="56" s="1"/>
  <c r="R1133" i="49"/>
  <c r="O1212" i="56" s="1"/>
  <c r="R1051" i="49"/>
  <c r="O1130" i="56" s="1"/>
  <c r="R942" i="49"/>
  <c r="O1021" i="56" s="1"/>
  <c r="R860" i="49"/>
  <c r="O939" i="56" s="1"/>
  <c r="R751" i="49"/>
  <c r="O830" i="56" s="1"/>
  <c r="R669" i="49"/>
  <c r="O748" i="56" s="1"/>
  <c r="R560" i="49"/>
  <c r="O639" i="56" s="1"/>
  <c r="R451" i="49"/>
  <c r="O530" i="56" s="1"/>
  <c r="R369" i="49"/>
  <c r="O448" i="56" s="1"/>
  <c r="R260" i="49"/>
  <c r="O339" i="56" s="1"/>
  <c r="R185" i="49"/>
  <c r="O217" i="56" s="1"/>
  <c r="R157" i="49"/>
  <c r="O189" i="56" s="1"/>
  <c r="R129" i="49"/>
  <c r="O161" i="56" s="1"/>
  <c r="R101" i="49"/>
  <c r="O133" i="56" s="1"/>
  <c r="R73" i="49"/>
  <c r="O105" i="56" s="1"/>
  <c r="R45" i="49"/>
  <c r="O77" i="56" s="1"/>
  <c r="R1241" i="49"/>
  <c r="O1320" i="56" s="1"/>
  <c r="R1132" i="49"/>
  <c r="O1211" i="56" s="1"/>
  <c r="R1050" i="49"/>
  <c r="O1129" i="56" s="1"/>
  <c r="R941" i="49"/>
  <c r="O1020" i="56" s="1"/>
  <c r="R859" i="49"/>
  <c r="O938" i="56" s="1"/>
  <c r="R750" i="49"/>
  <c r="O829" i="56" s="1"/>
  <c r="R641" i="49"/>
  <c r="O720" i="56" s="1"/>
  <c r="R559" i="49"/>
  <c r="O638" i="56" s="1"/>
  <c r="R450" i="49"/>
  <c r="O529" i="56" s="1"/>
  <c r="R368" i="49"/>
  <c r="O447" i="56" s="1"/>
  <c r="R259" i="49"/>
  <c r="O338" i="56" s="1"/>
  <c r="R184" i="49"/>
  <c r="O216" i="56" s="1"/>
  <c r="R156" i="49"/>
  <c r="O188" i="56" s="1"/>
  <c r="R128" i="49"/>
  <c r="O160" i="56" s="1"/>
  <c r="R100" i="49"/>
  <c r="O132" i="56" s="1"/>
  <c r="R72" i="49"/>
  <c r="O104" i="56" s="1"/>
  <c r="R44" i="49"/>
  <c r="O76" i="56" s="1"/>
  <c r="R1240" i="49"/>
  <c r="O1319" i="56" s="1"/>
  <c r="R1131" i="49"/>
  <c r="O1210" i="56" s="1"/>
  <c r="R1049" i="49"/>
  <c r="O1128" i="56" s="1"/>
  <c r="R940" i="49"/>
  <c r="O1019" i="56" s="1"/>
  <c r="R831" i="49"/>
  <c r="O910" i="56" s="1"/>
  <c r="R640" i="49"/>
  <c r="O719" i="56" s="1"/>
  <c r="R155" i="49"/>
  <c r="O187" i="56" s="1"/>
  <c r="R748" i="49"/>
  <c r="O827" i="56" s="1"/>
  <c r="C205" i="82"/>
  <c r="C204" i="82"/>
  <c r="C203" i="82"/>
  <c r="C202" i="82"/>
  <c r="C201" i="82"/>
  <c r="C200" i="82"/>
  <c r="C199" i="82"/>
  <c r="C198" i="82"/>
  <c r="C197" i="82"/>
  <c r="C196" i="82"/>
  <c r="C195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G10" i="77" l="1"/>
  <c r="G11" i="77"/>
  <c r="G12" i="77"/>
  <c r="G13" i="77"/>
  <c r="G14" i="77"/>
  <c r="G15" i="77"/>
  <c r="G16" i="77"/>
  <c r="G17" i="77"/>
  <c r="G18" i="77"/>
  <c r="G19" i="77"/>
  <c r="G20" i="77"/>
  <c r="G21" i="77"/>
  <c r="G22" i="77"/>
  <c r="G23" i="77"/>
  <c r="G24" i="77"/>
  <c r="G25" i="77"/>
  <c r="G26" i="77"/>
  <c r="G27" i="77"/>
  <c r="G28" i="77"/>
  <c r="G29" i="77"/>
  <c r="G30" i="77"/>
  <c r="G31" i="77"/>
  <c r="G32" i="77"/>
  <c r="G33" i="77"/>
  <c r="G34" i="77"/>
  <c r="G35" i="77"/>
  <c r="G36" i="77"/>
  <c r="G37" i="77"/>
  <c r="G38" i="77"/>
  <c r="G39" i="77"/>
  <c r="G40" i="77"/>
  <c r="G41" i="77"/>
  <c r="G42" i="77"/>
  <c r="G43" i="77"/>
  <c r="G44" i="77"/>
  <c r="G45" i="77"/>
  <c r="G46" i="77"/>
  <c r="G47" i="77"/>
  <c r="G48" i="77"/>
  <c r="G49" i="77"/>
  <c r="G50" i="77"/>
  <c r="G51" i="77"/>
  <c r="G52" i="77"/>
  <c r="G53" i="77"/>
  <c r="G54" i="77"/>
  <c r="G55" i="77"/>
  <c r="G56" i="77"/>
  <c r="G57" i="77"/>
  <c r="G58" i="77"/>
  <c r="G59" i="77"/>
  <c r="G60" i="77"/>
  <c r="G61" i="77"/>
  <c r="G62" i="77"/>
  <c r="G63" i="77"/>
  <c r="G64" i="77"/>
  <c r="G65" i="77"/>
  <c r="G66" i="77"/>
  <c r="G67" i="77"/>
  <c r="G68" i="77"/>
  <c r="G69" i="77"/>
  <c r="G70" i="77"/>
  <c r="G71" i="77"/>
  <c r="G72" i="77"/>
  <c r="G73" i="77"/>
  <c r="G74" i="77"/>
  <c r="G75" i="77"/>
  <c r="G76" i="77"/>
  <c r="G77" i="77"/>
  <c r="G78" i="77"/>
  <c r="G79" i="77"/>
  <c r="G80" i="77"/>
  <c r="G81" i="77"/>
  <c r="G82" i="77"/>
  <c r="G83" i="77"/>
  <c r="G84" i="77"/>
  <c r="G85" i="77"/>
  <c r="G86" i="77"/>
  <c r="G87" i="77"/>
  <c r="G88" i="77"/>
  <c r="G89" i="77"/>
  <c r="G90" i="77"/>
  <c r="G91" i="77"/>
  <c r="G92" i="77"/>
  <c r="G93" i="77"/>
  <c r="G94" i="77"/>
  <c r="G95" i="77"/>
  <c r="G96" i="77"/>
  <c r="G97" i="77"/>
  <c r="G98" i="77"/>
  <c r="G99" i="77"/>
  <c r="G100" i="77"/>
  <c r="G101" i="77"/>
  <c r="G102" i="77"/>
  <c r="G103" i="77"/>
  <c r="G104" i="77"/>
  <c r="G105" i="77"/>
  <c r="G106" i="77"/>
  <c r="G107" i="77"/>
  <c r="G108" i="77"/>
  <c r="G109" i="77"/>
  <c r="G110" i="77"/>
  <c r="G111" i="77"/>
  <c r="G112" i="77"/>
  <c r="G113" i="77"/>
  <c r="G114" i="77"/>
  <c r="G115" i="77"/>
  <c r="G116" i="77"/>
  <c r="G117" i="77"/>
  <c r="G118" i="77"/>
  <c r="G119" i="77"/>
  <c r="G120" i="77"/>
  <c r="G121" i="77"/>
  <c r="G122" i="77"/>
  <c r="G123" i="77"/>
  <c r="G124" i="77"/>
  <c r="G125" i="77"/>
  <c r="G126" i="77"/>
  <c r="G127" i="77"/>
  <c r="G128" i="77"/>
  <c r="G129" i="77"/>
  <c r="G130" i="77"/>
  <c r="G131" i="77"/>
  <c r="G132" i="77"/>
  <c r="G133" i="77"/>
  <c r="G134" i="77"/>
  <c r="G135" i="77"/>
  <c r="G136" i="77"/>
  <c r="G137" i="77"/>
  <c r="G138" i="77"/>
  <c r="G139" i="77"/>
  <c r="G140" i="77"/>
  <c r="G141" i="77"/>
  <c r="G142" i="77"/>
  <c r="G143" i="77"/>
  <c r="G144" i="77"/>
  <c r="G145" i="77"/>
  <c r="G146" i="77"/>
  <c r="G147" i="77"/>
  <c r="G148" i="77"/>
  <c r="G149" i="77"/>
  <c r="G150" i="77"/>
  <c r="G151" i="77"/>
  <c r="G152" i="77"/>
  <c r="G153" i="77"/>
  <c r="G154" i="77"/>
  <c r="G155" i="77"/>
  <c r="G156" i="77"/>
  <c r="G157" i="77"/>
  <c r="G158" i="77"/>
  <c r="G159" i="77"/>
  <c r="G160" i="77"/>
  <c r="G161" i="77"/>
  <c r="G162" i="77"/>
  <c r="G163" i="77"/>
  <c r="G164" i="77"/>
  <c r="G165" i="77"/>
  <c r="G166" i="77"/>
  <c r="G167" i="77"/>
  <c r="G168" i="77"/>
  <c r="G169" i="77"/>
  <c r="G170" i="77"/>
  <c r="G171" i="77"/>
  <c r="G172" i="77"/>
  <c r="G173" i="77"/>
  <c r="G174" i="77"/>
  <c r="G175" i="77"/>
  <c r="G176" i="77"/>
  <c r="G177" i="77"/>
  <c r="G178" i="77"/>
  <c r="G179" i="77"/>
  <c r="G180" i="77"/>
  <c r="G181" i="77"/>
  <c r="G182" i="77"/>
  <c r="G183" i="77"/>
  <c r="G184" i="77"/>
  <c r="G185" i="77"/>
  <c r="G186" i="77"/>
  <c r="G187" i="77"/>
  <c r="G188" i="77"/>
  <c r="G189" i="77"/>
  <c r="G190" i="77"/>
  <c r="G191" i="77"/>
  <c r="G192" i="77"/>
  <c r="G193" i="77"/>
  <c r="G194" i="77"/>
  <c r="G195" i="77"/>
  <c r="G196" i="77"/>
  <c r="G197" i="77"/>
  <c r="G198" i="77"/>
  <c r="G199" i="77"/>
  <c r="G200" i="77"/>
  <c r="G201" i="77"/>
  <c r="G202" i="77"/>
  <c r="G203" i="77"/>
  <c r="G204" i="77"/>
  <c r="G205" i="77"/>
  <c r="G206" i="77"/>
  <c r="G207" i="77"/>
  <c r="G208" i="77"/>
  <c r="G9" i="77"/>
  <c r="F10" i="77"/>
  <c r="F11" i="77"/>
  <c r="F12" i="77"/>
  <c r="F13" i="77"/>
  <c r="F14" i="77"/>
  <c r="F15" i="77"/>
  <c r="F16" i="77"/>
  <c r="F17" i="77"/>
  <c r="F18" i="77"/>
  <c r="F19" i="77"/>
  <c r="F20" i="77"/>
  <c r="F21" i="77"/>
  <c r="F22" i="77"/>
  <c r="F23" i="77"/>
  <c r="F24" i="77"/>
  <c r="F25" i="77"/>
  <c r="F26" i="77"/>
  <c r="F27" i="77"/>
  <c r="F28" i="77"/>
  <c r="F29" i="77"/>
  <c r="F30" i="77"/>
  <c r="F31" i="77"/>
  <c r="F32" i="77"/>
  <c r="F33" i="77"/>
  <c r="F34" i="77"/>
  <c r="F35" i="77"/>
  <c r="F36" i="77"/>
  <c r="F37" i="77"/>
  <c r="F38" i="77"/>
  <c r="F39" i="77"/>
  <c r="F40" i="77"/>
  <c r="F41" i="77"/>
  <c r="F42" i="77"/>
  <c r="F43" i="77"/>
  <c r="F44" i="77"/>
  <c r="F45" i="77"/>
  <c r="F46" i="77"/>
  <c r="F47" i="77"/>
  <c r="F48" i="77"/>
  <c r="F49" i="77"/>
  <c r="F50" i="77"/>
  <c r="F51" i="77"/>
  <c r="F52" i="77"/>
  <c r="F53" i="77"/>
  <c r="F54" i="77"/>
  <c r="F55" i="77"/>
  <c r="F56" i="77"/>
  <c r="F57" i="77"/>
  <c r="F58" i="77"/>
  <c r="F59" i="77"/>
  <c r="F60" i="77"/>
  <c r="F61" i="77"/>
  <c r="F62" i="77"/>
  <c r="F63" i="77"/>
  <c r="F64" i="77"/>
  <c r="F65" i="77"/>
  <c r="F66" i="77"/>
  <c r="F67" i="77"/>
  <c r="F68" i="77"/>
  <c r="F69" i="77"/>
  <c r="F70" i="77"/>
  <c r="F71" i="77"/>
  <c r="F72" i="77"/>
  <c r="F73" i="77"/>
  <c r="F74" i="77"/>
  <c r="F75" i="77"/>
  <c r="F76" i="77"/>
  <c r="F77" i="77"/>
  <c r="F78" i="77"/>
  <c r="F79" i="77"/>
  <c r="F80" i="77"/>
  <c r="F81" i="77"/>
  <c r="F82" i="77"/>
  <c r="F83" i="77"/>
  <c r="F84" i="77"/>
  <c r="F85" i="77"/>
  <c r="F86" i="77"/>
  <c r="F87" i="77"/>
  <c r="F88" i="77"/>
  <c r="F89" i="77"/>
  <c r="F90" i="77"/>
  <c r="F91" i="77"/>
  <c r="F92" i="77"/>
  <c r="F93" i="77"/>
  <c r="F94" i="77"/>
  <c r="F95" i="77"/>
  <c r="F96" i="77"/>
  <c r="F97" i="77"/>
  <c r="F98" i="77"/>
  <c r="F99" i="77"/>
  <c r="F100" i="77"/>
  <c r="F101" i="77"/>
  <c r="F102" i="77"/>
  <c r="F103" i="77"/>
  <c r="F104" i="77"/>
  <c r="F105" i="77"/>
  <c r="F106" i="77"/>
  <c r="F107" i="77"/>
  <c r="F108" i="77"/>
  <c r="F109" i="77"/>
  <c r="F110" i="77"/>
  <c r="F111" i="77"/>
  <c r="F112" i="77"/>
  <c r="F113" i="77"/>
  <c r="F114" i="77"/>
  <c r="F115" i="77"/>
  <c r="F116" i="77"/>
  <c r="F117" i="77"/>
  <c r="F118" i="77"/>
  <c r="F119" i="77"/>
  <c r="F120" i="77"/>
  <c r="F121" i="77"/>
  <c r="F122" i="77"/>
  <c r="F123" i="77"/>
  <c r="F124" i="77"/>
  <c r="F125" i="77"/>
  <c r="F126" i="77"/>
  <c r="F127" i="77"/>
  <c r="F128" i="77"/>
  <c r="F129" i="77"/>
  <c r="F130" i="77"/>
  <c r="F131" i="77"/>
  <c r="F132" i="77"/>
  <c r="F133" i="77"/>
  <c r="F134" i="77"/>
  <c r="F135" i="77"/>
  <c r="F136" i="77"/>
  <c r="F137" i="77"/>
  <c r="F138" i="77"/>
  <c r="F139" i="77"/>
  <c r="F140" i="77"/>
  <c r="F141" i="77"/>
  <c r="F142" i="77"/>
  <c r="F143" i="77"/>
  <c r="F144" i="77"/>
  <c r="F145" i="77"/>
  <c r="F146" i="77"/>
  <c r="F147" i="77"/>
  <c r="F148" i="77"/>
  <c r="F149" i="77"/>
  <c r="F150" i="77"/>
  <c r="F151" i="77"/>
  <c r="F152" i="77"/>
  <c r="F153" i="77"/>
  <c r="F154" i="77"/>
  <c r="F155" i="77"/>
  <c r="F156" i="77"/>
  <c r="F157" i="77"/>
  <c r="F158" i="77"/>
  <c r="F159" i="77"/>
  <c r="F160" i="77"/>
  <c r="F161" i="77"/>
  <c r="F162" i="77"/>
  <c r="F163" i="77"/>
  <c r="F164" i="77"/>
  <c r="F165" i="77"/>
  <c r="F166" i="77"/>
  <c r="F167" i="77"/>
  <c r="F168" i="77"/>
  <c r="F169" i="77"/>
  <c r="F170" i="77"/>
  <c r="F171" i="77"/>
  <c r="F172" i="77"/>
  <c r="F173" i="77"/>
  <c r="F174" i="77"/>
  <c r="F175" i="77"/>
  <c r="F176" i="77"/>
  <c r="F177" i="77"/>
  <c r="F178" i="77"/>
  <c r="F179" i="77"/>
  <c r="F180" i="77"/>
  <c r="F181" i="77"/>
  <c r="F182" i="77"/>
  <c r="F183" i="77"/>
  <c r="F184" i="77"/>
  <c r="F185" i="77"/>
  <c r="F186" i="77"/>
  <c r="F187" i="77"/>
  <c r="F188" i="77"/>
  <c r="F189" i="77"/>
  <c r="F190" i="77"/>
  <c r="F191" i="77"/>
  <c r="F192" i="77"/>
  <c r="F193" i="77"/>
  <c r="F194" i="77"/>
  <c r="F195" i="77"/>
  <c r="F196" i="77"/>
  <c r="F197" i="77"/>
  <c r="F198" i="77"/>
  <c r="F199" i="77"/>
  <c r="F200" i="77"/>
  <c r="F201" i="77"/>
  <c r="F202" i="77"/>
  <c r="F203" i="77"/>
  <c r="F204" i="77"/>
  <c r="F205" i="77"/>
  <c r="F206" i="77"/>
  <c r="F207" i="77"/>
  <c r="F208" i="77"/>
  <c r="F9" i="77"/>
  <c r="C7" i="56" l="1"/>
  <c r="C4" i="56"/>
  <c r="S13" i="49" l="1"/>
  <c r="AA13" i="49" s="1"/>
  <c r="J2" i="49" l="1"/>
  <c r="K2" i="49"/>
  <c r="DP9" i="51" l="1"/>
  <c r="DP10" i="51"/>
  <c r="DP11" i="51"/>
  <c r="DP12" i="51"/>
  <c r="DP13" i="51"/>
  <c r="DP14" i="51"/>
  <c r="DP15" i="51"/>
  <c r="DP16" i="51"/>
  <c r="DP17" i="51"/>
  <c r="DP18" i="51"/>
  <c r="DP19" i="51"/>
  <c r="DP20" i="51"/>
  <c r="DP21" i="51"/>
  <c r="DP22" i="51"/>
  <c r="DP23" i="51"/>
  <c r="DP24" i="51"/>
  <c r="DP25" i="51"/>
  <c r="DP26" i="51"/>
  <c r="DP27" i="51"/>
  <c r="DP28" i="51"/>
  <c r="DP29" i="51"/>
  <c r="DP30" i="51"/>
  <c r="DP31" i="51"/>
  <c r="DP32" i="51"/>
  <c r="DP33" i="51"/>
  <c r="DP34" i="51"/>
  <c r="DP35" i="51"/>
  <c r="DP36" i="51"/>
  <c r="DP37" i="51"/>
  <c r="DP38" i="51"/>
  <c r="DP39" i="51"/>
  <c r="DP40" i="51"/>
  <c r="DP41" i="51"/>
  <c r="DP42" i="51"/>
  <c r="DP43" i="51"/>
  <c r="DP44" i="51"/>
  <c r="DP45" i="51"/>
  <c r="DP46" i="51"/>
  <c r="DP47" i="51"/>
  <c r="DP48" i="51"/>
  <c r="DP49" i="51"/>
  <c r="DP50" i="51"/>
  <c r="DP51" i="51"/>
  <c r="DP52" i="51"/>
  <c r="DP53" i="51"/>
  <c r="DP54" i="51"/>
  <c r="DP55" i="51"/>
  <c r="DP56" i="51"/>
  <c r="DP8" i="51"/>
  <c r="DT56" i="51"/>
  <c r="DT55" i="51"/>
  <c r="DT54" i="51"/>
  <c r="DT53" i="51"/>
  <c r="DT52" i="51"/>
  <c r="DT51" i="51"/>
  <c r="DT50" i="51"/>
  <c r="DT49" i="51"/>
  <c r="DT48" i="51"/>
  <c r="DT47" i="51"/>
  <c r="DT46" i="51"/>
  <c r="DT45" i="51"/>
  <c r="DT44" i="51"/>
  <c r="DT43" i="51"/>
  <c r="DT42" i="51"/>
  <c r="DT41" i="51"/>
  <c r="DT40" i="51"/>
  <c r="DT39" i="51"/>
  <c r="DT38" i="51"/>
  <c r="DT37" i="51"/>
  <c r="DT36" i="51"/>
  <c r="DT35" i="51"/>
  <c r="DT34" i="51"/>
  <c r="DT33" i="51"/>
  <c r="DT32" i="51"/>
  <c r="DT31" i="51"/>
  <c r="DT30" i="51"/>
  <c r="DT29" i="51"/>
  <c r="DT28" i="51"/>
  <c r="DT27" i="51"/>
  <c r="DT26" i="51"/>
  <c r="DT25" i="51"/>
  <c r="DT24" i="51"/>
  <c r="DT23" i="51"/>
  <c r="DT22" i="51"/>
  <c r="DT21" i="51"/>
  <c r="DT20" i="51"/>
  <c r="DT19" i="51"/>
  <c r="DT18" i="51"/>
  <c r="DT17" i="51"/>
  <c r="DT16" i="51"/>
  <c r="DT15" i="51"/>
  <c r="DT14" i="51"/>
  <c r="DT13" i="51"/>
  <c r="DT12" i="51"/>
  <c r="DT11" i="51"/>
  <c r="DT10" i="51"/>
  <c r="DS56" i="51"/>
  <c r="DS55" i="51"/>
  <c r="DS54" i="51"/>
  <c r="DS53" i="51"/>
  <c r="DS52" i="51"/>
  <c r="DS51" i="51"/>
  <c r="DS50" i="51"/>
  <c r="DS49" i="51"/>
  <c r="DS48" i="51"/>
  <c r="DS47" i="51"/>
  <c r="DS46" i="51"/>
  <c r="DS45" i="51"/>
  <c r="DS44" i="51"/>
  <c r="DS43" i="51"/>
  <c r="DS42" i="51"/>
  <c r="DS41" i="51"/>
  <c r="DS40" i="51"/>
  <c r="DS39" i="51"/>
  <c r="DS38" i="51"/>
  <c r="DS37" i="51"/>
  <c r="DS36" i="51"/>
  <c r="DS35" i="51"/>
  <c r="DS34" i="51"/>
  <c r="DS33" i="51"/>
  <c r="DS32" i="51"/>
  <c r="DS31" i="51"/>
  <c r="DS30" i="51"/>
  <c r="DS29" i="51"/>
  <c r="DS28" i="51"/>
  <c r="DS27" i="51"/>
  <c r="DS26" i="51"/>
  <c r="DS25" i="51"/>
  <c r="DS24" i="51"/>
  <c r="DS23" i="51"/>
  <c r="DS22" i="51"/>
  <c r="DS21" i="51"/>
  <c r="DS20" i="51"/>
  <c r="DS19" i="51"/>
  <c r="DS18" i="51"/>
  <c r="DS17" i="51"/>
  <c r="DS16" i="51"/>
  <c r="DS15" i="51"/>
  <c r="DS14" i="51"/>
  <c r="DS13" i="51"/>
  <c r="DS12" i="51"/>
  <c r="DS11" i="51"/>
  <c r="DS10" i="51"/>
  <c r="DS9" i="51"/>
  <c r="DR56" i="51"/>
  <c r="DR55" i="51"/>
  <c r="DR54" i="51"/>
  <c r="DR53" i="51"/>
  <c r="DR52" i="51"/>
  <c r="DR51" i="51"/>
  <c r="DR50" i="51"/>
  <c r="DR49" i="51"/>
  <c r="DR48" i="51"/>
  <c r="DR47" i="51"/>
  <c r="DR46" i="51"/>
  <c r="DR45" i="51"/>
  <c r="DR44" i="51"/>
  <c r="DR43" i="51"/>
  <c r="DR42" i="51"/>
  <c r="DR41" i="51"/>
  <c r="DR40" i="51"/>
  <c r="DR39" i="51"/>
  <c r="DR38" i="51"/>
  <c r="DR37" i="51"/>
  <c r="DR36" i="51"/>
  <c r="DR35" i="51"/>
  <c r="DR34" i="51"/>
  <c r="DR33" i="51"/>
  <c r="DR32" i="51"/>
  <c r="DR31" i="51"/>
  <c r="DR30" i="51"/>
  <c r="DR29" i="51"/>
  <c r="DR28" i="51"/>
  <c r="DR27" i="51"/>
  <c r="DR26" i="51"/>
  <c r="DR25" i="51"/>
  <c r="DR24" i="51"/>
  <c r="DR23" i="51"/>
  <c r="DR22" i="51"/>
  <c r="DR21" i="51"/>
  <c r="DR20" i="51"/>
  <c r="DR19" i="51"/>
  <c r="DR9" i="51"/>
  <c r="X1274" i="49" l="1"/>
  <c r="X1273" i="49"/>
  <c r="X1272" i="49"/>
  <c r="X1271" i="49"/>
  <c r="X1270" i="49"/>
  <c r="X1269" i="49"/>
  <c r="X1236" i="49"/>
  <c r="X1235" i="49"/>
  <c r="X1234" i="49"/>
  <c r="X1233" i="49"/>
  <c r="X1232" i="49"/>
  <c r="X1231" i="49"/>
  <c r="X1198" i="49"/>
  <c r="X1197" i="49"/>
  <c r="X1196" i="49"/>
  <c r="X1195" i="49"/>
  <c r="X1194" i="49"/>
  <c r="X1193" i="49"/>
  <c r="X1160" i="49"/>
  <c r="X1159" i="49"/>
  <c r="X1158" i="49"/>
  <c r="X1157" i="49"/>
  <c r="X1156" i="49"/>
  <c r="X1155" i="49"/>
  <c r="X1122" i="49"/>
  <c r="X1121" i="49"/>
  <c r="X1120" i="49"/>
  <c r="X1119" i="49"/>
  <c r="X1118" i="49"/>
  <c r="X1117" i="49"/>
  <c r="X1084" i="49"/>
  <c r="X1083" i="49"/>
  <c r="X1082" i="49"/>
  <c r="X1081" i="49"/>
  <c r="X1080" i="49"/>
  <c r="X1079" i="49"/>
  <c r="X1046" i="49"/>
  <c r="X1045" i="49"/>
  <c r="X1044" i="49"/>
  <c r="X1043" i="49"/>
  <c r="X1042" i="49"/>
  <c r="X1041" i="49"/>
  <c r="X1008" i="49"/>
  <c r="X1007" i="49"/>
  <c r="X1006" i="49"/>
  <c r="X1005" i="49"/>
  <c r="X1004" i="49"/>
  <c r="X1003" i="49"/>
  <c r="X970" i="49"/>
  <c r="X969" i="49"/>
  <c r="X968" i="49"/>
  <c r="X967" i="49"/>
  <c r="X966" i="49"/>
  <c r="X965" i="49"/>
  <c r="X932" i="49"/>
  <c r="X931" i="49"/>
  <c r="X930" i="49"/>
  <c r="X929" i="49"/>
  <c r="X928" i="49"/>
  <c r="X927" i="49"/>
  <c r="X894" i="49"/>
  <c r="X893" i="49"/>
  <c r="X892" i="49"/>
  <c r="X891" i="49"/>
  <c r="X890" i="49"/>
  <c r="X889" i="49"/>
  <c r="X856" i="49"/>
  <c r="X855" i="49"/>
  <c r="X854" i="49"/>
  <c r="X853" i="49"/>
  <c r="X852" i="49"/>
  <c r="X851" i="49"/>
  <c r="X818" i="49"/>
  <c r="X817" i="49"/>
  <c r="X816" i="49"/>
  <c r="X815" i="49"/>
  <c r="X814" i="49"/>
  <c r="X813" i="49"/>
  <c r="X780" i="49"/>
  <c r="X779" i="49"/>
  <c r="X778" i="49"/>
  <c r="X777" i="49"/>
  <c r="X776" i="49"/>
  <c r="X775" i="49"/>
  <c r="X742" i="49"/>
  <c r="X741" i="49"/>
  <c r="X740" i="49"/>
  <c r="X739" i="49"/>
  <c r="X738" i="49"/>
  <c r="X737" i="49"/>
  <c r="X704" i="49"/>
  <c r="X703" i="49"/>
  <c r="X702" i="49"/>
  <c r="X701" i="49"/>
  <c r="X700" i="49"/>
  <c r="X699" i="49"/>
  <c r="X666" i="49"/>
  <c r="X665" i="49"/>
  <c r="X664" i="49"/>
  <c r="X663" i="49"/>
  <c r="X662" i="49"/>
  <c r="X661" i="49"/>
  <c r="X628" i="49"/>
  <c r="X627" i="49"/>
  <c r="X626" i="49"/>
  <c r="X625" i="49"/>
  <c r="X624" i="49"/>
  <c r="X623" i="49"/>
  <c r="X590" i="49"/>
  <c r="X589" i="49"/>
  <c r="X588" i="49"/>
  <c r="X587" i="49"/>
  <c r="X586" i="49"/>
  <c r="X585" i="49"/>
  <c r="X552" i="49"/>
  <c r="X551" i="49"/>
  <c r="X550" i="49"/>
  <c r="X549" i="49"/>
  <c r="X548" i="49"/>
  <c r="X547" i="49"/>
  <c r="X514" i="49"/>
  <c r="X513" i="49"/>
  <c r="X512" i="49"/>
  <c r="X511" i="49"/>
  <c r="X510" i="49"/>
  <c r="X509" i="49"/>
  <c r="X476" i="49"/>
  <c r="X475" i="49"/>
  <c r="X474" i="49"/>
  <c r="X473" i="49"/>
  <c r="X472" i="49"/>
  <c r="X471" i="49"/>
  <c r="X438" i="49"/>
  <c r="X437" i="49"/>
  <c r="X436" i="49"/>
  <c r="X435" i="49"/>
  <c r="X434" i="49"/>
  <c r="X433" i="49"/>
  <c r="X400" i="49"/>
  <c r="X399" i="49"/>
  <c r="X398" i="49"/>
  <c r="X397" i="49"/>
  <c r="X396" i="49"/>
  <c r="X395" i="49"/>
  <c r="X362" i="49"/>
  <c r="X361" i="49"/>
  <c r="X360" i="49"/>
  <c r="X359" i="49"/>
  <c r="X358" i="49"/>
  <c r="X357" i="49"/>
  <c r="X324" i="49"/>
  <c r="X323" i="49"/>
  <c r="X322" i="49"/>
  <c r="X321" i="49"/>
  <c r="X320" i="49"/>
  <c r="X319" i="49"/>
  <c r="X286" i="49"/>
  <c r="X285" i="49"/>
  <c r="X284" i="49"/>
  <c r="X283" i="49"/>
  <c r="X282" i="49"/>
  <c r="X281" i="49"/>
  <c r="X248" i="49"/>
  <c r="X247" i="49"/>
  <c r="X246" i="49"/>
  <c r="X245" i="49"/>
  <c r="X244" i="49"/>
  <c r="X243" i="49"/>
  <c r="X210" i="49"/>
  <c r="X209" i="49"/>
  <c r="X208" i="49"/>
  <c r="X207" i="49"/>
  <c r="X206" i="49"/>
  <c r="X205" i="49"/>
  <c r="X40" i="49"/>
  <c r="X39" i="49"/>
  <c r="X38" i="49"/>
  <c r="X37" i="49"/>
  <c r="X36" i="49"/>
  <c r="X35" i="49"/>
  <c r="X34" i="49"/>
  <c r="X33" i="49"/>
  <c r="X32" i="49"/>
  <c r="X31" i="49"/>
  <c r="X30" i="49"/>
  <c r="X29" i="49"/>
  <c r="X28" i="49"/>
  <c r="X27" i="49"/>
  <c r="X26" i="49"/>
  <c r="X25" i="49"/>
  <c r="X24" i="49"/>
  <c r="X23" i="49"/>
  <c r="X22" i="49"/>
  <c r="X21" i="49"/>
  <c r="X20" i="49"/>
  <c r="X19" i="49"/>
  <c r="X18" i="49"/>
  <c r="X17" i="49"/>
  <c r="X16" i="49"/>
  <c r="X15" i="49"/>
  <c r="X14" i="49"/>
  <c r="X13" i="49"/>
  <c r="X12" i="49"/>
  <c r="DO19" i="51" l="1"/>
  <c r="DO20" i="51"/>
  <c r="DO21" i="51"/>
  <c r="DO22" i="51"/>
  <c r="DO23" i="51"/>
  <c r="DO24" i="51"/>
  <c r="DO25" i="51"/>
  <c r="DO26" i="51"/>
  <c r="DO27" i="51"/>
  <c r="DO28" i="51"/>
  <c r="DO29" i="51"/>
  <c r="DO30" i="51"/>
  <c r="DO31" i="51"/>
  <c r="DO32" i="51"/>
  <c r="DO33" i="51"/>
  <c r="DO34" i="51"/>
  <c r="DO35" i="51"/>
  <c r="DO36" i="51"/>
  <c r="DO37" i="51"/>
  <c r="DO38" i="51"/>
  <c r="DO39" i="51"/>
  <c r="DO40" i="51"/>
  <c r="DO41" i="51"/>
  <c r="DO42" i="51"/>
  <c r="DO43" i="51"/>
  <c r="DO44" i="51"/>
  <c r="DO45" i="51"/>
  <c r="DO46" i="51"/>
  <c r="DO47" i="51"/>
  <c r="DO48" i="51"/>
  <c r="DO49" i="51"/>
  <c r="DO50" i="51"/>
  <c r="DO51" i="51"/>
  <c r="DO52" i="51"/>
  <c r="DO53" i="51"/>
  <c r="DO54" i="51"/>
  <c r="DO55" i="51"/>
  <c r="DO56" i="51"/>
  <c r="DT7" i="51" l="1"/>
  <c r="DS7" i="51"/>
  <c r="DR7" i="51"/>
  <c r="DX10" i="51" l="1"/>
  <c r="DX11" i="51"/>
  <c r="DX12" i="51"/>
  <c r="DX13" i="51"/>
  <c r="DX14" i="51"/>
  <c r="DX15" i="51"/>
  <c r="DX16" i="51"/>
  <c r="DX17" i="51"/>
  <c r="DX18" i="51"/>
  <c r="DX19" i="51"/>
  <c r="DX20" i="51"/>
  <c r="DX21" i="51"/>
  <c r="DX22" i="51"/>
  <c r="DX23" i="51"/>
  <c r="DX24" i="51"/>
  <c r="DX25" i="51"/>
  <c r="DX26" i="51"/>
  <c r="DX27" i="51"/>
  <c r="DX28" i="51"/>
  <c r="DX29" i="51"/>
  <c r="DX30" i="51"/>
  <c r="DX31" i="51"/>
  <c r="DX32" i="51"/>
  <c r="DX33" i="51"/>
  <c r="DX34" i="51"/>
  <c r="DX35" i="51"/>
  <c r="DX36" i="51"/>
  <c r="DX37" i="51"/>
  <c r="DX38" i="51"/>
  <c r="DX39" i="51"/>
  <c r="DX40" i="51"/>
  <c r="DX41" i="51"/>
  <c r="DX42" i="51"/>
  <c r="DX43" i="51"/>
  <c r="DX44" i="51"/>
  <c r="DX45" i="51"/>
  <c r="DX46" i="51"/>
  <c r="DX47" i="51"/>
  <c r="DX48" i="51"/>
  <c r="DX49" i="51"/>
  <c r="DX50" i="51"/>
  <c r="DX51" i="51"/>
  <c r="DX52" i="51"/>
  <c r="DX53" i="51"/>
  <c r="DX54" i="51"/>
  <c r="DX55" i="51"/>
  <c r="DX56" i="51"/>
  <c r="DU7" i="51"/>
  <c r="L21" i="81" l="1"/>
  <c r="D66" i="81" l="1"/>
  <c r="B26" i="81"/>
  <c r="B28" i="81"/>
  <c r="B36" i="81"/>
  <c r="B38" i="81"/>
  <c r="B42" i="81"/>
  <c r="B44" i="81"/>
  <c r="B52" i="81"/>
  <c r="B54" i="81"/>
  <c r="B58" i="81"/>
  <c r="B60" i="81"/>
  <c r="B68" i="81"/>
  <c r="B70" i="81"/>
  <c r="B22" i="81"/>
  <c r="B23" i="81"/>
  <c r="B24" i="81"/>
  <c r="B25" i="81"/>
  <c r="B27" i="81"/>
  <c r="B29" i="81"/>
  <c r="B30" i="81"/>
  <c r="B31" i="81"/>
  <c r="B32" i="81"/>
  <c r="B33" i="81"/>
  <c r="B34" i="81"/>
  <c r="B35" i="81"/>
  <c r="B37" i="81"/>
  <c r="B39" i="81"/>
  <c r="B40" i="81"/>
  <c r="B41" i="81"/>
  <c r="B43" i="81"/>
  <c r="B45" i="81"/>
  <c r="B46" i="81"/>
  <c r="B47" i="81"/>
  <c r="B48" i="81"/>
  <c r="B49" i="81"/>
  <c r="B50" i="81"/>
  <c r="B51" i="81"/>
  <c r="B53" i="81"/>
  <c r="B55" i="81"/>
  <c r="B56" i="81"/>
  <c r="B57" i="81"/>
  <c r="B59" i="81"/>
  <c r="B61" i="81"/>
  <c r="B62" i="81"/>
  <c r="B63" i="81"/>
  <c r="B64" i="81"/>
  <c r="B65" i="81"/>
  <c r="B66" i="81"/>
  <c r="B67" i="81"/>
  <c r="B69" i="81"/>
  <c r="C23" i="81"/>
  <c r="D23" i="81"/>
  <c r="E23" i="81"/>
  <c r="F23" i="81"/>
  <c r="G23" i="81"/>
  <c r="H23" i="81"/>
  <c r="I23" i="81"/>
  <c r="J23" i="81"/>
  <c r="K23" i="81"/>
  <c r="L23" i="81"/>
  <c r="M23" i="81"/>
  <c r="N23" i="81"/>
  <c r="O23" i="81"/>
  <c r="P23" i="81"/>
  <c r="Q23" i="81"/>
  <c r="R23" i="81"/>
  <c r="S23" i="81"/>
  <c r="T23" i="81"/>
  <c r="U23" i="81"/>
  <c r="V23" i="81"/>
  <c r="W23" i="81"/>
  <c r="X23" i="81"/>
  <c r="Y23" i="81"/>
  <c r="Z23" i="81"/>
  <c r="AA23" i="81"/>
  <c r="AB23" i="81"/>
  <c r="AC23" i="81"/>
  <c r="AD23" i="81"/>
  <c r="AE23" i="81"/>
  <c r="AF23" i="81"/>
  <c r="AG23" i="81"/>
  <c r="AH23" i="81"/>
  <c r="AI23" i="81"/>
  <c r="AJ23" i="81"/>
  <c r="AK23" i="81"/>
  <c r="AL23" i="81"/>
  <c r="AM23" i="81"/>
  <c r="AN23" i="81"/>
  <c r="AO23" i="81"/>
  <c r="AP23" i="81"/>
  <c r="AQ23" i="81"/>
  <c r="AR23" i="81"/>
  <c r="AS23" i="81"/>
  <c r="AT23" i="81"/>
  <c r="AU23" i="81"/>
  <c r="AV23" i="81"/>
  <c r="AW23" i="81"/>
  <c r="AX23" i="81"/>
  <c r="AY23" i="81"/>
  <c r="AZ23" i="81"/>
  <c r="BA23" i="81"/>
  <c r="BB23" i="81"/>
  <c r="BC23" i="81"/>
  <c r="BD23" i="81"/>
  <c r="BE23" i="81"/>
  <c r="BF23" i="81"/>
  <c r="BG23" i="81"/>
  <c r="BH23" i="81"/>
  <c r="BI23" i="81"/>
  <c r="BJ23" i="81"/>
  <c r="BK23" i="81"/>
  <c r="BL23" i="81"/>
  <c r="BM23" i="81"/>
  <c r="BN23" i="81"/>
  <c r="BO23" i="81"/>
  <c r="BP23" i="81"/>
  <c r="BQ23" i="81"/>
  <c r="BR23" i="81"/>
  <c r="BS23" i="81"/>
  <c r="BT23" i="81"/>
  <c r="BU23" i="81"/>
  <c r="BV23" i="81"/>
  <c r="BW23" i="81"/>
  <c r="BX23" i="81"/>
  <c r="BY23" i="81"/>
  <c r="BZ23" i="81"/>
  <c r="CA23" i="81"/>
  <c r="CB23" i="81"/>
  <c r="CC23" i="81"/>
  <c r="CD23" i="81"/>
  <c r="CE23" i="81"/>
  <c r="CF23" i="81"/>
  <c r="CG23" i="81"/>
  <c r="CH23" i="81"/>
  <c r="CI23" i="81"/>
  <c r="CJ23" i="81"/>
  <c r="CK23" i="81"/>
  <c r="CL23" i="81"/>
  <c r="CM23" i="81"/>
  <c r="CN23" i="81"/>
  <c r="CO23" i="81"/>
  <c r="CP23" i="81"/>
  <c r="CQ23" i="81"/>
  <c r="CR23" i="81"/>
  <c r="CS23" i="81"/>
  <c r="CT23" i="81"/>
  <c r="CU23" i="81"/>
  <c r="CV23" i="81"/>
  <c r="CW23" i="81"/>
  <c r="CX23" i="81"/>
  <c r="C24" i="81"/>
  <c r="D24" i="81"/>
  <c r="E24" i="81"/>
  <c r="F24" i="81"/>
  <c r="G24" i="81"/>
  <c r="H24" i="81"/>
  <c r="I24" i="81"/>
  <c r="J24" i="81"/>
  <c r="K24" i="81"/>
  <c r="L24" i="81"/>
  <c r="M24" i="81"/>
  <c r="N24" i="81"/>
  <c r="O24" i="81"/>
  <c r="P24" i="81"/>
  <c r="Q24" i="81"/>
  <c r="R24" i="81"/>
  <c r="S24" i="81"/>
  <c r="T24" i="81"/>
  <c r="U24" i="81"/>
  <c r="V24" i="81"/>
  <c r="W24" i="81"/>
  <c r="X24" i="81"/>
  <c r="Y24" i="81"/>
  <c r="Z24" i="81"/>
  <c r="AA24" i="81"/>
  <c r="AB24" i="81"/>
  <c r="AC24" i="81"/>
  <c r="AD24" i="81"/>
  <c r="AE24" i="81"/>
  <c r="AF24" i="81"/>
  <c r="AG24" i="81"/>
  <c r="AH24" i="81"/>
  <c r="AI24" i="81"/>
  <c r="AJ24" i="81"/>
  <c r="AK24" i="81"/>
  <c r="AL24" i="81"/>
  <c r="AM24" i="81"/>
  <c r="AN24" i="81"/>
  <c r="AO24" i="81"/>
  <c r="AP24" i="81"/>
  <c r="AQ24" i="81"/>
  <c r="AR24" i="81"/>
  <c r="AS24" i="81"/>
  <c r="AT24" i="81"/>
  <c r="AU24" i="81"/>
  <c r="AV24" i="81"/>
  <c r="AW24" i="81"/>
  <c r="AX24" i="81"/>
  <c r="AY24" i="81"/>
  <c r="AZ24" i="81"/>
  <c r="BA24" i="81"/>
  <c r="BB24" i="81"/>
  <c r="BC24" i="81"/>
  <c r="BD24" i="81"/>
  <c r="BE24" i="81"/>
  <c r="BF24" i="81"/>
  <c r="BG24" i="81"/>
  <c r="BH24" i="81"/>
  <c r="BI24" i="81"/>
  <c r="BJ24" i="81"/>
  <c r="BK24" i="81"/>
  <c r="BL24" i="81"/>
  <c r="BM24" i="81"/>
  <c r="BN24" i="81"/>
  <c r="BO24" i="81"/>
  <c r="BP24" i="81"/>
  <c r="BQ24" i="81"/>
  <c r="BR24" i="81"/>
  <c r="BS24" i="81"/>
  <c r="BT24" i="81"/>
  <c r="BU24" i="81"/>
  <c r="BV24" i="81"/>
  <c r="BW24" i="81"/>
  <c r="BX24" i="81"/>
  <c r="BY24" i="81"/>
  <c r="BZ24" i="81"/>
  <c r="CA24" i="81"/>
  <c r="CB24" i="81"/>
  <c r="CC24" i="81"/>
  <c r="CD24" i="81"/>
  <c r="CE24" i="81"/>
  <c r="CF24" i="81"/>
  <c r="CG24" i="81"/>
  <c r="CH24" i="81"/>
  <c r="CI24" i="81"/>
  <c r="CJ24" i="81"/>
  <c r="CK24" i="81"/>
  <c r="CL24" i="81"/>
  <c r="CM24" i="81"/>
  <c r="CN24" i="81"/>
  <c r="CO24" i="81"/>
  <c r="CP24" i="81"/>
  <c r="CQ24" i="81"/>
  <c r="CR24" i="81"/>
  <c r="CS24" i="81"/>
  <c r="CT24" i="81"/>
  <c r="CU24" i="81"/>
  <c r="CV24" i="81"/>
  <c r="CW24" i="81"/>
  <c r="CX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O25" i="81"/>
  <c r="P25" i="81"/>
  <c r="Q25" i="81"/>
  <c r="R25" i="81"/>
  <c r="S25" i="81"/>
  <c r="T25" i="81"/>
  <c r="U25" i="81"/>
  <c r="V25" i="81"/>
  <c r="W25" i="81"/>
  <c r="X25" i="81"/>
  <c r="Y25" i="81"/>
  <c r="Z25" i="81"/>
  <c r="AA25" i="81"/>
  <c r="AB25" i="81"/>
  <c r="AC25" i="81"/>
  <c r="AD25" i="81"/>
  <c r="AE25" i="81"/>
  <c r="AF25" i="81"/>
  <c r="AG25" i="81"/>
  <c r="AH25" i="81"/>
  <c r="AI25" i="81"/>
  <c r="AJ25" i="81"/>
  <c r="AK25" i="81"/>
  <c r="AL25" i="81"/>
  <c r="AM25" i="81"/>
  <c r="AN25" i="81"/>
  <c r="AO25" i="81"/>
  <c r="AP25" i="81"/>
  <c r="AQ25" i="81"/>
  <c r="AR25" i="81"/>
  <c r="AS25" i="81"/>
  <c r="AT25" i="81"/>
  <c r="AU25" i="81"/>
  <c r="AV25" i="81"/>
  <c r="AW25" i="81"/>
  <c r="AX25" i="81"/>
  <c r="AY25" i="81"/>
  <c r="AZ25" i="81"/>
  <c r="BA25" i="81"/>
  <c r="BB25" i="81"/>
  <c r="BC25" i="81"/>
  <c r="BD25" i="81"/>
  <c r="BE25" i="81"/>
  <c r="BF25" i="81"/>
  <c r="BG25" i="81"/>
  <c r="BH25" i="81"/>
  <c r="BI25" i="81"/>
  <c r="BJ25" i="81"/>
  <c r="BK25" i="81"/>
  <c r="BL25" i="81"/>
  <c r="BM25" i="81"/>
  <c r="BN25" i="81"/>
  <c r="BO25" i="81"/>
  <c r="BP25" i="81"/>
  <c r="BQ25" i="81"/>
  <c r="BR25" i="81"/>
  <c r="BS25" i="81"/>
  <c r="BT25" i="81"/>
  <c r="BU25" i="81"/>
  <c r="BV25" i="81"/>
  <c r="BW25" i="81"/>
  <c r="BX25" i="81"/>
  <c r="BY25" i="81"/>
  <c r="BZ25" i="81"/>
  <c r="CA25" i="81"/>
  <c r="CB25" i="81"/>
  <c r="CC25" i="81"/>
  <c r="CD25" i="81"/>
  <c r="CE25" i="81"/>
  <c r="CF25" i="81"/>
  <c r="CG25" i="81"/>
  <c r="CH25" i="81"/>
  <c r="CI25" i="81"/>
  <c r="CJ25" i="81"/>
  <c r="CK25" i="81"/>
  <c r="CL25" i="81"/>
  <c r="CM25" i="81"/>
  <c r="CN25" i="81"/>
  <c r="CO25" i="81"/>
  <c r="CP25" i="81"/>
  <c r="CQ25" i="81"/>
  <c r="CR25" i="81"/>
  <c r="CS25" i="81"/>
  <c r="CT25" i="81"/>
  <c r="CU25" i="81"/>
  <c r="CV25" i="81"/>
  <c r="CW25" i="81"/>
  <c r="CX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O26" i="81"/>
  <c r="P26" i="81"/>
  <c r="Q26" i="81"/>
  <c r="R26" i="81"/>
  <c r="S26" i="81"/>
  <c r="T26" i="81"/>
  <c r="U26" i="81"/>
  <c r="V26" i="81"/>
  <c r="W26" i="81"/>
  <c r="X26" i="81"/>
  <c r="Y26" i="81"/>
  <c r="Z26" i="81"/>
  <c r="AA26" i="81"/>
  <c r="AB26" i="81"/>
  <c r="AC26" i="81"/>
  <c r="AD26" i="81"/>
  <c r="AE26" i="81"/>
  <c r="AF26" i="81"/>
  <c r="AG26" i="81"/>
  <c r="AH26" i="81"/>
  <c r="AI26" i="81"/>
  <c r="AJ26" i="81"/>
  <c r="AK26" i="81"/>
  <c r="AL26" i="81"/>
  <c r="AM26" i="81"/>
  <c r="AN26" i="81"/>
  <c r="AO26" i="81"/>
  <c r="AP26" i="81"/>
  <c r="AQ26" i="81"/>
  <c r="AR26" i="81"/>
  <c r="AS26" i="81"/>
  <c r="AT26" i="81"/>
  <c r="AU26" i="81"/>
  <c r="AV26" i="81"/>
  <c r="AW26" i="81"/>
  <c r="AX26" i="81"/>
  <c r="AY26" i="81"/>
  <c r="AZ26" i="81"/>
  <c r="BA26" i="81"/>
  <c r="BB26" i="81"/>
  <c r="BC26" i="81"/>
  <c r="BD26" i="81"/>
  <c r="BE26" i="81"/>
  <c r="BF26" i="81"/>
  <c r="BG26" i="81"/>
  <c r="BH26" i="81"/>
  <c r="BI26" i="81"/>
  <c r="BJ26" i="81"/>
  <c r="BK26" i="81"/>
  <c r="BL26" i="81"/>
  <c r="BM26" i="81"/>
  <c r="BN26" i="81"/>
  <c r="BO26" i="81"/>
  <c r="BP26" i="81"/>
  <c r="BQ26" i="81"/>
  <c r="BR26" i="81"/>
  <c r="BS26" i="81"/>
  <c r="BT26" i="81"/>
  <c r="BU26" i="81"/>
  <c r="BV26" i="81"/>
  <c r="BW26" i="81"/>
  <c r="BX26" i="81"/>
  <c r="BY26" i="81"/>
  <c r="BZ26" i="81"/>
  <c r="CA26" i="81"/>
  <c r="CB26" i="81"/>
  <c r="CC26" i="81"/>
  <c r="CD26" i="81"/>
  <c r="CE26" i="81"/>
  <c r="CF26" i="81"/>
  <c r="CG26" i="81"/>
  <c r="CH26" i="81"/>
  <c r="CI26" i="81"/>
  <c r="CJ26" i="81"/>
  <c r="CK26" i="81"/>
  <c r="CL26" i="81"/>
  <c r="CM26" i="81"/>
  <c r="CN26" i="81"/>
  <c r="CO26" i="81"/>
  <c r="CP26" i="81"/>
  <c r="CQ26" i="81"/>
  <c r="CR26" i="81"/>
  <c r="CS26" i="81"/>
  <c r="CT26" i="81"/>
  <c r="CU26" i="81"/>
  <c r="CV26" i="81"/>
  <c r="CW26" i="81"/>
  <c r="CX26" i="81"/>
  <c r="C27" i="81"/>
  <c r="D27" i="81"/>
  <c r="E27" i="81"/>
  <c r="F27" i="81"/>
  <c r="G27" i="81"/>
  <c r="H27" i="81"/>
  <c r="I27" i="81"/>
  <c r="J27" i="81"/>
  <c r="K27" i="81"/>
  <c r="L27" i="81"/>
  <c r="M27" i="81"/>
  <c r="N27" i="81"/>
  <c r="O27" i="81"/>
  <c r="P27" i="81"/>
  <c r="Q27" i="81"/>
  <c r="R27" i="81"/>
  <c r="S27" i="81"/>
  <c r="T27" i="81"/>
  <c r="U27" i="81"/>
  <c r="V27" i="81"/>
  <c r="W27" i="81"/>
  <c r="X27" i="81"/>
  <c r="Y27" i="81"/>
  <c r="Z27" i="81"/>
  <c r="AA27" i="81"/>
  <c r="AB27" i="81"/>
  <c r="AC27" i="81"/>
  <c r="AD27" i="81"/>
  <c r="AE27" i="81"/>
  <c r="AF27" i="81"/>
  <c r="AG27" i="81"/>
  <c r="AH27" i="81"/>
  <c r="AI27" i="81"/>
  <c r="AJ27" i="81"/>
  <c r="AK27" i="81"/>
  <c r="AL27" i="81"/>
  <c r="AM27" i="81"/>
  <c r="AN27" i="81"/>
  <c r="AO27" i="81"/>
  <c r="AP27" i="81"/>
  <c r="AQ27" i="81"/>
  <c r="AR27" i="81"/>
  <c r="AS27" i="81"/>
  <c r="AT27" i="81"/>
  <c r="AU27" i="81"/>
  <c r="AV27" i="81"/>
  <c r="AW27" i="81"/>
  <c r="AX27" i="81"/>
  <c r="AY27" i="81"/>
  <c r="AZ27" i="81"/>
  <c r="BA27" i="81"/>
  <c r="BB27" i="81"/>
  <c r="BC27" i="81"/>
  <c r="BD27" i="81"/>
  <c r="BE27" i="81"/>
  <c r="BF27" i="81"/>
  <c r="BG27" i="81"/>
  <c r="BH27" i="81"/>
  <c r="BI27" i="81"/>
  <c r="BJ27" i="81"/>
  <c r="BK27" i="81"/>
  <c r="BL27" i="81"/>
  <c r="BM27" i="81"/>
  <c r="BN27" i="81"/>
  <c r="BO27" i="81"/>
  <c r="BP27" i="81"/>
  <c r="BQ27" i="81"/>
  <c r="BR27" i="81"/>
  <c r="BS27" i="81"/>
  <c r="BT27" i="81"/>
  <c r="BU27" i="81"/>
  <c r="BV27" i="81"/>
  <c r="BW27" i="81"/>
  <c r="BX27" i="81"/>
  <c r="BY27" i="81"/>
  <c r="BZ27" i="81"/>
  <c r="CA27" i="81"/>
  <c r="CB27" i="81"/>
  <c r="CC27" i="81"/>
  <c r="CD27" i="81"/>
  <c r="CE27" i="81"/>
  <c r="CF27" i="81"/>
  <c r="CG27" i="81"/>
  <c r="CH27" i="81"/>
  <c r="CI27" i="81"/>
  <c r="CJ27" i="81"/>
  <c r="CK27" i="81"/>
  <c r="CL27" i="81"/>
  <c r="CM27" i="81"/>
  <c r="CN27" i="81"/>
  <c r="CO27" i="81"/>
  <c r="CP27" i="81"/>
  <c r="CQ27" i="81"/>
  <c r="CR27" i="81"/>
  <c r="CS27" i="81"/>
  <c r="CT27" i="81"/>
  <c r="CU27" i="81"/>
  <c r="CV27" i="81"/>
  <c r="CW27" i="81"/>
  <c r="CX27" i="81"/>
  <c r="C28" i="81"/>
  <c r="D28" i="81"/>
  <c r="E28" i="81"/>
  <c r="F28" i="81"/>
  <c r="G28" i="81"/>
  <c r="H28" i="81"/>
  <c r="I28" i="81"/>
  <c r="J28" i="81"/>
  <c r="K28" i="81"/>
  <c r="L28" i="81"/>
  <c r="M28" i="81"/>
  <c r="N28" i="81"/>
  <c r="O28" i="81"/>
  <c r="P28" i="81"/>
  <c r="Q28" i="81"/>
  <c r="R28" i="81"/>
  <c r="S28" i="81"/>
  <c r="T28" i="81"/>
  <c r="U28" i="81"/>
  <c r="V28" i="81"/>
  <c r="W28" i="81"/>
  <c r="X28" i="81"/>
  <c r="Y28" i="81"/>
  <c r="Z28" i="81"/>
  <c r="AA28" i="81"/>
  <c r="AB28" i="81"/>
  <c r="AC28" i="81"/>
  <c r="AD28" i="81"/>
  <c r="AE28" i="81"/>
  <c r="AF28" i="81"/>
  <c r="AG28" i="81"/>
  <c r="AH28" i="81"/>
  <c r="AI28" i="81"/>
  <c r="AJ28" i="81"/>
  <c r="AK28" i="81"/>
  <c r="AL28" i="81"/>
  <c r="AM28" i="81"/>
  <c r="AN28" i="81"/>
  <c r="AO28" i="81"/>
  <c r="AP28" i="81"/>
  <c r="AQ28" i="81"/>
  <c r="AR28" i="81"/>
  <c r="AS28" i="81"/>
  <c r="AT28" i="81"/>
  <c r="AU28" i="81"/>
  <c r="AV28" i="81"/>
  <c r="AW28" i="81"/>
  <c r="AX28" i="81"/>
  <c r="AY28" i="81"/>
  <c r="AZ28" i="81"/>
  <c r="BA28" i="81"/>
  <c r="BB28" i="81"/>
  <c r="BC28" i="81"/>
  <c r="BD28" i="81"/>
  <c r="BE28" i="81"/>
  <c r="BF28" i="81"/>
  <c r="BG28" i="81"/>
  <c r="BH28" i="81"/>
  <c r="BI28" i="81"/>
  <c r="BJ28" i="81"/>
  <c r="BK28" i="81"/>
  <c r="BL28" i="81"/>
  <c r="BM28" i="81"/>
  <c r="BN28" i="81"/>
  <c r="BO28" i="81"/>
  <c r="BP28" i="81"/>
  <c r="BQ28" i="81"/>
  <c r="BR28" i="81"/>
  <c r="BS28" i="81"/>
  <c r="BT28" i="81"/>
  <c r="BU28" i="81"/>
  <c r="BV28" i="81"/>
  <c r="BW28" i="81"/>
  <c r="BX28" i="81"/>
  <c r="BY28" i="81"/>
  <c r="BZ28" i="81"/>
  <c r="CA28" i="81"/>
  <c r="CB28" i="81"/>
  <c r="CC28" i="81"/>
  <c r="CD28" i="81"/>
  <c r="CE28" i="81"/>
  <c r="CF28" i="81"/>
  <c r="CG28" i="81"/>
  <c r="CH28" i="81"/>
  <c r="CI28" i="81"/>
  <c r="CJ28" i="81"/>
  <c r="CK28" i="81"/>
  <c r="CL28" i="81"/>
  <c r="CM28" i="81"/>
  <c r="CN28" i="81"/>
  <c r="CO28" i="81"/>
  <c r="CP28" i="81"/>
  <c r="CQ28" i="81"/>
  <c r="CR28" i="81"/>
  <c r="CS28" i="81"/>
  <c r="CT28" i="81"/>
  <c r="CU28" i="81"/>
  <c r="CV28" i="81"/>
  <c r="CW28" i="81"/>
  <c r="CX28" i="81"/>
  <c r="C29" i="81"/>
  <c r="D29" i="81"/>
  <c r="E29" i="81"/>
  <c r="F29" i="81"/>
  <c r="G29" i="81"/>
  <c r="H29" i="81"/>
  <c r="I29" i="81"/>
  <c r="J29" i="81"/>
  <c r="K29" i="81"/>
  <c r="L29" i="81"/>
  <c r="M29" i="81"/>
  <c r="N29" i="81"/>
  <c r="O29" i="81"/>
  <c r="P29" i="81"/>
  <c r="Q29" i="81"/>
  <c r="R29" i="81"/>
  <c r="S29" i="81"/>
  <c r="T29" i="81"/>
  <c r="U29" i="81"/>
  <c r="V29" i="81"/>
  <c r="W29" i="81"/>
  <c r="X29" i="81"/>
  <c r="Y29" i="81"/>
  <c r="Z29" i="81"/>
  <c r="AA29" i="81"/>
  <c r="AB29" i="81"/>
  <c r="AC29" i="81"/>
  <c r="AD29" i="81"/>
  <c r="AE29" i="81"/>
  <c r="AF29" i="81"/>
  <c r="AG29" i="81"/>
  <c r="AH29" i="81"/>
  <c r="AI29" i="81"/>
  <c r="AJ29" i="81"/>
  <c r="AK29" i="81"/>
  <c r="AL29" i="81"/>
  <c r="AM29" i="81"/>
  <c r="AN29" i="81"/>
  <c r="AO29" i="81"/>
  <c r="AP29" i="81"/>
  <c r="AQ29" i="81"/>
  <c r="AR29" i="81"/>
  <c r="AS29" i="81"/>
  <c r="AT29" i="81"/>
  <c r="AU29" i="81"/>
  <c r="AV29" i="81"/>
  <c r="AW29" i="81"/>
  <c r="AX29" i="81"/>
  <c r="AY29" i="81"/>
  <c r="AZ29" i="81"/>
  <c r="BA29" i="81"/>
  <c r="BB29" i="81"/>
  <c r="BC29" i="81"/>
  <c r="BD29" i="81"/>
  <c r="BE29" i="81"/>
  <c r="BF29" i="81"/>
  <c r="BG29" i="81"/>
  <c r="BH29" i="81"/>
  <c r="BI29" i="81"/>
  <c r="BJ29" i="81"/>
  <c r="BK29" i="81"/>
  <c r="BL29" i="81"/>
  <c r="BM29" i="81"/>
  <c r="BN29" i="81"/>
  <c r="BO29" i="81"/>
  <c r="BP29" i="81"/>
  <c r="BQ29" i="81"/>
  <c r="BR29" i="81"/>
  <c r="BS29" i="81"/>
  <c r="BT29" i="81"/>
  <c r="BU29" i="81"/>
  <c r="BV29" i="81"/>
  <c r="BW29" i="81"/>
  <c r="BX29" i="81"/>
  <c r="BY29" i="81"/>
  <c r="BZ29" i="81"/>
  <c r="CA29" i="81"/>
  <c r="CB29" i="81"/>
  <c r="CC29" i="81"/>
  <c r="CD29" i="81"/>
  <c r="CE29" i="81"/>
  <c r="CF29" i="81"/>
  <c r="CG29" i="81"/>
  <c r="CH29" i="81"/>
  <c r="CI29" i="81"/>
  <c r="CJ29" i="81"/>
  <c r="CK29" i="81"/>
  <c r="CL29" i="81"/>
  <c r="CM29" i="81"/>
  <c r="CN29" i="81"/>
  <c r="CO29" i="81"/>
  <c r="CP29" i="81"/>
  <c r="CQ29" i="81"/>
  <c r="CR29" i="81"/>
  <c r="CS29" i="81"/>
  <c r="CT29" i="81"/>
  <c r="CU29" i="81"/>
  <c r="CV29" i="81"/>
  <c r="CW29" i="81"/>
  <c r="CX29" i="81"/>
  <c r="C30" i="81"/>
  <c r="D30" i="81"/>
  <c r="E30" i="81"/>
  <c r="F30" i="81"/>
  <c r="G30" i="81"/>
  <c r="H30" i="81"/>
  <c r="I30" i="81"/>
  <c r="J30" i="81"/>
  <c r="K30" i="81"/>
  <c r="L30" i="81"/>
  <c r="M30" i="81"/>
  <c r="N30" i="81"/>
  <c r="O30" i="81"/>
  <c r="P30" i="81"/>
  <c r="Q30" i="81"/>
  <c r="R30" i="81"/>
  <c r="S30" i="81"/>
  <c r="T30" i="81"/>
  <c r="U30" i="81"/>
  <c r="V30" i="81"/>
  <c r="W30" i="81"/>
  <c r="X30" i="81"/>
  <c r="Y30" i="81"/>
  <c r="Z30" i="81"/>
  <c r="AA30" i="81"/>
  <c r="AB30" i="81"/>
  <c r="AC30" i="81"/>
  <c r="AD30" i="81"/>
  <c r="AE30" i="81"/>
  <c r="AF30" i="81"/>
  <c r="AG30" i="81"/>
  <c r="AH30" i="81"/>
  <c r="AI30" i="81"/>
  <c r="AJ30" i="81"/>
  <c r="AK30" i="81"/>
  <c r="AL30" i="81"/>
  <c r="AM30" i="81"/>
  <c r="AN30" i="81"/>
  <c r="AO30" i="81"/>
  <c r="AP30" i="81"/>
  <c r="AQ30" i="81"/>
  <c r="AR30" i="81"/>
  <c r="AS30" i="81"/>
  <c r="AT30" i="81"/>
  <c r="AU30" i="81"/>
  <c r="AV30" i="81"/>
  <c r="AW30" i="81"/>
  <c r="AX30" i="81"/>
  <c r="AY30" i="81"/>
  <c r="AZ30" i="81"/>
  <c r="BA30" i="81"/>
  <c r="BB30" i="81"/>
  <c r="BC30" i="81"/>
  <c r="BD30" i="81"/>
  <c r="BE30" i="81"/>
  <c r="BF30" i="81"/>
  <c r="BG30" i="81"/>
  <c r="BH30" i="81"/>
  <c r="BI30" i="81"/>
  <c r="BJ30" i="81"/>
  <c r="BK30" i="81"/>
  <c r="BL30" i="81"/>
  <c r="BM30" i="81"/>
  <c r="BN30" i="81"/>
  <c r="BO30" i="81"/>
  <c r="BP30" i="81"/>
  <c r="BQ30" i="81"/>
  <c r="BR30" i="81"/>
  <c r="BS30" i="81"/>
  <c r="BT30" i="81"/>
  <c r="BU30" i="81"/>
  <c r="BV30" i="81"/>
  <c r="BW30" i="81"/>
  <c r="BX30" i="81"/>
  <c r="BY30" i="81"/>
  <c r="BZ30" i="81"/>
  <c r="CA30" i="81"/>
  <c r="CB30" i="81"/>
  <c r="CC30" i="81"/>
  <c r="CD30" i="81"/>
  <c r="CE30" i="81"/>
  <c r="CF30" i="81"/>
  <c r="CG30" i="81"/>
  <c r="CH30" i="81"/>
  <c r="CI30" i="81"/>
  <c r="CJ30" i="81"/>
  <c r="CK30" i="81"/>
  <c r="CL30" i="81"/>
  <c r="CM30" i="81"/>
  <c r="CN30" i="81"/>
  <c r="CO30" i="81"/>
  <c r="CP30" i="81"/>
  <c r="CQ30" i="81"/>
  <c r="CR30" i="81"/>
  <c r="CS30" i="81"/>
  <c r="CT30" i="81"/>
  <c r="CU30" i="81"/>
  <c r="CV30" i="81"/>
  <c r="CW30" i="81"/>
  <c r="CX30" i="81"/>
  <c r="C31" i="81"/>
  <c r="D31" i="81"/>
  <c r="E31" i="81"/>
  <c r="F31" i="81"/>
  <c r="G31" i="81"/>
  <c r="H31" i="81"/>
  <c r="I31" i="81"/>
  <c r="J31" i="81"/>
  <c r="K31" i="81"/>
  <c r="L31" i="81"/>
  <c r="M31" i="81"/>
  <c r="N31" i="81"/>
  <c r="O31" i="81"/>
  <c r="P31" i="81"/>
  <c r="Q31" i="81"/>
  <c r="R31" i="81"/>
  <c r="S31" i="81"/>
  <c r="T31" i="81"/>
  <c r="U31" i="81"/>
  <c r="V31" i="81"/>
  <c r="W31" i="81"/>
  <c r="X31" i="81"/>
  <c r="Y31" i="81"/>
  <c r="Z31" i="81"/>
  <c r="AA31" i="81"/>
  <c r="AB31" i="81"/>
  <c r="AC31" i="81"/>
  <c r="AD31" i="81"/>
  <c r="AE31" i="81"/>
  <c r="AF31" i="81"/>
  <c r="AG31" i="81"/>
  <c r="AH31" i="81"/>
  <c r="AI31" i="81"/>
  <c r="AJ31" i="81"/>
  <c r="AK31" i="81"/>
  <c r="AL31" i="81"/>
  <c r="AM31" i="81"/>
  <c r="AN31" i="81"/>
  <c r="AO31" i="81"/>
  <c r="AP31" i="81"/>
  <c r="AQ31" i="81"/>
  <c r="AR31" i="81"/>
  <c r="AS31" i="81"/>
  <c r="AT31" i="81"/>
  <c r="AU31" i="81"/>
  <c r="AV31" i="81"/>
  <c r="AW31" i="81"/>
  <c r="AX31" i="81"/>
  <c r="AY31" i="81"/>
  <c r="AZ31" i="81"/>
  <c r="BA31" i="81"/>
  <c r="BB31" i="81"/>
  <c r="BC31" i="81"/>
  <c r="BD31" i="81"/>
  <c r="BE31" i="81"/>
  <c r="BF31" i="81"/>
  <c r="BG31" i="81"/>
  <c r="BH31" i="81"/>
  <c r="BI31" i="81"/>
  <c r="BJ31" i="81"/>
  <c r="BK31" i="81"/>
  <c r="BL31" i="81"/>
  <c r="BM31" i="81"/>
  <c r="BN31" i="81"/>
  <c r="BO31" i="81"/>
  <c r="BP31" i="81"/>
  <c r="BQ31" i="81"/>
  <c r="BR31" i="81"/>
  <c r="BS31" i="81"/>
  <c r="BT31" i="81"/>
  <c r="BU31" i="81"/>
  <c r="BV31" i="81"/>
  <c r="BW31" i="81"/>
  <c r="BX31" i="81"/>
  <c r="BY31" i="81"/>
  <c r="BZ31" i="81"/>
  <c r="CA31" i="81"/>
  <c r="CB31" i="81"/>
  <c r="CC31" i="81"/>
  <c r="CD31" i="81"/>
  <c r="CE31" i="81"/>
  <c r="CF31" i="81"/>
  <c r="CG31" i="81"/>
  <c r="CH31" i="81"/>
  <c r="CI31" i="81"/>
  <c r="CJ31" i="81"/>
  <c r="CK31" i="81"/>
  <c r="CL31" i="81"/>
  <c r="CM31" i="81"/>
  <c r="CN31" i="81"/>
  <c r="CO31" i="81"/>
  <c r="CP31" i="81"/>
  <c r="CQ31" i="81"/>
  <c r="CR31" i="81"/>
  <c r="CS31" i="81"/>
  <c r="CT31" i="81"/>
  <c r="CU31" i="81"/>
  <c r="CV31" i="81"/>
  <c r="CW31" i="81"/>
  <c r="CX31" i="81"/>
  <c r="C32" i="81"/>
  <c r="D32" i="81"/>
  <c r="E32" i="81"/>
  <c r="F32" i="81"/>
  <c r="G32" i="81"/>
  <c r="H32" i="81"/>
  <c r="I32" i="81"/>
  <c r="J32" i="81"/>
  <c r="K32" i="81"/>
  <c r="L32" i="81"/>
  <c r="M32" i="81"/>
  <c r="N32" i="81"/>
  <c r="O32" i="81"/>
  <c r="P32" i="81"/>
  <c r="Q32" i="81"/>
  <c r="R32" i="81"/>
  <c r="S32" i="81"/>
  <c r="T32" i="81"/>
  <c r="U32" i="81"/>
  <c r="V32" i="81"/>
  <c r="W32" i="81"/>
  <c r="X32" i="81"/>
  <c r="Y32" i="81"/>
  <c r="Z32" i="81"/>
  <c r="AA32" i="81"/>
  <c r="AB32" i="81"/>
  <c r="AC32" i="81"/>
  <c r="AD32" i="81"/>
  <c r="AE32" i="81"/>
  <c r="AF32" i="81"/>
  <c r="AG32" i="81"/>
  <c r="AH32" i="81"/>
  <c r="AI32" i="81"/>
  <c r="AJ32" i="81"/>
  <c r="AK32" i="81"/>
  <c r="AL32" i="81"/>
  <c r="AM32" i="81"/>
  <c r="AN32" i="81"/>
  <c r="AO32" i="81"/>
  <c r="AP32" i="81"/>
  <c r="AQ32" i="81"/>
  <c r="AR32" i="81"/>
  <c r="AS32" i="81"/>
  <c r="AT32" i="81"/>
  <c r="AU32" i="81"/>
  <c r="AV32" i="81"/>
  <c r="AW32" i="81"/>
  <c r="AX32" i="81"/>
  <c r="AY32" i="81"/>
  <c r="AZ32" i="81"/>
  <c r="BA32" i="81"/>
  <c r="BB32" i="81"/>
  <c r="BC32" i="81"/>
  <c r="BD32" i="81"/>
  <c r="BE32" i="81"/>
  <c r="BF32" i="81"/>
  <c r="BG32" i="81"/>
  <c r="BH32" i="81"/>
  <c r="BI32" i="81"/>
  <c r="BJ32" i="81"/>
  <c r="BK32" i="81"/>
  <c r="BL32" i="81"/>
  <c r="BM32" i="81"/>
  <c r="BN32" i="81"/>
  <c r="BO32" i="81"/>
  <c r="BP32" i="81"/>
  <c r="BQ32" i="81"/>
  <c r="BR32" i="81"/>
  <c r="BS32" i="81"/>
  <c r="BT32" i="81"/>
  <c r="BU32" i="81"/>
  <c r="BV32" i="81"/>
  <c r="BW32" i="81"/>
  <c r="BX32" i="81"/>
  <c r="BY32" i="81"/>
  <c r="BZ32" i="81"/>
  <c r="CA32" i="81"/>
  <c r="CB32" i="81"/>
  <c r="CC32" i="81"/>
  <c r="CD32" i="81"/>
  <c r="CE32" i="81"/>
  <c r="CF32" i="81"/>
  <c r="CG32" i="81"/>
  <c r="CH32" i="81"/>
  <c r="CI32" i="81"/>
  <c r="CJ32" i="81"/>
  <c r="CK32" i="81"/>
  <c r="CL32" i="81"/>
  <c r="CM32" i="81"/>
  <c r="CN32" i="81"/>
  <c r="CO32" i="81"/>
  <c r="CP32" i="81"/>
  <c r="CQ32" i="81"/>
  <c r="CR32" i="81"/>
  <c r="CS32" i="81"/>
  <c r="CT32" i="81"/>
  <c r="CU32" i="81"/>
  <c r="CV32" i="81"/>
  <c r="CW32" i="81"/>
  <c r="CX32" i="81"/>
  <c r="C33" i="81"/>
  <c r="D33" i="81"/>
  <c r="E33" i="81"/>
  <c r="F33" i="81"/>
  <c r="G33" i="81"/>
  <c r="H33" i="81"/>
  <c r="I33" i="81"/>
  <c r="J33" i="81"/>
  <c r="K33" i="81"/>
  <c r="L33" i="81"/>
  <c r="M33" i="81"/>
  <c r="N33" i="81"/>
  <c r="O33" i="81"/>
  <c r="P33" i="81"/>
  <c r="Q33" i="81"/>
  <c r="R33" i="81"/>
  <c r="S33" i="81"/>
  <c r="T33" i="81"/>
  <c r="U33" i="81"/>
  <c r="V33" i="81"/>
  <c r="W33" i="81"/>
  <c r="X33" i="81"/>
  <c r="Y33" i="81"/>
  <c r="Z33" i="81"/>
  <c r="AA33" i="81"/>
  <c r="AB33" i="81"/>
  <c r="AC33" i="81"/>
  <c r="AD33" i="81"/>
  <c r="AE33" i="81"/>
  <c r="AF33" i="81"/>
  <c r="AG33" i="81"/>
  <c r="AH33" i="81"/>
  <c r="AI33" i="81"/>
  <c r="AJ33" i="81"/>
  <c r="AK33" i="81"/>
  <c r="AL33" i="81"/>
  <c r="AM33" i="81"/>
  <c r="AN33" i="81"/>
  <c r="AO33" i="81"/>
  <c r="AP33" i="81"/>
  <c r="AQ33" i="81"/>
  <c r="AR33" i="81"/>
  <c r="AS33" i="81"/>
  <c r="AT33" i="81"/>
  <c r="AU33" i="81"/>
  <c r="AV33" i="81"/>
  <c r="AW33" i="81"/>
  <c r="AX33" i="81"/>
  <c r="AY33" i="81"/>
  <c r="AZ33" i="81"/>
  <c r="BA33" i="81"/>
  <c r="BB33" i="81"/>
  <c r="BC33" i="81"/>
  <c r="BD33" i="81"/>
  <c r="BE33" i="81"/>
  <c r="BF33" i="81"/>
  <c r="BG33" i="81"/>
  <c r="BH33" i="81"/>
  <c r="BI33" i="81"/>
  <c r="BJ33" i="81"/>
  <c r="BK33" i="81"/>
  <c r="BL33" i="81"/>
  <c r="BM33" i="81"/>
  <c r="BN33" i="81"/>
  <c r="BO33" i="81"/>
  <c r="BP33" i="81"/>
  <c r="BQ33" i="81"/>
  <c r="BR33" i="81"/>
  <c r="BS33" i="81"/>
  <c r="BT33" i="81"/>
  <c r="BU33" i="81"/>
  <c r="BV33" i="81"/>
  <c r="BW33" i="81"/>
  <c r="BX33" i="81"/>
  <c r="BY33" i="81"/>
  <c r="BZ33" i="81"/>
  <c r="CA33" i="81"/>
  <c r="CB33" i="81"/>
  <c r="CC33" i="81"/>
  <c r="CD33" i="81"/>
  <c r="CE33" i="81"/>
  <c r="CF33" i="81"/>
  <c r="CG33" i="81"/>
  <c r="CH33" i="81"/>
  <c r="CI33" i="81"/>
  <c r="CJ33" i="81"/>
  <c r="CK33" i="81"/>
  <c r="CL33" i="81"/>
  <c r="CM33" i="81"/>
  <c r="CN33" i="81"/>
  <c r="CO33" i="81"/>
  <c r="CP33" i="81"/>
  <c r="CQ33" i="81"/>
  <c r="CR33" i="81"/>
  <c r="CS33" i="81"/>
  <c r="CT33" i="81"/>
  <c r="CU33" i="81"/>
  <c r="CV33" i="81"/>
  <c r="CW33" i="81"/>
  <c r="CX33" i="81"/>
  <c r="C34" i="81"/>
  <c r="D34" i="81"/>
  <c r="E34" i="81"/>
  <c r="F34" i="81"/>
  <c r="G34" i="81"/>
  <c r="H34" i="81"/>
  <c r="I34" i="81"/>
  <c r="J34" i="81"/>
  <c r="K34" i="81"/>
  <c r="L34" i="81"/>
  <c r="M34" i="81"/>
  <c r="N34" i="81"/>
  <c r="O34" i="81"/>
  <c r="P34" i="81"/>
  <c r="Q34" i="81"/>
  <c r="R34" i="81"/>
  <c r="S34" i="81"/>
  <c r="T34" i="81"/>
  <c r="U34" i="81"/>
  <c r="V34" i="81"/>
  <c r="W34" i="81"/>
  <c r="X34" i="81"/>
  <c r="Y34" i="81"/>
  <c r="Z34" i="81"/>
  <c r="AA34" i="81"/>
  <c r="AB34" i="81"/>
  <c r="AC34" i="81"/>
  <c r="AD34" i="81"/>
  <c r="AE34" i="81"/>
  <c r="AF34" i="81"/>
  <c r="AG34" i="81"/>
  <c r="AH34" i="81"/>
  <c r="AI34" i="81"/>
  <c r="AJ34" i="81"/>
  <c r="AK34" i="81"/>
  <c r="AL34" i="81"/>
  <c r="AM34" i="81"/>
  <c r="AN34" i="81"/>
  <c r="AO34" i="81"/>
  <c r="AP34" i="81"/>
  <c r="AQ34" i="81"/>
  <c r="AR34" i="81"/>
  <c r="AS34" i="81"/>
  <c r="AT34" i="81"/>
  <c r="AU34" i="81"/>
  <c r="AV34" i="81"/>
  <c r="AW34" i="81"/>
  <c r="AX34" i="81"/>
  <c r="AY34" i="81"/>
  <c r="AZ34" i="81"/>
  <c r="BA34" i="81"/>
  <c r="BB34" i="81"/>
  <c r="BC34" i="81"/>
  <c r="BD34" i="81"/>
  <c r="BE34" i="81"/>
  <c r="BF34" i="81"/>
  <c r="BG34" i="81"/>
  <c r="BH34" i="81"/>
  <c r="BI34" i="81"/>
  <c r="BJ34" i="81"/>
  <c r="BK34" i="81"/>
  <c r="BL34" i="81"/>
  <c r="BM34" i="81"/>
  <c r="BN34" i="81"/>
  <c r="BO34" i="81"/>
  <c r="BP34" i="81"/>
  <c r="BQ34" i="81"/>
  <c r="BR34" i="81"/>
  <c r="BS34" i="81"/>
  <c r="BT34" i="81"/>
  <c r="BU34" i="81"/>
  <c r="BV34" i="81"/>
  <c r="BW34" i="81"/>
  <c r="BX34" i="81"/>
  <c r="BY34" i="81"/>
  <c r="BZ34" i="81"/>
  <c r="CA34" i="81"/>
  <c r="CB34" i="81"/>
  <c r="CC34" i="81"/>
  <c r="CD34" i="81"/>
  <c r="CE34" i="81"/>
  <c r="CF34" i="81"/>
  <c r="CG34" i="81"/>
  <c r="CH34" i="81"/>
  <c r="CI34" i="81"/>
  <c r="CJ34" i="81"/>
  <c r="CK34" i="81"/>
  <c r="CL34" i="81"/>
  <c r="CM34" i="81"/>
  <c r="CN34" i="81"/>
  <c r="CO34" i="81"/>
  <c r="CP34" i="81"/>
  <c r="CQ34" i="81"/>
  <c r="CR34" i="81"/>
  <c r="CS34" i="81"/>
  <c r="CT34" i="81"/>
  <c r="CU34" i="81"/>
  <c r="CV34" i="81"/>
  <c r="CW34" i="81"/>
  <c r="CX34" i="81"/>
  <c r="C35" i="81"/>
  <c r="D35" i="81"/>
  <c r="E35" i="81"/>
  <c r="F35" i="81"/>
  <c r="G35" i="81"/>
  <c r="H35" i="81"/>
  <c r="I35" i="81"/>
  <c r="J35" i="81"/>
  <c r="K35" i="81"/>
  <c r="L35" i="81"/>
  <c r="M35" i="81"/>
  <c r="N35" i="81"/>
  <c r="O35" i="81"/>
  <c r="P35" i="81"/>
  <c r="Q35" i="81"/>
  <c r="R35" i="81"/>
  <c r="S35" i="81"/>
  <c r="T35" i="81"/>
  <c r="U35" i="81"/>
  <c r="V35" i="81"/>
  <c r="W35" i="81"/>
  <c r="X35" i="81"/>
  <c r="Y35" i="81"/>
  <c r="Z35" i="81"/>
  <c r="AA35" i="81"/>
  <c r="AB35" i="81"/>
  <c r="AC35" i="81"/>
  <c r="AD35" i="81"/>
  <c r="AE35" i="81"/>
  <c r="AF35" i="81"/>
  <c r="AG35" i="81"/>
  <c r="AH35" i="81"/>
  <c r="AI35" i="81"/>
  <c r="AJ35" i="81"/>
  <c r="AK35" i="81"/>
  <c r="AL35" i="81"/>
  <c r="AM35" i="81"/>
  <c r="AN35" i="81"/>
  <c r="AO35" i="81"/>
  <c r="AP35" i="81"/>
  <c r="AQ35" i="81"/>
  <c r="AR35" i="81"/>
  <c r="AS35" i="81"/>
  <c r="AT35" i="81"/>
  <c r="AU35" i="81"/>
  <c r="AV35" i="81"/>
  <c r="AW35" i="81"/>
  <c r="AX35" i="81"/>
  <c r="AY35" i="81"/>
  <c r="AZ35" i="81"/>
  <c r="BA35" i="81"/>
  <c r="BB35" i="81"/>
  <c r="BC35" i="81"/>
  <c r="BD35" i="81"/>
  <c r="BE35" i="81"/>
  <c r="BF35" i="81"/>
  <c r="BG35" i="81"/>
  <c r="BH35" i="81"/>
  <c r="BI35" i="81"/>
  <c r="BJ35" i="81"/>
  <c r="BK35" i="81"/>
  <c r="BL35" i="81"/>
  <c r="BM35" i="81"/>
  <c r="BN35" i="81"/>
  <c r="BO35" i="81"/>
  <c r="BP35" i="81"/>
  <c r="BQ35" i="81"/>
  <c r="BR35" i="81"/>
  <c r="BS35" i="81"/>
  <c r="BT35" i="81"/>
  <c r="BU35" i="81"/>
  <c r="BV35" i="81"/>
  <c r="BW35" i="81"/>
  <c r="BX35" i="81"/>
  <c r="BY35" i="81"/>
  <c r="BZ35" i="81"/>
  <c r="CA35" i="81"/>
  <c r="CB35" i="81"/>
  <c r="CC35" i="81"/>
  <c r="CD35" i="81"/>
  <c r="CE35" i="81"/>
  <c r="CF35" i="81"/>
  <c r="CG35" i="81"/>
  <c r="CH35" i="81"/>
  <c r="CI35" i="81"/>
  <c r="CJ35" i="81"/>
  <c r="CK35" i="81"/>
  <c r="CL35" i="81"/>
  <c r="CM35" i="81"/>
  <c r="CN35" i="81"/>
  <c r="CO35" i="81"/>
  <c r="CP35" i="81"/>
  <c r="CQ35" i="81"/>
  <c r="CR35" i="81"/>
  <c r="CS35" i="81"/>
  <c r="CT35" i="81"/>
  <c r="CU35" i="81"/>
  <c r="CV35" i="81"/>
  <c r="CW35" i="81"/>
  <c r="CX35" i="81"/>
  <c r="C36" i="81"/>
  <c r="D36" i="81"/>
  <c r="E36" i="81"/>
  <c r="F36" i="81"/>
  <c r="G36" i="81"/>
  <c r="H36" i="81"/>
  <c r="I36" i="81"/>
  <c r="J36" i="81"/>
  <c r="K36" i="81"/>
  <c r="L36" i="81"/>
  <c r="M36" i="81"/>
  <c r="N36" i="81"/>
  <c r="O36" i="81"/>
  <c r="P36" i="81"/>
  <c r="Q36" i="81"/>
  <c r="R36" i="81"/>
  <c r="S36" i="81"/>
  <c r="T36" i="81"/>
  <c r="U36" i="81"/>
  <c r="V36" i="81"/>
  <c r="W36" i="81"/>
  <c r="X36" i="81"/>
  <c r="Y36" i="81"/>
  <c r="Z36" i="81"/>
  <c r="AA36" i="81"/>
  <c r="AB36" i="81"/>
  <c r="AC36" i="81"/>
  <c r="AD36" i="81"/>
  <c r="AE36" i="81"/>
  <c r="AF36" i="81"/>
  <c r="AG36" i="81"/>
  <c r="AH36" i="81"/>
  <c r="AI36" i="81"/>
  <c r="AJ36" i="81"/>
  <c r="AK36" i="81"/>
  <c r="AL36" i="81"/>
  <c r="AM36" i="81"/>
  <c r="AN36" i="81"/>
  <c r="AO36" i="81"/>
  <c r="AP36" i="81"/>
  <c r="AQ36" i="81"/>
  <c r="AR36" i="81"/>
  <c r="AS36" i="81"/>
  <c r="AT36" i="81"/>
  <c r="AU36" i="81"/>
  <c r="AV36" i="81"/>
  <c r="AW36" i="81"/>
  <c r="AX36" i="81"/>
  <c r="AY36" i="81"/>
  <c r="AZ36" i="81"/>
  <c r="BA36" i="81"/>
  <c r="BB36" i="81"/>
  <c r="BC36" i="81"/>
  <c r="BD36" i="81"/>
  <c r="BE36" i="81"/>
  <c r="BF36" i="81"/>
  <c r="BG36" i="81"/>
  <c r="BH36" i="81"/>
  <c r="BI36" i="81"/>
  <c r="BJ36" i="81"/>
  <c r="BK36" i="81"/>
  <c r="BL36" i="81"/>
  <c r="BM36" i="81"/>
  <c r="BN36" i="81"/>
  <c r="BO36" i="81"/>
  <c r="BP36" i="81"/>
  <c r="BQ36" i="81"/>
  <c r="BR36" i="81"/>
  <c r="BS36" i="81"/>
  <c r="BT36" i="81"/>
  <c r="BU36" i="81"/>
  <c r="BV36" i="81"/>
  <c r="BW36" i="81"/>
  <c r="BX36" i="81"/>
  <c r="BY36" i="81"/>
  <c r="BZ36" i="81"/>
  <c r="CA36" i="81"/>
  <c r="CB36" i="81"/>
  <c r="CC36" i="81"/>
  <c r="CD36" i="81"/>
  <c r="CE36" i="81"/>
  <c r="CF36" i="81"/>
  <c r="CG36" i="81"/>
  <c r="CH36" i="81"/>
  <c r="CI36" i="81"/>
  <c r="CJ36" i="81"/>
  <c r="CK36" i="81"/>
  <c r="CL36" i="81"/>
  <c r="CM36" i="81"/>
  <c r="CN36" i="81"/>
  <c r="CO36" i="81"/>
  <c r="CP36" i="81"/>
  <c r="CQ36" i="81"/>
  <c r="CR36" i="81"/>
  <c r="CS36" i="81"/>
  <c r="CT36" i="81"/>
  <c r="CU36" i="81"/>
  <c r="CV36" i="81"/>
  <c r="CW36" i="81"/>
  <c r="CX36" i="81"/>
  <c r="C37" i="81"/>
  <c r="D37" i="81"/>
  <c r="E37" i="81"/>
  <c r="F37" i="81"/>
  <c r="G37" i="81"/>
  <c r="H37" i="81"/>
  <c r="I37" i="81"/>
  <c r="J37" i="81"/>
  <c r="K37" i="81"/>
  <c r="L37" i="81"/>
  <c r="M37" i="81"/>
  <c r="N37" i="81"/>
  <c r="O37" i="81"/>
  <c r="P37" i="81"/>
  <c r="Q37" i="81"/>
  <c r="R37" i="81"/>
  <c r="S37" i="81"/>
  <c r="T37" i="81"/>
  <c r="U37" i="81"/>
  <c r="V37" i="81"/>
  <c r="W37" i="81"/>
  <c r="X37" i="81"/>
  <c r="Y37" i="81"/>
  <c r="Z37" i="81"/>
  <c r="AA37" i="81"/>
  <c r="AB37" i="81"/>
  <c r="AC37" i="81"/>
  <c r="AD37" i="81"/>
  <c r="AE37" i="81"/>
  <c r="AF37" i="81"/>
  <c r="AG37" i="81"/>
  <c r="AH37" i="81"/>
  <c r="AI37" i="81"/>
  <c r="AJ37" i="81"/>
  <c r="AK37" i="81"/>
  <c r="AL37" i="81"/>
  <c r="AM37" i="81"/>
  <c r="AN37" i="81"/>
  <c r="AO37" i="81"/>
  <c r="AP37" i="81"/>
  <c r="AQ37" i="81"/>
  <c r="AR37" i="81"/>
  <c r="AS37" i="81"/>
  <c r="AT37" i="81"/>
  <c r="AU37" i="81"/>
  <c r="AV37" i="81"/>
  <c r="AW37" i="81"/>
  <c r="AX37" i="81"/>
  <c r="AY37" i="81"/>
  <c r="AZ37" i="81"/>
  <c r="BA37" i="81"/>
  <c r="BB37" i="81"/>
  <c r="BC37" i="81"/>
  <c r="BD37" i="81"/>
  <c r="BE37" i="81"/>
  <c r="BF37" i="81"/>
  <c r="BG37" i="81"/>
  <c r="BH37" i="81"/>
  <c r="BI37" i="81"/>
  <c r="BJ37" i="81"/>
  <c r="BK37" i="81"/>
  <c r="BL37" i="81"/>
  <c r="BM37" i="81"/>
  <c r="BN37" i="81"/>
  <c r="BO37" i="81"/>
  <c r="BP37" i="81"/>
  <c r="BQ37" i="81"/>
  <c r="BR37" i="81"/>
  <c r="BS37" i="81"/>
  <c r="BT37" i="81"/>
  <c r="BU37" i="81"/>
  <c r="BV37" i="81"/>
  <c r="BW37" i="81"/>
  <c r="BX37" i="81"/>
  <c r="BY37" i="81"/>
  <c r="BZ37" i="81"/>
  <c r="CA37" i="81"/>
  <c r="CB37" i="81"/>
  <c r="CC37" i="81"/>
  <c r="CD37" i="81"/>
  <c r="CE37" i="81"/>
  <c r="CF37" i="81"/>
  <c r="CG37" i="81"/>
  <c r="CH37" i="81"/>
  <c r="CI37" i="81"/>
  <c r="CJ37" i="81"/>
  <c r="CK37" i="81"/>
  <c r="CL37" i="81"/>
  <c r="CM37" i="81"/>
  <c r="CN37" i="81"/>
  <c r="CO37" i="81"/>
  <c r="CP37" i="81"/>
  <c r="CQ37" i="81"/>
  <c r="CR37" i="81"/>
  <c r="CS37" i="81"/>
  <c r="CT37" i="81"/>
  <c r="CU37" i="81"/>
  <c r="CV37" i="81"/>
  <c r="CW37" i="81"/>
  <c r="CX37" i="81"/>
  <c r="C38" i="81"/>
  <c r="D38" i="81"/>
  <c r="E38" i="81"/>
  <c r="F38" i="81"/>
  <c r="G38" i="81"/>
  <c r="H38" i="81"/>
  <c r="I38" i="81"/>
  <c r="J38" i="81"/>
  <c r="K38" i="81"/>
  <c r="L38" i="81"/>
  <c r="M38" i="81"/>
  <c r="N38" i="81"/>
  <c r="O38" i="81"/>
  <c r="P38" i="81"/>
  <c r="Q38" i="81"/>
  <c r="R38" i="81"/>
  <c r="S38" i="81"/>
  <c r="T38" i="81"/>
  <c r="U38" i="81"/>
  <c r="V38" i="81"/>
  <c r="W38" i="81"/>
  <c r="X38" i="81"/>
  <c r="Y38" i="81"/>
  <c r="Z38" i="81"/>
  <c r="AA38" i="81"/>
  <c r="AB38" i="81"/>
  <c r="AC38" i="81"/>
  <c r="AD38" i="81"/>
  <c r="AE38" i="81"/>
  <c r="AF38" i="81"/>
  <c r="AG38" i="81"/>
  <c r="AH38" i="81"/>
  <c r="AI38" i="81"/>
  <c r="AJ38" i="81"/>
  <c r="AK38" i="81"/>
  <c r="AL38" i="81"/>
  <c r="AM38" i="81"/>
  <c r="AN38" i="81"/>
  <c r="AO38" i="81"/>
  <c r="AP38" i="81"/>
  <c r="AQ38" i="81"/>
  <c r="AR38" i="81"/>
  <c r="AS38" i="81"/>
  <c r="AT38" i="81"/>
  <c r="AU38" i="81"/>
  <c r="AV38" i="81"/>
  <c r="AW38" i="81"/>
  <c r="AX38" i="81"/>
  <c r="AY38" i="81"/>
  <c r="AZ38" i="81"/>
  <c r="BA38" i="81"/>
  <c r="BB38" i="81"/>
  <c r="BC38" i="81"/>
  <c r="BD38" i="81"/>
  <c r="BE38" i="81"/>
  <c r="BF38" i="81"/>
  <c r="BG38" i="81"/>
  <c r="BH38" i="81"/>
  <c r="BI38" i="81"/>
  <c r="BJ38" i="81"/>
  <c r="BK38" i="81"/>
  <c r="BL38" i="81"/>
  <c r="BM38" i="81"/>
  <c r="BN38" i="81"/>
  <c r="BO38" i="81"/>
  <c r="BP38" i="81"/>
  <c r="BQ38" i="81"/>
  <c r="BR38" i="81"/>
  <c r="BS38" i="81"/>
  <c r="BT38" i="81"/>
  <c r="BU38" i="81"/>
  <c r="BV38" i="81"/>
  <c r="BW38" i="81"/>
  <c r="BX38" i="81"/>
  <c r="BY38" i="81"/>
  <c r="BZ38" i="81"/>
  <c r="CA38" i="81"/>
  <c r="CB38" i="81"/>
  <c r="CC38" i="81"/>
  <c r="CD38" i="81"/>
  <c r="CE38" i="81"/>
  <c r="CF38" i="81"/>
  <c r="CG38" i="81"/>
  <c r="CH38" i="81"/>
  <c r="CI38" i="81"/>
  <c r="CJ38" i="81"/>
  <c r="CK38" i="81"/>
  <c r="CL38" i="81"/>
  <c r="CM38" i="81"/>
  <c r="CN38" i="81"/>
  <c r="CO38" i="81"/>
  <c r="CP38" i="81"/>
  <c r="CQ38" i="81"/>
  <c r="CR38" i="81"/>
  <c r="CS38" i="81"/>
  <c r="CT38" i="81"/>
  <c r="CU38" i="81"/>
  <c r="CV38" i="81"/>
  <c r="CW38" i="81"/>
  <c r="CX38" i="81"/>
  <c r="C39" i="81"/>
  <c r="D39" i="81"/>
  <c r="E39" i="81"/>
  <c r="F39" i="81"/>
  <c r="G39" i="81"/>
  <c r="H39" i="81"/>
  <c r="I39" i="81"/>
  <c r="J39" i="81"/>
  <c r="K39" i="81"/>
  <c r="L39" i="81"/>
  <c r="M39" i="81"/>
  <c r="N39" i="81"/>
  <c r="O39" i="81"/>
  <c r="P39" i="81"/>
  <c r="Q39" i="81"/>
  <c r="R39" i="81"/>
  <c r="S39" i="81"/>
  <c r="T39" i="81"/>
  <c r="U39" i="81"/>
  <c r="V39" i="81"/>
  <c r="W39" i="81"/>
  <c r="X39" i="81"/>
  <c r="Y39" i="81"/>
  <c r="Z39" i="81"/>
  <c r="AA39" i="81"/>
  <c r="AB39" i="81"/>
  <c r="AC39" i="81"/>
  <c r="AD39" i="81"/>
  <c r="AE39" i="81"/>
  <c r="AF39" i="81"/>
  <c r="AG39" i="81"/>
  <c r="AH39" i="81"/>
  <c r="AI39" i="81"/>
  <c r="AJ39" i="81"/>
  <c r="AK39" i="81"/>
  <c r="AL39" i="81"/>
  <c r="AM39" i="81"/>
  <c r="AN39" i="81"/>
  <c r="AO39" i="81"/>
  <c r="AP39" i="81"/>
  <c r="AQ39" i="81"/>
  <c r="AR39" i="81"/>
  <c r="AS39" i="81"/>
  <c r="AT39" i="81"/>
  <c r="AU39" i="81"/>
  <c r="AV39" i="81"/>
  <c r="AW39" i="81"/>
  <c r="AX39" i="81"/>
  <c r="AY39" i="81"/>
  <c r="AZ39" i="81"/>
  <c r="BA39" i="81"/>
  <c r="BB39" i="81"/>
  <c r="BC39" i="81"/>
  <c r="BD39" i="81"/>
  <c r="BE39" i="81"/>
  <c r="BF39" i="81"/>
  <c r="BG39" i="81"/>
  <c r="BH39" i="81"/>
  <c r="BI39" i="81"/>
  <c r="BJ39" i="81"/>
  <c r="BK39" i="81"/>
  <c r="BL39" i="81"/>
  <c r="BM39" i="81"/>
  <c r="BN39" i="81"/>
  <c r="BO39" i="81"/>
  <c r="BP39" i="81"/>
  <c r="BQ39" i="81"/>
  <c r="BR39" i="81"/>
  <c r="BS39" i="81"/>
  <c r="BT39" i="81"/>
  <c r="BU39" i="81"/>
  <c r="BV39" i="81"/>
  <c r="BW39" i="81"/>
  <c r="BX39" i="81"/>
  <c r="BY39" i="81"/>
  <c r="BZ39" i="81"/>
  <c r="CA39" i="81"/>
  <c r="CB39" i="81"/>
  <c r="CC39" i="81"/>
  <c r="CD39" i="81"/>
  <c r="CE39" i="81"/>
  <c r="CF39" i="81"/>
  <c r="CG39" i="81"/>
  <c r="CH39" i="81"/>
  <c r="CI39" i="81"/>
  <c r="CJ39" i="81"/>
  <c r="CK39" i="81"/>
  <c r="CL39" i="81"/>
  <c r="CM39" i="81"/>
  <c r="CN39" i="81"/>
  <c r="CO39" i="81"/>
  <c r="CP39" i="81"/>
  <c r="CQ39" i="81"/>
  <c r="CR39" i="81"/>
  <c r="CS39" i="81"/>
  <c r="CT39" i="81"/>
  <c r="CU39" i="81"/>
  <c r="CV39" i="81"/>
  <c r="CW39" i="81"/>
  <c r="CX39" i="81"/>
  <c r="C40" i="81"/>
  <c r="D40" i="81"/>
  <c r="E40" i="81"/>
  <c r="F40" i="81"/>
  <c r="G40" i="81"/>
  <c r="H40" i="81"/>
  <c r="I40" i="81"/>
  <c r="J40" i="81"/>
  <c r="K40" i="81"/>
  <c r="L40" i="81"/>
  <c r="M40" i="81"/>
  <c r="N40" i="81"/>
  <c r="O40" i="81"/>
  <c r="P40" i="81"/>
  <c r="Q40" i="81"/>
  <c r="R40" i="81"/>
  <c r="S40" i="81"/>
  <c r="T40" i="81"/>
  <c r="U40" i="81"/>
  <c r="V40" i="81"/>
  <c r="W40" i="81"/>
  <c r="X40" i="81"/>
  <c r="Y40" i="81"/>
  <c r="Z40" i="81"/>
  <c r="AA40" i="81"/>
  <c r="AB40" i="81"/>
  <c r="AC40" i="81"/>
  <c r="AD40" i="81"/>
  <c r="AE40" i="81"/>
  <c r="AF40" i="81"/>
  <c r="AG40" i="81"/>
  <c r="AH40" i="81"/>
  <c r="AI40" i="81"/>
  <c r="AJ40" i="81"/>
  <c r="AK40" i="81"/>
  <c r="AL40" i="81"/>
  <c r="AM40" i="81"/>
  <c r="AN40" i="81"/>
  <c r="AO40" i="81"/>
  <c r="AP40" i="81"/>
  <c r="AQ40" i="81"/>
  <c r="AR40" i="81"/>
  <c r="AS40" i="81"/>
  <c r="AT40" i="81"/>
  <c r="AU40" i="81"/>
  <c r="AV40" i="81"/>
  <c r="AW40" i="81"/>
  <c r="AX40" i="81"/>
  <c r="AY40" i="81"/>
  <c r="AZ40" i="81"/>
  <c r="BA40" i="81"/>
  <c r="BB40" i="81"/>
  <c r="BC40" i="81"/>
  <c r="BD40" i="81"/>
  <c r="BE40" i="81"/>
  <c r="BF40" i="81"/>
  <c r="BG40" i="81"/>
  <c r="BH40" i="81"/>
  <c r="BI40" i="81"/>
  <c r="BJ40" i="81"/>
  <c r="BK40" i="81"/>
  <c r="BL40" i="81"/>
  <c r="BM40" i="81"/>
  <c r="BN40" i="81"/>
  <c r="BO40" i="81"/>
  <c r="BP40" i="81"/>
  <c r="BQ40" i="81"/>
  <c r="BR40" i="81"/>
  <c r="BS40" i="81"/>
  <c r="BT40" i="81"/>
  <c r="BU40" i="81"/>
  <c r="BV40" i="81"/>
  <c r="BW40" i="81"/>
  <c r="BX40" i="81"/>
  <c r="BY40" i="81"/>
  <c r="BZ40" i="81"/>
  <c r="CA40" i="81"/>
  <c r="CB40" i="81"/>
  <c r="CC40" i="81"/>
  <c r="CD40" i="81"/>
  <c r="CE40" i="81"/>
  <c r="CF40" i="81"/>
  <c r="CG40" i="81"/>
  <c r="CH40" i="81"/>
  <c r="CI40" i="81"/>
  <c r="CJ40" i="81"/>
  <c r="CK40" i="81"/>
  <c r="CL40" i="81"/>
  <c r="CM40" i="81"/>
  <c r="CN40" i="81"/>
  <c r="CO40" i="81"/>
  <c r="CP40" i="81"/>
  <c r="CQ40" i="81"/>
  <c r="CR40" i="81"/>
  <c r="CS40" i="81"/>
  <c r="CT40" i="81"/>
  <c r="CU40" i="81"/>
  <c r="CV40" i="81"/>
  <c r="CW40" i="81"/>
  <c r="CX40" i="81"/>
  <c r="C41" i="81"/>
  <c r="D41" i="81"/>
  <c r="E41" i="81"/>
  <c r="F41" i="81"/>
  <c r="G41" i="81"/>
  <c r="H41" i="81"/>
  <c r="I41" i="81"/>
  <c r="J41" i="81"/>
  <c r="K41" i="81"/>
  <c r="L41" i="81"/>
  <c r="M41" i="81"/>
  <c r="N41" i="81"/>
  <c r="O41" i="81"/>
  <c r="P41" i="81"/>
  <c r="Q41" i="81"/>
  <c r="R41" i="81"/>
  <c r="S41" i="81"/>
  <c r="T41" i="81"/>
  <c r="U41" i="81"/>
  <c r="V41" i="81"/>
  <c r="W41" i="81"/>
  <c r="X41" i="81"/>
  <c r="Y41" i="81"/>
  <c r="Z41" i="81"/>
  <c r="AA41" i="81"/>
  <c r="AB41" i="81"/>
  <c r="AC41" i="81"/>
  <c r="AD41" i="81"/>
  <c r="AE41" i="81"/>
  <c r="AF41" i="81"/>
  <c r="AG41" i="81"/>
  <c r="AH41" i="81"/>
  <c r="AI41" i="81"/>
  <c r="AJ41" i="81"/>
  <c r="AK41" i="81"/>
  <c r="AL41" i="81"/>
  <c r="AM41" i="81"/>
  <c r="AN41" i="81"/>
  <c r="AO41" i="81"/>
  <c r="AP41" i="81"/>
  <c r="AQ41" i="81"/>
  <c r="AR41" i="81"/>
  <c r="AS41" i="81"/>
  <c r="AT41" i="81"/>
  <c r="AU41" i="81"/>
  <c r="AV41" i="81"/>
  <c r="AW41" i="81"/>
  <c r="AX41" i="81"/>
  <c r="AY41" i="81"/>
  <c r="AZ41" i="81"/>
  <c r="BA41" i="81"/>
  <c r="BB41" i="81"/>
  <c r="BC41" i="81"/>
  <c r="BD41" i="81"/>
  <c r="BE41" i="81"/>
  <c r="BF41" i="81"/>
  <c r="BG41" i="81"/>
  <c r="BH41" i="81"/>
  <c r="BI41" i="81"/>
  <c r="BJ41" i="81"/>
  <c r="BK41" i="81"/>
  <c r="BL41" i="81"/>
  <c r="BM41" i="81"/>
  <c r="BN41" i="81"/>
  <c r="BO41" i="81"/>
  <c r="BP41" i="81"/>
  <c r="BQ41" i="81"/>
  <c r="BR41" i="81"/>
  <c r="BS41" i="81"/>
  <c r="BT41" i="81"/>
  <c r="BU41" i="81"/>
  <c r="BV41" i="81"/>
  <c r="BW41" i="81"/>
  <c r="BX41" i="81"/>
  <c r="BY41" i="81"/>
  <c r="BZ41" i="81"/>
  <c r="CA41" i="81"/>
  <c r="CB41" i="81"/>
  <c r="CC41" i="81"/>
  <c r="CD41" i="81"/>
  <c r="CE41" i="81"/>
  <c r="CF41" i="81"/>
  <c r="CG41" i="81"/>
  <c r="CH41" i="81"/>
  <c r="CI41" i="81"/>
  <c r="CJ41" i="81"/>
  <c r="CK41" i="81"/>
  <c r="CL41" i="81"/>
  <c r="CM41" i="81"/>
  <c r="CN41" i="81"/>
  <c r="CO41" i="81"/>
  <c r="CP41" i="81"/>
  <c r="CQ41" i="81"/>
  <c r="CR41" i="81"/>
  <c r="CS41" i="81"/>
  <c r="CT41" i="81"/>
  <c r="CU41" i="81"/>
  <c r="CV41" i="81"/>
  <c r="CW41" i="81"/>
  <c r="CX41" i="81"/>
  <c r="C42" i="81"/>
  <c r="D42" i="81"/>
  <c r="E42" i="81"/>
  <c r="F42" i="81"/>
  <c r="G42" i="81"/>
  <c r="H42" i="81"/>
  <c r="I42" i="81"/>
  <c r="J42" i="81"/>
  <c r="K42" i="81"/>
  <c r="L42" i="81"/>
  <c r="M42" i="81"/>
  <c r="N42" i="81"/>
  <c r="O42" i="81"/>
  <c r="P42" i="81"/>
  <c r="Q42" i="81"/>
  <c r="R42" i="81"/>
  <c r="S42" i="81"/>
  <c r="T42" i="81"/>
  <c r="U42" i="81"/>
  <c r="V42" i="81"/>
  <c r="W42" i="81"/>
  <c r="X42" i="81"/>
  <c r="Y42" i="81"/>
  <c r="Z42" i="81"/>
  <c r="AA42" i="81"/>
  <c r="AB42" i="81"/>
  <c r="AC42" i="81"/>
  <c r="AD42" i="81"/>
  <c r="AE42" i="81"/>
  <c r="AF42" i="81"/>
  <c r="AG42" i="81"/>
  <c r="AH42" i="81"/>
  <c r="AI42" i="81"/>
  <c r="AJ42" i="81"/>
  <c r="AK42" i="81"/>
  <c r="AL42" i="81"/>
  <c r="AM42" i="81"/>
  <c r="AN42" i="81"/>
  <c r="AO42" i="81"/>
  <c r="AP42" i="81"/>
  <c r="AQ42" i="81"/>
  <c r="AR42" i="81"/>
  <c r="AS42" i="81"/>
  <c r="AT42" i="81"/>
  <c r="AU42" i="81"/>
  <c r="AV42" i="81"/>
  <c r="AW42" i="81"/>
  <c r="AX42" i="81"/>
  <c r="AY42" i="81"/>
  <c r="AZ42" i="81"/>
  <c r="BA42" i="81"/>
  <c r="BB42" i="81"/>
  <c r="BC42" i="81"/>
  <c r="BD42" i="81"/>
  <c r="BE42" i="81"/>
  <c r="BF42" i="81"/>
  <c r="BG42" i="81"/>
  <c r="BH42" i="81"/>
  <c r="BI42" i="81"/>
  <c r="BJ42" i="81"/>
  <c r="BK42" i="81"/>
  <c r="BL42" i="81"/>
  <c r="BM42" i="81"/>
  <c r="BN42" i="81"/>
  <c r="BO42" i="81"/>
  <c r="BP42" i="81"/>
  <c r="BQ42" i="81"/>
  <c r="BR42" i="81"/>
  <c r="BS42" i="81"/>
  <c r="BT42" i="81"/>
  <c r="BU42" i="81"/>
  <c r="BV42" i="81"/>
  <c r="BW42" i="81"/>
  <c r="BX42" i="81"/>
  <c r="BY42" i="81"/>
  <c r="BZ42" i="81"/>
  <c r="CA42" i="81"/>
  <c r="CB42" i="81"/>
  <c r="CC42" i="81"/>
  <c r="CD42" i="81"/>
  <c r="CE42" i="81"/>
  <c r="CF42" i="81"/>
  <c r="CG42" i="81"/>
  <c r="CH42" i="81"/>
  <c r="CI42" i="81"/>
  <c r="CJ42" i="81"/>
  <c r="CK42" i="81"/>
  <c r="CL42" i="81"/>
  <c r="CM42" i="81"/>
  <c r="CN42" i="81"/>
  <c r="CO42" i="81"/>
  <c r="CP42" i="81"/>
  <c r="CQ42" i="81"/>
  <c r="CR42" i="81"/>
  <c r="CS42" i="81"/>
  <c r="CT42" i="81"/>
  <c r="CU42" i="81"/>
  <c r="CV42" i="81"/>
  <c r="CW42" i="81"/>
  <c r="CX42" i="81"/>
  <c r="C43" i="81"/>
  <c r="D43" i="81"/>
  <c r="E43" i="81"/>
  <c r="F43" i="81"/>
  <c r="G43" i="81"/>
  <c r="H43" i="81"/>
  <c r="I43" i="81"/>
  <c r="J43" i="81"/>
  <c r="K43" i="81"/>
  <c r="L43" i="81"/>
  <c r="M43" i="81"/>
  <c r="N43" i="81"/>
  <c r="O43" i="81"/>
  <c r="P43" i="81"/>
  <c r="Q43" i="81"/>
  <c r="R43" i="81"/>
  <c r="S43" i="81"/>
  <c r="T43" i="81"/>
  <c r="U43" i="81"/>
  <c r="V43" i="81"/>
  <c r="W43" i="81"/>
  <c r="X43" i="81"/>
  <c r="Y43" i="81"/>
  <c r="Z43" i="81"/>
  <c r="AA43" i="81"/>
  <c r="AB43" i="81"/>
  <c r="AC43" i="81"/>
  <c r="AD43" i="81"/>
  <c r="AE43" i="81"/>
  <c r="AF43" i="81"/>
  <c r="AG43" i="81"/>
  <c r="AH43" i="81"/>
  <c r="AI43" i="81"/>
  <c r="AJ43" i="81"/>
  <c r="AK43" i="81"/>
  <c r="AL43" i="81"/>
  <c r="AM43" i="81"/>
  <c r="AN43" i="81"/>
  <c r="AO43" i="81"/>
  <c r="AP43" i="81"/>
  <c r="AQ43" i="81"/>
  <c r="AR43" i="81"/>
  <c r="AS43" i="81"/>
  <c r="AT43" i="81"/>
  <c r="AU43" i="81"/>
  <c r="AV43" i="81"/>
  <c r="AW43" i="81"/>
  <c r="AX43" i="81"/>
  <c r="AY43" i="81"/>
  <c r="AZ43" i="81"/>
  <c r="BA43" i="81"/>
  <c r="BB43" i="81"/>
  <c r="BC43" i="81"/>
  <c r="BD43" i="81"/>
  <c r="BE43" i="81"/>
  <c r="BF43" i="81"/>
  <c r="BG43" i="81"/>
  <c r="BH43" i="81"/>
  <c r="BI43" i="81"/>
  <c r="BJ43" i="81"/>
  <c r="BK43" i="81"/>
  <c r="BL43" i="81"/>
  <c r="BM43" i="81"/>
  <c r="BN43" i="81"/>
  <c r="BO43" i="81"/>
  <c r="BP43" i="81"/>
  <c r="BQ43" i="81"/>
  <c r="BR43" i="81"/>
  <c r="BS43" i="81"/>
  <c r="BT43" i="81"/>
  <c r="BU43" i="81"/>
  <c r="BV43" i="81"/>
  <c r="BW43" i="81"/>
  <c r="BX43" i="81"/>
  <c r="BY43" i="81"/>
  <c r="BZ43" i="81"/>
  <c r="CA43" i="81"/>
  <c r="CB43" i="81"/>
  <c r="CC43" i="81"/>
  <c r="CD43" i="81"/>
  <c r="CE43" i="81"/>
  <c r="CF43" i="81"/>
  <c r="CG43" i="81"/>
  <c r="CH43" i="81"/>
  <c r="CI43" i="81"/>
  <c r="CJ43" i="81"/>
  <c r="CK43" i="81"/>
  <c r="CL43" i="81"/>
  <c r="CM43" i="81"/>
  <c r="CN43" i="81"/>
  <c r="CO43" i="81"/>
  <c r="CP43" i="81"/>
  <c r="CQ43" i="81"/>
  <c r="CR43" i="81"/>
  <c r="CS43" i="81"/>
  <c r="CT43" i="81"/>
  <c r="CU43" i="81"/>
  <c r="CV43" i="81"/>
  <c r="CW43" i="81"/>
  <c r="CX43" i="81"/>
  <c r="C44" i="81"/>
  <c r="D44" i="81"/>
  <c r="E44" i="81"/>
  <c r="F44" i="81"/>
  <c r="G44" i="81"/>
  <c r="H44" i="81"/>
  <c r="I44" i="81"/>
  <c r="J44" i="81"/>
  <c r="K44" i="81"/>
  <c r="L44" i="81"/>
  <c r="M44" i="81"/>
  <c r="N44" i="81"/>
  <c r="O44" i="81"/>
  <c r="P44" i="81"/>
  <c r="Q44" i="81"/>
  <c r="R44" i="81"/>
  <c r="S44" i="81"/>
  <c r="T44" i="81"/>
  <c r="U44" i="81"/>
  <c r="V44" i="81"/>
  <c r="W44" i="81"/>
  <c r="X44" i="81"/>
  <c r="Y44" i="81"/>
  <c r="Z44" i="81"/>
  <c r="AA44" i="81"/>
  <c r="AB44" i="81"/>
  <c r="AC44" i="81"/>
  <c r="AD44" i="81"/>
  <c r="AE44" i="81"/>
  <c r="AF44" i="81"/>
  <c r="AG44" i="81"/>
  <c r="AH44" i="81"/>
  <c r="AI44" i="81"/>
  <c r="AJ44" i="81"/>
  <c r="AK44" i="81"/>
  <c r="AL44" i="81"/>
  <c r="AM44" i="81"/>
  <c r="AN44" i="81"/>
  <c r="AO44" i="81"/>
  <c r="AP44" i="81"/>
  <c r="AQ44" i="81"/>
  <c r="AR44" i="81"/>
  <c r="AS44" i="81"/>
  <c r="AT44" i="81"/>
  <c r="AU44" i="81"/>
  <c r="AV44" i="81"/>
  <c r="AW44" i="81"/>
  <c r="AX44" i="81"/>
  <c r="AY44" i="81"/>
  <c r="AZ44" i="81"/>
  <c r="BA44" i="81"/>
  <c r="BB44" i="81"/>
  <c r="BC44" i="81"/>
  <c r="BD44" i="81"/>
  <c r="BE44" i="81"/>
  <c r="BF44" i="81"/>
  <c r="BG44" i="81"/>
  <c r="BH44" i="81"/>
  <c r="BI44" i="81"/>
  <c r="BJ44" i="81"/>
  <c r="BK44" i="81"/>
  <c r="BL44" i="81"/>
  <c r="BM44" i="81"/>
  <c r="BN44" i="81"/>
  <c r="BO44" i="81"/>
  <c r="BP44" i="81"/>
  <c r="BQ44" i="81"/>
  <c r="BR44" i="81"/>
  <c r="BS44" i="81"/>
  <c r="BT44" i="81"/>
  <c r="BU44" i="81"/>
  <c r="BV44" i="81"/>
  <c r="BW44" i="81"/>
  <c r="BX44" i="81"/>
  <c r="BY44" i="81"/>
  <c r="BZ44" i="81"/>
  <c r="CA44" i="81"/>
  <c r="CB44" i="81"/>
  <c r="CC44" i="81"/>
  <c r="CD44" i="81"/>
  <c r="CE44" i="81"/>
  <c r="CF44" i="81"/>
  <c r="CG44" i="81"/>
  <c r="CH44" i="81"/>
  <c r="CI44" i="81"/>
  <c r="CJ44" i="81"/>
  <c r="CK44" i="81"/>
  <c r="CL44" i="81"/>
  <c r="CM44" i="81"/>
  <c r="CN44" i="81"/>
  <c r="CO44" i="81"/>
  <c r="CP44" i="81"/>
  <c r="CQ44" i="81"/>
  <c r="CR44" i="81"/>
  <c r="CS44" i="81"/>
  <c r="CT44" i="81"/>
  <c r="CU44" i="81"/>
  <c r="CV44" i="81"/>
  <c r="CW44" i="81"/>
  <c r="CX44" i="81"/>
  <c r="C45" i="81"/>
  <c r="D45" i="81"/>
  <c r="E45" i="81"/>
  <c r="F45" i="81"/>
  <c r="G45" i="81"/>
  <c r="H45" i="81"/>
  <c r="I45" i="81"/>
  <c r="J45" i="81"/>
  <c r="K45" i="81"/>
  <c r="L45" i="81"/>
  <c r="M45" i="81"/>
  <c r="N45" i="81"/>
  <c r="O45" i="81"/>
  <c r="P45" i="81"/>
  <c r="Q45" i="81"/>
  <c r="R45" i="81"/>
  <c r="S45" i="81"/>
  <c r="T45" i="81"/>
  <c r="U45" i="81"/>
  <c r="V45" i="81"/>
  <c r="W45" i="81"/>
  <c r="X45" i="81"/>
  <c r="Y45" i="81"/>
  <c r="Z45" i="81"/>
  <c r="AA45" i="81"/>
  <c r="AB45" i="81"/>
  <c r="AC45" i="81"/>
  <c r="AD45" i="81"/>
  <c r="AE45" i="81"/>
  <c r="AF45" i="81"/>
  <c r="AG45" i="81"/>
  <c r="AH45" i="81"/>
  <c r="AI45" i="81"/>
  <c r="AJ45" i="81"/>
  <c r="AK45" i="81"/>
  <c r="AL45" i="81"/>
  <c r="AM45" i="81"/>
  <c r="AN45" i="81"/>
  <c r="AO45" i="81"/>
  <c r="AP45" i="81"/>
  <c r="AQ45" i="81"/>
  <c r="AR45" i="81"/>
  <c r="AS45" i="81"/>
  <c r="AT45" i="81"/>
  <c r="AU45" i="81"/>
  <c r="AV45" i="81"/>
  <c r="AW45" i="81"/>
  <c r="AX45" i="81"/>
  <c r="AY45" i="81"/>
  <c r="AZ45" i="81"/>
  <c r="BA45" i="81"/>
  <c r="BB45" i="81"/>
  <c r="BC45" i="81"/>
  <c r="BD45" i="81"/>
  <c r="BE45" i="81"/>
  <c r="BF45" i="81"/>
  <c r="BG45" i="81"/>
  <c r="BH45" i="81"/>
  <c r="BI45" i="81"/>
  <c r="BJ45" i="81"/>
  <c r="BK45" i="81"/>
  <c r="BL45" i="81"/>
  <c r="BM45" i="81"/>
  <c r="BN45" i="81"/>
  <c r="BO45" i="81"/>
  <c r="BP45" i="81"/>
  <c r="BQ45" i="81"/>
  <c r="BR45" i="81"/>
  <c r="BS45" i="81"/>
  <c r="BT45" i="81"/>
  <c r="BU45" i="81"/>
  <c r="BV45" i="81"/>
  <c r="BW45" i="81"/>
  <c r="BX45" i="81"/>
  <c r="BY45" i="81"/>
  <c r="BZ45" i="81"/>
  <c r="CA45" i="81"/>
  <c r="CB45" i="81"/>
  <c r="CC45" i="81"/>
  <c r="CD45" i="81"/>
  <c r="CE45" i="81"/>
  <c r="CF45" i="81"/>
  <c r="CG45" i="81"/>
  <c r="CH45" i="81"/>
  <c r="CI45" i="81"/>
  <c r="CJ45" i="81"/>
  <c r="CK45" i="81"/>
  <c r="CL45" i="81"/>
  <c r="CM45" i="81"/>
  <c r="CN45" i="81"/>
  <c r="CO45" i="81"/>
  <c r="CP45" i="81"/>
  <c r="CQ45" i="81"/>
  <c r="CR45" i="81"/>
  <c r="CS45" i="81"/>
  <c r="CT45" i="81"/>
  <c r="CU45" i="81"/>
  <c r="CV45" i="81"/>
  <c r="CW45" i="81"/>
  <c r="CX45" i="81"/>
  <c r="C46" i="81"/>
  <c r="D46" i="81"/>
  <c r="E46" i="81"/>
  <c r="F46" i="81"/>
  <c r="G46" i="81"/>
  <c r="H46" i="81"/>
  <c r="I46" i="81"/>
  <c r="J46" i="81"/>
  <c r="K46" i="81"/>
  <c r="L46" i="81"/>
  <c r="M46" i="81"/>
  <c r="N46" i="81"/>
  <c r="O46" i="81"/>
  <c r="P46" i="81"/>
  <c r="Q46" i="81"/>
  <c r="R46" i="81"/>
  <c r="S46" i="81"/>
  <c r="T46" i="81"/>
  <c r="U46" i="81"/>
  <c r="V46" i="81"/>
  <c r="W46" i="81"/>
  <c r="X46" i="81"/>
  <c r="Y46" i="81"/>
  <c r="Z46" i="81"/>
  <c r="AA46" i="81"/>
  <c r="AB46" i="81"/>
  <c r="AC46" i="81"/>
  <c r="AD46" i="81"/>
  <c r="AE46" i="81"/>
  <c r="AF46" i="81"/>
  <c r="AG46" i="81"/>
  <c r="AH46" i="81"/>
  <c r="AI46" i="81"/>
  <c r="AJ46" i="81"/>
  <c r="AK46" i="81"/>
  <c r="AL46" i="81"/>
  <c r="AM46" i="81"/>
  <c r="AN46" i="81"/>
  <c r="AO46" i="81"/>
  <c r="AP46" i="81"/>
  <c r="AQ46" i="81"/>
  <c r="AR46" i="81"/>
  <c r="AS46" i="81"/>
  <c r="AT46" i="81"/>
  <c r="AU46" i="81"/>
  <c r="AV46" i="81"/>
  <c r="AW46" i="81"/>
  <c r="AX46" i="81"/>
  <c r="AY46" i="81"/>
  <c r="AZ46" i="81"/>
  <c r="BA46" i="81"/>
  <c r="BB46" i="81"/>
  <c r="BC46" i="81"/>
  <c r="BD46" i="81"/>
  <c r="BE46" i="81"/>
  <c r="BF46" i="81"/>
  <c r="BG46" i="81"/>
  <c r="BH46" i="81"/>
  <c r="BI46" i="81"/>
  <c r="BJ46" i="81"/>
  <c r="BK46" i="81"/>
  <c r="BL46" i="81"/>
  <c r="BM46" i="81"/>
  <c r="BN46" i="81"/>
  <c r="BO46" i="81"/>
  <c r="BP46" i="81"/>
  <c r="BQ46" i="81"/>
  <c r="BR46" i="81"/>
  <c r="BS46" i="81"/>
  <c r="BT46" i="81"/>
  <c r="BU46" i="81"/>
  <c r="BV46" i="81"/>
  <c r="BW46" i="81"/>
  <c r="BX46" i="81"/>
  <c r="BY46" i="81"/>
  <c r="BZ46" i="81"/>
  <c r="CA46" i="81"/>
  <c r="CB46" i="81"/>
  <c r="CC46" i="81"/>
  <c r="CD46" i="81"/>
  <c r="CE46" i="81"/>
  <c r="CF46" i="81"/>
  <c r="CG46" i="81"/>
  <c r="CH46" i="81"/>
  <c r="CI46" i="81"/>
  <c r="CJ46" i="81"/>
  <c r="CK46" i="81"/>
  <c r="CL46" i="81"/>
  <c r="CM46" i="81"/>
  <c r="CN46" i="81"/>
  <c r="CO46" i="81"/>
  <c r="CP46" i="81"/>
  <c r="CQ46" i="81"/>
  <c r="CR46" i="81"/>
  <c r="CS46" i="81"/>
  <c r="CT46" i="81"/>
  <c r="CU46" i="81"/>
  <c r="CV46" i="81"/>
  <c r="CW46" i="81"/>
  <c r="CX46" i="81"/>
  <c r="C47" i="81"/>
  <c r="D47" i="81"/>
  <c r="E47" i="81"/>
  <c r="F47" i="81"/>
  <c r="G47" i="81"/>
  <c r="H47" i="81"/>
  <c r="I47" i="81"/>
  <c r="J47" i="81"/>
  <c r="K47" i="81"/>
  <c r="L47" i="81"/>
  <c r="M47" i="81"/>
  <c r="N47" i="81"/>
  <c r="O47" i="81"/>
  <c r="P47" i="81"/>
  <c r="Q47" i="81"/>
  <c r="R47" i="81"/>
  <c r="S47" i="81"/>
  <c r="T47" i="81"/>
  <c r="U47" i="81"/>
  <c r="V47" i="81"/>
  <c r="W47" i="81"/>
  <c r="X47" i="81"/>
  <c r="Y47" i="81"/>
  <c r="Z47" i="81"/>
  <c r="AA47" i="81"/>
  <c r="AB47" i="81"/>
  <c r="AC47" i="81"/>
  <c r="AD47" i="81"/>
  <c r="AE47" i="81"/>
  <c r="AF47" i="81"/>
  <c r="AG47" i="81"/>
  <c r="AH47" i="81"/>
  <c r="AI47" i="81"/>
  <c r="AJ47" i="81"/>
  <c r="AK47" i="81"/>
  <c r="AL47" i="81"/>
  <c r="AM47" i="81"/>
  <c r="AN47" i="81"/>
  <c r="AO47" i="81"/>
  <c r="AP47" i="81"/>
  <c r="AQ47" i="81"/>
  <c r="AR47" i="81"/>
  <c r="AS47" i="81"/>
  <c r="AT47" i="81"/>
  <c r="AU47" i="81"/>
  <c r="AV47" i="81"/>
  <c r="AW47" i="81"/>
  <c r="AX47" i="81"/>
  <c r="AY47" i="81"/>
  <c r="AZ47" i="81"/>
  <c r="BA47" i="81"/>
  <c r="BB47" i="81"/>
  <c r="BC47" i="81"/>
  <c r="BD47" i="81"/>
  <c r="BE47" i="81"/>
  <c r="BF47" i="81"/>
  <c r="BG47" i="81"/>
  <c r="BH47" i="81"/>
  <c r="BI47" i="81"/>
  <c r="BJ47" i="81"/>
  <c r="BK47" i="81"/>
  <c r="BL47" i="81"/>
  <c r="BM47" i="81"/>
  <c r="BN47" i="81"/>
  <c r="BO47" i="81"/>
  <c r="BP47" i="81"/>
  <c r="BQ47" i="81"/>
  <c r="BR47" i="81"/>
  <c r="BS47" i="81"/>
  <c r="BT47" i="81"/>
  <c r="BU47" i="81"/>
  <c r="BV47" i="81"/>
  <c r="BW47" i="81"/>
  <c r="BX47" i="81"/>
  <c r="BY47" i="81"/>
  <c r="BZ47" i="81"/>
  <c r="CA47" i="81"/>
  <c r="CB47" i="81"/>
  <c r="CC47" i="81"/>
  <c r="CD47" i="81"/>
  <c r="CE47" i="81"/>
  <c r="CF47" i="81"/>
  <c r="CG47" i="81"/>
  <c r="CH47" i="81"/>
  <c r="CI47" i="81"/>
  <c r="CJ47" i="81"/>
  <c r="CK47" i="81"/>
  <c r="CL47" i="81"/>
  <c r="CM47" i="81"/>
  <c r="CN47" i="81"/>
  <c r="CO47" i="81"/>
  <c r="CP47" i="81"/>
  <c r="CQ47" i="81"/>
  <c r="CR47" i="81"/>
  <c r="CS47" i="81"/>
  <c r="CT47" i="81"/>
  <c r="CU47" i="81"/>
  <c r="CV47" i="81"/>
  <c r="CW47" i="81"/>
  <c r="CX47" i="81"/>
  <c r="C48" i="81"/>
  <c r="D48" i="81"/>
  <c r="E48" i="81"/>
  <c r="F48" i="81"/>
  <c r="G48" i="81"/>
  <c r="H48" i="81"/>
  <c r="I48" i="81"/>
  <c r="J48" i="81"/>
  <c r="K48" i="81"/>
  <c r="L48" i="81"/>
  <c r="M48" i="81"/>
  <c r="N48" i="81"/>
  <c r="O48" i="81"/>
  <c r="P48" i="81"/>
  <c r="Q48" i="81"/>
  <c r="R48" i="81"/>
  <c r="S48" i="81"/>
  <c r="T48" i="81"/>
  <c r="U48" i="81"/>
  <c r="V48" i="81"/>
  <c r="W48" i="81"/>
  <c r="X48" i="81"/>
  <c r="Y48" i="81"/>
  <c r="Z48" i="81"/>
  <c r="AA48" i="81"/>
  <c r="AB48" i="81"/>
  <c r="AC48" i="81"/>
  <c r="AD48" i="81"/>
  <c r="AE48" i="81"/>
  <c r="AF48" i="81"/>
  <c r="AG48" i="81"/>
  <c r="AH48" i="81"/>
  <c r="AI48" i="81"/>
  <c r="AJ48" i="81"/>
  <c r="AK48" i="81"/>
  <c r="AL48" i="81"/>
  <c r="AM48" i="81"/>
  <c r="AN48" i="81"/>
  <c r="AO48" i="81"/>
  <c r="AP48" i="81"/>
  <c r="AQ48" i="81"/>
  <c r="AR48" i="81"/>
  <c r="AS48" i="81"/>
  <c r="AT48" i="81"/>
  <c r="AU48" i="81"/>
  <c r="AV48" i="81"/>
  <c r="AW48" i="81"/>
  <c r="AX48" i="81"/>
  <c r="AY48" i="81"/>
  <c r="AZ48" i="81"/>
  <c r="BA48" i="81"/>
  <c r="BB48" i="81"/>
  <c r="BC48" i="81"/>
  <c r="BD48" i="81"/>
  <c r="BE48" i="81"/>
  <c r="BF48" i="81"/>
  <c r="BG48" i="81"/>
  <c r="BH48" i="81"/>
  <c r="BI48" i="81"/>
  <c r="BJ48" i="81"/>
  <c r="BK48" i="81"/>
  <c r="BL48" i="81"/>
  <c r="BM48" i="81"/>
  <c r="BN48" i="81"/>
  <c r="BO48" i="81"/>
  <c r="BP48" i="81"/>
  <c r="BQ48" i="81"/>
  <c r="BR48" i="81"/>
  <c r="BS48" i="81"/>
  <c r="BT48" i="81"/>
  <c r="BU48" i="81"/>
  <c r="BV48" i="81"/>
  <c r="BW48" i="81"/>
  <c r="BX48" i="81"/>
  <c r="BY48" i="81"/>
  <c r="BZ48" i="81"/>
  <c r="CA48" i="81"/>
  <c r="CB48" i="81"/>
  <c r="CC48" i="81"/>
  <c r="CD48" i="81"/>
  <c r="CE48" i="81"/>
  <c r="CF48" i="81"/>
  <c r="CG48" i="81"/>
  <c r="CH48" i="81"/>
  <c r="CI48" i="81"/>
  <c r="CJ48" i="81"/>
  <c r="CK48" i="81"/>
  <c r="CL48" i="81"/>
  <c r="CM48" i="81"/>
  <c r="CN48" i="81"/>
  <c r="CO48" i="81"/>
  <c r="CP48" i="81"/>
  <c r="CQ48" i="81"/>
  <c r="CR48" i="81"/>
  <c r="CS48" i="81"/>
  <c r="CT48" i="81"/>
  <c r="CU48" i="81"/>
  <c r="CV48" i="81"/>
  <c r="CW48" i="81"/>
  <c r="CX48" i="81"/>
  <c r="C49" i="81"/>
  <c r="D49" i="81"/>
  <c r="E49" i="81"/>
  <c r="F49" i="81"/>
  <c r="G49" i="81"/>
  <c r="H49" i="81"/>
  <c r="I49" i="81"/>
  <c r="J49" i="81"/>
  <c r="K49" i="81"/>
  <c r="L49" i="81"/>
  <c r="M49" i="81"/>
  <c r="N49" i="81"/>
  <c r="O49" i="81"/>
  <c r="P49" i="81"/>
  <c r="Q49" i="81"/>
  <c r="R49" i="81"/>
  <c r="S49" i="81"/>
  <c r="T49" i="81"/>
  <c r="U49" i="81"/>
  <c r="V49" i="81"/>
  <c r="W49" i="81"/>
  <c r="X49" i="81"/>
  <c r="Y49" i="81"/>
  <c r="Z49" i="81"/>
  <c r="AA49" i="81"/>
  <c r="AB49" i="81"/>
  <c r="AC49" i="81"/>
  <c r="AD49" i="81"/>
  <c r="AE49" i="81"/>
  <c r="AF49" i="81"/>
  <c r="AG49" i="81"/>
  <c r="AH49" i="81"/>
  <c r="AI49" i="81"/>
  <c r="AJ49" i="81"/>
  <c r="AK49" i="81"/>
  <c r="AL49" i="81"/>
  <c r="AM49" i="81"/>
  <c r="AN49" i="81"/>
  <c r="AO49" i="81"/>
  <c r="AP49" i="81"/>
  <c r="AQ49" i="81"/>
  <c r="AR49" i="81"/>
  <c r="AS49" i="81"/>
  <c r="AT49" i="81"/>
  <c r="AU49" i="81"/>
  <c r="AV49" i="81"/>
  <c r="AW49" i="81"/>
  <c r="AX49" i="81"/>
  <c r="AY49" i="81"/>
  <c r="AZ49" i="81"/>
  <c r="BA49" i="81"/>
  <c r="BB49" i="81"/>
  <c r="BC49" i="81"/>
  <c r="BD49" i="81"/>
  <c r="BE49" i="81"/>
  <c r="BF49" i="81"/>
  <c r="BG49" i="81"/>
  <c r="BH49" i="81"/>
  <c r="BI49" i="81"/>
  <c r="BJ49" i="81"/>
  <c r="BK49" i="81"/>
  <c r="BL49" i="81"/>
  <c r="BM49" i="81"/>
  <c r="BN49" i="81"/>
  <c r="BO49" i="81"/>
  <c r="BP49" i="81"/>
  <c r="BQ49" i="81"/>
  <c r="BR49" i="81"/>
  <c r="BS49" i="81"/>
  <c r="BT49" i="81"/>
  <c r="BU49" i="81"/>
  <c r="BV49" i="81"/>
  <c r="BW49" i="81"/>
  <c r="BX49" i="81"/>
  <c r="BY49" i="81"/>
  <c r="BZ49" i="81"/>
  <c r="CA49" i="81"/>
  <c r="CB49" i="81"/>
  <c r="CC49" i="81"/>
  <c r="CD49" i="81"/>
  <c r="CE49" i="81"/>
  <c r="CF49" i="81"/>
  <c r="CG49" i="81"/>
  <c r="CH49" i="81"/>
  <c r="CI49" i="81"/>
  <c r="CJ49" i="81"/>
  <c r="CK49" i="81"/>
  <c r="CL49" i="81"/>
  <c r="CM49" i="81"/>
  <c r="CN49" i="81"/>
  <c r="CO49" i="81"/>
  <c r="CP49" i="81"/>
  <c r="CQ49" i="81"/>
  <c r="CR49" i="81"/>
  <c r="CS49" i="81"/>
  <c r="CT49" i="81"/>
  <c r="CU49" i="81"/>
  <c r="CV49" i="81"/>
  <c r="CW49" i="81"/>
  <c r="CX49" i="81"/>
  <c r="C50" i="81"/>
  <c r="D50" i="81"/>
  <c r="E50" i="81"/>
  <c r="F50" i="81"/>
  <c r="G50" i="81"/>
  <c r="H50" i="81"/>
  <c r="I50" i="81"/>
  <c r="J50" i="81"/>
  <c r="K50" i="81"/>
  <c r="L50" i="81"/>
  <c r="M50" i="81"/>
  <c r="N50" i="81"/>
  <c r="O50" i="81"/>
  <c r="P50" i="81"/>
  <c r="Q50" i="81"/>
  <c r="R50" i="81"/>
  <c r="S50" i="81"/>
  <c r="T50" i="81"/>
  <c r="U50" i="81"/>
  <c r="V50" i="81"/>
  <c r="W50" i="81"/>
  <c r="X50" i="81"/>
  <c r="Y50" i="81"/>
  <c r="Z50" i="81"/>
  <c r="AA50" i="81"/>
  <c r="AB50" i="81"/>
  <c r="AC50" i="81"/>
  <c r="AD50" i="81"/>
  <c r="AE50" i="81"/>
  <c r="AF50" i="81"/>
  <c r="AG50" i="81"/>
  <c r="AH50" i="81"/>
  <c r="AI50" i="81"/>
  <c r="AJ50" i="81"/>
  <c r="AK50" i="81"/>
  <c r="AL50" i="81"/>
  <c r="AM50" i="81"/>
  <c r="AN50" i="81"/>
  <c r="AO50" i="81"/>
  <c r="AP50" i="81"/>
  <c r="AQ50" i="81"/>
  <c r="AR50" i="81"/>
  <c r="AS50" i="81"/>
  <c r="AT50" i="81"/>
  <c r="AU50" i="81"/>
  <c r="AV50" i="81"/>
  <c r="AW50" i="81"/>
  <c r="AX50" i="81"/>
  <c r="AY50" i="81"/>
  <c r="AZ50" i="81"/>
  <c r="BA50" i="81"/>
  <c r="BB50" i="81"/>
  <c r="BC50" i="81"/>
  <c r="BD50" i="81"/>
  <c r="BE50" i="81"/>
  <c r="BF50" i="81"/>
  <c r="BG50" i="81"/>
  <c r="BH50" i="81"/>
  <c r="BI50" i="81"/>
  <c r="BJ50" i="81"/>
  <c r="BK50" i="81"/>
  <c r="BL50" i="81"/>
  <c r="BM50" i="81"/>
  <c r="BN50" i="81"/>
  <c r="BO50" i="81"/>
  <c r="BP50" i="81"/>
  <c r="BQ50" i="81"/>
  <c r="BR50" i="81"/>
  <c r="BS50" i="81"/>
  <c r="BT50" i="81"/>
  <c r="BU50" i="81"/>
  <c r="BV50" i="81"/>
  <c r="BW50" i="81"/>
  <c r="BX50" i="81"/>
  <c r="BY50" i="81"/>
  <c r="BZ50" i="81"/>
  <c r="CA50" i="81"/>
  <c r="CB50" i="81"/>
  <c r="CC50" i="81"/>
  <c r="CD50" i="81"/>
  <c r="CE50" i="81"/>
  <c r="CF50" i="81"/>
  <c r="CG50" i="81"/>
  <c r="CH50" i="81"/>
  <c r="CI50" i="81"/>
  <c r="CJ50" i="81"/>
  <c r="CK50" i="81"/>
  <c r="CL50" i="81"/>
  <c r="CM50" i="81"/>
  <c r="CN50" i="81"/>
  <c r="CO50" i="81"/>
  <c r="CP50" i="81"/>
  <c r="CQ50" i="81"/>
  <c r="CR50" i="81"/>
  <c r="CS50" i="81"/>
  <c r="CT50" i="81"/>
  <c r="CU50" i="81"/>
  <c r="CV50" i="81"/>
  <c r="CW50" i="81"/>
  <c r="CX50" i="81"/>
  <c r="C51" i="81"/>
  <c r="D51" i="81"/>
  <c r="E51" i="81"/>
  <c r="F51" i="81"/>
  <c r="G51" i="81"/>
  <c r="H51" i="81"/>
  <c r="I51" i="81"/>
  <c r="J51" i="81"/>
  <c r="K51" i="81"/>
  <c r="L51" i="81"/>
  <c r="M51" i="81"/>
  <c r="N51" i="81"/>
  <c r="O51" i="81"/>
  <c r="P51" i="81"/>
  <c r="Q51" i="81"/>
  <c r="R51" i="81"/>
  <c r="S51" i="81"/>
  <c r="T51" i="81"/>
  <c r="U51" i="81"/>
  <c r="V51" i="81"/>
  <c r="W51" i="81"/>
  <c r="X51" i="81"/>
  <c r="Y51" i="81"/>
  <c r="Z51" i="81"/>
  <c r="AA51" i="81"/>
  <c r="AB51" i="81"/>
  <c r="AC51" i="81"/>
  <c r="AD51" i="81"/>
  <c r="AE51" i="81"/>
  <c r="AF51" i="81"/>
  <c r="AG51" i="81"/>
  <c r="AH51" i="81"/>
  <c r="AI51" i="81"/>
  <c r="AJ51" i="81"/>
  <c r="AK51" i="81"/>
  <c r="AL51" i="81"/>
  <c r="AM51" i="81"/>
  <c r="AN51" i="81"/>
  <c r="AO51" i="81"/>
  <c r="AP51" i="81"/>
  <c r="AQ51" i="81"/>
  <c r="AR51" i="81"/>
  <c r="AS51" i="81"/>
  <c r="AT51" i="81"/>
  <c r="AU51" i="81"/>
  <c r="AV51" i="81"/>
  <c r="AW51" i="81"/>
  <c r="AX51" i="81"/>
  <c r="AY51" i="81"/>
  <c r="AZ51" i="81"/>
  <c r="BA51" i="81"/>
  <c r="BB51" i="81"/>
  <c r="BC51" i="81"/>
  <c r="BD51" i="81"/>
  <c r="BE51" i="81"/>
  <c r="BF51" i="81"/>
  <c r="BG51" i="81"/>
  <c r="BH51" i="81"/>
  <c r="BI51" i="81"/>
  <c r="BJ51" i="81"/>
  <c r="BK51" i="81"/>
  <c r="BL51" i="81"/>
  <c r="BM51" i="81"/>
  <c r="BN51" i="81"/>
  <c r="BO51" i="81"/>
  <c r="BP51" i="81"/>
  <c r="BQ51" i="81"/>
  <c r="BR51" i="81"/>
  <c r="BS51" i="81"/>
  <c r="BT51" i="81"/>
  <c r="BU51" i="81"/>
  <c r="BV51" i="81"/>
  <c r="BW51" i="81"/>
  <c r="BX51" i="81"/>
  <c r="BY51" i="81"/>
  <c r="BZ51" i="81"/>
  <c r="CA51" i="81"/>
  <c r="CB51" i="81"/>
  <c r="CC51" i="81"/>
  <c r="CD51" i="81"/>
  <c r="CE51" i="81"/>
  <c r="CF51" i="81"/>
  <c r="CG51" i="81"/>
  <c r="CH51" i="81"/>
  <c r="CI51" i="81"/>
  <c r="CJ51" i="81"/>
  <c r="CK51" i="81"/>
  <c r="CL51" i="81"/>
  <c r="CM51" i="81"/>
  <c r="CN51" i="81"/>
  <c r="CO51" i="81"/>
  <c r="CP51" i="81"/>
  <c r="CQ51" i="81"/>
  <c r="CR51" i="81"/>
  <c r="CS51" i="81"/>
  <c r="CT51" i="81"/>
  <c r="CU51" i="81"/>
  <c r="CV51" i="81"/>
  <c r="CW51" i="81"/>
  <c r="CX51" i="81"/>
  <c r="C52" i="81"/>
  <c r="D52" i="81"/>
  <c r="E52" i="81"/>
  <c r="F52" i="81"/>
  <c r="G52" i="81"/>
  <c r="H52" i="81"/>
  <c r="I52" i="81"/>
  <c r="J52" i="81"/>
  <c r="K52" i="81"/>
  <c r="L52" i="81"/>
  <c r="M52" i="81"/>
  <c r="N52" i="81"/>
  <c r="O52" i="81"/>
  <c r="P52" i="81"/>
  <c r="Q52" i="81"/>
  <c r="R52" i="81"/>
  <c r="S52" i="81"/>
  <c r="T52" i="81"/>
  <c r="U52" i="81"/>
  <c r="V52" i="81"/>
  <c r="W52" i="81"/>
  <c r="X52" i="81"/>
  <c r="Y52" i="81"/>
  <c r="Z52" i="81"/>
  <c r="AA52" i="81"/>
  <c r="AB52" i="81"/>
  <c r="AC52" i="81"/>
  <c r="AD52" i="81"/>
  <c r="AE52" i="81"/>
  <c r="AF52" i="81"/>
  <c r="AG52" i="81"/>
  <c r="AH52" i="81"/>
  <c r="AI52" i="81"/>
  <c r="AJ52" i="81"/>
  <c r="AK52" i="81"/>
  <c r="AL52" i="81"/>
  <c r="AM52" i="81"/>
  <c r="AN52" i="81"/>
  <c r="AO52" i="81"/>
  <c r="AP52" i="81"/>
  <c r="AQ52" i="81"/>
  <c r="AR52" i="81"/>
  <c r="AS52" i="81"/>
  <c r="AT52" i="81"/>
  <c r="AU52" i="81"/>
  <c r="AV52" i="81"/>
  <c r="AW52" i="81"/>
  <c r="AX52" i="81"/>
  <c r="AY52" i="81"/>
  <c r="AZ52" i="81"/>
  <c r="BA52" i="81"/>
  <c r="BB52" i="81"/>
  <c r="BC52" i="81"/>
  <c r="BD52" i="81"/>
  <c r="BE52" i="81"/>
  <c r="BF52" i="81"/>
  <c r="BG52" i="81"/>
  <c r="BH52" i="81"/>
  <c r="BI52" i="81"/>
  <c r="BJ52" i="81"/>
  <c r="BK52" i="81"/>
  <c r="BL52" i="81"/>
  <c r="BM52" i="81"/>
  <c r="BN52" i="81"/>
  <c r="BO52" i="81"/>
  <c r="BP52" i="81"/>
  <c r="BQ52" i="81"/>
  <c r="BR52" i="81"/>
  <c r="BS52" i="81"/>
  <c r="BT52" i="81"/>
  <c r="BU52" i="81"/>
  <c r="BV52" i="81"/>
  <c r="BW52" i="81"/>
  <c r="BX52" i="81"/>
  <c r="BY52" i="81"/>
  <c r="BZ52" i="81"/>
  <c r="CA52" i="81"/>
  <c r="CB52" i="81"/>
  <c r="CC52" i="81"/>
  <c r="CD52" i="81"/>
  <c r="CE52" i="81"/>
  <c r="CF52" i="81"/>
  <c r="CG52" i="81"/>
  <c r="CH52" i="81"/>
  <c r="CI52" i="81"/>
  <c r="CJ52" i="81"/>
  <c r="CK52" i="81"/>
  <c r="CL52" i="81"/>
  <c r="CM52" i="81"/>
  <c r="CN52" i="81"/>
  <c r="CO52" i="81"/>
  <c r="CP52" i="81"/>
  <c r="CQ52" i="81"/>
  <c r="CR52" i="81"/>
  <c r="CS52" i="81"/>
  <c r="CT52" i="81"/>
  <c r="CU52" i="81"/>
  <c r="CV52" i="81"/>
  <c r="CW52" i="81"/>
  <c r="CX52" i="81"/>
  <c r="C53" i="81"/>
  <c r="D53" i="81"/>
  <c r="E53" i="81"/>
  <c r="F53" i="81"/>
  <c r="G53" i="81"/>
  <c r="H53" i="81"/>
  <c r="I53" i="81"/>
  <c r="J53" i="81"/>
  <c r="K53" i="81"/>
  <c r="L53" i="81"/>
  <c r="M53" i="81"/>
  <c r="N53" i="81"/>
  <c r="O53" i="81"/>
  <c r="P53" i="81"/>
  <c r="Q53" i="81"/>
  <c r="R53" i="81"/>
  <c r="S53" i="81"/>
  <c r="T53" i="81"/>
  <c r="U53" i="81"/>
  <c r="V53" i="81"/>
  <c r="W53" i="81"/>
  <c r="X53" i="81"/>
  <c r="Y53" i="81"/>
  <c r="Z53" i="81"/>
  <c r="AA53" i="81"/>
  <c r="AB53" i="81"/>
  <c r="AC53" i="81"/>
  <c r="AD53" i="81"/>
  <c r="AE53" i="81"/>
  <c r="AF53" i="81"/>
  <c r="AG53" i="81"/>
  <c r="AH53" i="81"/>
  <c r="AI53" i="81"/>
  <c r="AJ53" i="81"/>
  <c r="AK53" i="81"/>
  <c r="AL53" i="81"/>
  <c r="AM53" i="81"/>
  <c r="AN53" i="81"/>
  <c r="AO53" i="81"/>
  <c r="AP53" i="81"/>
  <c r="AQ53" i="81"/>
  <c r="AR53" i="81"/>
  <c r="AS53" i="81"/>
  <c r="AT53" i="81"/>
  <c r="AU53" i="81"/>
  <c r="AV53" i="81"/>
  <c r="AW53" i="81"/>
  <c r="AX53" i="81"/>
  <c r="AY53" i="81"/>
  <c r="AZ53" i="81"/>
  <c r="BA53" i="81"/>
  <c r="BB53" i="81"/>
  <c r="BC53" i="81"/>
  <c r="BD53" i="81"/>
  <c r="BE53" i="81"/>
  <c r="BF53" i="81"/>
  <c r="BG53" i="81"/>
  <c r="BH53" i="81"/>
  <c r="BI53" i="81"/>
  <c r="BJ53" i="81"/>
  <c r="BK53" i="81"/>
  <c r="BL53" i="81"/>
  <c r="BM53" i="81"/>
  <c r="BN53" i="81"/>
  <c r="BO53" i="81"/>
  <c r="BP53" i="81"/>
  <c r="BQ53" i="81"/>
  <c r="BR53" i="81"/>
  <c r="BS53" i="81"/>
  <c r="BT53" i="81"/>
  <c r="BU53" i="81"/>
  <c r="BV53" i="81"/>
  <c r="BW53" i="81"/>
  <c r="BX53" i="81"/>
  <c r="BY53" i="81"/>
  <c r="BZ53" i="81"/>
  <c r="CA53" i="81"/>
  <c r="CB53" i="81"/>
  <c r="CC53" i="81"/>
  <c r="CD53" i="81"/>
  <c r="CE53" i="81"/>
  <c r="CF53" i="81"/>
  <c r="CG53" i="81"/>
  <c r="CH53" i="81"/>
  <c r="CI53" i="81"/>
  <c r="CJ53" i="81"/>
  <c r="CK53" i="81"/>
  <c r="CL53" i="81"/>
  <c r="CM53" i="81"/>
  <c r="CN53" i="81"/>
  <c r="CO53" i="81"/>
  <c r="CP53" i="81"/>
  <c r="CQ53" i="81"/>
  <c r="CR53" i="81"/>
  <c r="CS53" i="81"/>
  <c r="CT53" i="81"/>
  <c r="CU53" i="81"/>
  <c r="CV53" i="81"/>
  <c r="CW53" i="81"/>
  <c r="CX53" i="81"/>
  <c r="C54" i="81"/>
  <c r="D54" i="81"/>
  <c r="E54" i="81"/>
  <c r="F54" i="81"/>
  <c r="G54" i="81"/>
  <c r="H54" i="81"/>
  <c r="I54" i="81"/>
  <c r="J54" i="81"/>
  <c r="K54" i="81"/>
  <c r="L54" i="81"/>
  <c r="M54" i="81"/>
  <c r="N54" i="81"/>
  <c r="O54" i="81"/>
  <c r="P54" i="81"/>
  <c r="Q54" i="81"/>
  <c r="R54" i="81"/>
  <c r="S54" i="81"/>
  <c r="T54" i="81"/>
  <c r="U54" i="81"/>
  <c r="V54" i="81"/>
  <c r="W54" i="81"/>
  <c r="X54" i="81"/>
  <c r="Y54" i="81"/>
  <c r="Z54" i="81"/>
  <c r="AA54" i="81"/>
  <c r="AB54" i="81"/>
  <c r="AC54" i="81"/>
  <c r="AD54" i="81"/>
  <c r="AE54" i="81"/>
  <c r="AF54" i="81"/>
  <c r="AG54" i="81"/>
  <c r="AH54" i="81"/>
  <c r="AI54" i="81"/>
  <c r="AJ54" i="81"/>
  <c r="AK54" i="81"/>
  <c r="AL54" i="81"/>
  <c r="AM54" i="81"/>
  <c r="AN54" i="81"/>
  <c r="AO54" i="81"/>
  <c r="AP54" i="81"/>
  <c r="AQ54" i="81"/>
  <c r="AR54" i="81"/>
  <c r="AS54" i="81"/>
  <c r="AT54" i="81"/>
  <c r="AU54" i="81"/>
  <c r="AV54" i="81"/>
  <c r="AW54" i="81"/>
  <c r="AX54" i="81"/>
  <c r="AY54" i="81"/>
  <c r="AZ54" i="81"/>
  <c r="BA54" i="81"/>
  <c r="BB54" i="81"/>
  <c r="BC54" i="81"/>
  <c r="BD54" i="81"/>
  <c r="BE54" i="81"/>
  <c r="BF54" i="81"/>
  <c r="BG54" i="81"/>
  <c r="BH54" i="81"/>
  <c r="BI54" i="81"/>
  <c r="BJ54" i="81"/>
  <c r="BK54" i="81"/>
  <c r="BL54" i="81"/>
  <c r="BM54" i="81"/>
  <c r="BN54" i="81"/>
  <c r="BO54" i="81"/>
  <c r="BP54" i="81"/>
  <c r="BQ54" i="81"/>
  <c r="BR54" i="81"/>
  <c r="BS54" i="81"/>
  <c r="BT54" i="81"/>
  <c r="BU54" i="81"/>
  <c r="BV54" i="81"/>
  <c r="BW54" i="81"/>
  <c r="BX54" i="81"/>
  <c r="BY54" i="81"/>
  <c r="BZ54" i="81"/>
  <c r="CA54" i="81"/>
  <c r="CB54" i="81"/>
  <c r="CC54" i="81"/>
  <c r="CD54" i="81"/>
  <c r="CE54" i="81"/>
  <c r="CF54" i="81"/>
  <c r="CG54" i="81"/>
  <c r="CH54" i="81"/>
  <c r="CI54" i="81"/>
  <c r="CJ54" i="81"/>
  <c r="CK54" i="81"/>
  <c r="CL54" i="81"/>
  <c r="CM54" i="81"/>
  <c r="CN54" i="81"/>
  <c r="CO54" i="81"/>
  <c r="CP54" i="81"/>
  <c r="CQ54" i="81"/>
  <c r="CR54" i="81"/>
  <c r="CS54" i="81"/>
  <c r="CT54" i="81"/>
  <c r="CU54" i="81"/>
  <c r="CV54" i="81"/>
  <c r="CW54" i="81"/>
  <c r="CX54" i="81"/>
  <c r="C55" i="81"/>
  <c r="D55" i="81"/>
  <c r="E55" i="81"/>
  <c r="F55" i="81"/>
  <c r="G55" i="81"/>
  <c r="H55" i="81"/>
  <c r="I55" i="81"/>
  <c r="J55" i="81"/>
  <c r="K55" i="81"/>
  <c r="L55" i="81"/>
  <c r="M55" i="81"/>
  <c r="N55" i="81"/>
  <c r="O55" i="81"/>
  <c r="P55" i="81"/>
  <c r="Q55" i="81"/>
  <c r="R55" i="81"/>
  <c r="S55" i="81"/>
  <c r="T55" i="81"/>
  <c r="U55" i="81"/>
  <c r="V55" i="81"/>
  <c r="W55" i="81"/>
  <c r="X55" i="81"/>
  <c r="Y55" i="81"/>
  <c r="Z55" i="81"/>
  <c r="AA55" i="81"/>
  <c r="AB55" i="81"/>
  <c r="AC55" i="81"/>
  <c r="AD55" i="81"/>
  <c r="AE55" i="81"/>
  <c r="AF55" i="81"/>
  <c r="AG55" i="81"/>
  <c r="AH55" i="81"/>
  <c r="AI55" i="81"/>
  <c r="AJ55" i="81"/>
  <c r="AK55" i="81"/>
  <c r="AL55" i="81"/>
  <c r="AM55" i="81"/>
  <c r="AN55" i="81"/>
  <c r="AO55" i="81"/>
  <c r="AP55" i="81"/>
  <c r="AQ55" i="81"/>
  <c r="AR55" i="81"/>
  <c r="AS55" i="81"/>
  <c r="AT55" i="81"/>
  <c r="AU55" i="81"/>
  <c r="AV55" i="81"/>
  <c r="AW55" i="81"/>
  <c r="AX55" i="81"/>
  <c r="AY55" i="81"/>
  <c r="AZ55" i="81"/>
  <c r="BA55" i="81"/>
  <c r="BB55" i="81"/>
  <c r="BC55" i="81"/>
  <c r="BD55" i="81"/>
  <c r="BE55" i="81"/>
  <c r="BF55" i="81"/>
  <c r="BG55" i="81"/>
  <c r="BH55" i="81"/>
  <c r="BI55" i="81"/>
  <c r="BJ55" i="81"/>
  <c r="BK55" i="81"/>
  <c r="BL55" i="81"/>
  <c r="BM55" i="81"/>
  <c r="BN55" i="81"/>
  <c r="BO55" i="81"/>
  <c r="BP55" i="81"/>
  <c r="BQ55" i="81"/>
  <c r="BR55" i="81"/>
  <c r="BS55" i="81"/>
  <c r="BT55" i="81"/>
  <c r="BU55" i="81"/>
  <c r="BV55" i="81"/>
  <c r="BW55" i="81"/>
  <c r="BX55" i="81"/>
  <c r="BY55" i="81"/>
  <c r="BZ55" i="81"/>
  <c r="CA55" i="81"/>
  <c r="CB55" i="81"/>
  <c r="CC55" i="81"/>
  <c r="CD55" i="81"/>
  <c r="CE55" i="81"/>
  <c r="CF55" i="81"/>
  <c r="CG55" i="81"/>
  <c r="CH55" i="81"/>
  <c r="CI55" i="81"/>
  <c r="CJ55" i="81"/>
  <c r="CK55" i="81"/>
  <c r="CL55" i="81"/>
  <c r="CM55" i="81"/>
  <c r="CN55" i="81"/>
  <c r="CO55" i="81"/>
  <c r="CP55" i="81"/>
  <c r="CQ55" i="81"/>
  <c r="CR55" i="81"/>
  <c r="CS55" i="81"/>
  <c r="CT55" i="81"/>
  <c r="CU55" i="81"/>
  <c r="CV55" i="81"/>
  <c r="CW55" i="81"/>
  <c r="CX55" i="81"/>
  <c r="C56" i="81"/>
  <c r="D56" i="81"/>
  <c r="E56" i="81"/>
  <c r="F56" i="81"/>
  <c r="G56" i="81"/>
  <c r="H56" i="81"/>
  <c r="I56" i="81"/>
  <c r="J56" i="81"/>
  <c r="K56" i="81"/>
  <c r="L56" i="81"/>
  <c r="M56" i="81"/>
  <c r="N56" i="81"/>
  <c r="O56" i="81"/>
  <c r="P56" i="81"/>
  <c r="Q56" i="81"/>
  <c r="R56" i="81"/>
  <c r="S56" i="81"/>
  <c r="T56" i="81"/>
  <c r="U56" i="81"/>
  <c r="V56" i="81"/>
  <c r="W56" i="81"/>
  <c r="X56" i="81"/>
  <c r="Y56" i="81"/>
  <c r="Z56" i="81"/>
  <c r="AA56" i="81"/>
  <c r="AB56" i="81"/>
  <c r="AC56" i="81"/>
  <c r="AD56" i="81"/>
  <c r="AE56" i="81"/>
  <c r="AF56" i="81"/>
  <c r="AG56" i="81"/>
  <c r="AH56" i="81"/>
  <c r="AI56" i="81"/>
  <c r="AJ56" i="81"/>
  <c r="AK56" i="81"/>
  <c r="AL56" i="81"/>
  <c r="AM56" i="81"/>
  <c r="AN56" i="81"/>
  <c r="AO56" i="81"/>
  <c r="AP56" i="81"/>
  <c r="AQ56" i="81"/>
  <c r="AR56" i="81"/>
  <c r="AS56" i="81"/>
  <c r="AT56" i="81"/>
  <c r="AU56" i="81"/>
  <c r="AV56" i="81"/>
  <c r="AW56" i="81"/>
  <c r="AX56" i="81"/>
  <c r="AY56" i="81"/>
  <c r="AZ56" i="81"/>
  <c r="BA56" i="81"/>
  <c r="BB56" i="81"/>
  <c r="BC56" i="81"/>
  <c r="BD56" i="81"/>
  <c r="BE56" i="81"/>
  <c r="BF56" i="81"/>
  <c r="BG56" i="81"/>
  <c r="BH56" i="81"/>
  <c r="BI56" i="81"/>
  <c r="BJ56" i="81"/>
  <c r="BK56" i="81"/>
  <c r="BL56" i="81"/>
  <c r="BM56" i="81"/>
  <c r="BN56" i="81"/>
  <c r="BO56" i="81"/>
  <c r="BP56" i="81"/>
  <c r="BQ56" i="81"/>
  <c r="BR56" i="81"/>
  <c r="BS56" i="81"/>
  <c r="BT56" i="81"/>
  <c r="BU56" i="81"/>
  <c r="BV56" i="81"/>
  <c r="BW56" i="81"/>
  <c r="BX56" i="81"/>
  <c r="BY56" i="81"/>
  <c r="BZ56" i="81"/>
  <c r="CA56" i="81"/>
  <c r="CB56" i="81"/>
  <c r="CC56" i="81"/>
  <c r="CD56" i="81"/>
  <c r="CE56" i="81"/>
  <c r="CF56" i="81"/>
  <c r="CG56" i="81"/>
  <c r="CH56" i="81"/>
  <c r="CI56" i="81"/>
  <c r="CJ56" i="81"/>
  <c r="CK56" i="81"/>
  <c r="CL56" i="81"/>
  <c r="CM56" i="81"/>
  <c r="CN56" i="81"/>
  <c r="CO56" i="81"/>
  <c r="CP56" i="81"/>
  <c r="CQ56" i="81"/>
  <c r="CR56" i="81"/>
  <c r="CS56" i="81"/>
  <c r="CT56" i="81"/>
  <c r="CU56" i="81"/>
  <c r="CV56" i="81"/>
  <c r="CW56" i="81"/>
  <c r="CX56" i="81"/>
  <c r="C57" i="81"/>
  <c r="D57" i="81"/>
  <c r="E57" i="81"/>
  <c r="F57" i="81"/>
  <c r="G57" i="81"/>
  <c r="H57" i="81"/>
  <c r="I57" i="81"/>
  <c r="J57" i="81"/>
  <c r="K57" i="81"/>
  <c r="L57" i="81"/>
  <c r="M57" i="81"/>
  <c r="N57" i="81"/>
  <c r="O57" i="81"/>
  <c r="P57" i="81"/>
  <c r="Q57" i="81"/>
  <c r="R57" i="81"/>
  <c r="S57" i="81"/>
  <c r="T57" i="81"/>
  <c r="U57" i="81"/>
  <c r="V57" i="81"/>
  <c r="W57" i="81"/>
  <c r="X57" i="81"/>
  <c r="Y57" i="81"/>
  <c r="Z57" i="81"/>
  <c r="AA57" i="81"/>
  <c r="AB57" i="81"/>
  <c r="AC57" i="81"/>
  <c r="AD57" i="81"/>
  <c r="AE57" i="81"/>
  <c r="AF57" i="81"/>
  <c r="AG57" i="81"/>
  <c r="AH57" i="81"/>
  <c r="AI57" i="81"/>
  <c r="AJ57" i="81"/>
  <c r="AK57" i="81"/>
  <c r="AL57" i="81"/>
  <c r="AM57" i="81"/>
  <c r="AN57" i="81"/>
  <c r="AO57" i="81"/>
  <c r="AP57" i="81"/>
  <c r="AQ57" i="81"/>
  <c r="AR57" i="81"/>
  <c r="AS57" i="81"/>
  <c r="AT57" i="81"/>
  <c r="AU57" i="81"/>
  <c r="AV57" i="81"/>
  <c r="AW57" i="81"/>
  <c r="AX57" i="81"/>
  <c r="AY57" i="81"/>
  <c r="AZ57" i="81"/>
  <c r="BA57" i="81"/>
  <c r="BB57" i="81"/>
  <c r="BC57" i="81"/>
  <c r="BD57" i="81"/>
  <c r="BE57" i="81"/>
  <c r="BF57" i="81"/>
  <c r="BG57" i="81"/>
  <c r="BH57" i="81"/>
  <c r="BI57" i="81"/>
  <c r="BJ57" i="81"/>
  <c r="BK57" i="81"/>
  <c r="BL57" i="81"/>
  <c r="BM57" i="81"/>
  <c r="BN57" i="81"/>
  <c r="BO57" i="81"/>
  <c r="BP57" i="81"/>
  <c r="BQ57" i="81"/>
  <c r="BR57" i="81"/>
  <c r="BS57" i="81"/>
  <c r="BT57" i="81"/>
  <c r="BU57" i="81"/>
  <c r="BV57" i="81"/>
  <c r="BW57" i="81"/>
  <c r="BX57" i="81"/>
  <c r="BY57" i="81"/>
  <c r="BZ57" i="81"/>
  <c r="CA57" i="81"/>
  <c r="CB57" i="81"/>
  <c r="CC57" i="81"/>
  <c r="CD57" i="81"/>
  <c r="CE57" i="81"/>
  <c r="CF57" i="81"/>
  <c r="CG57" i="81"/>
  <c r="CH57" i="81"/>
  <c r="CI57" i="81"/>
  <c r="CJ57" i="81"/>
  <c r="CK57" i="81"/>
  <c r="CL57" i="81"/>
  <c r="CM57" i="81"/>
  <c r="CN57" i="81"/>
  <c r="CO57" i="81"/>
  <c r="CP57" i="81"/>
  <c r="CQ57" i="81"/>
  <c r="CR57" i="81"/>
  <c r="CS57" i="81"/>
  <c r="CT57" i="81"/>
  <c r="CU57" i="81"/>
  <c r="CV57" i="81"/>
  <c r="CW57" i="81"/>
  <c r="CX57" i="81"/>
  <c r="C58" i="81"/>
  <c r="D58" i="81"/>
  <c r="E58" i="81"/>
  <c r="F58" i="81"/>
  <c r="G58" i="81"/>
  <c r="H58" i="81"/>
  <c r="I58" i="81"/>
  <c r="J58" i="81"/>
  <c r="K58" i="81"/>
  <c r="L58" i="81"/>
  <c r="M58" i="81"/>
  <c r="N58" i="81"/>
  <c r="O58" i="81"/>
  <c r="P58" i="81"/>
  <c r="Q58" i="81"/>
  <c r="R58" i="81"/>
  <c r="S58" i="81"/>
  <c r="T58" i="81"/>
  <c r="U58" i="81"/>
  <c r="V58" i="81"/>
  <c r="W58" i="81"/>
  <c r="X58" i="81"/>
  <c r="Y58" i="81"/>
  <c r="Z58" i="81"/>
  <c r="AA58" i="81"/>
  <c r="AB58" i="81"/>
  <c r="AC58" i="81"/>
  <c r="AD58" i="81"/>
  <c r="AE58" i="81"/>
  <c r="AF58" i="81"/>
  <c r="AG58" i="81"/>
  <c r="AH58" i="81"/>
  <c r="AI58" i="81"/>
  <c r="AJ58" i="81"/>
  <c r="AK58" i="81"/>
  <c r="AL58" i="81"/>
  <c r="AM58" i="81"/>
  <c r="AN58" i="81"/>
  <c r="AO58" i="81"/>
  <c r="AP58" i="81"/>
  <c r="AQ58" i="81"/>
  <c r="AR58" i="81"/>
  <c r="AS58" i="81"/>
  <c r="AT58" i="81"/>
  <c r="AU58" i="81"/>
  <c r="AV58" i="81"/>
  <c r="AW58" i="81"/>
  <c r="AX58" i="81"/>
  <c r="AY58" i="81"/>
  <c r="AZ58" i="81"/>
  <c r="BA58" i="81"/>
  <c r="BB58" i="81"/>
  <c r="BC58" i="81"/>
  <c r="BD58" i="81"/>
  <c r="BE58" i="81"/>
  <c r="BF58" i="81"/>
  <c r="BG58" i="81"/>
  <c r="BH58" i="81"/>
  <c r="BI58" i="81"/>
  <c r="BJ58" i="81"/>
  <c r="BK58" i="81"/>
  <c r="BL58" i="81"/>
  <c r="BM58" i="81"/>
  <c r="BN58" i="81"/>
  <c r="BO58" i="81"/>
  <c r="BP58" i="81"/>
  <c r="BQ58" i="81"/>
  <c r="BR58" i="81"/>
  <c r="BS58" i="81"/>
  <c r="BT58" i="81"/>
  <c r="BU58" i="81"/>
  <c r="BV58" i="81"/>
  <c r="BW58" i="81"/>
  <c r="BX58" i="81"/>
  <c r="BY58" i="81"/>
  <c r="BZ58" i="81"/>
  <c r="CA58" i="81"/>
  <c r="CB58" i="81"/>
  <c r="CC58" i="81"/>
  <c r="CD58" i="81"/>
  <c r="CE58" i="81"/>
  <c r="CF58" i="81"/>
  <c r="CG58" i="81"/>
  <c r="CH58" i="81"/>
  <c r="CI58" i="81"/>
  <c r="CJ58" i="81"/>
  <c r="CK58" i="81"/>
  <c r="CL58" i="81"/>
  <c r="CM58" i="81"/>
  <c r="CN58" i="81"/>
  <c r="CO58" i="81"/>
  <c r="CP58" i="81"/>
  <c r="CQ58" i="81"/>
  <c r="CR58" i="81"/>
  <c r="CS58" i="81"/>
  <c r="CT58" i="81"/>
  <c r="CU58" i="81"/>
  <c r="CV58" i="81"/>
  <c r="CW58" i="81"/>
  <c r="CX58" i="81"/>
  <c r="C59" i="81"/>
  <c r="D59" i="81"/>
  <c r="E59" i="81"/>
  <c r="F59" i="81"/>
  <c r="G59" i="81"/>
  <c r="H59" i="81"/>
  <c r="I59" i="81"/>
  <c r="J59" i="81"/>
  <c r="K59" i="81"/>
  <c r="L59" i="81"/>
  <c r="M59" i="81"/>
  <c r="N59" i="81"/>
  <c r="O59" i="81"/>
  <c r="P59" i="81"/>
  <c r="Q59" i="81"/>
  <c r="R59" i="81"/>
  <c r="S59" i="81"/>
  <c r="T59" i="81"/>
  <c r="U59" i="81"/>
  <c r="V59" i="81"/>
  <c r="W59" i="81"/>
  <c r="X59" i="81"/>
  <c r="Y59" i="81"/>
  <c r="Z59" i="81"/>
  <c r="AA59" i="81"/>
  <c r="AB59" i="81"/>
  <c r="AC59" i="81"/>
  <c r="AD59" i="81"/>
  <c r="AE59" i="81"/>
  <c r="AF59" i="81"/>
  <c r="AG59" i="81"/>
  <c r="AH59" i="81"/>
  <c r="AI59" i="81"/>
  <c r="AJ59" i="81"/>
  <c r="AK59" i="81"/>
  <c r="AL59" i="81"/>
  <c r="AM59" i="81"/>
  <c r="AN59" i="81"/>
  <c r="AO59" i="81"/>
  <c r="AP59" i="81"/>
  <c r="AQ59" i="81"/>
  <c r="AR59" i="81"/>
  <c r="AS59" i="81"/>
  <c r="AT59" i="81"/>
  <c r="AU59" i="81"/>
  <c r="AV59" i="81"/>
  <c r="AW59" i="81"/>
  <c r="AX59" i="81"/>
  <c r="AY59" i="81"/>
  <c r="AZ59" i="81"/>
  <c r="BA59" i="81"/>
  <c r="BB59" i="81"/>
  <c r="BC59" i="81"/>
  <c r="BD59" i="81"/>
  <c r="BE59" i="81"/>
  <c r="BF59" i="81"/>
  <c r="BG59" i="81"/>
  <c r="BH59" i="81"/>
  <c r="BI59" i="81"/>
  <c r="BJ59" i="81"/>
  <c r="BK59" i="81"/>
  <c r="BL59" i="81"/>
  <c r="BM59" i="81"/>
  <c r="BN59" i="81"/>
  <c r="BO59" i="81"/>
  <c r="BP59" i="81"/>
  <c r="BQ59" i="81"/>
  <c r="BR59" i="81"/>
  <c r="BS59" i="81"/>
  <c r="BT59" i="81"/>
  <c r="BU59" i="81"/>
  <c r="BV59" i="81"/>
  <c r="BW59" i="81"/>
  <c r="BX59" i="81"/>
  <c r="BY59" i="81"/>
  <c r="BZ59" i="81"/>
  <c r="CA59" i="81"/>
  <c r="CB59" i="81"/>
  <c r="CC59" i="81"/>
  <c r="CD59" i="81"/>
  <c r="CE59" i="81"/>
  <c r="CF59" i="81"/>
  <c r="CG59" i="81"/>
  <c r="CH59" i="81"/>
  <c r="CI59" i="81"/>
  <c r="CJ59" i="81"/>
  <c r="CK59" i="81"/>
  <c r="CL59" i="81"/>
  <c r="CM59" i="81"/>
  <c r="CN59" i="81"/>
  <c r="CO59" i="81"/>
  <c r="CP59" i="81"/>
  <c r="CQ59" i="81"/>
  <c r="CR59" i="81"/>
  <c r="CS59" i="81"/>
  <c r="CT59" i="81"/>
  <c r="CU59" i="81"/>
  <c r="CV59" i="81"/>
  <c r="CW59" i="81"/>
  <c r="CX59" i="81"/>
  <c r="C60" i="81"/>
  <c r="D60" i="81"/>
  <c r="E60" i="81"/>
  <c r="F60" i="81"/>
  <c r="G60" i="81"/>
  <c r="H60" i="81"/>
  <c r="I60" i="81"/>
  <c r="J60" i="81"/>
  <c r="K60" i="81"/>
  <c r="L60" i="81"/>
  <c r="M60" i="81"/>
  <c r="N60" i="81"/>
  <c r="O60" i="81"/>
  <c r="P60" i="81"/>
  <c r="Q60" i="81"/>
  <c r="R60" i="81"/>
  <c r="S60" i="81"/>
  <c r="T60" i="81"/>
  <c r="U60" i="81"/>
  <c r="V60" i="81"/>
  <c r="W60" i="81"/>
  <c r="X60" i="81"/>
  <c r="Y60" i="81"/>
  <c r="Z60" i="81"/>
  <c r="AA60" i="81"/>
  <c r="AB60" i="81"/>
  <c r="AC60" i="81"/>
  <c r="AD60" i="81"/>
  <c r="AE60" i="81"/>
  <c r="AF60" i="81"/>
  <c r="AG60" i="81"/>
  <c r="AH60" i="81"/>
  <c r="AI60" i="81"/>
  <c r="AJ60" i="81"/>
  <c r="AK60" i="81"/>
  <c r="AL60" i="81"/>
  <c r="AM60" i="81"/>
  <c r="AN60" i="81"/>
  <c r="AO60" i="81"/>
  <c r="AP60" i="81"/>
  <c r="AQ60" i="81"/>
  <c r="AR60" i="81"/>
  <c r="AS60" i="81"/>
  <c r="AT60" i="81"/>
  <c r="AU60" i="81"/>
  <c r="AV60" i="81"/>
  <c r="AW60" i="81"/>
  <c r="AX60" i="81"/>
  <c r="AY60" i="81"/>
  <c r="AZ60" i="81"/>
  <c r="BA60" i="81"/>
  <c r="BB60" i="81"/>
  <c r="BC60" i="81"/>
  <c r="BD60" i="81"/>
  <c r="BE60" i="81"/>
  <c r="BF60" i="81"/>
  <c r="BG60" i="81"/>
  <c r="BH60" i="81"/>
  <c r="BI60" i="81"/>
  <c r="BJ60" i="81"/>
  <c r="BK60" i="81"/>
  <c r="BL60" i="81"/>
  <c r="BM60" i="81"/>
  <c r="BN60" i="81"/>
  <c r="BO60" i="81"/>
  <c r="BP60" i="81"/>
  <c r="BQ60" i="81"/>
  <c r="BR60" i="81"/>
  <c r="BS60" i="81"/>
  <c r="BT60" i="81"/>
  <c r="BU60" i="81"/>
  <c r="BV60" i="81"/>
  <c r="BW60" i="81"/>
  <c r="BX60" i="81"/>
  <c r="BY60" i="81"/>
  <c r="BZ60" i="81"/>
  <c r="CA60" i="81"/>
  <c r="CB60" i="81"/>
  <c r="CC60" i="81"/>
  <c r="CD60" i="81"/>
  <c r="CE60" i="81"/>
  <c r="CF60" i="81"/>
  <c r="CG60" i="81"/>
  <c r="CH60" i="81"/>
  <c r="CI60" i="81"/>
  <c r="CJ60" i="81"/>
  <c r="CK60" i="81"/>
  <c r="CL60" i="81"/>
  <c r="CM60" i="81"/>
  <c r="CN60" i="81"/>
  <c r="CO60" i="81"/>
  <c r="CP60" i="81"/>
  <c r="CQ60" i="81"/>
  <c r="CR60" i="81"/>
  <c r="CS60" i="81"/>
  <c r="CT60" i="81"/>
  <c r="CU60" i="81"/>
  <c r="CV60" i="81"/>
  <c r="CW60" i="81"/>
  <c r="CX60" i="81"/>
  <c r="C61" i="81"/>
  <c r="D61" i="81"/>
  <c r="E61" i="81"/>
  <c r="F61" i="81"/>
  <c r="G61" i="81"/>
  <c r="H61" i="81"/>
  <c r="I61" i="81"/>
  <c r="J61" i="81"/>
  <c r="K61" i="81"/>
  <c r="L61" i="81"/>
  <c r="M61" i="81"/>
  <c r="N61" i="81"/>
  <c r="O61" i="81"/>
  <c r="P61" i="81"/>
  <c r="Q61" i="81"/>
  <c r="R61" i="81"/>
  <c r="S61" i="81"/>
  <c r="T61" i="81"/>
  <c r="U61" i="81"/>
  <c r="V61" i="81"/>
  <c r="W61" i="81"/>
  <c r="X61" i="81"/>
  <c r="Y61" i="81"/>
  <c r="Z61" i="81"/>
  <c r="AA61" i="81"/>
  <c r="AB61" i="81"/>
  <c r="AC61" i="81"/>
  <c r="AD61" i="81"/>
  <c r="AE61" i="81"/>
  <c r="AF61" i="81"/>
  <c r="AG61" i="81"/>
  <c r="AH61" i="81"/>
  <c r="AI61" i="81"/>
  <c r="AJ61" i="81"/>
  <c r="AK61" i="81"/>
  <c r="AL61" i="81"/>
  <c r="AM61" i="81"/>
  <c r="AN61" i="81"/>
  <c r="AO61" i="81"/>
  <c r="AP61" i="81"/>
  <c r="AQ61" i="81"/>
  <c r="AR61" i="81"/>
  <c r="AS61" i="81"/>
  <c r="AT61" i="81"/>
  <c r="AU61" i="81"/>
  <c r="AV61" i="81"/>
  <c r="AW61" i="81"/>
  <c r="AX61" i="81"/>
  <c r="AY61" i="81"/>
  <c r="AZ61" i="81"/>
  <c r="BA61" i="81"/>
  <c r="BB61" i="81"/>
  <c r="BC61" i="81"/>
  <c r="BD61" i="81"/>
  <c r="BE61" i="81"/>
  <c r="BF61" i="81"/>
  <c r="BG61" i="81"/>
  <c r="BH61" i="81"/>
  <c r="BI61" i="81"/>
  <c r="BJ61" i="81"/>
  <c r="BK61" i="81"/>
  <c r="BL61" i="81"/>
  <c r="BM61" i="81"/>
  <c r="BN61" i="81"/>
  <c r="BO61" i="81"/>
  <c r="BP61" i="81"/>
  <c r="BQ61" i="81"/>
  <c r="BR61" i="81"/>
  <c r="BS61" i="81"/>
  <c r="BT61" i="81"/>
  <c r="BU61" i="81"/>
  <c r="BV61" i="81"/>
  <c r="BW61" i="81"/>
  <c r="BX61" i="81"/>
  <c r="BY61" i="81"/>
  <c r="BZ61" i="81"/>
  <c r="CA61" i="81"/>
  <c r="CB61" i="81"/>
  <c r="CC61" i="81"/>
  <c r="CD61" i="81"/>
  <c r="CE61" i="81"/>
  <c r="CF61" i="81"/>
  <c r="CG61" i="81"/>
  <c r="CH61" i="81"/>
  <c r="CI61" i="81"/>
  <c r="CJ61" i="81"/>
  <c r="CK61" i="81"/>
  <c r="CL61" i="81"/>
  <c r="CM61" i="81"/>
  <c r="CN61" i="81"/>
  <c r="CO61" i="81"/>
  <c r="CP61" i="81"/>
  <c r="CQ61" i="81"/>
  <c r="CR61" i="81"/>
  <c r="CS61" i="81"/>
  <c r="CT61" i="81"/>
  <c r="CU61" i="81"/>
  <c r="CV61" i="81"/>
  <c r="CW61" i="81"/>
  <c r="CX61" i="81"/>
  <c r="C62" i="81"/>
  <c r="D62" i="81"/>
  <c r="E62" i="81"/>
  <c r="F62" i="81"/>
  <c r="G62" i="81"/>
  <c r="H62" i="81"/>
  <c r="I62" i="81"/>
  <c r="J62" i="81"/>
  <c r="K62" i="81"/>
  <c r="L62" i="81"/>
  <c r="M62" i="81"/>
  <c r="N62" i="81"/>
  <c r="O62" i="81"/>
  <c r="P62" i="81"/>
  <c r="Q62" i="81"/>
  <c r="R62" i="81"/>
  <c r="S62" i="81"/>
  <c r="T62" i="81"/>
  <c r="U62" i="81"/>
  <c r="V62" i="81"/>
  <c r="W62" i="81"/>
  <c r="X62" i="81"/>
  <c r="Y62" i="81"/>
  <c r="Z62" i="81"/>
  <c r="AA62" i="81"/>
  <c r="AB62" i="81"/>
  <c r="AC62" i="81"/>
  <c r="AD62" i="81"/>
  <c r="AE62" i="81"/>
  <c r="AF62" i="81"/>
  <c r="AG62" i="81"/>
  <c r="AH62" i="81"/>
  <c r="AI62" i="81"/>
  <c r="AJ62" i="81"/>
  <c r="AK62" i="81"/>
  <c r="AL62" i="81"/>
  <c r="AM62" i="81"/>
  <c r="AN62" i="81"/>
  <c r="AO62" i="81"/>
  <c r="AP62" i="81"/>
  <c r="AQ62" i="81"/>
  <c r="AR62" i="81"/>
  <c r="AS62" i="81"/>
  <c r="AT62" i="81"/>
  <c r="AU62" i="81"/>
  <c r="AV62" i="81"/>
  <c r="AW62" i="81"/>
  <c r="AX62" i="81"/>
  <c r="AY62" i="81"/>
  <c r="AZ62" i="81"/>
  <c r="BA62" i="81"/>
  <c r="BB62" i="81"/>
  <c r="BC62" i="81"/>
  <c r="BD62" i="81"/>
  <c r="BE62" i="81"/>
  <c r="BF62" i="81"/>
  <c r="BG62" i="81"/>
  <c r="BH62" i="81"/>
  <c r="BI62" i="81"/>
  <c r="BJ62" i="81"/>
  <c r="BK62" i="81"/>
  <c r="BL62" i="81"/>
  <c r="BM62" i="81"/>
  <c r="BN62" i="81"/>
  <c r="BO62" i="81"/>
  <c r="BP62" i="81"/>
  <c r="BQ62" i="81"/>
  <c r="BR62" i="81"/>
  <c r="BS62" i="81"/>
  <c r="BT62" i="81"/>
  <c r="BU62" i="81"/>
  <c r="BV62" i="81"/>
  <c r="BW62" i="81"/>
  <c r="BX62" i="81"/>
  <c r="BY62" i="81"/>
  <c r="BZ62" i="81"/>
  <c r="CA62" i="81"/>
  <c r="CB62" i="81"/>
  <c r="CC62" i="81"/>
  <c r="CD62" i="81"/>
  <c r="CE62" i="81"/>
  <c r="CF62" i="81"/>
  <c r="CG62" i="81"/>
  <c r="CH62" i="81"/>
  <c r="CI62" i="81"/>
  <c r="CJ62" i="81"/>
  <c r="CK62" i="81"/>
  <c r="CL62" i="81"/>
  <c r="CM62" i="81"/>
  <c r="CN62" i="81"/>
  <c r="CO62" i="81"/>
  <c r="CP62" i="81"/>
  <c r="CQ62" i="81"/>
  <c r="CR62" i="81"/>
  <c r="CS62" i="81"/>
  <c r="CT62" i="81"/>
  <c r="CU62" i="81"/>
  <c r="CV62" i="81"/>
  <c r="CW62" i="81"/>
  <c r="CX62" i="81"/>
  <c r="C63" i="81"/>
  <c r="D63" i="81"/>
  <c r="E63" i="81"/>
  <c r="F63" i="81"/>
  <c r="G63" i="81"/>
  <c r="H63" i="81"/>
  <c r="I63" i="81"/>
  <c r="J63" i="81"/>
  <c r="K63" i="81"/>
  <c r="L63" i="81"/>
  <c r="M63" i="81"/>
  <c r="N63" i="81"/>
  <c r="O63" i="81"/>
  <c r="P63" i="81"/>
  <c r="Q63" i="81"/>
  <c r="R63" i="81"/>
  <c r="S63" i="81"/>
  <c r="T63" i="81"/>
  <c r="U63" i="81"/>
  <c r="V63" i="81"/>
  <c r="W63" i="81"/>
  <c r="X63" i="81"/>
  <c r="Y63" i="81"/>
  <c r="Z63" i="81"/>
  <c r="AA63" i="81"/>
  <c r="AB63" i="81"/>
  <c r="AC63" i="81"/>
  <c r="AD63" i="81"/>
  <c r="AE63" i="81"/>
  <c r="AF63" i="81"/>
  <c r="AG63" i="81"/>
  <c r="AH63" i="81"/>
  <c r="AI63" i="81"/>
  <c r="AJ63" i="81"/>
  <c r="AK63" i="81"/>
  <c r="AL63" i="81"/>
  <c r="AM63" i="81"/>
  <c r="AN63" i="81"/>
  <c r="AO63" i="81"/>
  <c r="AP63" i="81"/>
  <c r="AQ63" i="81"/>
  <c r="AR63" i="81"/>
  <c r="AS63" i="81"/>
  <c r="AT63" i="81"/>
  <c r="AU63" i="81"/>
  <c r="AV63" i="81"/>
  <c r="AW63" i="81"/>
  <c r="AX63" i="81"/>
  <c r="AY63" i="81"/>
  <c r="AZ63" i="81"/>
  <c r="BA63" i="81"/>
  <c r="BB63" i="81"/>
  <c r="BC63" i="81"/>
  <c r="BD63" i="81"/>
  <c r="BE63" i="81"/>
  <c r="BF63" i="81"/>
  <c r="BG63" i="81"/>
  <c r="BH63" i="81"/>
  <c r="BI63" i="81"/>
  <c r="BJ63" i="81"/>
  <c r="BK63" i="81"/>
  <c r="BL63" i="81"/>
  <c r="BM63" i="81"/>
  <c r="BN63" i="81"/>
  <c r="BO63" i="81"/>
  <c r="BP63" i="81"/>
  <c r="BQ63" i="81"/>
  <c r="BR63" i="81"/>
  <c r="BS63" i="81"/>
  <c r="BT63" i="81"/>
  <c r="BU63" i="81"/>
  <c r="BV63" i="81"/>
  <c r="BW63" i="81"/>
  <c r="BX63" i="81"/>
  <c r="BY63" i="81"/>
  <c r="BZ63" i="81"/>
  <c r="CA63" i="81"/>
  <c r="CB63" i="81"/>
  <c r="CC63" i="81"/>
  <c r="CD63" i="81"/>
  <c r="CE63" i="81"/>
  <c r="CF63" i="81"/>
  <c r="CG63" i="81"/>
  <c r="CH63" i="81"/>
  <c r="CI63" i="81"/>
  <c r="CJ63" i="81"/>
  <c r="CK63" i="81"/>
  <c r="CL63" i="81"/>
  <c r="CM63" i="81"/>
  <c r="CN63" i="81"/>
  <c r="CO63" i="81"/>
  <c r="CP63" i="81"/>
  <c r="CQ63" i="81"/>
  <c r="CR63" i="81"/>
  <c r="CS63" i="81"/>
  <c r="CT63" i="81"/>
  <c r="CU63" i="81"/>
  <c r="CV63" i="81"/>
  <c r="CW63" i="81"/>
  <c r="CX63" i="81"/>
  <c r="C64" i="81"/>
  <c r="D64" i="81"/>
  <c r="E64" i="81"/>
  <c r="F64" i="81"/>
  <c r="G64" i="81"/>
  <c r="H64" i="81"/>
  <c r="I64" i="81"/>
  <c r="J64" i="81"/>
  <c r="K64" i="81"/>
  <c r="L64" i="81"/>
  <c r="M64" i="81"/>
  <c r="N64" i="81"/>
  <c r="O64" i="81"/>
  <c r="P64" i="81"/>
  <c r="Q64" i="81"/>
  <c r="R64" i="81"/>
  <c r="S64" i="81"/>
  <c r="T64" i="81"/>
  <c r="U64" i="81"/>
  <c r="V64" i="81"/>
  <c r="W64" i="81"/>
  <c r="X64" i="81"/>
  <c r="Y64" i="81"/>
  <c r="Z64" i="81"/>
  <c r="AA64" i="81"/>
  <c r="AB64" i="81"/>
  <c r="AC64" i="81"/>
  <c r="AD64" i="81"/>
  <c r="AE64" i="81"/>
  <c r="AF64" i="81"/>
  <c r="AG64" i="81"/>
  <c r="AH64" i="81"/>
  <c r="AI64" i="81"/>
  <c r="AJ64" i="81"/>
  <c r="AK64" i="81"/>
  <c r="AL64" i="81"/>
  <c r="AM64" i="81"/>
  <c r="AN64" i="81"/>
  <c r="AO64" i="81"/>
  <c r="AP64" i="81"/>
  <c r="AQ64" i="81"/>
  <c r="AR64" i="81"/>
  <c r="AS64" i="81"/>
  <c r="AT64" i="81"/>
  <c r="AU64" i="81"/>
  <c r="AV64" i="81"/>
  <c r="AW64" i="81"/>
  <c r="AX64" i="81"/>
  <c r="AY64" i="81"/>
  <c r="AZ64" i="81"/>
  <c r="BA64" i="81"/>
  <c r="BB64" i="81"/>
  <c r="BC64" i="81"/>
  <c r="BD64" i="81"/>
  <c r="BE64" i="81"/>
  <c r="BF64" i="81"/>
  <c r="BG64" i="81"/>
  <c r="BH64" i="81"/>
  <c r="BI64" i="81"/>
  <c r="BJ64" i="81"/>
  <c r="BK64" i="81"/>
  <c r="BL64" i="81"/>
  <c r="BM64" i="81"/>
  <c r="BN64" i="81"/>
  <c r="BO64" i="81"/>
  <c r="BP64" i="81"/>
  <c r="BQ64" i="81"/>
  <c r="BR64" i="81"/>
  <c r="BS64" i="81"/>
  <c r="BT64" i="81"/>
  <c r="BU64" i="81"/>
  <c r="BV64" i="81"/>
  <c r="BW64" i="81"/>
  <c r="BX64" i="81"/>
  <c r="BY64" i="81"/>
  <c r="BZ64" i="81"/>
  <c r="CA64" i="81"/>
  <c r="CB64" i="81"/>
  <c r="CC64" i="81"/>
  <c r="CD64" i="81"/>
  <c r="CE64" i="81"/>
  <c r="CF64" i="81"/>
  <c r="CG64" i="81"/>
  <c r="CH64" i="81"/>
  <c r="CI64" i="81"/>
  <c r="CJ64" i="81"/>
  <c r="CK64" i="81"/>
  <c r="CL64" i="81"/>
  <c r="CM64" i="81"/>
  <c r="CN64" i="81"/>
  <c r="CO64" i="81"/>
  <c r="CP64" i="81"/>
  <c r="CQ64" i="81"/>
  <c r="CR64" i="81"/>
  <c r="CS64" i="81"/>
  <c r="CT64" i="81"/>
  <c r="CU64" i="81"/>
  <c r="CV64" i="81"/>
  <c r="CW64" i="81"/>
  <c r="CX64" i="81"/>
  <c r="C65" i="81"/>
  <c r="D65" i="81"/>
  <c r="E65" i="81"/>
  <c r="F65" i="81"/>
  <c r="G65" i="81"/>
  <c r="H65" i="81"/>
  <c r="I65" i="81"/>
  <c r="J65" i="81"/>
  <c r="K65" i="81"/>
  <c r="L65" i="81"/>
  <c r="M65" i="81"/>
  <c r="N65" i="81"/>
  <c r="O65" i="81"/>
  <c r="P65" i="81"/>
  <c r="Q65" i="81"/>
  <c r="R65" i="81"/>
  <c r="S65" i="81"/>
  <c r="T65" i="81"/>
  <c r="U65" i="81"/>
  <c r="V65" i="81"/>
  <c r="W65" i="81"/>
  <c r="X65" i="81"/>
  <c r="Y65" i="81"/>
  <c r="Z65" i="81"/>
  <c r="AA65" i="81"/>
  <c r="AB65" i="81"/>
  <c r="AC65" i="81"/>
  <c r="AD65" i="81"/>
  <c r="AE65" i="81"/>
  <c r="AF65" i="81"/>
  <c r="AG65" i="81"/>
  <c r="AH65" i="81"/>
  <c r="AI65" i="81"/>
  <c r="AJ65" i="81"/>
  <c r="AK65" i="81"/>
  <c r="AL65" i="81"/>
  <c r="AM65" i="81"/>
  <c r="AN65" i="81"/>
  <c r="AO65" i="81"/>
  <c r="AP65" i="81"/>
  <c r="AQ65" i="81"/>
  <c r="AR65" i="81"/>
  <c r="AS65" i="81"/>
  <c r="AT65" i="81"/>
  <c r="AU65" i="81"/>
  <c r="AV65" i="81"/>
  <c r="AW65" i="81"/>
  <c r="AX65" i="81"/>
  <c r="AY65" i="81"/>
  <c r="AZ65" i="81"/>
  <c r="BA65" i="81"/>
  <c r="BB65" i="81"/>
  <c r="BC65" i="81"/>
  <c r="BD65" i="81"/>
  <c r="BE65" i="81"/>
  <c r="BF65" i="81"/>
  <c r="BG65" i="81"/>
  <c r="BH65" i="81"/>
  <c r="BI65" i="81"/>
  <c r="BJ65" i="81"/>
  <c r="BK65" i="81"/>
  <c r="BL65" i="81"/>
  <c r="BM65" i="81"/>
  <c r="BN65" i="81"/>
  <c r="BO65" i="81"/>
  <c r="BP65" i="81"/>
  <c r="BQ65" i="81"/>
  <c r="BR65" i="81"/>
  <c r="BS65" i="81"/>
  <c r="BT65" i="81"/>
  <c r="BU65" i="81"/>
  <c r="BV65" i="81"/>
  <c r="BW65" i="81"/>
  <c r="BX65" i="81"/>
  <c r="BY65" i="81"/>
  <c r="BZ65" i="81"/>
  <c r="CA65" i="81"/>
  <c r="CB65" i="81"/>
  <c r="CC65" i="81"/>
  <c r="CD65" i="81"/>
  <c r="CE65" i="81"/>
  <c r="CF65" i="81"/>
  <c r="CG65" i="81"/>
  <c r="CH65" i="81"/>
  <c r="CI65" i="81"/>
  <c r="CJ65" i="81"/>
  <c r="CK65" i="81"/>
  <c r="CL65" i="81"/>
  <c r="CM65" i="81"/>
  <c r="CN65" i="81"/>
  <c r="CO65" i="81"/>
  <c r="CP65" i="81"/>
  <c r="CQ65" i="81"/>
  <c r="CR65" i="81"/>
  <c r="CS65" i="81"/>
  <c r="CT65" i="81"/>
  <c r="CU65" i="81"/>
  <c r="CV65" i="81"/>
  <c r="CW65" i="81"/>
  <c r="CX65" i="81"/>
  <c r="C66" i="81"/>
  <c r="E66" i="81"/>
  <c r="F66" i="81"/>
  <c r="G66" i="81"/>
  <c r="H66" i="81"/>
  <c r="I66" i="81"/>
  <c r="J66" i="81"/>
  <c r="K66" i="81"/>
  <c r="L66" i="81"/>
  <c r="M66" i="81"/>
  <c r="N66" i="81"/>
  <c r="O66" i="81"/>
  <c r="P66" i="81"/>
  <c r="Q66" i="81"/>
  <c r="R66" i="81"/>
  <c r="S66" i="81"/>
  <c r="T66" i="81"/>
  <c r="U66" i="81"/>
  <c r="V66" i="81"/>
  <c r="W66" i="81"/>
  <c r="X66" i="81"/>
  <c r="Y66" i="81"/>
  <c r="Z66" i="81"/>
  <c r="AA66" i="81"/>
  <c r="AB66" i="81"/>
  <c r="AC66" i="81"/>
  <c r="AD66" i="81"/>
  <c r="AE66" i="81"/>
  <c r="AF66" i="81"/>
  <c r="AG66" i="81"/>
  <c r="AH66" i="81"/>
  <c r="AI66" i="81"/>
  <c r="AJ66" i="81"/>
  <c r="AK66" i="81"/>
  <c r="AL66" i="81"/>
  <c r="AM66" i="81"/>
  <c r="AN66" i="81"/>
  <c r="AO66" i="81"/>
  <c r="AP66" i="81"/>
  <c r="AQ66" i="81"/>
  <c r="AR66" i="81"/>
  <c r="AS66" i="81"/>
  <c r="AT66" i="81"/>
  <c r="AU66" i="81"/>
  <c r="AV66" i="81"/>
  <c r="AW66" i="81"/>
  <c r="AX66" i="81"/>
  <c r="AY66" i="81"/>
  <c r="AZ66" i="81"/>
  <c r="BA66" i="81"/>
  <c r="BB66" i="81"/>
  <c r="BC66" i="81"/>
  <c r="BD66" i="81"/>
  <c r="BE66" i="81"/>
  <c r="BF66" i="81"/>
  <c r="BG66" i="81"/>
  <c r="BH66" i="81"/>
  <c r="BI66" i="81"/>
  <c r="BJ66" i="81"/>
  <c r="BK66" i="81"/>
  <c r="BL66" i="81"/>
  <c r="BM66" i="81"/>
  <c r="BN66" i="81"/>
  <c r="BO66" i="81"/>
  <c r="BP66" i="81"/>
  <c r="BQ66" i="81"/>
  <c r="BR66" i="81"/>
  <c r="BS66" i="81"/>
  <c r="BT66" i="81"/>
  <c r="BU66" i="81"/>
  <c r="BV66" i="81"/>
  <c r="BW66" i="81"/>
  <c r="BX66" i="81"/>
  <c r="BY66" i="81"/>
  <c r="BZ66" i="81"/>
  <c r="CA66" i="81"/>
  <c r="CB66" i="81"/>
  <c r="CC66" i="81"/>
  <c r="CD66" i="81"/>
  <c r="CE66" i="81"/>
  <c r="CF66" i="81"/>
  <c r="CG66" i="81"/>
  <c r="CH66" i="81"/>
  <c r="CI66" i="81"/>
  <c r="CJ66" i="81"/>
  <c r="CK66" i="81"/>
  <c r="CL66" i="81"/>
  <c r="CM66" i="81"/>
  <c r="CN66" i="81"/>
  <c r="CO66" i="81"/>
  <c r="CP66" i="81"/>
  <c r="CQ66" i="81"/>
  <c r="CR66" i="81"/>
  <c r="CS66" i="81"/>
  <c r="CT66" i="81"/>
  <c r="CU66" i="81"/>
  <c r="CV66" i="81"/>
  <c r="CW66" i="81"/>
  <c r="CX66" i="81"/>
  <c r="C67" i="81"/>
  <c r="D67" i="81"/>
  <c r="E67" i="81"/>
  <c r="F67" i="81"/>
  <c r="G67" i="81"/>
  <c r="H67" i="81"/>
  <c r="I67" i="81"/>
  <c r="J67" i="81"/>
  <c r="K67" i="81"/>
  <c r="L67" i="81"/>
  <c r="M67" i="81"/>
  <c r="N67" i="81"/>
  <c r="O67" i="81"/>
  <c r="P67" i="81"/>
  <c r="Q67" i="81"/>
  <c r="R67" i="81"/>
  <c r="S67" i="81"/>
  <c r="T67" i="81"/>
  <c r="U67" i="81"/>
  <c r="V67" i="81"/>
  <c r="W67" i="81"/>
  <c r="X67" i="81"/>
  <c r="Y67" i="81"/>
  <c r="Z67" i="81"/>
  <c r="AA67" i="81"/>
  <c r="AB67" i="81"/>
  <c r="AC67" i="81"/>
  <c r="AD67" i="81"/>
  <c r="AE67" i="81"/>
  <c r="AF67" i="81"/>
  <c r="AG67" i="81"/>
  <c r="AH67" i="81"/>
  <c r="AI67" i="81"/>
  <c r="AJ67" i="81"/>
  <c r="AK67" i="81"/>
  <c r="AL67" i="81"/>
  <c r="AM67" i="81"/>
  <c r="AN67" i="81"/>
  <c r="AO67" i="81"/>
  <c r="AP67" i="81"/>
  <c r="AQ67" i="81"/>
  <c r="AR67" i="81"/>
  <c r="AS67" i="81"/>
  <c r="AT67" i="81"/>
  <c r="AU67" i="81"/>
  <c r="AV67" i="81"/>
  <c r="AW67" i="81"/>
  <c r="AX67" i="81"/>
  <c r="AY67" i="81"/>
  <c r="AZ67" i="81"/>
  <c r="BA67" i="81"/>
  <c r="BB67" i="81"/>
  <c r="BC67" i="81"/>
  <c r="BD67" i="81"/>
  <c r="BE67" i="81"/>
  <c r="BF67" i="81"/>
  <c r="BG67" i="81"/>
  <c r="BH67" i="81"/>
  <c r="BI67" i="81"/>
  <c r="BJ67" i="81"/>
  <c r="BK67" i="81"/>
  <c r="BL67" i="81"/>
  <c r="BM67" i="81"/>
  <c r="BN67" i="81"/>
  <c r="BO67" i="81"/>
  <c r="BP67" i="81"/>
  <c r="BQ67" i="81"/>
  <c r="BR67" i="81"/>
  <c r="BS67" i="81"/>
  <c r="BT67" i="81"/>
  <c r="BU67" i="81"/>
  <c r="BV67" i="81"/>
  <c r="BW67" i="81"/>
  <c r="BX67" i="81"/>
  <c r="BY67" i="81"/>
  <c r="BZ67" i="81"/>
  <c r="CA67" i="81"/>
  <c r="CB67" i="81"/>
  <c r="CC67" i="81"/>
  <c r="CD67" i="81"/>
  <c r="CE67" i="81"/>
  <c r="CF67" i="81"/>
  <c r="CG67" i="81"/>
  <c r="CH67" i="81"/>
  <c r="CI67" i="81"/>
  <c r="CJ67" i="81"/>
  <c r="CK67" i="81"/>
  <c r="CL67" i="81"/>
  <c r="CM67" i="81"/>
  <c r="CN67" i="81"/>
  <c r="CO67" i="81"/>
  <c r="CP67" i="81"/>
  <c r="CQ67" i="81"/>
  <c r="CR67" i="81"/>
  <c r="CS67" i="81"/>
  <c r="CT67" i="81"/>
  <c r="CU67" i="81"/>
  <c r="CV67" i="81"/>
  <c r="CW67" i="81"/>
  <c r="CX67" i="81"/>
  <c r="C68" i="81"/>
  <c r="D68" i="81"/>
  <c r="E68" i="81"/>
  <c r="F68" i="81"/>
  <c r="G68" i="81"/>
  <c r="H68" i="81"/>
  <c r="I68" i="81"/>
  <c r="J68" i="81"/>
  <c r="K68" i="81"/>
  <c r="L68" i="81"/>
  <c r="M68" i="81"/>
  <c r="N68" i="81"/>
  <c r="O68" i="81"/>
  <c r="P68" i="81"/>
  <c r="Q68" i="81"/>
  <c r="R68" i="81"/>
  <c r="S68" i="81"/>
  <c r="T68" i="81"/>
  <c r="U68" i="81"/>
  <c r="V68" i="81"/>
  <c r="W68" i="81"/>
  <c r="X68" i="81"/>
  <c r="Y68" i="81"/>
  <c r="Z68" i="81"/>
  <c r="AA68" i="81"/>
  <c r="AB68" i="81"/>
  <c r="AC68" i="81"/>
  <c r="AD68" i="81"/>
  <c r="AE68" i="81"/>
  <c r="AF68" i="81"/>
  <c r="AG68" i="81"/>
  <c r="AH68" i="81"/>
  <c r="AI68" i="81"/>
  <c r="AJ68" i="81"/>
  <c r="AK68" i="81"/>
  <c r="AL68" i="81"/>
  <c r="AM68" i="81"/>
  <c r="AN68" i="81"/>
  <c r="AO68" i="81"/>
  <c r="AP68" i="81"/>
  <c r="AQ68" i="81"/>
  <c r="AR68" i="81"/>
  <c r="AS68" i="81"/>
  <c r="AT68" i="81"/>
  <c r="AU68" i="81"/>
  <c r="AV68" i="81"/>
  <c r="AW68" i="81"/>
  <c r="AX68" i="81"/>
  <c r="AY68" i="81"/>
  <c r="AZ68" i="81"/>
  <c r="BA68" i="81"/>
  <c r="BB68" i="81"/>
  <c r="BC68" i="81"/>
  <c r="BD68" i="81"/>
  <c r="BE68" i="81"/>
  <c r="BF68" i="81"/>
  <c r="BG68" i="81"/>
  <c r="BH68" i="81"/>
  <c r="BI68" i="81"/>
  <c r="BJ68" i="81"/>
  <c r="BK68" i="81"/>
  <c r="BL68" i="81"/>
  <c r="BM68" i="81"/>
  <c r="BN68" i="81"/>
  <c r="BO68" i="81"/>
  <c r="BP68" i="81"/>
  <c r="BQ68" i="81"/>
  <c r="BR68" i="81"/>
  <c r="BS68" i="81"/>
  <c r="BT68" i="81"/>
  <c r="BU68" i="81"/>
  <c r="BV68" i="81"/>
  <c r="BW68" i="81"/>
  <c r="BX68" i="81"/>
  <c r="BY68" i="81"/>
  <c r="BZ68" i="81"/>
  <c r="CA68" i="81"/>
  <c r="CB68" i="81"/>
  <c r="CC68" i="81"/>
  <c r="CD68" i="81"/>
  <c r="CE68" i="81"/>
  <c r="CF68" i="81"/>
  <c r="CG68" i="81"/>
  <c r="CH68" i="81"/>
  <c r="CI68" i="81"/>
  <c r="CJ68" i="81"/>
  <c r="CK68" i="81"/>
  <c r="CL68" i="81"/>
  <c r="CM68" i="81"/>
  <c r="CN68" i="81"/>
  <c r="CO68" i="81"/>
  <c r="CP68" i="81"/>
  <c r="CQ68" i="81"/>
  <c r="CR68" i="81"/>
  <c r="CS68" i="81"/>
  <c r="CT68" i="81"/>
  <c r="CU68" i="81"/>
  <c r="CV68" i="81"/>
  <c r="CW68" i="81"/>
  <c r="CX68" i="81"/>
  <c r="C69" i="81"/>
  <c r="D69" i="81"/>
  <c r="E69" i="81"/>
  <c r="F69" i="81"/>
  <c r="G69" i="81"/>
  <c r="H69" i="81"/>
  <c r="I69" i="81"/>
  <c r="J69" i="81"/>
  <c r="K69" i="81"/>
  <c r="L69" i="81"/>
  <c r="M69" i="81"/>
  <c r="N69" i="81"/>
  <c r="O69" i="81"/>
  <c r="P69" i="81"/>
  <c r="Q69" i="81"/>
  <c r="R69" i="81"/>
  <c r="S69" i="81"/>
  <c r="T69" i="81"/>
  <c r="U69" i="81"/>
  <c r="V69" i="81"/>
  <c r="W69" i="81"/>
  <c r="X69" i="81"/>
  <c r="Y69" i="81"/>
  <c r="Z69" i="81"/>
  <c r="AA69" i="81"/>
  <c r="AB69" i="81"/>
  <c r="AC69" i="81"/>
  <c r="AD69" i="81"/>
  <c r="AE69" i="81"/>
  <c r="AF69" i="81"/>
  <c r="AG69" i="81"/>
  <c r="AH69" i="81"/>
  <c r="AI69" i="81"/>
  <c r="AJ69" i="81"/>
  <c r="AK69" i="81"/>
  <c r="AL69" i="81"/>
  <c r="AM69" i="81"/>
  <c r="AN69" i="81"/>
  <c r="AO69" i="81"/>
  <c r="AP69" i="81"/>
  <c r="AQ69" i="81"/>
  <c r="AR69" i="81"/>
  <c r="AS69" i="81"/>
  <c r="AT69" i="81"/>
  <c r="AU69" i="81"/>
  <c r="AV69" i="81"/>
  <c r="AW69" i="81"/>
  <c r="AX69" i="81"/>
  <c r="AY69" i="81"/>
  <c r="AZ69" i="81"/>
  <c r="BA69" i="81"/>
  <c r="BB69" i="81"/>
  <c r="BC69" i="81"/>
  <c r="BD69" i="81"/>
  <c r="BE69" i="81"/>
  <c r="BF69" i="81"/>
  <c r="BG69" i="81"/>
  <c r="BH69" i="81"/>
  <c r="BI69" i="81"/>
  <c r="BJ69" i="81"/>
  <c r="BK69" i="81"/>
  <c r="BL69" i="81"/>
  <c r="BM69" i="81"/>
  <c r="BN69" i="81"/>
  <c r="BO69" i="81"/>
  <c r="BP69" i="81"/>
  <c r="BQ69" i="81"/>
  <c r="BR69" i="81"/>
  <c r="BS69" i="81"/>
  <c r="BT69" i="81"/>
  <c r="BU69" i="81"/>
  <c r="BV69" i="81"/>
  <c r="BW69" i="81"/>
  <c r="BX69" i="81"/>
  <c r="BY69" i="81"/>
  <c r="BZ69" i="81"/>
  <c r="CA69" i="81"/>
  <c r="CB69" i="81"/>
  <c r="CC69" i="81"/>
  <c r="CD69" i="81"/>
  <c r="CE69" i="81"/>
  <c r="CF69" i="81"/>
  <c r="CG69" i="81"/>
  <c r="CH69" i="81"/>
  <c r="CI69" i="81"/>
  <c r="CJ69" i="81"/>
  <c r="CK69" i="81"/>
  <c r="CL69" i="81"/>
  <c r="CM69" i="81"/>
  <c r="CN69" i="81"/>
  <c r="CO69" i="81"/>
  <c r="CP69" i="81"/>
  <c r="CQ69" i="81"/>
  <c r="CR69" i="81"/>
  <c r="CS69" i="81"/>
  <c r="CT69" i="81"/>
  <c r="CU69" i="81"/>
  <c r="CV69" i="81"/>
  <c r="CW69" i="81"/>
  <c r="CX69" i="81"/>
  <c r="C70" i="81"/>
  <c r="D70" i="81"/>
  <c r="E70" i="81"/>
  <c r="F70" i="81"/>
  <c r="G70" i="81"/>
  <c r="H70" i="81"/>
  <c r="I70" i="81"/>
  <c r="J70" i="81"/>
  <c r="K70" i="81"/>
  <c r="L70" i="81"/>
  <c r="M70" i="81"/>
  <c r="N70" i="81"/>
  <c r="O70" i="81"/>
  <c r="P70" i="81"/>
  <c r="Q70" i="81"/>
  <c r="R70" i="81"/>
  <c r="S70" i="81"/>
  <c r="T70" i="81"/>
  <c r="U70" i="81"/>
  <c r="V70" i="81"/>
  <c r="W70" i="81"/>
  <c r="X70" i="81"/>
  <c r="Y70" i="81"/>
  <c r="Z70" i="81"/>
  <c r="AA70" i="81"/>
  <c r="AB70" i="81"/>
  <c r="AC70" i="81"/>
  <c r="AD70" i="81"/>
  <c r="AE70" i="81"/>
  <c r="AF70" i="81"/>
  <c r="AG70" i="81"/>
  <c r="AH70" i="81"/>
  <c r="AI70" i="81"/>
  <c r="AJ70" i="81"/>
  <c r="AK70" i="81"/>
  <c r="AL70" i="81"/>
  <c r="AM70" i="81"/>
  <c r="AN70" i="81"/>
  <c r="AO70" i="81"/>
  <c r="AP70" i="81"/>
  <c r="AQ70" i="81"/>
  <c r="AR70" i="81"/>
  <c r="AS70" i="81"/>
  <c r="AT70" i="81"/>
  <c r="AU70" i="81"/>
  <c r="AV70" i="81"/>
  <c r="AW70" i="81"/>
  <c r="AX70" i="81"/>
  <c r="AY70" i="81"/>
  <c r="AZ70" i="81"/>
  <c r="BA70" i="81"/>
  <c r="BB70" i="81"/>
  <c r="BC70" i="81"/>
  <c r="BD70" i="81"/>
  <c r="BE70" i="81"/>
  <c r="BF70" i="81"/>
  <c r="BG70" i="81"/>
  <c r="BH70" i="81"/>
  <c r="BI70" i="81"/>
  <c r="BJ70" i="81"/>
  <c r="BK70" i="81"/>
  <c r="BL70" i="81"/>
  <c r="BM70" i="81"/>
  <c r="BN70" i="81"/>
  <c r="BO70" i="81"/>
  <c r="BP70" i="81"/>
  <c r="BQ70" i="81"/>
  <c r="BR70" i="81"/>
  <c r="BS70" i="81"/>
  <c r="BT70" i="81"/>
  <c r="BU70" i="81"/>
  <c r="BV70" i="81"/>
  <c r="BW70" i="81"/>
  <c r="BX70" i="81"/>
  <c r="BY70" i="81"/>
  <c r="BZ70" i="81"/>
  <c r="CA70" i="81"/>
  <c r="CB70" i="81"/>
  <c r="CC70" i="81"/>
  <c r="CD70" i="81"/>
  <c r="CE70" i="81"/>
  <c r="CF70" i="81"/>
  <c r="CG70" i="81"/>
  <c r="CH70" i="81"/>
  <c r="CI70" i="81"/>
  <c r="CJ70" i="81"/>
  <c r="CK70" i="81"/>
  <c r="CL70" i="81"/>
  <c r="CM70" i="81"/>
  <c r="CN70" i="81"/>
  <c r="CO70" i="81"/>
  <c r="CP70" i="81"/>
  <c r="CQ70" i="81"/>
  <c r="CR70" i="81"/>
  <c r="CS70" i="81"/>
  <c r="CT70" i="81"/>
  <c r="CU70" i="81"/>
  <c r="CV70" i="81"/>
  <c r="CW70" i="81"/>
  <c r="CX70" i="81"/>
  <c r="CX22" i="81"/>
  <c r="CW22" i="81"/>
  <c r="CV22" i="81"/>
  <c r="CU22" i="81"/>
  <c r="CT22" i="81"/>
  <c r="CS22" i="81"/>
  <c r="CR22" i="81"/>
  <c r="CQ22" i="81"/>
  <c r="CP22" i="81"/>
  <c r="CO22" i="81"/>
  <c r="CN22" i="81"/>
  <c r="CM22" i="81"/>
  <c r="CL22" i="81"/>
  <c r="CK22" i="81"/>
  <c r="CJ22" i="81"/>
  <c r="CI22" i="81"/>
  <c r="CH22" i="81"/>
  <c r="CG22" i="81"/>
  <c r="CF22" i="81"/>
  <c r="CE22" i="81"/>
  <c r="CD22" i="81"/>
  <c r="CC22" i="81"/>
  <c r="CB22" i="81"/>
  <c r="CA22" i="81"/>
  <c r="BZ22" i="81"/>
  <c r="BY22" i="81"/>
  <c r="BX22" i="81"/>
  <c r="BW22" i="81"/>
  <c r="BV22" i="81"/>
  <c r="BU22" i="81"/>
  <c r="BT22" i="81"/>
  <c r="BS22" i="81"/>
  <c r="BR22" i="81"/>
  <c r="BQ22" i="81"/>
  <c r="BP22" i="81"/>
  <c r="BO22" i="81"/>
  <c r="BN22" i="81"/>
  <c r="BM22" i="81"/>
  <c r="BL22" i="81"/>
  <c r="BK22" i="81"/>
  <c r="BJ22" i="81"/>
  <c r="BI22" i="81"/>
  <c r="BH22" i="81"/>
  <c r="BG22" i="81"/>
  <c r="BF22" i="81"/>
  <c r="BE22" i="81"/>
  <c r="BD22" i="81"/>
  <c r="BC22" i="81"/>
  <c r="BB22" i="81"/>
  <c r="BA22" i="81"/>
  <c r="AZ22" i="81"/>
  <c r="AY22" i="81"/>
  <c r="AX22" i="81"/>
  <c r="AW22" i="81"/>
  <c r="AV22" i="81"/>
  <c r="AU22" i="81"/>
  <c r="AT22" i="81"/>
  <c r="AS22" i="81"/>
  <c r="AR22" i="81"/>
  <c r="AQ22" i="81"/>
  <c r="AP22" i="81"/>
  <c r="AO22" i="81"/>
  <c r="AN22" i="81"/>
  <c r="AM22" i="81"/>
  <c r="AL22" i="81"/>
  <c r="AK22" i="81"/>
  <c r="AJ22" i="81"/>
  <c r="AI22" i="81"/>
  <c r="AH22" i="81"/>
  <c r="AG22" i="81"/>
  <c r="AF22" i="81"/>
  <c r="AE22" i="81"/>
  <c r="AD22" i="81"/>
  <c r="AC22" i="81"/>
  <c r="AB22" i="81"/>
  <c r="AA22" i="81"/>
  <c r="Z22" i="81"/>
  <c r="Y22" i="81"/>
  <c r="X22" i="81"/>
  <c r="W22" i="81"/>
  <c r="V22" i="81"/>
  <c r="U22" i="81"/>
  <c r="T22" i="81"/>
  <c r="S22" i="81"/>
  <c r="R22" i="81"/>
  <c r="Q22" i="81"/>
  <c r="P22" i="81"/>
  <c r="O22" i="81"/>
  <c r="N22" i="81"/>
  <c r="M22" i="81"/>
  <c r="L22" i="81"/>
  <c r="K22" i="81"/>
  <c r="J22" i="81"/>
  <c r="I22" i="81"/>
  <c r="H22" i="81"/>
  <c r="G22" i="81"/>
  <c r="F22" i="81"/>
  <c r="E22" i="81"/>
  <c r="D22" i="81"/>
  <c r="C22" i="81"/>
  <c r="B95" i="81" l="1"/>
  <c r="C95" i="81"/>
  <c r="D95" i="81"/>
  <c r="B96" i="81"/>
  <c r="C96" i="81"/>
  <c r="D96" i="81"/>
  <c r="B97" i="81"/>
  <c r="C97" i="81"/>
  <c r="D97" i="81"/>
  <c r="B98" i="81"/>
  <c r="C98" i="81"/>
  <c r="D98" i="81"/>
  <c r="B99" i="81"/>
  <c r="C99" i="81"/>
  <c r="D99" i="81"/>
  <c r="B100" i="81"/>
  <c r="C100" i="81"/>
  <c r="D100" i="81"/>
  <c r="B101" i="81"/>
  <c r="C101" i="81"/>
  <c r="D101" i="81"/>
  <c r="B102" i="81"/>
  <c r="C102" i="81"/>
  <c r="D102" i="81"/>
  <c r="B103" i="81"/>
  <c r="C103" i="81"/>
  <c r="D103" i="81"/>
  <c r="B104" i="81"/>
  <c r="C104" i="81"/>
  <c r="D104" i="81"/>
  <c r="B105" i="81"/>
  <c r="C105" i="81"/>
  <c r="D105" i="81"/>
  <c r="B106" i="81"/>
  <c r="C106" i="81"/>
  <c r="D106" i="81"/>
  <c r="B107" i="81"/>
  <c r="C107" i="81"/>
  <c r="D107" i="81"/>
  <c r="B108" i="81"/>
  <c r="C108" i="81"/>
  <c r="D108" i="81"/>
  <c r="B109" i="81"/>
  <c r="C109" i="81"/>
  <c r="D109" i="81"/>
  <c r="B110" i="81"/>
  <c r="C110" i="81"/>
  <c r="D110" i="81"/>
  <c r="B111" i="81"/>
  <c r="C111" i="81"/>
  <c r="D111" i="81"/>
  <c r="B112" i="81"/>
  <c r="C112" i="81"/>
  <c r="D112" i="81"/>
  <c r="B113" i="81"/>
  <c r="C113" i="81"/>
  <c r="D113" i="81"/>
  <c r="B114" i="81"/>
  <c r="C114" i="81"/>
  <c r="D114" i="81"/>
  <c r="B115" i="81"/>
  <c r="C115" i="81"/>
  <c r="D115" i="81"/>
  <c r="B116" i="81"/>
  <c r="C116" i="81"/>
  <c r="D116" i="81"/>
  <c r="B117" i="81"/>
  <c r="C117" i="81"/>
  <c r="D117" i="81"/>
  <c r="B118" i="81"/>
  <c r="C118" i="81"/>
  <c r="D118" i="81"/>
  <c r="B119" i="81"/>
  <c r="C119" i="81"/>
  <c r="D119" i="81"/>
  <c r="B120" i="81"/>
  <c r="C120" i="81"/>
  <c r="D120" i="81"/>
  <c r="B121" i="81"/>
  <c r="C121" i="81"/>
  <c r="D121" i="81"/>
  <c r="B122" i="81"/>
  <c r="C122" i="81"/>
  <c r="D122" i="81"/>
  <c r="B123" i="81"/>
  <c r="C123" i="81"/>
  <c r="D123" i="81"/>
  <c r="B124" i="81"/>
  <c r="C124" i="81"/>
  <c r="D124" i="81"/>
  <c r="B125" i="81"/>
  <c r="C125" i="81"/>
  <c r="D125" i="81"/>
  <c r="B126" i="81"/>
  <c r="C126" i="81"/>
  <c r="D126" i="81"/>
  <c r="B127" i="81"/>
  <c r="C127" i="81"/>
  <c r="D127" i="81"/>
  <c r="B128" i="81"/>
  <c r="C128" i="81"/>
  <c r="D128" i="81"/>
  <c r="B129" i="81"/>
  <c r="C129" i="81"/>
  <c r="D129" i="81"/>
  <c r="B130" i="81"/>
  <c r="C130" i="81"/>
  <c r="D130" i="81"/>
  <c r="B131" i="81"/>
  <c r="C131" i="81"/>
  <c r="D131" i="81"/>
  <c r="B132" i="81"/>
  <c r="C132" i="81"/>
  <c r="D132" i="81"/>
  <c r="B133" i="81"/>
  <c r="C133" i="81"/>
  <c r="D133" i="81"/>
  <c r="B134" i="81"/>
  <c r="C134" i="81"/>
  <c r="D134" i="81"/>
  <c r="B135" i="81"/>
  <c r="C135" i="81"/>
  <c r="D135" i="81"/>
  <c r="B136" i="81"/>
  <c r="C136" i="81"/>
  <c r="D136" i="81"/>
  <c r="B137" i="81"/>
  <c r="C137" i="81"/>
  <c r="D137" i="81"/>
  <c r="B138" i="81"/>
  <c r="C138" i="81"/>
  <c r="D138" i="81"/>
  <c r="B139" i="81"/>
  <c r="C139" i="81"/>
  <c r="D139" i="81"/>
  <c r="B140" i="81"/>
  <c r="C140" i="81"/>
  <c r="D140" i="81"/>
  <c r="B141" i="81"/>
  <c r="C141" i="81"/>
  <c r="D141" i="81"/>
  <c r="B142" i="81"/>
  <c r="C142" i="81"/>
  <c r="D142" i="81"/>
  <c r="L142" i="81" l="1"/>
  <c r="N142" i="81"/>
  <c r="M142" i="81"/>
  <c r="O142" i="81"/>
  <c r="P142" i="81"/>
  <c r="K142" i="81"/>
  <c r="L126" i="81"/>
  <c r="N126" i="81"/>
  <c r="M126" i="81"/>
  <c r="O126" i="81"/>
  <c r="P126" i="81"/>
  <c r="K126" i="81"/>
  <c r="L110" i="81"/>
  <c r="N110" i="81"/>
  <c r="M110" i="81"/>
  <c r="O110" i="81"/>
  <c r="P110" i="81"/>
  <c r="K110" i="81"/>
  <c r="N120" i="81"/>
  <c r="M120" i="81"/>
  <c r="O120" i="81"/>
  <c r="P120" i="81"/>
  <c r="K120" i="81"/>
  <c r="L120" i="81"/>
  <c r="O104" i="81"/>
  <c r="N104" i="81"/>
  <c r="M104" i="81"/>
  <c r="P104" i="81"/>
  <c r="L125" i="81"/>
  <c r="N125" i="81"/>
  <c r="M125" i="81"/>
  <c r="O125" i="81"/>
  <c r="P125" i="81"/>
  <c r="K125" i="81"/>
  <c r="L109" i="81"/>
  <c r="N109" i="81"/>
  <c r="M109" i="81"/>
  <c r="O109" i="81"/>
  <c r="P109" i="81"/>
  <c r="K109" i="81"/>
  <c r="N121" i="81"/>
  <c r="M121" i="81"/>
  <c r="O121" i="81"/>
  <c r="P121" i="81"/>
  <c r="K121" i="81"/>
  <c r="L121" i="81"/>
  <c r="N119" i="81"/>
  <c r="M119" i="81"/>
  <c r="P119" i="81"/>
  <c r="O119" i="81"/>
  <c r="K119" i="81"/>
  <c r="L119" i="81"/>
  <c r="N103" i="81"/>
  <c r="M103" i="81"/>
  <c r="K131" i="81"/>
  <c r="L131" i="81"/>
  <c r="O131" i="81"/>
  <c r="N131" i="81"/>
  <c r="M131" i="81"/>
  <c r="P131" i="81"/>
  <c r="O136" i="81"/>
  <c r="N136" i="81"/>
  <c r="M136" i="81"/>
  <c r="P136" i="81"/>
  <c r="K136" i="81"/>
  <c r="L136" i="81"/>
  <c r="L130" i="81"/>
  <c r="N130" i="81"/>
  <c r="M130" i="81"/>
  <c r="P130" i="81"/>
  <c r="O130" i="81"/>
  <c r="K130" i="81"/>
  <c r="L114" i="81"/>
  <c r="N114" i="81"/>
  <c r="M114" i="81"/>
  <c r="P114" i="81"/>
  <c r="O114" i="81"/>
  <c r="K114" i="81"/>
  <c r="N140" i="81"/>
  <c r="M140" i="81"/>
  <c r="O140" i="81"/>
  <c r="P140" i="81"/>
  <c r="K140" i="81"/>
  <c r="L140" i="81"/>
  <c r="M124" i="81"/>
  <c r="N124" i="81"/>
  <c r="O124" i="81"/>
  <c r="P124" i="81"/>
  <c r="K124" i="81"/>
  <c r="L124" i="81"/>
  <c r="N108" i="81"/>
  <c r="M108" i="81"/>
  <c r="O108" i="81"/>
  <c r="P108" i="81"/>
  <c r="K108" i="81"/>
  <c r="L108" i="81"/>
  <c r="N98" i="81"/>
  <c r="M98" i="81"/>
  <c r="P98" i="81"/>
  <c r="O98" i="81"/>
  <c r="N135" i="81"/>
  <c r="M135" i="81"/>
  <c r="O135" i="81"/>
  <c r="P135" i="81"/>
  <c r="K135" i="81"/>
  <c r="L135" i="81"/>
  <c r="L129" i="81"/>
  <c r="N129" i="81"/>
  <c r="M129" i="81"/>
  <c r="O129" i="81"/>
  <c r="P129" i="81"/>
  <c r="K129" i="81"/>
  <c r="L113" i="81"/>
  <c r="N113" i="81"/>
  <c r="M113" i="81"/>
  <c r="O113" i="81"/>
  <c r="P113" i="81"/>
  <c r="K113" i="81"/>
  <c r="N97" i="81"/>
  <c r="M97" i="81"/>
  <c r="O97" i="81"/>
  <c r="P97" i="81"/>
  <c r="O118" i="81"/>
  <c r="P118" i="81"/>
  <c r="K118" i="81"/>
  <c r="L118" i="81"/>
  <c r="N118" i="81"/>
  <c r="M118" i="81"/>
  <c r="O107" i="81"/>
  <c r="N107" i="81"/>
  <c r="M107" i="81"/>
  <c r="P107" i="81"/>
  <c r="K107" i="81"/>
  <c r="L107" i="81"/>
  <c r="L128" i="81"/>
  <c r="N128" i="81"/>
  <c r="M128" i="81"/>
  <c r="O128" i="81"/>
  <c r="K128" i="81"/>
  <c r="P128" i="81"/>
  <c r="L112" i="81"/>
  <c r="K112" i="81"/>
  <c r="O112" i="81"/>
  <c r="N112" i="81"/>
  <c r="M112" i="81"/>
  <c r="P112" i="81"/>
  <c r="O96" i="81"/>
  <c r="P96" i="81"/>
  <c r="M137" i="81"/>
  <c r="N137" i="81"/>
  <c r="O137" i="81"/>
  <c r="P137" i="81"/>
  <c r="K137" i="81"/>
  <c r="L137" i="81"/>
  <c r="O99" i="81"/>
  <c r="N99" i="81"/>
  <c r="M99" i="81"/>
  <c r="P99" i="81"/>
  <c r="O134" i="81"/>
  <c r="P134" i="81"/>
  <c r="K134" i="81"/>
  <c r="L134" i="81"/>
  <c r="N134" i="81"/>
  <c r="M134" i="81"/>
  <c r="N139" i="81"/>
  <c r="M139" i="81"/>
  <c r="O139" i="81"/>
  <c r="P139" i="81"/>
  <c r="K139" i="81"/>
  <c r="L139" i="81"/>
  <c r="O123" i="81"/>
  <c r="N123" i="81"/>
  <c r="M123" i="81"/>
  <c r="P123" i="81"/>
  <c r="K123" i="81"/>
  <c r="L123" i="81"/>
  <c r="P133" i="81"/>
  <c r="K133" i="81"/>
  <c r="L133" i="81"/>
  <c r="N133" i="81"/>
  <c r="M133" i="81"/>
  <c r="O133" i="81"/>
  <c r="P117" i="81"/>
  <c r="K117" i="81"/>
  <c r="L117" i="81"/>
  <c r="N117" i="81"/>
  <c r="M117" i="81"/>
  <c r="O117" i="81"/>
  <c r="P101" i="81"/>
  <c r="O101" i="81"/>
  <c r="L141" i="81"/>
  <c r="N141" i="81"/>
  <c r="M141" i="81"/>
  <c r="O141" i="81"/>
  <c r="K141" i="81"/>
  <c r="P141" i="81"/>
  <c r="N138" i="81"/>
  <c r="M138" i="81"/>
  <c r="O138" i="81"/>
  <c r="P138" i="81"/>
  <c r="K138" i="81"/>
  <c r="L138" i="81"/>
  <c r="N122" i="81"/>
  <c r="M122" i="81"/>
  <c r="P122" i="81"/>
  <c r="O122" i="81"/>
  <c r="K122" i="81"/>
  <c r="L122" i="81"/>
  <c r="N106" i="81"/>
  <c r="M106" i="81"/>
  <c r="P106" i="81"/>
  <c r="O106" i="81"/>
  <c r="L106" i="81"/>
  <c r="K106" i="81"/>
  <c r="L127" i="81"/>
  <c r="N127" i="81"/>
  <c r="M127" i="81"/>
  <c r="O127" i="81"/>
  <c r="P127" i="81"/>
  <c r="K127" i="81"/>
  <c r="L111" i="81"/>
  <c r="P111" i="81"/>
  <c r="N111" i="81"/>
  <c r="M111" i="81"/>
  <c r="O111" i="81"/>
  <c r="K111" i="81"/>
  <c r="K95" i="81"/>
  <c r="N95" i="81"/>
  <c r="M95" i="81"/>
  <c r="L95" i="81"/>
  <c r="M105" i="81"/>
  <c r="N105" i="81"/>
  <c r="O105" i="81"/>
  <c r="P105" i="81"/>
  <c r="K105" i="81"/>
  <c r="L105" i="81"/>
  <c r="K115" i="81"/>
  <c r="L115" i="81"/>
  <c r="O115" i="81"/>
  <c r="N115" i="81"/>
  <c r="M115" i="81"/>
  <c r="P115" i="81"/>
  <c r="K132" i="81"/>
  <c r="L132" i="81"/>
  <c r="M132" i="81"/>
  <c r="N132" i="81"/>
  <c r="O132" i="81"/>
  <c r="P132" i="81"/>
  <c r="K116" i="81"/>
  <c r="L116" i="81"/>
  <c r="M116" i="81"/>
  <c r="N116" i="81"/>
  <c r="O116" i="81"/>
  <c r="P116" i="81"/>
  <c r="N100" i="81"/>
  <c r="M100" i="81"/>
  <c r="O100" i="81"/>
  <c r="P100" i="81"/>
  <c r="C20" i="81"/>
  <c r="B239" i="81" l="1"/>
  <c r="C239" i="81"/>
  <c r="D239" i="81"/>
  <c r="B240" i="81"/>
  <c r="C240" i="81"/>
  <c r="D240" i="81"/>
  <c r="B241" i="81"/>
  <c r="C241" i="81"/>
  <c r="D241" i="81"/>
  <c r="B242" i="81"/>
  <c r="C242" i="81"/>
  <c r="D242" i="81"/>
  <c r="B243" i="81"/>
  <c r="C243" i="81"/>
  <c r="D243" i="81"/>
  <c r="B244" i="81"/>
  <c r="C244" i="81"/>
  <c r="D244" i="81"/>
  <c r="B245" i="81"/>
  <c r="C245" i="81"/>
  <c r="D245" i="81"/>
  <c r="B246" i="81"/>
  <c r="C246" i="81"/>
  <c r="D246" i="81"/>
  <c r="B247" i="81"/>
  <c r="C247" i="81"/>
  <c r="D247" i="81"/>
  <c r="B248" i="81"/>
  <c r="C248" i="81"/>
  <c r="D248" i="81"/>
  <c r="B249" i="81"/>
  <c r="C249" i="81"/>
  <c r="D249" i="81"/>
  <c r="B250" i="81"/>
  <c r="C250" i="81"/>
  <c r="D250" i="81"/>
  <c r="B251" i="81"/>
  <c r="C251" i="81"/>
  <c r="D251" i="81"/>
  <c r="B252" i="81"/>
  <c r="C252" i="81"/>
  <c r="D252" i="81"/>
  <c r="B253" i="81"/>
  <c r="C253" i="81"/>
  <c r="D253" i="81"/>
  <c r="B254" i="81"/>
  <c r="C254" i="81"/>
  <c r="D254" i="81"/>
  <c r="B255" i="81"/>
  <c r="C255" i="81"/>
  <c r="D255" i="81"/>
  <c r="B256" i="81"/>
  <c r="C256" i="81"/>
  <c r="D256" i="81"/>
  <c r="B257" i="81"/>
  <c r="C257" i="81"/>
  <c r="D257" i="81"/>
  <c r="B258" i="81"/>
  <c r="C258" i="81"/>
  <c r="D258" i="81"/>
  <c r="B259" i="81"/>
  <c r="C259" i="81"/>
  <c r="D259" i="81"/>
  <c r="B260" i="81"/>
  <c r="C260" i="81"/>
  <c r="D260" i="81"/>
  <c r="B261" i="81"/>
  <c r="C261" i="81"/>
  <c r="D261" i="81"/>
  <c r="B262" i="81"/>
  <c r="C262" i="81"/>
  <c r="D262" i="81"/>
  <c r="B263" i="81"/>
  <c r="C263" i="81"/>
  <c r="D263" i="81"/>
  <c r="B264" i="81"/>
  <c r="C264" i="81"/>
  <c r="D264" i="81"/>
  <c r="B265" i="81"/>
  <c r="C265" i="81"/>
  <c r="D265" i="81"/>
  <c r="B266" i="81"/>
  <c r="C266" i="81"/>
  <c r="D266" i="81"/>
  <c r="B267" i="81"/>
  <c r="C267" i="81"/>
  <c r="D267" i="81"/>
  <c r="B268" i="81"/>
  <c r="C268" i="81"/>
  <c r="D268" i="81"/>
  <c r="B269" i="81"/>
  <c r="C269" i="81"/>
  <c r="D269" i="81"/>
  <c r="B270" i="81"/>
  <c r="C270" i="81"/>
  <c r="D270" i="81"/>
  <c r="B271" i="81"/>
  <c r="C271" i="81"/>
  <c r="D271" i="81"/>
  <c r="B272" i="81"/>
  <c r="C272" i="81"/>
  <c r="D272" i="81"/>
  <c r="B273" i="81"/>
  <c r="C273" i="81"/>
  <c r="D273" i="81"/>
  <c r="B274" i="81"/>
  <c r="C274" i="81"/>
  <c r="D274" i="81"/>
  <c r="B275" i="81"/>
  <c r="C275" i="81"/>
  <c r="D275" i="81"/>
  <c r="B276" i="81"/>
  <c r="C276" i="81"/>
  <c r="D276" i="81"/>
  <c r="B277" i="81"/>
  <c r="C277" i="81"/>
  <c r="D277" i="81"/>
  <c r="B278" i="81"/>
  <c r="C278" i="81"/>
  <c r="D278" i="81"/>
  <c r="B279" i="81"/>
  <c r="C279" i="81"/>
  <c r="D279" i="81"/>
  <c r="B280" i="81"/>
  <c r="C280" i="81"/>
  <c r="D280" i="81"/>
  <c r="B281" i="81"/>
  <c r="C281" i="81"/>
  <c r="D281" i="81"/>
  <c r="B282" i="81"/>
  <c r="C282" i="81"/>
  <c r="D282" i="81"/>
  <c r="B283" i="81"/>
  <c r="C283" i="81"/>
  <c r="D283" i="81"/>
  <c r="B284" i="81"/>
  <c r="C284" i="81"/>
  <c r="D284" i="81"/>
  <c r="B285" i="81"/>
  <c r="C285" i="81"/>
  <c r="D285" i="81"/>
  <c r="B286" i="81"/>
  <c r="C286" i="81"/>
  <c r="D286" i="81"/>
  <c r="C238" i="81"/>
  <c r="D238" i="81"/>
  <c r="B238" i="81"/>
  <c r="D172" i="81"/>
  <c r="D166" i="81"/>
  <c r="D167" i="81"/>
  <c r="D168" i="81"/>
  <c r="D169" i="81"/>
  <c r="D170" i="81"/>
  <c r="D171" i="81"/>
  <c r="D173" i="81"/>
  <c r="D174" i="81"/>
  <c r="D175" i="81"/>
  <c r="D176" i="81"/>
  <c r="D177" i="81"/>
  <c r="D178" i="81"/>
  <c r="D179" i="81"/>
  <c r="D180" i="81"/>
  <c r="D181" i="81"/>
  <c r="D182" i="81"/>
  <c r="D183" i="81"/>
  <c r="D184" i="81"/>
  <c r="D185" i="81"/>
  <c r="D186" i="81"/>
  <c r="D187" i="81"/>
  <c r="D188" i="81"/>
  <c r="D189" i="81"/>
  <c r="D190" i="81"/>
  <c r="D191" i="81"/>
  <c r="D192" i="81"/>
  <c r="D193" i="81"/>
  <c r="D194" i="81"/>
  <c r="D195" i="81"/>
  <c r="D196" i="81"/>
  <c r="D197" i="81"/>
  <c r="D198" i="81"/>
  <c r="D199" i="81"/>
  <c r="D200" i="81"/>
  <c r="D201" i="81"/>
  <c r="D202" i="81"/>
  <c r="D203" i="81"/>
  <c r="D204" i="81"/>
  <c r="D205" i="81"/>
  <c r="D206" i="81"/>
  <c r="D207" i="81"/>
  <c r="D208" i="81"/>
  <c r="D209" i="81"/>
  <c r="D210" i="81"/>
  <c r="D211" i="81"/>
  <c r="D212" i="81"/>
  <c r="D213" i="81"/>
  <c r="D214" i="81"/>
  <c r="C167" i="81"/>
  <c r="C168" i="81"/>
  <c r="C169" i="81"/>
  <c r="C170" i="81"/>
  <c r="C171" i="81"/>
  <c r="C172" i="81"/>
  <c r="C173" i="81"/>
  <c r="C174" i="81"/>
  <c r="C175" i="81"/>
  <c r="C176" i="81"/>
  <c r="C177" i="81"/>
  <c r="C178" i="81"/>
  <c r="C179" i="81"/>
  <c r="C180" i="81"/>
  <c r="C181" i="81"/>
  <c r="C182" i="81"/>
  <c r="C183" i="81"/>
  <c r="C184" i="81"/>
  <c r="C185" i="81"/>
  <c r="C186" i="81"/>
  <c r="C187" i="81"/>
  <c r="C188" i="81"/>
  <c r="C189" i="81"/>
  <c r="C190" i="81"/>
  <c r="C191" i="81"/>
  <c r="C192" i="81"/>
  <c r="C193" i="81"/>
  <c r="C194" i="81"/>
  <c r="C195" i="81"/>
  <c r="C196" i="81"/>
  <c r="C197" i="81"/>
  <c r="C198" i="81"/>
  <c r="C199" i="81"/>
  <c r="C200" i="81"/>
  <c r="C201" i="81"/>
  <c r="C202" i="81"/>
  <c r="C203" i="81"/>
  <c r="C204" i="81"/>
  <c r="C205" i="81"/>
  <c r="C206" i="81"/>
  <c r="C207" i="81"/>
  <c r="C208" i="81"/>
  <c r="C209" i="81"/>
  <c r="C210" i="81"/>
  <c r="C211" i="81"/>
  <c r="C212" i="81"/>
  <c r="C213" i="81"/>
  <c r="C214" i="81"/>
  <c r="C166" i="81"/>
  <c r="B167" i="81"/>
  <c r="B168" i="81"/>
  <c r="B169" i="81"/>
  <c r="B170" i="81"/>
  <c r="B171" i="81"/>
  <c r="B172" i="81"/>
  <c r="B173" i="81"/>
  <c r="B174" i="81"/>
  <c r="B175" i="81"/>
  <c r="B176" i="81"/>
  <c r="B177" i="81"/>
  <c r="B178" i="81"/>
  <c r="B179" i="81"/>
  <c r="B180" i="81"/>
  <c r="B181" i="81"/>
  <c r="B182" i="81"/>
  <c r="B183" i="81"/>
  <c r="B184" i="81"/>
  <c r="B185" i="81"/>
  <c r="B186" i="81"/>
  <c r="B187" i="81"/>
  <c r="B188" i="81"/>
  <c r="B189" i="81"/>
  <c r="B190" i="81"/>
  <c r="B191" i="81"/>
  <c r="B192" i="81"/>
  <c r="B193" i="81"/>
  <c r="B194" i="81"/>
  <c r="B195" i="81"/>
  <c r="B196" i="81"/>
  <c r="B197" i="81"/>
  <c r="B198" i="81"/>
  <c r="B199" i="81"/>
  <c r="B200" i="81"/>
  <c r="B201" i="81"/>
  <c r="B202" i="81"/>
  <c r="B203" i="81"/>
  <c r="B204" i="81"/>
  <c r="B205" i="81"/>
  <c r="B206" i="81"/>
  <c r="B207" i="81"/>
  <c r="B208" i="81"/>
  <c r="B209" i="81"/>
  <c r="B210" i="81"/>
  <c r="B211" i="81"/>
  <c r="B212" i="81"/>
  <c r="B213" i="81"/>
  <c r="B214" i="81"/>
  <c r="B166" i="81"/>
  <c r="O247" i="81" l="1"/>
  <c r="P247" i="81"/>
  <c r="O246" i="81"/>
  <c r="P246" i="81"/>
  <c r="P245" i="81"/>
  <c r="O245" i="81"/>
  <c r="P244" i="81"/>
  <c r="O244" i="81"/>
  <c r="P242" i="81"/>
  <c r="O242" i="81"/>
  <c r="P240" i="81"/>
  <c r="O240" i="81"/>
  <c r="N238" i="81"/>
  <c r="O238" i="81"/>
  <c r="O239" i="81"/>
  <c r="N239" i="81"/>
  <c r="P243" i="81"/>
  <c r="O243" i="81"/>
  <c r="P241" i="81"/>
  <c r="O241" i="81"/>
  <c r="P248" i="81"/>
  <c r="O248" i="81"/>
  <c r="K260" i="81"/>
  <c r="M260" i="81"/>
  <c r="L260" i="81"/>
  <c r="K194" i="81"/>
  <c r="L194" i="81"/>
  <c r="M194" i="81"/>
  <c r="M265" i="81"/>
  <c r="L265" i="81"/>
  <c r="K265" i="81"/>
  <c r="L249" i="81"/>
  <c r="M249" i="81"/>
  <c r="K249" i="81"/>
  <c r="K209" i="81"/>
  <c r="L209" i="81"/>
  <c r="M209" i="81"/>
  <c r="K193" i="81"/>
  <c r="L193" i="81"/>
  <c r="M193" i="81"/>
  <c r="K177" i="81"/>
  <c r="L177" i="81"/>
  <c r="M177" i="81"/>
  <c r="K286" i="81"/>
  <c r="L286" i="81"/>
  <c r="M286" i="81"/>
  <c r="K270" i="81"/>
  <c r="L270" i="81"/>
  <c r="M270" i="81"/>
  <c r="K254" i="81"/>
  <c r="L254" i="81"/>
  <c r="M254" i="81"/>
  <c r="K210" i="81"/>
  <c r="L210" i="81"/>
  <c r="M210" i="81"/>
  <c r="K192" i="81"/>
  <c r="M192" i="81"/>
  <c r="L192" i="81"/>
  <c r="L243" i="81"/>
  <c r="M243" i="81"/>
  <c r="K207" i="81"/>
  <c r="L207" i="81"/>
  <c r="M207" i="81"/>
  <c r="K191" i="81"/>
  <c r="L191" i="81"/>
  <c r="M191" i="81"/>
  <c r="L175" i="81"/>
  <c r="L280" i="81"/>
  <c r="M280" i="81"/>
  <c r="K280" i="81"/>
  <c r="L264" i="81"/>
  <c r="M264" i="81"/>
  <c r="K264" i="81"/>
  <c r="L248" i="81"/>
  <c r="M248" i="81"/>
  <c r="K271" i="81"/>
  <c r="L271" i="81"/>
  <c r="M271" i="81"/>
  <c r="K178" i="81"/>
  <c r="L178" i="81"/>
  <c r="M178" i="81"/>
  <c r="K208" i="81"/>
  <c r="M208" i="81"/>
  <c r="L208" i="81"/>
  <c r="K275" i="81"/>
  <c r="L275" i="81"/>
  <c r="M275" i="81"/>
  <c r="K206" i="81"/>
  <c r="L206" i="81"/>
  <c r="M206" i="81"/>
  <c r="K190" i="81"/>
  <c r="L190" i="81"/>
  <c r="M190" i="81"/>
  <c r="L285" i="81"/>
  <c r="M285" i="81"/>
  <c r="K285" i="81"/>
  <c r="L269" i="81"/>
  <c r="M269" i="81"/>
  <c r="K269" i="81"/>
  <c r="L253" i="81"/>
  <c r="M253" i="81"/>
  <c r="K253" i="81"/>
  <c r="K196" i="81"/>
  <c r="L196" i="81"/>
  <c r="M196" i="81"/>
  <c r="L239" i="81"/>
  <c r="K239" i="81"/>
  <c r="L281" i="81"/>
  <c r="M281" i="81"/>
  <c r="K281" i="81"/>
  <c r="L176" i="81"/>
  <c r="M176" i="81"/>
  <c r="K259" i="81"/>
  <c r="L259" i="81"/>
  <c r="M259" i="81"/>
  <c r="K205" i="81"/>
  <c r="L205" i="81"/>
  <c r="M205" i="81"/>
  <c r="K189" i="81"/>
  <c r="L189" i="81"/>
  <c r="M189" i="81"/>
  <c r="M173" i="81"/>
  <c r="K274" i="81"/>
  <c r="L274" i="81"/>
  <c r="M274" i="81"/>
  <c r="K258" i="81"/>
  <c r="L258" i="81"/>
  <c r="M258" i="81"/>
  <c r="L242" i="81"/>
  <c r="M242" i="81"/>
  <c r="K212" i="81"/>
  <c r="L212" i="81"/>
  <c r="M212" i="81"/>
  <c r="K255" i="81"/>
  <c r="L255" i="81"/>
  <c r="M255" i="81"/>
  <c r="K179" i="81"/>
  <c r="M179" i="81"/>
  <c r="L179" i="81"/>
  <c r="L188" i="81"/>
  <c r="M188" i="81"/>
  <c r="K188" i="81"/>
  <c r="M187" i="81"/>
  <c r="L187" i="81"/>
  <c r="K187" i="81"/>
  <c r="L268" i="81"/>
  <c r="M268" i="81"/>
  <c r="K268" i="81"/>
  <c r="M252" i="81"/>
  <c r="L252" i="81"/>
  <c r="K252" i="81"/>
  <c r="L202" i="81"/>
  <c r="M202" i="81"/>
  <c r="K202" i="81"/>
  <c r="L186" i="81"/>
  <c r="M186" i="81"/>
  <c r="K186" i="81"/>
  <c r="L170" i="81"/>
  <c r="M170" i="81"/>
  <c r="K273" i="81"/>
  <c r="M273" i="81"/>
  <c r="L273" i="81"/>
  <c r="K257" i="81"/>
  <c r="M257" i="81"/>
  <c r="L257" i="81"/>
  <c r="L241" i="81"/>
  <c r="M241" i="81"/>
  <c r="K211" i="81"/>
  <c r="M211" i="81"/>
  <c r="L211" i="81"/>
  <c r="M244" i="81"/>
  <c r="L244" i="81"/>
  <c r="L204" i="81"/>
  <c r="M204" i="81"/>
  <c r="K204" i="81"/>
  <c r="M263" i="81"/>
  <c r="K263" i="81"/>
  <c r="L263" i="81"/>
  <c r="L171" i="81"/>
  <c r="M171" i="81"/>
  <c r="M284" i="81"/>
  <c r="L284" i="81"/>
  <c r="K284" i="81"/>
  <c r="L201" i="81"/>
  <c r="M201" i="81"/>
  <c r="K201" i="81"/>
  <c r="L185" i="81"/>
  <c r="M185" i="81"/>
  <c r="K185" i="81"/>
  <c r="L169" i="81"/>
  <c r="M169" i="81"/>
  <c r="K278" i="81"/>
  <c r="L278" i="81"/>
  <c r="M278" i="81"/>
  <c r="K262" i="81"/>
  <c r="L262" i="81"/>
  <c r="M262" i="81"/>
  <c r="K276" i="81"/>
  <c r="M276" i="81"/>
  <c r="L276" i="81"/>
  <c r="M184" i="81"/>
  <c r="L184" i="81"/>
  <c r="K184" i="81"/>
  <c r="L267" i="81"/>
  <c r="M267" i="81"/>
  <c r="K267" i="81"/>
  <c r="L251" i="81"/>
  <c r="M251" i="81"/>
  <c r="K251" i="81"/>
  <c r="L199" i="81"/>
  <c r="M199" i="81"/>
  <c r="K199" i="81"/>
  <c r="L183" i="81"/>
  <c r="M183" i="81"/>
  <c r="K183" i="81"/>
  <c r="L167" i="81"/>
  <c r="K167" i="81"/>
  <c r="K272" i="81"/>
  <c r="L272" i="81"/>
  <c r="M272" i="81"/>
  <c r="K256" i="81"/>
  <c r="L256" i="81"/>
  <c r="M256" i="81"/>
  <c r="M240" i="81"/>
  <c r="K180" i="81"/>
  <c r="L180" i="81"/>
  <c r="M180" i="81"/>
  <c r="M200" i="81"/>
  <c r="L200" i="81"/>
  <c r="K200" i="81"/>
  <c r="M214" i="81"/>
  <c r="K214" i="81"/>
  <c r="L214" i="81"/>
  <c r="M198" i="81"/>
  <c r="K198" i="81"/>
  <c r="L198" i="81"/>
  <c r="M182" i="81"/>
  <c r="K182" i="81"/>
  <c r="L182" i="81"/>
  <c r="K277" i="81"/>
  <c r="L277" i="81"/>
  <c r="M277" i="81"/>
  <c r="K261" i="81"/>
  <c r="L261" i="81"/>
  <c r="M261" i="81"/>
  <c r="M245" i="81"/>
  <c r="K195" i="81"/>
  <c r="M195" i="81"/>
  <c r="L195" i="81"/>
  <c r="L172" i="81"/>
  <c r="M172" i="81"/>
  <c r="M279" i="81"/>
  <c r="K279" i="81"/>
  <c r="L279" i="81"/>
  <c r="L247" i="81"/>
  <c r="L203" i="81"/>
  <c r="M203" i="81"/>
  <c r="K203" i="81"/>
  <c r="M168" i="81"/>
  <c r="L283" i="81"/>
  <c r="M283" i="81"/>
  <c r="K283" i="81"/>
  <c r="K213" i="81"/>
  <c r="L213" i="81"/>
  <c r="M213" i="81"/>
  <c r="K197" i="81"/>
  <c r="L197" i="81"/>
  <c r="M197" i="81"/>
  <c r="K181" i="81"/>
  <c r="L181" i="81"/>
  <c r="M181" i="81"/>
  <c r="L282" i="81"/>
  <c r="M282" i="81"/>
  <c r="K282" i="81"/>
  <c r="L266" i="81"/>
  <c r="M266" i="81"/>
  <c r="K266" i="81"/>
  <c r="L250" i="81"/>
  <c r="M250" i="81"/>
  <c r="K250" i="81"/>
  <c r="CX20" i="81"/>
  <c r="CW20" i="81"/>
  <c r="CV20" i="81"/>
  <c r="CU20" i="81"/>
  <c r="CT20" i="81"/>
  <c r="CS20" i="81"/>
  <c r="CR20" i="81"/>
  <c r="CQ20" i="81"/>
  <c r="CP20" i="81"/>
  <c r="CO20" i="81"/>
  <c r="CN20" i="81"/>
  <c r="CM20" i="81"/>
  <c r="CL20" i="81"/>
  <c r="CK20" i="81"/>
  <c r="CJ20" i="81"/>
  <c r="CI20" i="81"/>
  <c r="CH20" i="81"/>
  <c r="CG20" i="81"/>
  <c r="CF20" i="81"/>
  <c r="CE20" i="81"/>
  <c r="CD20" i="81"/>
  <c r="CC20" i="81"/>
  <c r="CB20" i="81"/>
  <c r="CA20" i="81"/>
  <c r="BZ20" i="81"/>
  <c r="BY20" i="81"/>
  <c r="BX20" i="81"/>
  <c r="BW20" i="81"/>
  <c r="BV20" i="81"/>
  <c r="BU20" i="81"/>
  <c r="BT20" i="81"/>
  <c r="BS20" i="81"/>
  <c r="BR20" i="81"/>
  <c r="BQ20" i="81"/>
  <c r="BP20" i="81"/>
  <c r="BO20" i="81"/>
  <c r="BN20" i="81"/>
  <c r="BM20" i="81"/>
  <c r="BL20" i="81"/>
  <c r="BK20" i="81"/>
  <c r="BJ20" i="81"/>
  <c r="BI20" i="81"/>
  <c r="BH20" i="81"/>
  <c r="BG20" i="81"/>
  <c r="BF20" i="81"/>
  <c r="BE20" i="81"/>
  <c r="BD20" i="81"/>
  <c r="BC20" i="81"/>
  <c r="BB20" i="81"/>
  <c r="BA20" i="81"/>
  <c r="AZ20" i="81"/>
  <c r="AY20" i="81"/>
  <c r="AX20" i="81"/>
  <c r="AW20" i="81"/>
  <c r="AV20" i="81"/>
  <c r="AU20" i="81"/>
  <c r="AT20" i="81"/>
  <c r="AS20" i="81"/>
  <c r="AR20" i="81"/>
  <c r="AQ20" i="81"/>
  <c r="AP20" i="81"/>
  <c r="AO20" i="81"/>
  <c r="AN20" i="81"/>
  <c r="AM20" i="81"/>
  <c r="AL20" i="81"/>
  <c r="AK20" i="81"/>
  <c r="AJ20" i="81"/>
  <c r="AI20" i="81"/>
  <c r="AH20" i="81"/>
  <c r="AG20" i="81"/>
  <c r="AF20" i="81"/>
  <c r="AE20" i="81"/>
  <c r="AD20" i="81"/>
  <c r="AC20" i="81"/>
  <c r="AB20" i="81"/>
  <c r="AA20" i="81"/>
  <c r="Z20" i="81"/>
  <c r="Y20" i="81"/>
  <c r="X20" i="81"/>
  <c r="W20" i="81"/>
  <c r="V20" i="81"/>
  <c r="U20" i="81"/>
  <c r="T20" i="81"/>
  <c r="S20" i="81"/>
  <c r="R20" i="81"/>
  <c r="Q20" i="81"/>
  <c r="P20" i="81"/>
  <c r="O20" i="81"/>
  <c r="N20" i="81"/>
  <c r="M20" i="81"/>
  <c r="L20" i="81"/>
  <c r="K20" i="81"/>
  <c r="J20" i="81"/>
  <c r="I20" i="81"/>
  <c r="H20" i="81"/>
  <c r="G20" i="81"/>
  <c r="F20" i="81"/>
  <c r="E20" i="81"/>
  <c r="D20" i="81"/>
  <c r="CX21" i="81"/>
  <c r="CX17" i="81" s="1"/>
  <c r="CW21" i="81"/>
  <c r="CW17" i="81" s="1"/>
  <c r="CV21" i="81"/>
  <c r="CV17" i="81" s="1"/>
  <c r="CU21" i="81"/>
  <c r="CU17" i="81" s="1"/>
  <c r="CT21" i="81"/>
  <c r="CT17" i="81" s="1"/>
  <c r="CS21" i="81"/>
  <c r="CS17" i="81" s="1"/>
  <c r="CR21" i="81"/>
  <c r="CR17" i="81" s="1"/>
  <c r="CQ21" i="81"/>
  <c r="CQ17" i="81" s="1"/>
  <c r="CP21" i="81"/>
  <c r="CP17" i="81" s="1"/>
  <c r="CO21" i="81"/>
  <c r="CO17" i="81" s="1"/>
  <c r="CN21" i="81"/>
  <c r="CN17" i="81" s="1"/>
  <c r="CM21" i="81"/>
  <c r="CM17" i="81" s="1"/>
  <c r="CL21" i="81"/>
  <c r="CL17" i="81" s="1"/>
  <c r="CK21" i="81"/>
  <c r="CK17" i="81" s="1"/>
  <c r="CJ21" i="81"/>
  <c r="CJ17" i="81" s="1"/>
  <c r="CI21" i="81"/>
  <c r="CI17" i="81" s="1"/>
  <c r="CH21" i="81"/>
  <c r="CH17" i="81" s="1"/>
  <c r="CG21" i="81"/>
  <c r="CG17" i="81" s="1"/>
  <c r="CF21" i="81"/>
  <c r="CF17" i="81" s="1"/>
  <c r="CE21" i="81"/>
  <c r="CE17" i="81" s="1"/>
  <c r="CD21" i="81"/>
  <c r="CD17" i="81" s="1"/>
  <c r="CC21" i="81"/>
  <c r="CC17" i="81" s="1"/>
  <c r="CB21" i="81"/>
  <c r="CB17" i="81" s="1"/>
  <c r="CA21" i="81"/>
  <c r="CA17" i="81" s="1"/>
  <c r="BZ21" i="81"/>
  <c r="BZ17" i="81" s="1"/>
  <c r="BY21" i="81"/>
  <c r="BY17" i="81" s="1"/>
  <c r="BX21" i="81"/>
  <c r="BX17" i="81" s="1"/>
  <c r="BW21" i="81"/>
  <c r="BW17" i="81" s="1"/>
  <c r="BV21" i="81"/>
  <c r="BV17" i="81" s="1"/>
  <c r="BU21" i="81"/>
  <c r="BU17" i="81" s="1"/>
  <c r="BT21" i="81"/>
  <c r="BT17" i="81" s="1"/>
  <c r="BS21" i="81"/>
  <c r="BS17" i="81" s="1"/>
  <c r="BR21" i="81"/>
  <c r="BR17" i="81" s="1"/>
  <c r="BQ21" i="81"/>
  <c r="BQ17" i="81" s="1"/>
  <c r="BP21" i="81"/>
  <c r="BP17" i="81" s="1"/>
  <c r="BO21" i="81"/>
  <c r="BO17" i="81" s="1"/>
  <c r="BN21" i="81"/>
  <c r="BN17" i="81" s="1"/>
  <c r="BM21" i="81"/>
  <c r="BM17" i="81" s="1"/>
  <c r="BL21" i="81"/>
  <c r="BL17" i="81" s="1"/>
  <c r="BK21" i="81"/>
  <c r="BK17" i="81" s="1"/>
  <c r="BJ21" i="81"/>
  <c r="BJ17" i="81" s="1"/>
  <c r="BI21" i="81"/>
  <c r="BI17" i="81" s="1"/>
  <c r="BH21" i="81"/>
  <c r="BH17" i="81" s="1"/>
  <c r="BG21" i="81"/>
  <c r="BG17" i="81" s="1"/>
  <c r="BF21" i="81"/>
  <c r="BF17" i="81" s="1"/>
  <c r="BE21" i="81"/>
  <c r="BE17" i="81" s="1"/>
  <c r="BD21" i="81"/>
  <c r="BD17" i="81" s="1"/>
  <c r="BC21" i="81"/>
  <c r="BC17" i="81" s="1"/>
  <c r="BB21" i="81"/>
  <c r="BB17" i="81" s="1"/>
  <c r="BA21" i="81"/>
  <c r="BA17" i="81" s="1"/>
  <c r="AZ21" i="81"/>
  <c r="AZ17" i="81" s="1"/>
  <c r="AY21" i="81"/>
  <c r="AY17" i="81" s="1"/>
  <c r="AX21" i="81"/>
  <c r="AX17" i="81" s="1"/>
  <c r="AW21" i="81"/>
  <c r="AW17" i="81" s="1"/>
  <c r="AV21" i="81"/>
  <c r="AV17" i="81" s="1"/>
  <c r="AU21" i="81"/>
  <c r="AU17" i="81" s="1"/>
  <c r="AT21" i="81"/>
  <c r="AT17" i="81" s="1"/>
  <c r="AS21" i="81"/>
  <c r="AS17" i="81" s="1"/>
  <c r="AR21" i="81"/>
  <c r="AR17" i="81" s="1"/>
  <c r="AQ21" i="81"/>
  <c r="AQ17" i="81" s="1"/>
  <c r="AP21" i="81"/>
  <c r="AP17" i="81" s="1"/>
  <c r="AO21" i="81"/>
  <c r="AO17" i="81" s="1"/>
  <c r="AN21" i="81"/>
  <c r="AN17" i="81" s="1"/>
  <c r="AM21" i="81"/>
  <c r="AM17" i="81" s="1"/>
  <c r="AL21" i="81"/>
  <c r="AL17" i="81" s="1"/>
  <c r="AK21" i="81"/>
  <c r="AK17" i="81" s="1"/>
  <c r="AJ21" i="81"/>
  <c r="AJ17" i="81" s="1"/>
  <c r="AI21" i="81"/>
  <c r="AI17" i="81" s="1"/>
  <c r="AH21" i="81"/>
  <c r="AH17" i="81" s="1"/>
  <c r="AG21" i="81"/>
  <c r="AG17" i="81" s="1"/>
  <c r="AF21" i="81"/>
  <c r="AF17" i="81" s="1"/>
  <c r="AE21" i="81"/>
  <c r="AE17" i="81" s="1"/>
  <c r="AD21" i="81"/>
  <c r="AD17" i="81" s="1"/>
  <c r="AC21" i="81"/>
  <c r="AC17" i="81" s="1"/>
  <c r="AB21" i="81"/>
  <c r="AB17" i="81" s="1"/>
  <c r="AA21" i="81"/>
  <c r="AA17" i="81" s="1"/>
  <c r="Z21" i="81"/>
  <c r="Z17" i="81" s="1"/>
  <c r="Y21" i="81"/>
  <c r="Y17" i="81" s="1"/>
  <c r="X21" i="81"/>
  <c r="X17" i="81" s="1"/>
  <c r="W21" i="81"/>
  <c r="W17" i="81" s="1"/>
  <c r="V21" i="81"/>
  <c r="V17" i="81" s="1"/>
  <c r="U21" i="81"/>
  <c r="U17" i="81" s="1"/>
  <c r="T21" i="81"/>
  <c r="T17" i="81" s="1"/>
  <c r="S21" i="81"/>
  <c r="S17" i="81" s="1"/>
  <c r="R21" i="81"/>
  <c r="R17" i="81" s="1"/>
  <c r="Q21" i="81"/>
  <c r="Q17" i="81" s="1"/>
  <c r="P21" i="81"/>
  <c r="P17" i="81" s="1"/>
  <c r="O21" i="81"/>
  <c r="O17" i="81" s="1"/>
  <c r="N21" i="81"/>
  <c r="N17" i="81" s="1"/>
  <c r="M21" i="81"/>
  <c r="M17" i="81" s="1"/>
  <c r="K21" i="81"/>
  <c r="J21" i="81"/>
  <c r="I21" i="81"/>
  <c r="H21" i="81"/>
  <c r="G21" i="81"/>
  <c r="F21" i="81"/>
  <c r="E21" i="81"/>
  <c r="C21" i="81"/>
  <c r="D21" i="81"/>
  <c r="D94" i="81" l="1"/>
  <c r="C94" i="81"/>
  <c r="B94" i="81"/>
  <c r="Q8" i="51" l="1"/>
  <c r="G166" i="81" l="1"/>
  <c r="G94" i="81"/>
  <c r="G238" i="81"/>
  <c r="E12" i="81"/>
  <c r="E14" i="81"/>
  <c r="E13" i="81"/>
  <c r="C14" i="81"/>
  <c r="G15" i="81"/>
  <c r="G14" i="81"/>
  <c r="G13" i="81"/>
  <c r="G12" i="81"/>
  <c r="C13" i="81"/>
  <c r="BP18" i="81" l="1"/>
  <c r="BG18" i="81"/>
  <c r="AT18" i="81"/>
  <c r="CB18" i="81"/>
  <c r="CS18" i="81"/>
  <c r="AM18" i="81"/>
  <c r="BZ18" i="81"/>
  <c r="S18" i="81"/>
  <c r="BC18" i="81"/>
  <c r="CM18" i="81"/>
  <c r="CV18" i="81"/>
  <c r="BS18" i="81"/>
  <c r="AB18" i="81"/>
  <c r="AE18" i="81"/>
  <c r="AY18" i="81"/>
  <c r="BE18" i="81"/>
  <c r="CC18" i="81"/>
  <c r="BU18" i="81"/>
  <c r="CE18" i="81"/>
  <c r="CA18" i="81"/>
  <c r="AN18" i="81"/>
  <c r="CQ18" i="81"/>
  <c r="Z18" i="81"/>
  <c r="M18" i="81"/>
  <c r="BF18" i="81"/>
  <c r="AJ18" i="81"/>
  <c r="AK18" i="81"/>
  <c r="AF18" i="81"/>
  <c r="CF18" i="81"/>
  <c r="BQ18" i="81"/>
  <c r="BW18" i="81"/>
  <c r="CR18" i="81"/>
  <c r="AI18" i="81"/>
  <c r="AO18" i="81"/>
  <c r="AG18" i="81"/>
  <c r="AU18" i="81"/>
  <c r="AZ18" i="81"/>
  <c r="BK18" i="81"/>
  <c r="CK18" i="81"/>
  <c r="AH18" i="81"/>
  <c r="AX18" i="81"/>
  <c r="CW18" i="81"/>
  <c r="V18" i="81"/>
  <c r="CJ18" i="81"/>
  <c r="CT18" i="81"/>
  <c r="CP18" i="81"/>
  <c r="BY18" i="81"/>
  <c r="BL18" i="81"/>
  <c r="Y18" i="81"/>
  <c r="O18" i="81"/>
  <c r="CI18" i="81"/>
  <c r="AR18" i="81"/>
  <c r="BO18" i="81"/>
  <c r="BH18" i="81"/>
  <c r="X18" i="81"/>
  <c r="BX18" i="81"/>
  <c r="CN18" i="81"/>
  <c r="U18" i="81"/>
  <c r="T18" i="81"/>
  <c r="BT18" i="81"/>
  <c r="CD18" i="81"/>
  <c r="AC18" i="81"/>
  <c r="BR18" i="81"/>
  <c r="CX18" i="81"/>
  <c r="AQ18" i="81"/>
  <c r="W18" i="81"/>
  <c r="BD18" i="81"/>
  <c r="BB18" i="81"/>
  <c r="BI18" i="81"/>
  <c r="AA18" i="81"/>
  <c r="R18" i="81"/>
  <c r="CU18" i="81"/>
  <c r="BA18" i="81"/>
  <c r="BN18" i="81"/>
  <c r="AP18" i="81"/>
  <c r="AL18" i="81"/>
  <c r="BJ18" i="81"/>
  <c r="AS18" i="81"/>
  <c r="AD18" i="81"/>
  <c r="AV18" i="81"/>
  <c r="BM18" i="81"/>
  <c r="P18" i="81"/>
  <c r="N18" i="81"/>
  <c r="BV18" i="81"/>
  <c r="CH18" i="81"/>
  <c r="Q18" i="81"/>
  <c r="AW18" i="81"/>
  <c r="CL18" i="81"/>
  <c r="CO18" i="81"/>
  <c r="CG18" i="81"/>
  <c r="L17" i="81"/>
  <c r="L18" i="81" s="1"/>
  <c r="K17" i="81"/>
  <c r="K18" i="81" s="1"/>
  <c r="F17" i="81"/>
  <c r="F18" i="81" s="1"/>
  <c r="D17" i="81"/>
  <c r="D18" i="81" s="1"/>
  <c r="G17" i="81"/>
  <c r="G18" i="81" s="1"/>
  <c r="C17" i="81"/>
  <c r="C18" i="81" s="1"/>
  <c r="E17" i="81"/>
  <c r="E18" i="81" s="1"/>
  <c r="I17" i="81"/>
  <c r="I18" i="81" s="1"/>
  <c r="J17" i="81"/>
  <c r="J18" i="81" s="1"/>
  <c r="H17" i="81"/>
  <c r="H18" i="81" s="1"/>
  <c r="CW71" i="81"/>
  <c r="CL71" i="81"/>
  <c r="CK71" i="81"/>
  <c r="CI71" i="81"/>
  <c r="CX71" i="81"/>
  <c r="CH71" i="81"/>
  <c r="CG71" i="81"/>
  <c r="CP71" i="81"/>
  <c r="BZ71" i="81"/>
  <c r="CV71" i="81"/>
  <c r="CF71" i="81"/>
  <c r="CU71" i="81"/>
  <c r="CE71" i="81"/>
  <c r="CM71" i="81"/>
  <c r="C71" i="81"/>
  <c r="CT71" i="81"/>
  <c r="CD71" i="81"/>
  <c r="CS71" i="81"/>
  <c r="CC71" i="81"/>
  <c r="CR71" i="81"/>
  <c r="CB71" i="81"/>
  <c r="CJ71" i="81"/>
  <c r="BJ71" i="81"/>
  <c r="BC71" i="81"/>
  <c r="Z71" i="81"/>
  <c r="L71" i="81"/>
  <c r="CQ71" i="81"/>
  <c r="CA71" i="81"/>
  <c r="O71" i="81"/>
  <c r="CO71" i="81"/>
  <c r="BY71" i="81"/>
  <c r="CN71" i="81"/>
  <c r="BX71" i="81"/>
  <c r="BO71" i="81"/>
  <c r="AY71" i="81"/>
  <c r="AI71" i="81"/>
  <c r="I71" i="81"/>
  <c r="BK71" i="81"/>
  <c r="AU71" i="81"/>
  <c r="AE71" i="81"/>
  <c r="BN71" i="81"/>
  <c r="AH71" i="81"/>
  <c r="BA71" i="81"/>
  <c r="AK71" i="81"/>
  <c r="E71" i="81"/>
  <c r="BD71" i="81"/>
  <c r="AN71" i="81"/>
  <c r="X71" i="81"/>
  <c r="BW71" i="81"/>
  <c r="AQ71" i="81"/>
  <c r="K71" i="81"/>
  <c r="AD71" i="81"/>
  <c r="N71" i="81"/>
  <c r="BM71" i="81"/>
  <c r="AG71" i="81"/>
  <c r="AJ71" i="81"/>
  <c r="D71" i="81"/>
  <c r="AM71" i="81"/>
  <c r="G71" i="81"/>
  <c r="BV71" i="81"/>
  <c r="BI71" i="81"/>
  <c r="AC71" i="81"/>
  <c r="AV71" i="81"/>
  <c r="BR71" i="81"/>
  <c r="BB71" i="81"/>
  <c r="AL71" i="81"/>
  <c r="V71" i="81"/>
  <c r="BU71" i="81"/>
  <c r="BE71" i="81"/>
  <c r="AO71" i="81"/>
  <c r="Y71" i="81"/>
  <c r="BH71" i="81"/>
  <c r="AR71" i="81"/>
  <c r="AB71" i="81"/>
  <c r="AX71" i="81"/>
  <c r="R71" i="81"/>
  <c r="BQ71" i="81"/>
  <c r="U71" i="81"/>
  <c r="BT71" i="81"/>
  <c r="H71" i="81"/>
  <c r="BG71" i="81"/>
  <c r="AA71" i="81"/>
  <c r="AT71" i="81"/>
  <c r="AW71" i="81"/>
  <c r="Q71" i="81"/>
  <c r="BP71" i="81"/>
  <c r="AZ71" i="81"/>
  <c r="T71" i="81"/>
  <c r="BS71" i="81"/>
  <c r="W71" i="81"/>
  <c r="BF71" i="81"/>
  <c r="AP71" i="81"/>
  <c r="J71" i="81"/>
  <c r="AS71" i="81"/>
  <c r="M71" i="81"/>
  <c r="BL71" i="81"/>
  <c r="AF71" i="81"/>
  <c r="P71" i="81"/>
  <c r="S71" i="81"/>
  <c r="F71" i="81"/>
  <c r="CY31" i="81" l="1"/>
  <c r="H103" i="81" s="1"/>
  <c r="CY54" i="81"/>
  <c r="H126" i="81" s="1"/>
  <c r="CY38" i="81"/>
  <c r="CY22" i="81"/>
  <c r="H94" i="81" s="1"/>
  <c r="CY70" i="81"/>
  <c r="H142" i="81" s="1"/>
  <c r="CY53" i="81"/>
  <c r="H125" i="81" s="1"/>
  <c r="CY37" i="81"/>
  <c r="H109" i="81" s="1"/>
  <c r="CY34" i="81"/>
  <c r="H106" i="81" s="1"/>
  <c r="CY69" i="81"/>
  <c r="H141" i="81" s="1"/>
  <c r="CY52" i="81"/>
  <c r="H124" i="81" s="1"/>
  <c r="CY36" i="81"/>
  <c r="H108" i="81" s="1"/>
  <c r="CY68" i="81"/>
  <c r="H140" i="81" s="1"/>
  <c r="CY51" i="81"/>
  <c r="H123" i="81" s="1"/>
  <c r="CY35" i="81"/>
  <c r="H107" i="81" s="1"/>
  <c r="CY50" i="81"/>
  <c r="H122" i="81" s="1"/>
  <c r="CY67" i="81"/>
  <c r="H139" i="81" s="1"/>
  <c r="CY65" i="81"/>
  <c r="H137" i="81" s="1"/>
  <c r="CY49" i="81"/>
  <c r="H121" i="81" s="1"/>
  <c r="CY33" i="81"/>
  <c r="H105" i="81" s="1"/>
  <c r="CY64" i="81"/>
  <c r="H136" i="81" s="1"/>
  <c r="CY48" i="81"/>
  <c r="H120" i="81" s="1"/>
  <c r="CY32" i="81"/>
  <c r="H104" i="81" s="1"/>
  <c r="CY63" i="81"/>
  <c r="H135" i="81" s="1"/>
  <c r="CY47" i="81"/>
  <c r="H119" i="81" s="1"/>
  <c r="CY62" i="81"/>
  <c r="H134" i="81" s="1"/>
  <c r="CY46" i="81"/>
  <c r="CY30" i="81"/>
  <c r="H102" i="81" s="1"/>
  <c r="CY61" i="81"/>
  <c r="H133" i="81" s="1"/>
  <c r="CY45" i="81"/>
  <c r="H117" i="81" s="1"/>
  <c r="CY29" i="81"/>
  <c r="H101" i="81" s="1"/>
  <c r="CY27" i="81"/>
  <c r="H99" i="81" s="1"/>
  <c r="CY60" i="81"/>
  <c r="H132" i="81" s="1"/>
  <c r="CY44" i="81"/>
  <c r="H116" i="81" s="1"/>
  <c r="CY28" i="81"/>
  <c r="H100" i="81" s="1"/>
  <c r="CY59" i="81"/>
  <c r="H131" i="81" s="1"/>
  <c r="CY43" i="81"/>
  <c r="H115" i="81" s="1"/>
  <c r="CY58" i="81"/>
  <c r="H130" i="81" s="1"/>
  <c r="CY42" i="81"/>
  <c r="H114" i="81" s="1"/>
  <c r="CY26" i="81"/>
  <c r="CY41" i="81"/>
  <c r="H113" i="81" s="1"/>
  <c r="CY57" i="81"/>
  <c r="H129" i="81" s="1"/>
  <c r="CY25" i="81"/>
  <c r="H97" i="81" s="1"/>
  <c r="CY56" i="81"/>
  <c r="H128" i="81" s="1"/>
  <c r="CY40" i="81"/>
  <c r="H112" i="81" s="1"/>
  <c r="CY24" i="81"/>
  <c r="CY55" i="81"/>
  <c r="H127" i="81" s="1"/>
  <c r="CY39" i="81"/>
  <c r="H111" i="81" s="1"/>
  <c r="CY23" i="81"/>
  <c r="H95" i="81" s="1"/>
  <c r="CY66" i="81"/>
  <c r="H138" i="81" s="1"/>
  <c r="H182" i="81" l="1"/>
  <c r="H254" i="81"/>
  <c r="H242" i="81"/>
  <c r="H170" i="81"/>
  <c r="H196" i="81"/>
  <c r="H268" i="81"/>
  <c r="H110" i="81"/>
  <c r="H193" i="81"/>
  <c r="H265" i="81"/>
  <c r="H260" i="81"/>
  <c r="H188" i="81"/>
  <c r="H179" i="81"/>
  <c r="H251" i="81"/>
  <c r="H195" i="81"/>
  <c r="H267" i="81"/>
  <c r="H207" i="81"/>
  <c r="H279" i="81"/>
  <c r="H214" i="81"/>
  <c r="H286" i="81"/>
  <c r="H262" i="81"/>
  <c r="H190" i="81"/>
  <c r="H263" i="81"/>
  <c r="H191" i="81"/>
  <c r="H209" i="81"/>
  <c r="H281" i="81"/>
  <c r="H275" i="81"/>
  <c r="H203" i="81"/>
  <c r="H258" i="81"/>
  <c r="H186" i="81"/>
  <c r="H98" i="81"/>
  <c r="H167" i="81"/>
  <c r="H239" i="81"/>
  <c r="H259" i="81"/>
  <c r="H187" i="81"/>
  <c r="H184" i="81"/>
  <c r="H256" i="81"/>
  <c r="H273" i="81"/>
  <c r="H201" i="81"/>
  <c r="H246" i="81"/>
  <c r="H174" i="81"/>
  <c r="H247" i="81"/>
  <c r="H175" i="81"/>
  <c r="H274" i="81"/>
  <c r="H202" i="81"/>
  <c r="H257" i="81"/>
  <c r="H185" i="81"/>
  <c r="H177" i="81"/>
  <c r="H249" i="81"/>
  <c r="H118" i="81"/>
  <c r="H168" i="81"/>
  <c r="H240" i="81"/>
  <c r="H280" i="81"/>
  <c r="H208" i="81"/>
  <c r="H199" i="81"/>
  <c r="H271" i="81"/>
  <c r="H241" i="81"/>
  <c r="H169" i="81"/>
  <c r="H278" i="81"/>
  <c r="H206" i="81"/>
  <c r="H248" i="81"/>
  <c r="H176" i="81"/>
  <c r="H264" i="81"/>
  <c r="H192" i="81"/>
  <c r="H198" i="81"/>
  <c r="H270" i="81"/>
  <c r="H243" i="81"/>
  <c r="H171" i="81"/>
  <c r="H96" i="81"/>
  <c r="H212" i="81"/>
  <c r="H284" i="81"/>
  <c r="H276" i="81"/>
  <c r="H204" i="81"/>
  <c r="H200" i="81"/>
  <c r="H272" i="81"/>
  <c r="H211" i="81"/>
  <c r="H283" i="81"/>
  <c r="H183" i="81"/>
  <c r="H255" i="81"/>
  <c r="H277" i="81"/>
  <c r="H205" i="81"/>
  <c r="H244" i="81"/>
  <c r="H172" i="81"/>
  <c r="H166" i="81"/>
  <c r="H238" i="81"/>
  <c r="H245" i="81"/>
  <c r="H173" i="81"/>
  <c r="H282" i="81"/>
  <c r="H210" i="81"/>
  <c r="H180" i="81"/>
  <c r="H252" i="81"/>
  <c r="H213" i="81"/>
  <c r="H285" i="81"/>
  <c r="H197" i="81"/>
  <c r="H269" i="81"/>
  <c r="H189" i="81"/>
  <c r="H261" i="81"/>
  <c r="H266" i="81"/>
  <c r="H194" i="81"/>
  <c r="H178" i="81"/>
  <c r="H250" i="81"/>
  <c r="H253" i="81"/>
  <c r="H181" i="81"/>
  <c r="CY71" i="81"/>
  <c r="B10" i="60"/>
  <c r="H143" i="81" l="1"/>
  <c r="H215" i="81"/>
  <c r="H287" i="81"/>
  <c r="A1361" i="56"/>
  <c r="A1323" i="56"/>
  <c r="A1285" i="56"/>
  <c r="A1247" i="56"/>
  <c r="A1209" i="56"/>
  <c r="A1171" i="56"/>
  <c r="A1133" i="56"/>
  <c r="A1095" i="56"/>
  <c r="A1057" i="56"/>
  <c r="A1019" i="56"/>
  <c r="A981" i="56"/>
  <c r="A943" i="56"/>
  <c r="A905" i="56"/>
  <c r="A867" i="56"/>
  <c r="A829" i="56"/>
  <c r="A791" i="56"/>
  <c r="A753" i="56"/>
  <c r="A715" i="56"/>
  <c r="A677" i="56"/>
  <c r="A639" i="56"/>
  <c r="A601" i="56"/>
  <c r="A563" i="56"/>
  <c r="A525" i="56"/>
  <c r="A487" i="56"/>
  <c r="A449" i="56"/>
  <c r="A411" i="56"/>
  <c r="A373" i="56"/>
  <c r="A374" i="56" s="1"/>
  <c r="A375" i="56" s="1"/>
  <c r="A376" i="56" s="1"/>
  <c r="A377" i="56" s="1"/>
  <c r="A378" i="56" s="1"/>
  <c r="L330" i="56"/>
  <c r="J330" i="56" s="1"/>
  <c r="M330" i="56"/>
  <c r="A564" i="56" l="1"/>
  <c r="A906" i="56"/>
  <c r="A944" i="56"/>
  <c r="A379" i="56"/>
  <c r="A982" i="56"/>
  <c r="A1286" i="56"/>
  <c r="A868" i="56"/>
  <c r="A412" i="56"/>
  <c r="A1020" i="56"/>
  <c r="A450" i="56"/>
  <c r="A1058" i="56"/>
  <c r="A1210" i="56"/>
  <c r="A488" i="56"/>
  <c r="A1096" i="56"/>
  <c r="A1172" i="56"/>
  <c r="A678" i="56"/>
  <c r="A526" i="56"/>
  <c r="A1134" i="56"/>
  <c r="A640" i="56"/>
  <c r="A1248" i="56"/>
  <c r="A754" i="56"/>
  <c r="A1362" i="56"/>
  <c r="A602" i="56"/>
  <c r="A716" i="56"/>
  <c r="A792" i="56"/>
  <c r="A1324" i="56"/>
  <c r="A830" i="56"/>
  <c r="A335" i="56"/>
  <c r="A336" i="56" s="1"/>
  <c r="A337" i="56" s="1"/>
  <c r="A338" i="56" s="1"/>
  <c r="A339" i="56" s="1"/>
  <c r="A340" i="56" s="1"/>
  <c r="A341" i="56" s="1"/>
  <c r="A342" i="56" s="1"/>
  <c r="A343" i="56" s="1"/>
  <c r="L292" i="56"/>
  <c r="L293" i="56"/>
  <c r="L294" i="56"/>
  <c r="L295" i="56"/>
  <c r="L296" i="56"/>
  <c r="L297" i="56"/>
  <c r="L298" i="56"/>
  <c r="L299" i="56"/>
  <c r="J299" i="56" s="1"/>
  <c r="A297" i="56"/>
  <c r="A298" i="56" s="1"/>
  <c r="A299" i="56" s="1"/>
  <c r="A300" i="56" s="1"/>
  <c r="A301" i="56" s="1"/>
  <c r="A302" i="56" s="1"/>
  <c r="A303" i="56" s="1"/>
  <c r="A304" i="56" s="1"/>
  <c r="A305" i="56" s="1"/>
  <c r="A306" i="56" s="1"/>
  <c r="A307" i="56" s="1"/>
  <c r="A907" i="56" l="1"/>
  <c r="A413" i="56"/>
  <c r="A1325" i="56"/>
  <c r="A641" i="56"/>
  <c r="A1173" i="56"/>
  <c r="A380" i="56"/>
  <c r="A755" i="56"/>
  <c r="A1287" i="56"/>
  <c r="A1059" i="56"/>
  <c r="A1363" i="56"/>
  <c r="A869" i="56"/>
  <c r="A717" i="56"/>
  <c r="A1135" i="56"/>
  <c r="A1097" i="56"/>
  <c r="A945" i="56"/>
  <c r="A793" i="56"/>
  <c r="A451" i="56"/>
  <c r="A527" i="56"/>
  <c r="A489" i="56"/>
  <c r="A1021" i="56"/>
  <c r="A831" i="56"/>
  <c r="A1249" i="56"/>
  <c r="A679" i="56"/>
  <c r="A983" i="56"/>
  <c r="A1211" i="56"/>
  <c r="A603" i="56"/>
  <c r="A565" i="56"/>
  <c r="A344" i="56"/>
  <c r="A308" i="56"/>
  <c r="J294" i="56"/>
  <c r="J293" i="56"/>
  <c r="J297" i="56"/>
  <c r="J296" i="56"/>
  <c r="J298" i="56"/>
  <c r="J295" i="56"/>
  <c r="P483" i="56"/>
  <c r="K469" i="70" s="1"/>
  <c r="P484" i="56"/>
  <c r="K470" i="70" s="1"/>
  <c r="P485" i="56"/>
  <c r="K471" i="70" s="1"/>
  <c r="P486" i="56"/>
  <c r="K472" i="70" s="1"/>
  <c r="P487" i="56"/>
  <c r="K473" i="70" s="1"/>
  <c r="P488" i="56"/>
  <c r="K474" i="70" s="1"/>
  <c r="P489" i="56"/>
  <c r="K475" i="70" s="1"/>
  <c r="P490" i="56"/>
  <c r="K476" i="70" s="1"/>
  <c r="P491" i="56"/>
  <c r="K477" i="70" s="1"/>
  <c r="P492" i="56"/>
  <c r="K478" i="70" s="1"/>
  <c r="A1364" i="56" l="1"/>
  <c r="A1098" i="56"/>
  <c r="A984" i="56"/>
  <c r="A1022" i="56"/>
  <c r="A794" i="56"/>
  <c r="A718" i="56"/>
  <c r="A1288" i="56"/>
  <c r="A642" i="56"/>
  <c r="A528" i="56"/>
  <c r="A604" i="56"/>
  <c r="A414" i="56"/>
  <c r="A566" i="56"/>
  <c r="A680" i="56"/>
  <c r="A490" i="56"/>
  <c r="A946" i="56"/>
  <c r="A870" i="56"/>
  <c r="A756" i="56"/>
  <c r="A1326" i="56"/>
  <c r="A1250" i="56"/>
  <c r="A381" i="56"/>
  <c r="A1212" i="56"/>
  <c r="A832" i="56"/>
  <c r="A452" i="56"/>
  <c r="A1136" i="56"/>
  <c r="A1060" i="56"/>
  <c r="A1174" i="56"/>
  <c r="A908" i="56"/>
  <c r="A345" i="56"/>
  <c r="A309" i="56"/>
  <c r="A1327" i="56" l="1"/>
  <c r="A1099" i="56"/>
  <c r="A719" i="56"/>
  <c r="A1137" i="56"/>
  <c r="A382" i="56"/>
  <c r="A871" i="56"/>
  <c r="A567" i="56"/>
  <c r="A643" i="56"/>
  <c r="A1023" i="56"/>
  <c r="A491" i="56"/>
  <c r="A833" i="56"/>
  <c r="A909" i="56"/>
  <c r="A453" i="56"/>
  <c r="A1251" i="56"/>
  <c r="A947" i="56"/>
  <c r="A415" i="56"/>
  <c r="A1289" i="56"/>
  <c r="A985" i="56"/>
  <c r="A605" i="56"/>
  <c r="A1175" i="56"/>
  <c r="A1061" i="56"/>
  <c r="A1213" i="56"/>
  <c r="A757" i="56"/>
  <c r="A681" i="56"/>
  <c r="A529" i="56"/>
  <c r="A795" i="56"/>
  <c r="A1365" i="56"/>
  <c r="A346" i="56"/>
  <c r="A310" i="56"/>
  <c r="L79" i="56"/>
  <c r="L75" i="56"/>
  <c r="L76" i="56"/>
  <c r="L77" i="56"/>
  <c r="L78" i="56"/>
  <c r="P1357" i="56"/>
  <c r="K1205" i="70" s="1"/>
  <c r="P1358" i="56"/>
  <c r="K1206" i="70" s="1"/>
  <c r="P1359" i="56"/>
  <c r="K1207" i="70" s="1"/>
  <c r="P1360" i="56"/>
  <c r="K1208" i="70" s="1"/>
  <c r="P1361" i="56"/>
  <c r="K1209" i="70" s="1"/>
  <c r="P1362" i="56"/>
  <c r="K1210" i="70" s="1"/>
  <c r="P1363" i="56"/>
  <c r="K1211" i="70" s="1"/>
  <c r="P1364" i="56"/>
  <c r="K1212" i="70" s="1"/>
  <c r="P1365" i="56"/>
  <c r="K1213" i="70" s="1"/>
  <c r="P1366" i="56"/>
  <c r="K1214" i="70" s="1"/>
  <c r="P1356" i="56"/>
  <c r="K1204" i="70" s="1"/>
  <c r="P1319" i="56"/>
  <c r="K1173" i="70" s="1"/>
  <c r="P1320" i="56"/>
  <c r="K1174" i="70" s="1"/>
  <c r="P1321" i="56"/>
  <c r="K1175" i="70" s="1"/>
  <c r="P1322" i="56"/>
  <c r="K1176" i="70" s="1"/>
  <c r="P1323" i="56"/>
  <c r="K1177" i="70" s="1"/>
  <c r="P1324" i="56"/>
  <c r="K1178" i="70" s="1"/>
  <c r="P1325" i="56"/>
  <c r="K1179" i="70" s="1"/>
  <c r="P1326" i="56"/>
  <c r="K1180" i="70" s="1"/>
  <c r="P1327" i="56"/>
  <c r="K1181" i="70" s="1"/>
  <c r="P1328" i="56"/>
  <c r="K1182" i="70" s="1"/>
  <c r="P1318" i="56"/>
  <c r="K1172" i="70" s="1"/>
  <c r="P1281" i="56"/>
  <c r="K1141" i="70" s="1"/>
  <c r="P1282" i="56"/>
  <c r="K1142" i="70" s="1"/>
  <c r="P1283" i="56"/>
  <c r="K1143" i="70" s="1"/>
  <c r="P1284" i="56"/>
  <c r="K1144" i="70" s="1"/>
  <c r="P1285" i="56"/>
  <c r="K1145" i="70" s="1"/>
  <c r="P1286" i="56"/>
  <c r="K1146" i="70" s="1"/>
  <c r="P1287" i="56"/>
  <c r="K1147" i="70" s="1"/>
  <c r="P1288" i="56"/>
  <c r="K1148" i="70" s="1"/>
  <c r="P1289" i="56"/>
  <c r="K1149" i="70" s="1"/>
  <c r="P1290" i="56"/>
  <c r="K1150" i="70" s="1"/>
  <c r="P1280" i="56"/>
  <c r="K1140" i="70" s="1"/>
  <c r="P1243" i="56"/>
  <c r="K1109" i="70" s="1"/>
  <c r="P1244" i="56"/>
  <c r="K1110" i="70" s="1"/>
  <c r="P1245" i="56"/>
  <c r="K1111" i="70" s="1"/>
  <c r="P1246" i="56"/>
  <c r="K1112" i="70" s="1"/>
  <c r="P1247" i="56"/>
  <c r="K1113" i="70" s="1"/>
  <c r="P1248" i="56"/>
  <c r="K1114" i="70" s="1"/>
  <c r="P1249" i="56"/>
  <c r="K1115" i="70" s="1"/>
  <c r="P1250" i="56"/>
  <c r="K1116" i="70" s="1"/>
  <c r="P1251" i="56"/>
  <c r="K1117" i="70" s="1"/>
  <c r="P1252" i="56"/>
  <c r="K1118" i="70" s="1"/>
  <c r="P1242" i="56"/>
  <c r="K1108" i="70" s="1"/>
  <c r="P1205" i="56"/>
  <c r="K1077" i="70" s="1"/>
  <c r="P1206" i="56"/>
  <c r="K1078" i="70" s="1"/>
  <c r="P1207" i="56"/>
  <c r="K1079" i="70" s="1"/>
  <c r="P1208" i="56"/>
  <c r="K1080" i="70" s="1"/>
  <c r="P1209" i="56"/>
  <c r="K1081" i="70" s="1"/>
  <c r="P1210" i="56"/>
  <c r="K1082" i="70" s="1"/>
  <c r="P1211" i="56"/>
  <c r="K1083" i="70" s="1"/>
  <c r="P1212" i="56"/>
  <c r="K1084" i="70" s="1"/>
  <c r="P1213" i="56"/>
  <c r="K1085" i="70" s="1"/>
  <c r="P1214" i="56"/>
  <c r="K1086" i="70" s="1"/>
  <c r="P1204" i="56"/>
  <c r="K1076" i="70" s="1"/>
  <c r="P1167" i="56"/>
  <c r="K1045" i="70" s="1"/>
  <c r="P1168" i="56"/>
  <c r="K1046" i="70" s="1"/>
  <c r="P1169" i="56"/>
  <c r="K1047" i="70" s="1"/>
  <c r="P1170" i="56"/>
  <c r="K1048" i="70" s="1"/>
  <c r="P1171" i="56"/>
  <c r="K1049" i="70" s="1"/>
  <c r="P1172" i="56"/>
  <c r="K1050" i="70" s="1"/>
  <c r="P1173" i="56"/>
  <c r="K1051" i="70" s="1"/>
  <c r="P1174" i="56"/>
  <c r="K1052" i="70" s="1"/>
  <c r="P1175" i="56"/>
  <c r="K1053" i="70" s="1"/>
  <c r="P1176" i="56"/>
  <c r="K1054" i="70" s="1"/>
  <c r="P1166" i="56"/>
  <c r="K1044" i="70" s="1"/>
  <c r="P1129" i="56"/>
  <c r="K1013" i="70" s="1"/>
  <c r="P1130" i="56"/>
  <c r="K1014" i="70" s="1"/>
  <c r="P1131" i="56"/>
  <c r="K1015" i="70" s="1"/>
  <c r="P1132" i="56"/>
  <c r="K1016" i="70" s="1"/>
  <c r="P1133" i="56"/>
  <c r="K1017" i="70" s="1"/>
  <c r="P1134" i="56"/>
  <c r="K1018" i="70" s="1"/>
  <c r="P1135" i="56"/>
  <c r="K1019" i="70" s="1"/>
  <c r="P1136" i="56"/>
  <c r="K1020" i="70" s="1"/>
  <c r="P1137" i="56"/>
  <c r="K1021" i="70" s="1"/>
  <c r="P1138" i="56"/>
  <c r="K1022" i="70" s="1"/>
  <c r="P1128" i="56"/>
  <c r="K1012" i="70" s="1"/>
  <c r="P1091" i="56"/>
  <c r="K981" i="70" s="1"/>
  <c r="P1092" i="56"/>
  <c r="K982" i="70" s="1"/>
  <c r="P1093" i="56"/>
  <c r="K983" i="70" s="1"/>
  <c r="P1094" i="56"/>
  <c r="K984" i="70" s="1"/>
  <c r="P1095" i="56"/>
  <c r="K985" i="70" s="1"/>
  <c r="P1096" i="56"/>
  <c r="K986" i="70" s="1"/>
  <c r="P1097" i="56"/>
  <c r="K987" i="70" s="1"/>
  <c r="P1098" i="56"/>
  <c r="K988" i="70" s="1"/>
  <c r="P1099" i="56"/>
  <c r="K989" i="70" s="1"/>
  <c r="P1100" i="56"/>
  <c r="L990" i="70" s="1"/>
  <c r="P1090" i="56"/>
  <c r="K980" i="70" s="1"/>
  <c r="P1053" i="56"/>
  <c r="K949" i="70" s="1"/>
  <c r="P1054" i="56"/>
  <c r="K950" i="70" s="1"/>
  <c r="P1055" i="56"/>
  <c r="K951" i="70" s="1"/>
  <c r="P1056" i="56"/>
  <c r="K952" i="70" s="1"/>
  <c r="P1057" i="56"/>
  <c r="K953" i="70" s="1"/>
  <c r="P1058" i="56"/>
  <c r="K954" i="70" s="1"/>
  <c r="P1059" i="56"/>
  <c r="K955" i="70" s="1"/>
  <c r="P1060" i="56"/>
  <c r="K956" i="70" s="1"/>
  <c r="P1061" i="56"/>
  <c r="K957" i="70" s="1"/>
  <c r="P1062" i="56"/>
  <c r="K958" i="70" s="1"/>
  <c r="P1052" i="56"/>
  <c r="K948" i="70" s="1"/>
  <c r="P1015" i="56"/>
  <c r="K917" i="70" s="1"/>
  <c r="P1016" i="56"/>
  <c r="K918" i="70" s="1"/>
  <c r="P1017" i="56"/>
  <c r="K919" i="70" s="1"/>
  <c r="P1018" i="56"/>
  <c r="K920" i="70" s="1"/>
  <c r="P1019" i="56"/>
  <c r="K921" i="70" s="1"/>
  <c r="P1020" i="56"/>
  <c r="K922" i="70" s="1"/>
  <c r="P1021" i="56"/>
  <c r="K923" i="70" s="1"/>
  <c r="P1022" i="56"/>
  <c r="K924" i="70" s="1"/>
  <c r="P1023" i="56"/>
  <c r="K925" i="70" s="1"/>
  <c r="P1024" i="56"/>
  <c r="K926" i="70" s="1"/>
  <c r="P1014" i="56"/>
  <c r="K916" i="70" s="1"/>
  <c r="P977" i="56"/>
  <c r="K885" i="70" s="1"/>
  <c r="P978" i="56"/>
  <c r="K886" i="70" s="1"/>
  <c r="P979" i="56"/>
  <c r="K887" i="70" s="1"/>
  <c r="P980" i="56"/>
  <c r="K888" i="70" s="1"/>
  <c r="P981" i="56"/>
  <c r="K889" i="70" s="1"/>
  <c r="P982" i="56"/>
  <c r="K890" i="70" s="1"/>
  <c r="P983" i="56"/>
  <c r="K891" i="70" s="1"/>
  <c r="P984" i="56"/>
  <c r="K892" i="70" s="1"/>
  <c r="P985" i="56"/>
  <c r="K893" i="70" s="1"/>
  <c r="P986" i="56"/>
  <c r="K894" i="70" s="1"/>
  <c r="P976" i="56"/>
  <c r="K884" i="70" s="1"/>
  <c r="P939" i="56"/>
  <c r="K853" i="70" s="1"/>
  <c r="P940" i="56"/>
  <c r="K854" i="70" s="1"/>
  <c r="P941" i="56"/>
  <c r="K855" i="70" s="1"/>
  <c r="P942" i="56"/>
  <c r="K856" i="70" s="1"/>
  <c r="P943" i="56"/>
  <c r="K857" i="70" s="1"/>
  <c r="P944" i="56"/>
  <c r="K858" i="70" s="1"/>
  <c r="P945" i="56"/>
  <c r="K859" i="70" s="1"/>
  <c r="P946" i="56"/>
  <c r="K860" i="70" s="1"/>
  <c r="P947" i="56"/>
  <c r="K861" i="70" s="1"/>
  <c r="P948" i="56"/>
  <c r="K862" i="70" s="1"/>
  <c r="P938" i="56"/>
  <c r="K852" i="70" s="1"/>
  <c r="P901" i="56"/>
  <c r="K821" i="70" s="1"/>
  <c r="P902" i="56"/>
  <c r="K822" i="70" s="1"/>
  <c r="P903" i="56"/>
  <c r="K823" i="70" s="1"/>
  <c r="P904" i="56"/>
  <c r="K824" i="70" s="1"/>
  <c r="P905" i="56"/>
  <c r="K825" i="70" s="1"/>
  <c r="P906" i="56"/>
  <c r="K826" i="70" s="1"/>
  <c r="P907" i="56"/>
  <c r="K827" i="70" s="1"/>
  <c r="P908" i="56"/>
  <c r="K828" i="70" s="1"/>
  <c r="P909" i="56"/>
  <c r="K829" i="70" s="1"/>
  <c r="P910" i="56"/>
  <c r="K830" i="70" s="1"/>
  <c r="P900" i="56"/>
  <c r="K820" i="70" s="1"/>
  <c r="P863" i="56"/>
  <c r="K789" i="70" s="1"/>
  <c r="P864" i="56"/>
  <c r="K790" i="70" s="1"/>
  <c r="P865" i="56"/>
  <c r="K791" i="70" s="1"/>
  <c r="P866" i="56"/>
  <c r="K792" i="70" s="1"/>
  <c r="P867" i="56"/>
  <c r="K793" i="70" s="1"/>
  <c r="P868" i="56"/>
  <c r="K794" i="70" s="1"/>
  <c r="P869" i="56"/>
  <c r="K795" i="70" s="1"/>
  <c r="P870" i="56"/>
  <c r="K796" i="70" s="1"/>
  <c r="P871" i="56"/>
  <c r="K797" i="70" s="1"/>
  <c r="P872" i="56"/>
  <c r="K798" i="70" s="1"/>
  <c r="P862" i="56"/>
  <c r="K788" i="70" s="1"/>
  <c r="P825" i="56"/>
  <c r="K757" i="70" s="1"/>
  <c r="P826" i="56"/>
  <c r="K758" i="70" s="1"/>
  <c r="P827" i="56"/>
  <c r="K759" i="70" s="1"/>
  <c r="P828" i="56"/>
  <c r="K760" i="70" s="1"/>
  <c r="P829" i="56"/>
  <c r="K761" i="70" s="1"/>
  <c r="P830" i="56"/>
  <c r="K762" i="70" s="1"/>
  <c r="P831" i="56"/>
  <c r="K763" i="70" s="1"/>
  <c r="P832" i="56"/>
  <c r="K764" i="70" s="1"/>
  <c r="P833" i="56"/>
  <c r="K765" i="70" s="1"/>
  <c r="P834" i="56"/>
  <c r="K766" i="70" s="1"/>
  <c r="P824" i="56"/>
  <c r="K756" i="70" s="1"/>
  <c r="P787" i="56"/>
  <c r="K725" i="70" s="1"/>
  <c r="P788" i="56"/>
  <c r="K726" i="70" s="1"/>
  <c r="P789" i="56"/>
  <c r="K727" i="70" s="1"/>
  <c r="P790" i="56"/>
  <c r="K728" i="70" s="1"/>
  <c r="P791" i="56"/>
  <c r="K729" i="70" s="1"/>
  <c r="P792" i="56"/>
  <c r="K730" i="70" s="1"/>
  <c r="P793" i="56"/>
  <c r="K731" i="70" s="1"/>
  <c r="P794" i="56"/>
  <c r="K732" i="70" s="1"/>
  <c r="P795" i="56"/>
  <c r="K733" i="70" s="1"/>
  <c r="P796" i="56"/>
  <c r="K734" i="70" s="1"/>
  <c r="P786" i="56"/>
  <c r="K724" i="70" s="1"/>
  <c r="P749" i="56"/>
  <c r="K693" i="70" s="1"/>
  <c r="P750" i="56"/>
  <c r="K694" i="70" s="1"/>
  <c r="P751" i="56"/>
  <c r="K695" i="70" s="1"/>
  <c r="P752" i="56"/>
  <c r="K696" i="70" s="1"/>
  <c r="P753" i="56"/>
  <c r="K697" i="70" s="1"/>
  <c r="P754" i="56"/>
  <c r="K698" i="70" s="1"/>
  <c r="P755" i="56"/>
  <c r="K699" i="70" s="1"/>
  <c r="P756" i="56"/>
  <c r="K700" i="70" s="1"/>
  <c r="P757" i="56"/>
  <c r="K701" i="70" s="1"/>
  <c r="P758" i="56"/>
  <c r="K702" i="70" s="1"/>
  <c r="P748" i="56"/>
  <c r="K692" i="70" s="1"/>
  <c r="P711" i="56"/>
  <c r="K661" i="70" s="1"/>
  <c r="P712" i="56"/>
  <c r="K662" i="70" s="1"/>
  <c r="P713" i="56"/>
  <c r="K663" i="70" s="1"/>
  <c r="P714" i="56"/>
  <c r="K664" i="70" s="1"/>
  <c r="P715" i="56"/>
  <c r="K665" i="70" s="1"/>
  <c r="P716" i="56"/>
  <c r="K666" i="70" s="1"/>
  <c r="P717" i="56"/>
  <c r="K667" i="70" s="1"/>
  <c r="P718" i="56"/>
  <c r="K668" i="70" s="1"/>
  <c r="P719" i="56"/>
  <c r="K669" i="70" s="1"/>
  <c r="P720" i="56"/>
  <c r="K670" i="70" s="1"/>
  <c r="P710" i="56"/>
  <c r="K660" i="70" s="1"/>
  <c r="P673" i="56"/>
  <c r="K629" i="70" s="1"/>
  <c r="P674" i="56"/>
  <c r="K630" i="70" s="1"/>
  <c r="P675" i="56"/>
  <c r="K631" i="70" s="1"/>
  <c r="P676" i="56"/>
  <c r="K632" i="70" s="1"/>
  <c r="P677" i="56"/>
  <c r="K633" i="70" s="1"/>
  <c r="P678" i="56"/>
  <c r="K634" i="70" s="1"/>
  <c r="P679" i="56"/>
  <c r="K635" i="70" s="1"/>
  <c r="P680" i="56"/>
  <c r="K636" i="70" s="1"/>
  <c r="P681" i="56"/>
  <c r="K637" i="70" s="1"/>
  <c r="P682" i="56"/>
  <c r="K638" i="70" s="1"/>
  <c r="P672" i="56"/>
  <c r="K628" i="70" s="1"/>
  <c r="P635" i="56"/>
  <c r="K597" i="70" s="1"/>
  <c r="P636" i="56"/>
  <c r="K598" i="70" s="1"/>
  <c r="P637" i="56"/>
  <c r="K599" i="70" s="1"/>
  <c r="P638" i="56"/>
  <c r="K600" i="70" s="1"/>
  <c r="P639" i="56"/>
  <c r="K601" i="70" s="1"/>
  <c r="P640" i="56"/>
  <c r="K602" i="70" s="1"/>
  <c r="P641" i="56"/>
  <c r="K603" i="70" s="1"/>
  <c r="P642" i="56"/>
  <c r="K604" i="70" s="1"/>
  <c r="P643" i="56"/>
  <c r="K605" i="70" s="1"/>
  <c r="P644" i="56"/>
  <c r="K606" i="70" s="1"/>
  <c r="P634" i="56"/>
  <c r="K596" i="70" s="1"/>
  <c r="P597" i="56"/>
  <c r="K565" i="70" s="1"/>
  <c r="P598" i="56"/>
  <c r="K566" i="70" s="1"/>
  <c r="P599" i="56"/>
  <c r="K567" i="70" s="1"/>
  <c r="P600" i="56"/>
  <c r="K568" i="70" s="1"/>
  <c r="P601" i="56"/>
  <c r="K569" i="70" s="1"/>
  <c r="P602" i="56"/>
  <c r="K570" i="70" s="1"/>
  <c r="P603" i="56"/>
  <c r="K571" i="70" s="1"/>
  <c r="P604" i="56"/>
  <c r="K572" i="70" s="1"/>
  <c r="P605" i="56"/>
  <c r="K573" i="70" s="1"/>
  <c r="P606" i="56"/>
  <c r="K574" i="70" s="1"/>
  <c r="P596" i="56"/>
  <c r="K564" i="70" s="1"/>
  <c r="P559" i="56"/>
  <c r="K533" i="70" s="1"/>
  <c r="P560" i="56"/>
  <c r="K534" i="70" s="1"/>
  <c r="P561" i="56"/>
  <c r="K535" i="70" s="1"/>
  <c r="P562" i="56"/>
  <c r="K536" i="70" s="1"/>
  <c r="P563" i="56"/>
  <c r="K537" i="70" s="1"/>
  <c r="P564" i="56"/>
  <c r="K538" i="70" s="1"/>
  <c r="P565" i="56"/>
  <c r="K539" i="70" s="1"/>
  <c r="P566" i="56"/>
  <c r="K540" i="70" s="1"/>
  <c r="P567" i="56"/>
  <c r="K541" i="70" s="1"/>
  <c r="P568" i="56"/>
  <c r="K542" i="70" s="1"/>
  <c r="P558" i="56"/>
  <c r="K532" i="70" s="1"/>
  <c r="P521" i="56"/>
  <c r="K501" i="70" s="1"/>
  <c r="P522" i="56"/>
  <c r="K502" i="70" s="1"/>
  <c r="P523" i="56"/>
  <c r="K503" i="70" s="1"/>
  <c r="P524" i="56"/>
  <c r="K504" i="70" s="1"/>
  <c r="P525" i="56"/>
  <c r="K505" i="70" s="1"/>
  <c r="P526" i="56"/>
  <c r="K506" i="70" s="1"/>
  <c r="P527" i="56"/>
  <c r="K507" i="70" s="1"/>
  <c r="P528" i="56"/>
  <c r="K508" i="70" s="1"/>
  <c r="P529" i="56"/>
  <c r="K509" i="70" s="1"/>
  <c r="P530" i="56"/>
  <c r="K510" i="70" s="1"/>
  <c r="P520" i="56"/>
  <c r="K500" i="70" s="1"/>
  <c r="P482" i="56"/>
  <c r="K468" i="70" s="1"/>
  <c r="P445" i="56"/>
  <c r="K437" i="70" s="1"/>
  <c r="P446" i="56"/>
  <c r="K438" i="70" s="1"/>
  <c r="P447" i="56"/>
  <c r="K439" i="70" s="1"/>
  <c r="P448" i="56"/>
  <c r="K440" i="70" s="1"/>
  <c r="P449" i="56"/>
  <c r="K441" i="70" s="1"/>
  <c r="P450" i="56"/>
  <c r="K442" i="70" s="1"/>
  <c r="P451" i="56"/>
  <c r="K443" i="70" s="1"/>
  <c r="P452" i="56"/>
  <c r="K444" i="70" s="1"/>
  <c r="P453" i="56"/>
  <c r="K445" i="70" s="1"/>
  <c r="P454" i="56"/>
  <c r="K446" i="70" s="1"/>
  <c r="P444" i="56"/>
  <c r="K436" i="70" s="1"/>
  <c r="P407" i="56"/>
  <c r="K405" i="70" s="1"/>
  <c r="P408" i="56"/>
  <c r="K406" i="70" s="1"/>
  <c r="P409" i="56"/>
  <c r="K407" i="70" s="1"/>
  <c r="P410" i="56"/>
  <c r="K408" i="70" s="1"/>
  <c r="P411" i="56"/>
  <c r="K409" i="70" s="1"/>
  <c r="P412" i="56"/>
  <c r="K410" i="70" s="1"/>
  <c r="P413" i="56"/>
  <c r="K411" i="70" s="1"/>
  <c r="P414" i="56"/>
  <c r="K412" i="70" s="1"/>
  <c r="P415" i="56"/>
  <c r="K413" i="70" s="1"/>
  <c r="P416" i="56"/>
  <c r="K414" i="70" s="1"/>
  <c r="P406" i="56"/>
  <c r="K404" i="70" s="1"/>
  <c r="P369" i="56"/>
  <c r="K373" i="70" s="1"/>
  <c r="P370" i="56"/>
  <c r="K374" i="70" s="1"/>
  <c r="P371" i="56"/>
  <c r="K375" i="70" s="1"/>
  <c r="P372" i="56"/>
  <c r="K376" i="70" s="1"/>
  <c r="P373" i="56"/>
  <c r="K377" i="70" s="1"/>
  <c r="P374" i="56"/>
  <c r="K378" i="70" s="1"/>
  <c r="P375" i="56"/>
  <c r="K379" i="70" s="1"/>
  <c r="P376" i="56"/>
  <c r="K380" i="70" s="1"/>
  <c r="P377" i="56"/>
  <c r="K381" i="70" s="1"/>
  <c r="P378" i="56"/>
  <c r="K382" i="70" s="1"/>
  <c r="P368" i="56"/>
  <c r="K372" i="70" s="1"/>
  <c r="P331" i="56"/>
  <c r="K341" i="70" s="1"/>
  <c r="P332" i="56"/>
  <c r="K342" i="70" s="1"/>
  <c r="P333" i="56"/>
  <c r="K343" i="70" s="1"/>
  <c r="P334" i="56"/>
  <c r="K344" i="70" s="1"/>
  <c r="P335" i="56"/>
  <c r="K345" i="70" s="1"/>
  <c r="P336" i="56"/>
  <c r="K346" i="70" s="1"/>
  <c r="P337" i="56"/>
  <c r="K347" i="70" s="1"/>
  <c r="P338" i="56"/>
  <c r="K348" i="70" s="1"/>
  <c r="P339" i="56"/>
  <c r="K349" i="70" s="1"/>
  <c r="P340" i="56"/>
  <c r="K350" i="70" s="1"/>
  <c r="P330" i="56"/>
  <c r="K340" i="70" s="1"/>
  <c r="P293" i="56"/>
  <c r="K309" i="70" s="1"/>
  <c r="P294" i="56"/>
  <c r="K310" i="70" s="1"/>
  <c r="P295" i="56"/>
  <c r="K311" i="70" s="1"/>
  <c r="P296" i="56"/>
  <c r="K312" i="70" s="1"/>
  <c r="P297" i="56"/>
  <c r="K313" i="70" s="1"/>
  <c r="P298" i="56"/>
  <c r="K314" i="70" s="1"/>
  <c r="P299" i="56"/>
  <c r="K315" i="70" s="1"/>
  <c r="P300" i="56"/>
  <c r="K316" i="70" s="1"/>
  <c r="P301" i="56"/>
  <c r="K317" i="70" s="1"/>
  <c r="P302" i="56"/>
  <c r="K318" i="70" s="1"/>
  <c r="P292" i="56"/>
  <c r="K308" i="70" s="1"/>
  <c r="K319" i="70" l="1"/>
  <c r="K383" i="70"/>
  <c r="K351" i="70"/>
  <c r="A872" i="56"/>
  <c r="A986" i="56"/>
  <c r="A1252" i="56"/>
  <c r="A682" i="56"/>
  <c r="A1176" i="56"/>
  <c r="A416" i="56"/>
  <c r="A910" i="56"/>
  <c r="A644" i="56"/>
  <c r="A1138" i="56"/>
  <c r="A492" i="56"/>
  <c r="A1214" i="56"/>
  <c r="A1366" i="56"/>
  <c r="A758" i="56"/>
  <c r="A606" i="56"/>
  <c r="A948" i="56"/>
  <c r="A834" i="56"/>
  <c r="A568" i="56"/>
  <c r="A720" i="56"/>
  <c r="A796" i="56"/>
  <c r="A1100" i="56"/>
  <c r="A530" i="56"/>
  <c r="A1062" i="56"/>
  <c r="A1290" i="56"/>
  <c r="A454" i="56"/>
  <c r="A1024" i="56"/>
  <c r="A383" i="56"/>
  <c r="A1328" i="56"/>
  <c r="A347" i="56"/>
  <c r="A311" i="56"/>
  <c r="P76" i="56"/>
  <c r="K141" i="70" s="1"/>
  <c r="P77" i="56"/>
  <c r="K142" i="70" s="1"/>
  <c r="P78" i="56"/>
  <c r="K143" i="70" s="1"/>
  <c r="P79" i="56"/>
  <c r="K144" i="70" s="1"/>
  <c r="P80" i="56"/>
  <c r="K145" i="70" s="1"/>
  <c r="P81" i="56"/>
  <c r="K146" i="70" s="1"/>
  <c r="P82" i="56"/>
  <c r="K147" i="70" s="1"/>
  <c r="P83" i="56"/>
  <c r="K148" i="70" s="1"/>
  <c r="P84" i="56"/>
  <c r="K149" i="70" s="1"/>
  <c r="P85" i="56"/>
  <c r="K150" i="70" s="1"/>
  <c r="P86" i="56"/>
  <c r="K151" i="70" s="1"/>
  <c r="P87" i="56"/>
  <c r="K152" i="70" s="1"/>
  <c r="P88" i="56"/>
  <c r="K153" i="70" s="1"/>
  <c r="P89" i="56"/>
  <c r="K154" i="70" s="1"/>
  <c r="P90" i="56"/>
  <c r="K155" i="70" s="1"/>
  <c r="P91" i="56"/>
  <c r="K156" i="70" s="1"/>
  <c r="P92" i="56"/>
  <c r="K157" i="70" s="1"/>
  <c r="P93" i="56"/>
  <c r="K158" i="70" s="1"/>
  <c r="P94" i="56"/>
  <c r="K159" i="70" s="1"/>
  <c r="P95" i="56"/>
  <c r="K160" i="70" s="1"/>
  <c r="P96" i="56"/>
  <c r="K161" i="70" s="1"/>
  <c r="P97" i="56"/>
  <c r="K162" i="70" s="1"/>
  <c r="P98" i="56"/>
  <c r="K163" i="70" s="1"/>
  <c r="P99" i="56"/>
  <c r="K164" i="70" s="1"/>
  <c r="P100" i="56"/>
  <c r="K165" i="70" s="1"/>
  <c r="P101" i="56"/>
  <c r="K166" i="70" s="1"/>
  <c r="P102" i="56"/>
  <c r="K167" i="70" s="1"/>
  <c r="P103" i="56"/>
  <c r="K168" i="70" s="1"/>
  <c r="P104" i="56"/>
  <c r="K169" i="70" s="1"/>
  <c r="P105" i="56"/>
  <c r="K170" i="70" s="1"/>
  <c r="P106" i="56"/>
  <c r="K171" i="70" s="1"/>
  <c r="P107" i="56"/>
  <c r="K172" i="70" s="1"/>
  <c r="P108" i="56"/>
  <c r="K173" i="70" s="1"/>
  <c r="P109" i="56"/>
  <c r="K174" i="70" s="1"/>
  <c r="P110" i="56"/>
  <c r="K175" i="70" s="1"/>
  <c r="P111" i="56"/>
  <c r="K176" i="70" s="1"/>
  <c r="P112" i="56"/>
  <c r="K177" i="70" s="1"/>
  <c r="P113" i="56"/>
  <c r="K178" i="70" s="1"/>
  <c r="P114" i="56"/>
  <c r="K179" i="70" s="1"/>
  <c r="P115" i="56"/>
  <c r="K180" i="70" s="1"/>
  <c r="P116" i="56"/>
  <c r="K181" i="70" s="1"/>
  <c r="P117" i="56"/>
  <c r="K182" i="70" s="1"/>
  <c r="P118" i="56"/>
  <c r="K183" i="70" s="1"/>
  <c r="P119" i="56"/>
  <c r="K184" i="70" s="1"/>
  <c r="P120" i="56"/>
  <c r="K185" i="70" s="1"/>
  <c r="P121" i="56"/>
  <c r="K186" i="70" s="1"/>
  <c r="P122" i="56"/>
  <c r="K187" i="70" s="1"/>
  <c r="P123" i="56"/>
  <c r="K188" i="70" s="1"/>
  <c r="P124" i="56"/>
  <c r="K189" i="70" s="1"/>
  <c r="P125" i="56"/>
  <c r="K190" i="70" s="1"/>
  <c r="P126" i="56"/>
  <c r="K191" i="70" s="1"/>
  <c r="P127" i="56"/>
  <c r="K192" i="70" s="1"/>
  <c r="P128" i="56"/>
  <c r="K193" i="70" s="1"/>
  <c r="P129" i="56"/>
  <c r="K194" i="70" s="1"/>
  <c r="P130" i="56"/>
  <c r="K195" i="70" s="1"/>
  <c r="P131" i="56"/>
  <c r="K196" i="70" s="1"/>
  <c r="P132" i="56"/>
  <c r="K197" i="70" s="1"/>
  <c r="P133" i="56"/>
  <c r="K198" i="70" s="1"/>
  <c r="P134" i="56"/>
  <c r="K199" i="70" s="1"/>
  <c r="P135" i="56"/>
  <c r="K200" i="70" s="1"/>
  <c r="P136" i="56"/>
  <c r="K201" i="70" s="1"/>
  <c r="P137" i="56"/>
  <c r="K202" i="70" s="1"/>
  <c r="P138" i="56"/>
  <c r="K203" i="70" s="1"/>
  <c r="P139" i="56"/>
  <c r="K204" i="70" s="1"/>
  <c r="P140" i="56"/>
  <c r="K205" i="70" s="1"/>
  <c r="P141" i="56"/>
  <c r="K206" i="70" s="1"/>
  <c r="P142" i="56"/>
  <c r="K207" i="70" s="1"/>
  <c r="P143" i="56"/>
  <c r="K208" i="70" s="1"/>
  <c r="P144" i="56"/>
  <c r="K209" i="70" s="1"/>
  <c r="P145" i="56"/>
  <c r="K210" i="70" s="1"/>
  <c r="P146" i="56"/>
  <c r="K211" i="70" s="1"/>
  <c r="P147" i="56"/>
  <c r="K212" i="70" s="1"/>
  <c r="P148" i="56"/>
  <c r="K213" i="70" s="1"/>
  <c r="P149" i="56"/>
  <c r="K214" i="70" s="1"/>
  <c r="P150" i="56"/>
  <c r="K215" i="70" s="1"/>
  <c r="P151" i="56"/>
  <c r="K216" i="70" s="1"/>
  <c r="P152" i="56"/>
  <c r="K217" i="70" s="1"/>
  <c r="P153" i="56"/>
  <c r="K218" i="70" s="1"/>
  <c r="P154" i="56"/>
  <c r="K219" i="70" s="1"/>
  <c r="P155" i="56"/>
  <c r="K220" i="70" s="1"/>
  <c r="P156" i="56"/>
  <c r="K221" i="70" s="1"/>
  <c r="P157" i="56"/>
  <c r="K222" i="70" s="1"/>
  <c r="P158" i="56"/>
  <c r="K223" i="70" s="1"/>
  <c r="P159" i="56"/>
  <c r="K224" i="70" s="1"/>
  <c r="P160" i="56"/>
  <c r="K225" i="70" s="1"/>
  <c r="P161" i="56"/>
  <c r="K226" i="70" s="1"/>
  <c r="P162" i="56"/>
  <c r="K227" i="70" s="1"/>
  <c r="P163" i="56"/>
  <c r="K228" i="70" s="1"/>
  <c r="P164" i="56"/>
  <c r="K229" i="70" s="1"/>
  <c r="P165" i="56"/>
  <c r="K230" i="70" s="1"/>
  <c r="P166" i="56"/>
  <c r="K231" i="70" s="1"/>
  <c r="P167" i="56"/>
  <c r="K232" i="70" s="1"/>
  <c r="P168" i="56"/>
  <c r="K233" i="70" s="1"/>
  <c r="P169" i="56"/>
  <c r="K234" i="70" s="1"/>
  <c r="P170" i="56"/>
  <c r="K235" i="70" s="1"/>
  <c r="P171" i="56"/>
  <c r="K236" i="70" s="1"/>
  <c r="P172" i="56"/>
  <c r="K237" i="70" s="1"/>
  <c r="P173" i="56"/>
  <c r="K238" i="70" s="1"/>
  <c r="P174" i="56"/>
  <c r="K239" i="70" s="1"/>
  <c r="P175" i="56"/>
  <c r="K240" i="70" s="1"/>
  <c r="P176" i="56"/>
  <c r="K241" i="70" s="1"/>
  <c r="P177" i="56"/>
  <c r="K242" i="70" s="1"/>
  <c r="P178" i="56"/>
  <c r="K243" i="70" s="1"/>
  <c r="P179" i="56"/>
  <c r="K244" i="70" s="1"/>
  <c r="P180" i="56"/>
  <c r="K245" i="70" s="1"/>
  <c r="P181" i="56"/>
  <c r="K246" i="70" s="1"/>
  <c r="P182" i="56"/>
  <c r="K247" i="70" s="1"/>
  <c r="P183" i="56"/>
  <c r="K248" i="70" s="1"/>
  <c r="P184" i="56"/>
  <c r="K249" i="70" s="1"/>
  <c r="P185" i="56"/>
  <c r="K250" i="70" s="1"/>
  <c r="P186" i="56"/>
  <c r="K251" i="70" s="1"/>
  <c r="P187" i="56"/>
  <c r="K252" i="70" s="1"/>
  <c r="P188" i="56"/>
  <c r="K253" i="70" s="1"/>
  <c r="P189" i="56"/>
  <c r="K254" i="70" s="1"/>
  <c r="P190" i="56"/>
  <c r="K255" i="70" s="1"/>
  <c r="P191" i="56"/>
  <c r="K256" i="70" s="1"/>
  <c r="P192" i="56"/>
  <c r="K257" i="70" s="1"/>
  <c r="P193" i="56"/>
  <c r="K258" i="70" s="1"/>
  <c r="P194" i="56"/>
  <c r="K259" i="70" s="1"/>
  <c r="P195" i="56"/>
  <c r="K260" i="70" s="1"/>
  <c r="P196" i="56"/>
  <c r="K261" i="70" s="1"/>
  <c r="P197" i="56"/>
  <c r="K262" i="70" s="1"/>
  <c r="P198" i="56"/>
  <c r="K263" i="70" s="1"/>
  <c r="P199" i="56"/>
  <c r="K264" i="70" s="1"/>
  <c r="P200" i="56"/>
  <c r="K265" i="70" s="1"/>
  <c r="P201" i="56"/>
  <c r="K266" i="70" s="1"/>
  <c r="P202" i="56"/>
  <c r="K267" i="70" s="1"/>
  <c r="P203" i="56"/>
  <c r="K268" i="70" s="1"/>
  <c r="P204" i="56"/>
  <c r="K269" i="70" s="1"/>
  <c r="P205" i="56"/>
  <c r="K270" i="70" s="1"/>
  <c r="P206" i="56"/>
  <c r="K271" i="70" s="1"/>
  <c r="P207" i="56"/>
  <c r="K272" i="70" s="1"/>
  <c r="P208" i="56"/>
  <c r="K273" i="70" s="1"/>
  <c r="P209" i="56"/>
  <c r="K274" i="70" s="1"/>
  <c r="P210" i="56"/>
  <c r="K275" i="70" s="1"/>
  <c r="P211" i="56"/>
  <c r="K276" i="70" s="1"/>
  <c r="P212" i="56"/>
  <c r="K277" i="70" s="1"/>
  <c r="P213" i="56"/>
  <c r="K278" i="70" s="1"/>
  <c r="P214" i="56"/>
  <c r="K279" i="70" s="1"/>
  <c r="P215" i="56"/>
  <c r="K280" i="70" s="1"/>
  <c r="P216" i="56"/>
  <c r="K281" i="70" s="1"/>
  <c r="P217" i="56"/>
  <c r="K282" i="70" s="1"/>
  <c r="P218" i="56"/>
  <c r="K283" i="70" s="1"/>
  <c r="P219" i="56"/>
  <c r="K284" i="70" s="1"/>
  <c r="P220" i="56"/>
  <c r="K285" i="70" s="1"/>
  <c r="P221" i="56"/>
  <c r="K286" i="70" s="1"/>
  <c r="P222" i="56"/>
  <c r="K287" i="70" s="1"/>
  <c r="P223" i="56"/>
  <c r="K288" i="70" s="1"/>
  <c r="P224" i="56"/>
  <c r="K289" i="70" s="1"/>
  <c r="P75" i="56"/>
  <c r="K140" i="70" s="1"/>
  <c r="A455" i="56" l="1"/>
  <c r="A1101" i="56"/>
  <c r="A835" i="56"/>
  <c r="A1367" i="56"/>
  <c r="A645" i="56"/>
  <c r="A683" i="56"/>
  <c r="A1329" i="56"/>
  <c r="A1291" i="56"/>
  <c r="A797" i="56"/>
  <c r="A949" i="56"/>
  <c r="A1215" i="56"/>
  <c r="A911" i="56"/>
  <c r="A1253" i="56"/>
  <c r="A721" i="56"/>
  <c r="A493" i="56"/>
  <c r="A1063" i="56"/>
  <c r="A987" i="56"/>
  <c r="A384" i="56"/>
  <c r="A607" i="56"/>
  <c r="A417" i="56"/>
  <c r="A1025" i="56"/>
  <c r="A531" i="56"/>
  <c r="A569" i="56"/>
  <c r="A759" i="56"/>
  <c r="A1139" i="56"/>
  <c r="A1177" i="56"/>
  <c r="A873" i="56"/>
  <c r="A348" i="56"/>
  <c r="A312" i="56"/>
  <c r="A80" i="56"/>
  <c r="A81" i="56" s="1"/>
  <c r="A82" i="56" s="1"/>
  <c r="A83" i="56" s="1"/>
  <c r="A84" i="56" s="1"/>
  <c r="A85" i="56" s="1"/>
  <c r="A86" i="56" s="1"/>
  <c r="A87" i="56" s="1"/>
  <c r="A88" i="56" s="1"/>
  <c r="A89" i="56" s="1"/>
  <c r="A90" i="56" s="1"/>
  <c r="A91" i="56" s="1"/>
  <c r="A92" i="56" s="1"/>
  <c r="A93" i="56" s="1"/>
  <c r="A94" i="56" s="1"/>
  <c r="A95" i="56" s="1"/>
  <c r="A96" i="56" s="1"/>
  <c r="A97" i="56" s="1"/>
  <c r="A98" i="56" s="1"/>
  <c r="A99" i="56" s="1"/>
  <c r="A100" i="56" s="1"/>
  <c r="A101" i="56" s="1"/>
  <c r="A102" i="56" s="1"/>
  <c r="A103" i="56" s="1"/>
  <c r="A104" i="56" s="1"/>
  <c r="A105" i="56" s="1"/>
  <c r="A106" i="56" s="1"/>
  <c r="A107" i="56" s="1"/>
  <c r="A108" i="56" s="1"/>
  <c r="A760" i="56" l="1"/>
  <c r="A418" i="56"/>
  <c r="A1064" i="56"/>
  <c r="A912" i="56"/>
  <c r="A1292" i="56"/>
  <c r="A1368" i="56"/>
  <c r="A874" i="56"/>
  <c r="A570" i="56"/>
  <c r="A608" i="56"/>
  <c r="A494" i="56"/>
  <c r="A1216" i="56"/>
  <c r="A1330" i="56"/>
  <c r="A836" i="56"/>
  <c r="A1178" i="56"/>
  <c r="A532" i="56"/>
  <c r="A385" i="56"/>
  <c r="A722" i="56"/>
  <c r="A950" i="56"/>
  <c r="A684" i="56"/>
  <c r="A1102" i="56"/>
  <c r="A1140" i="56"/>
  <c r="A1026" i="56"/>
  <c r="A988" i="56"/>
  <c r="A1254" i="56"/>
  <c r="A798" i="56"/>
  <c r="A646" i="56"/>
  <c r="A456" i="56"/>
  <c r="A349" i="56"/>
  <c r="A109" i="56"/>
  <c r="DX84" i="51"/>
  <c r="A1255" i="56" l="1"/>
  <c r="A1103" i="56"/>
  <c r="A386" i="56"/>
  <c r="A1331" i="56"/>
  <c r="A571" i="56"/>
  <c r="A913" i="56"/>
  <c r="A457" i="56"/>
  <c r="A989" i="56"/>
  <c r="A685" i="56"/>
  <c r="A533" i="56"/>
  <c r="A1217" i="56"/>
  <c r="A875" i="56"/>
  <c r="A1065" i="56"/>
  <c r="A647" i="56"/>
  <c r="A1027" i="56"/>
  <c r="A951" i="56"/>
  <c r="A1179" i="56"/>
  <c r="A495" i="56"/>
  <c r="A1369" i="56"/>
  <c r="A419" i="56"/>
  <c r="A799" i="56"/>
  <c r="A1141" i="56"/>
  <c r="A723" i="56"/>
  <c r="A837" i="56"/>
  <c r="A609" i="56"/>
  <c r="A1293" i="56"/>
  <c r="A761" i="56"/>
  <c r="A350" i="56"/>
  <c r="A110" i="56"/>
  <c r="P407" i="51"/>
  <c r="P406" i="51"/>
  <c r="P405" i="51"/>
  <c r="P404" i="51"/>
  <c r="P403" i="51"/>
  <c r="P402" i="51"/>
  <c r="P401" i="51"/>
  <c r="P400" i="51"/>
  <c r="P395" i="51"/>
  <c r="P394" i="51"/>
  <c r="P393" i="51"/>
  <c r="P392" i="51"/>
  <c r="P391" i="51"/>
  <c r="P390" i="51"/>
  <c r="P389" i="51"/>
  <c r="P388" i="51"/>
  <c r="P383" i="51"/>
  <c r="P382" i="51"/>
  <c r="P381" i="51"/>
  <c r="P380" i="51"/>
  <c r="P379" i="51"/>
  <c r="P378" i="51"/>
  <c r="P377" i="51"/>
  <c r="P376" i="51"/>
  <c r="P371" i="51"/>
  <c r="P370" i="51"/>
  <c r="P369" i="51"/>
  <c r="P368" i="51"/>
  <c r="P367" i="51"/>
  <c r="P366" i="51"/>
  <c r="P365" i="51"/>
  <c r="P364" i="51"/>
  <c r="P359" i="51"/>
  <c r="P358" i="51"/>
  <c r="P357" i="51"/>
  <c r="P356" i="51"/>
  <c r="P355" i="51"/>
  <c r="P354" i="51"/>
  <c r="P353" i="51"/>
  <c r="P352" i="51"/>
  <c r="P347" i="51"/>
  <c r="P346" i="51"/>
  <c r="P345" i="51"/>
  <c r="P344" i="51"/>
  <c r="P343" i="51"/>
  <c r="P342" i="51"/>
  <c r="P341" i="51"/>
  <c r="P340" i="51"/>
  <c r="P335" i="51"/>
  <c r="P334" i="51"/>
  <c r="P333" i="51"/>
  <c r="P332" i="51"/>
  <c r="P331" i="51"/>
  <c r="P330" i="51"/>
  <c r="P329" i="51"/>
  <c r="P328" i="51"/>
  <c r="P323" i="51"/>
  <c r="P322" i="51"/>
  <c r="P321" i="51"/>
  <c r="P320" i="51"/>
  <c r="P319" i="51"/>
  <c r="P318" i="51"/>
  <c r="P317" i="51"/>
  <c r="P316" i="51"/>
  <c r="P311" i="51"/>
  <c r="P310" i="51"/>
  <c r="P309" i="51"/>
  <c r="P308" i="51"/>
  <c r="P307" i="51"/>
  <c r="P306" i="51"/>
  <c r="P305" i="51"/>
  <c r="P304" i="51"/>
  <c r="P299" i="51"/>
  <c r="P298" i="51"/>
  <c r="P297" i="51"/>
  <c r="P296" i="51"/>
  <c r="P295" i="51"/>
  <c r="P294" i="51"/>
  <c r="P293" i="51"/>
  <c r="P292" i="51"/>
  <c r="P287" i="51"/>
  <c r="P286" i="51"/>
  <c r="P285" i="51"/>
  <c r="P284" i="51"/>
  <c r="P283" i="51"/>
  <c r="P282" i="51"/>
  <c r="P281" i="51"/>
  <c r="P280" i="51"/>
  <c r="P275" i="51"/>
  <c r="P274" i="51"/>
  <c r="P273" i="51"/>
  <c r="P272" i="51"/>
  <c r="P271" i="51"/>
  <c r="P270" i="51"/>
  <c r="P269" i="51"/>
  <c r="P268" i="51"/>
  <c r="P263" i="51"/>
  <c r="P262" i="51"/>
  <c r="P261" i="51"/>
  <c r="P260" i="51"/>
  <c r="P259" i="51"/>
  <c r="P258" i="51"/>
  <c r="P257" i="51"/>
  <c r="P256" i="51"/>
  <c r="P251" i="51"/>
  <c r="P250" i="51"/>
  <c r="P249" i="51"/>
  <c r="P248" i="51"/>
  <c r="P247" i="51"/>
  <c r="P246" i="51"/>
  <c r="P245" i="51"/>
  <c r="P244" i="51"/>
  <c r="P239" i="51"/>
  <c r="P238" i="51"/>
  <c r="P237" i="51"/>
  <c r="P236" i="51"/>
  <c r="P235" i="51"/>
  <c r="P234" i="51"/>
  <c r="P233" i="51"/>
  <c r="P232" i="51"/>
  <c r="P227" i="51"/>
  <c r="P226" i="51"/>
  <c r="P225" i="51"/>
  <c r="P224" i="51"/>
  <c r="P223" i="51"/>
  <c r="P222" i="51"/>
  <c r="P221" i="51"/>
  <c r="P220" i="51"/>
  <c r="P215" i="51"/>
  <c r="P214" i="51"/>
  <c r="P213" i="51"/>
  <c r="P212" i="51"/>
  <c r="P211" i="51"/>
  <c r="P210" i="51"/>
  <c r="P209" i="51"/>
  <c r="P208" i="51"/>
  <c r="P203" i="51"/>
  <c r="P202" i="51"/>
  <c r="P201" i="51"/>
  <c r="P200" i="51"/>
  <c r="P199" i="51"/>
  <c r="P198" i="51"/>
  <c r="P197" i="51"/>
  <c r="P196" i="51"/>
  <c r="P191" i="51"/>
  <c r="P190" i="51"/>
  <c r="P189" i="51"/>
  <c r="P188" i="51"/>
  <c r="P187" i="51"/>
  <c r="P186" i="51"/>
  <c r="P185" i="51"/>
  <c r="P184" i="51"/>
  <c r="P179" i="51"/>
  <c r="P178" i="51"/>
  <c r="P177" i="51"/>
  <c r="P176" i="51"/>
  <c r="P175" i="51"/>
  <c r="P174" i="51"/>
  <c r="P173" i="51"/>
  <c r="P172" i="51"/>
  <c r="P167" i="51"/>
  <c r="P166" i="51"/>
  <c r="P165" i="51"/>
  <c r="P164" i="51"/>
  <c r="P163" i="51"/>
  <c r="P162" i="51"/>
  <c r="P161" i="51"/>
  <c r="P160" i="51"/>
  <c r="P155" i="51"/>
  <c r="P154" i="51"/>
  <c r="P153" i="51"/>
  <c r="P152" i="51"/>
  <c r="P151" i="51"/>
  <c r="P150" i="51"/>
  <c r="P149" i="51"/>
  <c r="P148" i="51"/>
  <c r="P143" i="51"/>
  <c r="P142" i="51"/>
  <c r="P141" i="51"/>
  <c r="P140" i="51"/>
  <c r="P139" i="51"/>
  <c r="P138" i="51"/>
  <c r="P137" i="51"/>
  <c r="P136" i="51"/>
  <c r="P131" i="51"/>
  <c r="P130" i="51"/>
  <c r="P129" i="51"/>
  <c r="P128" i="51"/>
  <c r="P127" i="51"/>
  <c r="P126" i="51"/>
  <c r="P125" i="51"/>
  <c r="P124" i="51"/>
  <c r="P119" i="51"/>
  <c r="P118" i="51"/>
  <c r="P117" i="51"/>
  <c r="P116" i="51"/>
  <c r="P115" i="51"/>
  <c r="P114" i="51"/>
  <c r="P113" i="51"/>
  <c r="P112" i="51"/>
  <c r="P107" i="51"/>
  <c r="P106" i="51"/>
  <c r="P105" i="51"/>
  <c r="P104" i="51"/>
  <c r="P103" i="51"/>
  <c r="P102" i="51"/>
  <c r="P101" i="51"/>
  <c r="P100" i="51"/>
  <c r="P95" i="51"/>
  <c r="P94" i="51"/>
  <c r="P93" i="51"/>
  <c r="P92" i="51"/>
  <c r="P91" i="51"/>
  <c r="P90" i="51"/>
  <c r="P89" i="51"/>
  <c r="P88" i="51"/>
  <c r="P83" i="51"/>
  <c r="P82" i="51"/>
  <c r="P81" i="51"/>
  <c r="P80" i="51"/>
  <c r="P79" i="51"/>
  <c r="P78" i="51"/>
  <c r="P77" i="51"/>
  <c r="P76" i="51"/>
  <c r="P71" i="51"/>
  <c r="P70" i="51"/>
  <c r="P69" i="51"/>
  <c r="P68" i="51"/>
  <c r="P67" i="51"/>
  <c r="P66" i="51"/>
  <c r="P65" i="51"/>
  <c r="P64" i="51"/>
  <c r="Q407" i="51"/>
  <c r="Q406" i="51"/>
  <c r="Q405" i="51"/>
  <c r="Q404" i="51"/>
  <c r="Q403" i="51"/>
  <c r="Q402" i="51"/>
  <c r="Q401" i="51"/>
  <c r="Q400" i="51"/>
  <c r="Q395" i="51"/>
  <c r="Q394" i="51"/>
  <c r="Q393" i="51"/>
  <c r="Q392" i="51"/>
  <c r="Q391" i="51"/>
  <c r="Q390" i="51"/>
  <c r="Q389" i="51"/>
  <c r="Q388" i="51"/>
  <c r="Q383" i="51"/>
  <c r="Q382" i="51"/>
  <c r="Q381" i="51"/>
  <c r="Q380" i="51"/>
  <c r="Q379" i="51"/>
  <c r="Q378" i="51"/>
  <c r="Q377" i="51"/>
  <c r="Q376" i="51"/>
  <c r="Q371" i="51"/>
  <c r="Q370" i="51"/>
  <c r="Q369" i="51"/>
  <c r="Q368" i="51"/>
  <c r="Q367" i="51"/>
  <c r="Q366" i="51"/>
  <c r="Q365" i="51"/>
  <c r="Q364" i="51"/>
  <c r="Q359" i="51"/>
  <c r="Q358" i="51"/>
  <c r="Q357" i="51"/>
  <c r="Q356" i="51"/>
  <c r="Q355" i="51"/>
  <c r="Q354" i="51"/>
  <c r="Q353" i="51"/>
  <c r="Q352" i="51"/>
  <c r="Q347" i="51"/>
  <c r="Q346" i="51"/>
  <c r="Q345" i="51"/>
  <c r="Q344" i="51"/>
  <c r="Q343" i="51"/>
  <c r="Q342" i="51"/>
  <c r="Q341" i="51"/>
  <c r="Q340" i="51"/>
  <c r="Q335" i="51"/>
  <c r="Q334" i="51"/>
  <c r="Q333" i="51"/>
  <c r="Q332" i="51"/>
  <c r="Q331" i="51"/>
  <c r="Q330" i="51"/>
  <c r="Q329" i="51"/>
  <c r="Q328" i="51"/>
  <c r="Q323" i="51"/>
  <c r="Q322" i="51"/>
  <c r="Q321" i="51"/>
  <c r="Q320" i="51"/>
  <c r="Q319" i="51"/>
  <c r="Q318" i="51"/>
  <c r="Q317" i="51"/>
  <c r="Q316" i="51"/>
  <c r="Q311" i="51"/>
  <c r="Q310" i="51"/>
  <c r="Q309" i="51"/>
  <c r="Q308" i="51"/>
  <c r="Q307" i="51"/>
  <c r="Q306" i="51"/>
  <c r="Q305" i="51"/>
  <c r="Q304" i="51"/>
  <c r="Q299" i="51"/>
  <c r="Q298" i="51"/>
  <c r="Q297" i="51"/>
  <c r="Q296" i="51"/>
  <c r="Q295" i="51"/>
  <c r="Q294" i="51"/>
  <c r="Q293" i="51"/>
  <c r="Q292" i="51"/>
  <c r="Q287" i="51"/>
  <c r="Q286" i="51"/>
  <c r="Q285" i="51"/>
  <c r="Q284" i="51"/>
  <c r="Q283" i="51"/>
  <c r="Q282" i="51"/>
  <c r="Q281" i="51"/>
  <c r="Q280" i="51"/>
  <c r="Q275" i="51"/>
  <c r="Q274" i="51"/>
  <c r="Q273" i="51"/>
  <c r="Q272" i="51"/>
  <c r="Q271" i="51"/>
  <c r="Q270" i="51"/>
  <c r="Q269" i="51"/>
  <c r="Q268" i="51"/>
  <c r="Q263" i="51"/>
  <c r="Q262" i="51"/>
  <c r="Q261" i="51"/>
  <c r="Q260" i="51"/>
  <c r="Q259" i="51"/>
  <c r="Q258" i="51"/>
  <c r="Q257" i="51"/>
  <c r="Q256" i="51"/>
  <c r="Q251" i="51"/>
  <c r="Q250" i="51"/>
  <c r="Q249" i="51"/>
  <c r="Q248" i="51"/>
  <c r="Q247" i="51"/>
  <c r="Q246" i="51"/>
  <c r="Q245" i="51"/>
  <c r="Q244" i="51"/>
  <c r="Q239" i="51"/>
  <c r="Q238" i="51"/>
  <c r="Q237" i="51"/>
  <c r="Q236" i="51"/>
  <c r="Q235" i="51"/>
  <c r="Q234" i="51"/>
  <c r="Q233" i="51"/>
  <c r="Q232" i="51"/>
  <c r="Q227" i="51"/>
  <c r="Q226" i="51"/>
  <c r="Q225" i="51"/>
  <c r="Q224" i="51"/>
  <c r="Q223" i="51"/>
  <c r="Q222" i="51"/>
  <c r="Q221" i="51"/>
  <c r="Q220" i="51"/>
  <c r="Q215" i="51"/>
  <c r="Q214" i="51"/>
  <c r="Q213" i="51"/>
  <c r="Q212" i="51"/>
  <c r="Q211" i="51"/>
  <c r="Q210" i="51"/>
  <c r="Q209" i="51"/>
  <c r="Q208" i="51"/>
  <c r="Q203" i="51"/>
  <c r="Q202" i="51"/>
  <c r="Q201" i="51"/>
  <c r="Q200" i="51"/>
  <c r="Q199" i="51"/>
  <c r="Q198" i="51"/>
  <c r="Q197" i="51"/>
  <c r="Q196" i="51"/>
  <c r="Q191" i="51"/>
  <c r="Q190" i="51"/>
  <c r="Q189" i="51"/>
  <c r="Q188" i="51"/>
  <c r="Q187" i="51"/>
  <c r="Q186" i="51"/>
  <c r="Q185" i="51"/>
  <c r="Q184" i="51"/>
  <c r="Q179" i="51"/>
  <c r="Q178" i="51"/>
  <c r="Q177" i="51"/>
  <c r="Q176" i="51"/>
  <c r="Q175" i="51"/>
  <c r="Q174" i="51"/>
  <c r="Q173" i="51"/>
  <c r="Q172" i="51"/>
  <c r="Q167" i="51"/>
  <c r="Q166" i="51"/>
  <c r="Q165" i="51"/>
  <c r="Q164" i="51"/>
  <c r="Q163" i="51"/>
  <c r="Q162" i="51"/>
  <c r="Q161" i="51"/>
  <c r="Q160" i="51"/>
  <c r="Q155" i="51"/>
  <c r="Q154" i="51"/>
  <c r="Q153" i="51"/>
  <c r="Q152" i="51"/>
  <c r="Q151" i="51"/>
  <c r="Q150" i="51"/>
  <c r="Q149" i="51"/>
  <c r="Q148" i="51"/>
  <c r="Q143" i="51"/>
  <c r="Q142" i="51"/>
  <c r="Q141" i="51"/>
  <c r="Q140" i="51"/>
  <c r="Q139" i="51"/>
  <c r="Q138" i="51"/>
  <c r="Q137" i="51"/>
  <c r="Q136" i="51"/>
  <c r="Q131" i="51"/>
  <c r="Q130" i="51"/>
  <c r="Q129" i="51"/>
  <c r="Q128" i="51"/>
  <c r="Q127" i="51"/>
  <c r="Q126" i="51"/>
  <c r="Q125" i="51"/>
  <c r="Q124" i="51"/>
  <c r="Q119" i="51"/>
  <c r="Q118" i="51"/>
  <c r="Q117" i="51"/>
  <c r="Q116" i="51"/>
  <c r="Q115" i="51"/>
  <c r="Q114" i="51"/>
  <c r="Q113" i="51"/>
  <c r="Q112" i="51"/>
  <c r="Q107" i="51"/>
  <c r="Q106" i="51"/>
  <c r="Q105" i="51"/>
  <c r="Q104" i="51"/>
  <c r="Q103" i="51"/>
  <c r="Q102" i="51"/>
  <c r="Q101" i="51"/>
  <c r="Q100" i="51"/>
  <c r="Q95" i="51"/>
  <c r="Q94" i="51"/>
  <c r="Q93" i="51"/>
  <c r="Q92" i="51"/>
  <c r="Q91" i="51"/>
  <c r="Q90" i="51"/>
  <c r="Q89" i="51"/>
  <c r="Q88" i="51"/>
  <c r="Q83" i="51"/>
  <c r="Q82" i="51"/>
  <c r="Q81" i="51"/>
  <c r="Q80" i="51"/>
  <c r="Q79" i="51"/>
  <c r="Q78" i="51"/>
  <c r="Q77" i="51"/>
  <c r="Q76" i="51"/>
  <c r="Q71" i="51"/>
  <c r="Q70" i="51"/>
  <c r="Q69" i="51"/>
  <c r="Q68" i="51"/>
  <c r="Q67" i="51"/>
  <c r="Q66" i="51"/>
  <c r="Q65" i="51"/>
  <c r="Q64" i="51"/>
  <c r="Q96" i="51" l="1"/>
  <c r="Q84" i="51"/>
  <c r="Q108" i="51"/>
  <c r="A838" i="56"/>
  <c r="A420" i="56"/>
  <c r="A952" i="56"/>
  <c r="A876" i="56"/>
  <c r="A990" i="56"/>
  <c r="A1332" i="56"/>
  <c r="A762" i="56"/>
  <c r="A724" i="56"/>
  <c r="A1370" i="56"/>
  <c r="A1028" i="56"/>
  <c r="A1218" i="56"/>
  <c r="A458" i="56"/>
  <c r="A387" i="56"/>
  <c r="A1294" i="56"/>
  <c r="A1142" i="56"/>
  <c r="A496" i="56"/>
  <c r="A648" i="56"/>
  <c r="A534" i="56"/>
  <c r="A914" i="56"/>
  <c r="A1104" i="56"/>
  <c r="A610" i="56"/>
  <c r="A800" i="56"/>
  <c r="A1180" i="56"/>
  <c r="A1066" i="56"/>
  <c r="A686" i="56"/>
  <c r="A572" i="56"/>
  <c r="A1256" i="56"/>
  <c r="A111" i="56"/>
  <c r="O407" i="51"/>
  <c r="O406" i="51"/>
  <c r="O405" i="51"/>
  <c r="O404" i="51"/>
  <c r="O403" i="51"/>
  <c r="O402" i="51"/>
  <c r="O401" i="51"/>
  <c r="O400" i="51"/>
  <c r="O395" i="51"/>
  <c r="O394" i="51"/>
  <c r="O393" i="51"/>
  <c r="O392" i="51"/>
  <c r="O391" i="51"/>
  <c r="O390" i="51"/>
  <c r="O389" i="51"/>
  <c r="O388" i="51"/>
  <c r="O383" i="51"/>
  <c r="O382" i="51"/>
  <c r="O381" i="51"/>
  <c r="O380" i="51"/>
  <c r="O379" i="51"/>
  <c r="O378" i="51"/>
  <c r="O377" i="51"/>
  <c r="O376" i="51"/>
  <c r="O371" i="51"/>
  <c r="O370" i="51"/>
  <c r="O369" i="51"/>
  <c r="O368" i="51"/>
  <c r="O367" i="51"/>
  <c r="O366" i="51"/>
  <c r="O365" i="51"/>
  <c r="O364" i="51"/>
  <c r="O359" i="51"/>
  <c r="O358" i="51"/>
  <c r="O357" i="51"/>
  <c r="O356" i="51"/>
  <c r="O355" i="51"/>
  <c r="O354" i="51"/>
  <c r="O353" i="51"/>
  <c r="O352" i="51"/>
  <c r="O347" i="51"/>
  <c r="O346" i="51"/>
  <c r="O345" i="51"/>
  <c r="O344" i="51"/>
  <c r="O343" i="51"/>
  <c r="O342" i="51"/>
  <c r="O341" i="51"/>
  <c r="O340" i="51"/>
  <c r="O335" i="51"/>
  <c r="O334" i="51"/>
  <c r="O333" i="51"/>
  <c r="O332" i="51"/>
  <c r="O331" i="51"/>
  <c r="O330" i="51"/>
  <c r="O329" i="51"/>
  <c r="O328" i="51"/>
  <c r="O323" i="51"/>
  <c r="O322" i="51"/>
  <c r="O321" i="51"/>
  <c r="O320" i="51"/>
  <c r="O319" i="51"/>
  <c r="O318" i="51"/>
  <c r="O317" i="51"/>
  <c r="O316" i="51"/>
  <c r="O311" i="51"/>
  <c r="O310" i="51"/>
  <c r="O309" i="51"/>
  <c r="O308" i="51"/>
  <c r="O307" i="51"/>
  <c r="O306" i="51"/>
  <c r="O305" i="51"/>
  <c r="O304" i="51"/>
  <c r="O299" i="51"/>
  <c r="O298" i="51"/>
  <c r="O297" i="51"/>
  <c r="O296" i="51"/>
  <c r="O295" i="51"/>
  <c r="O294" i="51"/>
  <c r="O293" i="51"/>
  <c r="O292" i="51"/>
  <c r="O287" i="51"/>
  <c r="O286" i="51"/>
  <c r="O285" i="51"/>
  <c r="O284" i="51"/>
  <c r="O283" i="51"/>
  <c r="O282" i="51"/>
  <c r="O281" i="51"/>
  <c r="O280" i="51"/>
  <c r="O275" i="51"/>
  <c r="O274" i="51"/>
  <c r="O273" i="51"/>
  <c r="O272" i="51"/>
  <c r="O271" i="51"/>
  <c r="O270" i="51"/>
  <c r="O269" i="51"/>
  <c r="O268" i="51"/>
  <c r="O263" i="51"/>
  <c r="O262" i="51"/>
  <c r="O261" i="51"/>
  <c r="O260" i="51"/>
  <c r="O259" i="51"/>
  <c r="O258" i="51"/>
  <c r="O257" i="51"/>
  <c r="O256" i="51"/>
  <c r="O251" i="51"/>
  <c r="O250" i="51"/>
  <c r="O249" i="51"/>
  <c r="O248" i="51"/>
  <c r="O247" i="51"/>
  <c r="O246" i="51"/>
  <c r="O245" i="51"/>
  <c r="O244" i="51"/>
  <c r="O239" i="51"/>
  <c r="O238" i="51"/>
  <c r="O237" i="51"/>
  <c r="O236" i="51"/>
  <c r="O235" i="51"/>
  <c r="O234" i="51"/>
  <c r="O233" i="51"/>
  <c r="O232" i="51"/>
  <c r="O227" i="51"/>
  <c r="O226" i="51"/>
  <c r="O225" i="51"/>
  <c r="O224" i="51"/>
  <c r="O223" i="51"/>
  <c r="O222" i="51"/>
  <c r="O221" i="51"/>
  <c r="O220" i="51"/>
  <c r="O215" i="51"/>
  <c r="O214" i="51"/>
  <c r="O213" i="51"/>
  <c r="O212" i="51"/>
  <c r="O211" i="51"/>
  <c r="O210" i="51"/>
  <c r="O209" i="51"/>
  <c r="O208" i="51"/>
  <c r="O203" i="51"/>
  <c r="O202" i="51"/>
  <c r="O201" i="51"/>
  <c r="O200" i="51"/>
  <c r="O199" i="51"/>
  <c r="O198" i="51"/>
  <c r="O197" i="51"/>
  <c r="O196" i="51"/>
  <c r="O191" i="51"/>
  <c r="O190" i="51"/>
  <c r="O189" i="51"/>
  <c r="O188" i="51"/>
  <c r="O187" i="51"/>
  <c r="O186" i="51"/>
  <c r="O185" i="51"/>
  <c r="O184" i="51"/>
  <c r="O179" i="51"/>
  <c r="O178" i="51"/>
  <c r="O177" i="51"/>
  <c r="O176" i="51"/>
  <c r="O175" i="51"/>
  <c r="O174" i="51"/>
  <c r="O173" i="51"/>
  <c r="O172" i="51"/>
  <c r="O167" i="51"/>
  <c r="O166" i="51"/>
  <c r="O165" i="51"/>
  <c r="O164" i="51"/>
  <c r="O163" i="51"/>
  <c r="O162" i="51"/>
  <c r="O161" i="51"/>
  <c r="O160" i="51"/>
  <c r="O155" i="51"/>
  <c r="O154" i="51"/>
  <c r="O153" i="51"/>
  <c r="O152" i="51"/>
  <c r="O151" i="51"/>
  <c r="O150" i="51"/>
  <c r="O149" i="51"/>
  <c r="O148" i="51"/>
  <c r="O143" i="51"/>
  <c r="O142" i="51"/>
  <c r="O141" i="51"/>
  <c r="O140" i="51"/>
  <c r="O139" i="51"/>
  <c r="O138" i="51"/>
  <c r="O137" i="51"/>
  <c r="O136" i="51"/>
  <c r="O131" i="51"/>
  <c r="O130" i="51"/>
  <c r="O129" i="51"/>
  <c r="O128" i="51"/>
  <c r="O127" i="51"/>
  <c r="O126" i="51"/>
  <c r="O125" i="51"/>
  <c r="O124" i="51"/>
  <c r="O119" i="51"/>
  <c r="O118" i="51"/>
  <c r="O117" i="51"/>
  <c r="O116" i="51"/>
  <c r="O115" i="51"/>
  <c r="O114" i="51"/>
  <c r="O113" i="51"/>
  <c r="O112" i="51"/>
  <c r="O107" i="51"/>
  <c r="O106" i="51"/>
  <c r="O105" i="51"/>
  <c r="O104" i="51"/>
  <c r="O103" i="51"/>
  <c r="O102" i="51"/>
  <c r="O101" i="51"/>
  <c r="O100" i="51"/>
  <c r="O95" i="51"/>
  <c r="O94" i="51"/>
  <c r="O93" i="51"/>
  <c r="O92" i="51"/>
  <c r="O91" i="51"/>
  <c r="O90" i="51"/>
  <c r="O89" i="51"/>
  <c r="O88" i="51"/>
  <c r="O83" i="51"/>
  <c r="O82" i="51"/>
  <c r="O81" i="51"/>
  <c r="O80" i="51"/>
  <c r="O79" i="51"/>
  <c r="O78" i="51"/>
  <c r="O77" i="51"/>
  <c r="O76" i="51"/>
  <c r="O71" i="51"/>
  <c r="O70" i="51"/>
  <c r="O69" i="51"/>
  <c r="O68" i="51"/>
  <c r="O67" i="51"/>
  <c r="O66" i="51"/>
  <c r="O65" i="51"/>
  <c r="O64" i="51"/>
  <c r="I2" i="51"/>
  <c r="H2" i="51"/>
  <c r="Q9" i="51"/>
  <c r="Q10" i="51"/>
  <c r="Q11" i="51"/>
  <c r="Q12" i="51"/>
  <c r="Q13" i="51"/>
  <c r="Q14" i="51"/>
  <c r="Q15" i="51"/>
  <c r="Q16" i="51"/>
  <c r="Q17" i="51"/>
  <c r="Q18" i="51"/>
  <c r="Q19" i="51"/>
  <c r="Q20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P9" i="51"/>
  <c r="P10" i="51"/>
  <c r="P11" i="51"/>
  <c r="P12" i="51"/>
  <c r="P13" i="51"/>
  <c r="P14" i="51"/>
  <c r="P15" i="51"/>
  <c r="P16" i="51"/>
  <c r="P17" i="51"/>
  <c r="P18" i="51"/>
  <c r="P19" i="51"/>
  <c r="P20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8" i="51"/>
  <c r="O9" i="51"/>
  <c r="O10" i="51"/>
  <c r="O11" i="51"/>
  <c r="O12" i="51"/>
  <c r="O13" i="51"/>
  <c r="O14" i="51"/>
  <c r="O15" i="51"/>
  <c r="O16" i="51"/>
  <c r="O17" i="51"/>
  <c r="O18" i="51"/>
  <c r="O19" i="51"/>
  <c r="O20" i="51"/>
  <c r="O21" i="51"/>
  <c r="O22" i="51"/>
  <c r="O23" i="51"/>
  <c r="O24" i="51"/>
  <c r="O25" i="51"/>
  <c r="O26" i="51"/>
  <c r="O27" i="51"/>
  <c r="O28" i="51"/>
  <c r="O29" i="51"/>
  <c r="O30" i="51"/>
  <c r="O31" i="51"/>
  <c r="O32" i="51"/>
  <c r="O33" i="51"/>
  <c r="O34" i="51"/>
  <c r="O35" i="51"/>
  <c r="O36" i="51"/>
  <c r="O37" i="51"/>
  <c r="O38" i="51"/>
  <c r="O39" i="51"/>
  <c r="O40" i="51"/>
  <c r="O41" i="51"/>
  <c r="O42" i="51"/>
  <c r="O43" i="51"/>
  <c r="O44" i="51"/>
  <c r="O45" i="51"/>
  <c r="O46" i="51"/>
  <c r="O47" i="51"/>
  <c r="O48" i="51"/>
  <c r="O49" i="51"/>
  <c r="O50" i="51"/>
  <c r="O51" i="51"/>
  <c r="O52" i="51"/>
  <c r="O53" i="51"/>
  <c r="O54" i="51"/>
  <c r="O55" i="51"/>
  <c r="O56" i="51"/>
  <c r="O8" i="51"/>
  <c r="X1287" i="49"/>
  <c r="X1286" i="49"/>
  <c r="X1285" i="49"/>
  <c r="X1284" i="49"/>
  <c r="X1283" i="49"/>
  <c r="X1282" i="49"/>
  <c r="X1281" i="49"/>
  <c r="X1280" i="49"/>
  <c r="X1279" i="49"/>
  <c r="X1278" i="49"/>
  <c r="X1277" i="49"/>
  <c r="X1249" i="49"/>
  <c r="X1248" i="49"/>
  <c r="X1247" i="49"/>
  <c r="X1246" i="49"/>
  <c r="X1245" i="49"/>
  <c r="X1244" i="49"/>
  <c r="X1243" i="49"/>
  <c r="X1242" i="49"/>
  <c r="X1241" i="49"/>
  <c r="X1240" i="49"/>
  <c r="X1239" i="49"/>
  <c r="X1211" i="49"/>
  <c r="X1210" i="49"/>
  <c r="X1209" i="49"/>
  <c r="X1208" i="49"/>
  <c r="X1207" i="49"/>
  <c r="X1206" i="49"/>
  <c r="X1205" i="49"/>
  <c r="X1204" i="49"/>
  <c r="X1203" i="49"/>
  <c r="X1202" i="49"/>
  <c r="X1201" i="49"/>
  <c r="X1173" i="49"/>
  <c r="X1172" i="49"/>
  <c r="X1171" i="49"/>
  <c r="X1170" i="49"/>
  <c r="X1169" i="49"/>
  <c r="X1168" i="49"/>
  <c r="X1167" i="49"/>
  <c r="X1166" i="49"/>
  <c r="X1165" i="49"/>
  <c r="X1164" i="49"/>
  <c r="X1163" i="49"/>
  <c r="X1135" i="49"/>
  <c r="X1134" i="49"/>
  <c r="X1133" i="49"/>
  <c r="X1132" i="49"/>
  <c r="X1131" i="49"/>
  <c r="X1130" i="49"/>
  <c r="X1129" i="49"/>
  <c r="X1128" i="49"/>
  <c r="X1127" i="49"/>
  <c r="X1126" i="49"/>
  <c r="X1125" i="49"/>
  <c r="X1097" i="49"/>
  <c r="X1096" i="49"/>
  <c r="X1095" i="49"/>
  <c r="X1094" i="49"/>
  <c r="X1093" i="49"/>
  <c r="X1092" i="49"/>
  <c r="X1091" i="49"/>
  <c r="X1090" i="49"/>
  <c r="X1089" i="49"/>
  <c r="X1088" i="49"/>
  <c r="X1087" i="49"/>
  <c r="X1059" i="49"/>
  <c r="X1058" i="49"/>
  <c r="X1057" i="49"/>
  <c r="X1056" i="49"/>
  <c r="X1055" i="49"/>
  <c r="X1054" i="49"/>
  <c r="X1053" i="49"/>
  <c r="X1052" i="49"/>
  <c r="X1051" i="49"/>
  <c r="X1050" i="49"/>
  <c r="X1049" i="49"/>
  <c r="X1021" i="49"/>
  <c r="X1020" i="49"/>
  <c r="X1019" i="49"/>
  <c r="X1018" i="49"/>
  <c r="X1017" i="49"/>
  <c r="X1016" i="49"/>
  <c r="X1015" i="49"/>
  <c r="X1014" i="49"/>
  <c r="X1013" i="49"/>
  <c r="X1012" i="49"/>
  <c r="X1011" i="49"/>
  <c r="X983" i="49"/>
  <c r="X982" i="49"/>
  <c r="X981" i="49"/>
  <c r="X980" i="49"/>
  <c r="X979" i="49"/>
  <c r="X978" i="49"/>
  <c r="X977" i="49"/>
  <c r="X976" i="49"/>
  <c r="X975" i="49"/>
  <c r="X974" i="49"/>
  <c r="X973" i="49"/>
  <c r="X945" i="49"/>
  <c r="X944" i="49"/>
  <c r="X943" i="49"/>
  <c r="X942" i="49"/>
  <c r="X941" i="49"/>
  <c r="X940" i="49"/>
  <c r="X939" i="49"/>
  <c r="X938" i="49"/>
  <c r="X937" i="49"/>
  <c r="X936" i="49"/>
  <c r="X935" i="49"/>
  <c r="X907" i="49"/>
  <c r="X906" i="49"/>
  <c r="X905" i="49"/>
  <c r="X904" i="49"/>
  <c r="X903" i="49"/>
  <c r="X902" i="49"/>
  <c r="X901" i="49"/>
  <c r="X900" i="49"/>
  <c r="X899" i="49"/>
  <c r="X898" i="49"/>
  <c r="X897" i="49"/>
  <c r="X869" i="49"/>
  <c r="X868" i="49"/>
  <c r="X867" i="49"/>
  <c r="X866" i="49"/>
  <c r="X865" i="49"/>
  <c r="X864" i="49"/>
  <c r="X863" i="49"/>
  <c r="X862" i="49"/>
  <c r="X861" i="49"/>
  <c r="X860" i="49"/>
  <c r="X859" i="49"/>
  <c r="X831" i="49"/>
  <c r="X830" i="49"/>
  <c r="X829" i="49"/>
  <c r="X828" i="49"/>
  <c r="X827" i="49"/>
  <c r="X826" i="49"/>
  <c r="X825" i="49"/>
  <c r="X824" i="49"/>
  <c r="X823" i="49"/>
  <c r="X822" i="49"/>
  <c r="X821" i="49"/>
  <c r="X793" i="49"/>
  <c r="X792" i="49"/>
  <c r="X791" i="49"/>
  <c r="X790" i="49"/>
  <c r="X789" i="49"/>
  <c r="X788" i="49"/>
  <c r="X787" i="49"/>
  <c r="X786" i="49"/>
  <c r="X785" i="49"/>
  <c r="X784" i="49"/>
  <c r="X783" i="49"/>
  <c r="X755" i="49"/>
  <c r="X754" i="49"/>
  <c r="X753" i="49"/>
  <c r="X752" i="49"/>
  <c r="X751" i="49"/>
  <c r="X750" i="49"/>
  <c r="X749" i="49"/>
  <c r="X748" i="49"/>
  <c r="X747" i="49"/>
  <c r="X746" i="49"/>
  <c r="X745" i="49"/>
  <c r="X717" i="49"/>
  <c r="X716" i="49"/>
  <c r="X715" i="49"/>
  <c r="X714" i="49"/>
  <c r="X713" i="49"/>
  <c r="X712" i="49"/>
  <c r="X711" i="49"/>
  <c r="X710" i="49"/>
  <c r="X709" i="49"/>
  <c r="X708" i="49"/>
  <c r="X707" i="49"/>
  <c r="X679" i="49"/>
  <c r="X678" i="49"/>
  <c r="X677" i="49"/>
  <c r="X676" i="49"/>
  <c r="X675" i="49"/>
  <c r="X674" i="49"/>
  <c r="X673" i="49"/>
  <c r="X672" i="49"/>
  <c r="X671" i="49"/>
  <c r="X670" i="49"/>
  <c r="X669" i="49"/>
  <c r="X641" i="49"/>
  <c r="X640" i="49"/>
  <c r="X639" i="49"/>
  <c r="X638" i="49"/>
  <c r="X637" i="49"/>
  <c r="X636" i="49"/>
  <c r="X635" i="49"/>
  <c r="X634" i="49"/>
  <c r="X633" i="49"/>
  <c r="X632" i="49"/>
  <c r="X631" i="49"/>
  <c r="X603" i="49"/>
  <c r="X602" i="49"/>
  <c r="X601" i="49"/>
  <c r="X600" i="49"/>
  <c r="X599" i="49"/>
  <c r="X598" i="49"/>
  <c r="X597" i="49"/>
  <c r="X596" i="49"/>
  <c r="X595" i="49"/>
  <c r="X594" i="49"/>
  <c r="X593" i="49"/>
  <c r="X565" i="49"/>
  <c r="X564" i="49"/>
  <c r="X563" i="49"/>
  <c r="X562" i="49"/>
  <c r="X561" i="49"/>
  <c r="X560" i="49"/>
  <c r="X559" i="49"/>
  <c r="X558" i="49"/>
  <c r="X557" i="49"/>
  <c r="X556" i="49"/>
  <c r="X555" i="49"/>
  <c r="X527" i="49"/>
  <c r="X526" i="49"/>
  <c r="X525" i="49"/>
  <c r="X524" i="49"/>
  <c r="X523" i="49"/>
  <c r="X522" i="49"/>
  <c r="X521" i="49"/>
  <c r="X520" i="49"/>
  <c r="X519" i="49"/>
  <c r="X518" i="49"/>
  <c r="X517" i="49"/>
  <c r="X489" i="49"/>
  <c r="X488" i="49"/>
  <c r="X487" i="49"/>
  <c r="X486" i="49"/>
  <c r="X485" i="49"/>
  <c r="X484" i="49"/>
  <c r="X483" i="49"/>
  <c r="X482" i="49"/>
  <c r="X481" i="49"/>
  <c r="X480" i="49"/>
  <c r="X479" i="49"/>
  <c r="X451" i="49"/>
  <c r="X450" i="49"/>
  <c r="X449" i="49"/>
  <c r="X448" i="49"/>
  <c r="X447" i="49"/>
  <c r="X446" i="49"/>
  <c r="X445" i="49"/>
  <c r="X444" i="49"/>
  <c r="X443" i="49"/>
  <c r="X442" i="49"/>
  <c r="X441" i="49"/>
  <c r="X413" i="49"/>
  <c r="X412" i="49"/>
  <c r="X411" i="49"/>
  <c r="X410" i="49"/>
  <c r="X409" i="49"/>
  <c r="X408" i="49"/>
  <c r="X407" i="49"/>
  <c r="X406" i="49"/>
  <c r="X405" i="49"/>
  <c r="X404" i="49"/>
  <c r="X403" i="49"/>
  <c r="X375" i="49"/>
  <c r="X374" i="49"/>
  <c r="X373" i="49"/>
  <c r="X372" i="49"/>
  <c r="X371" i="49"/>
  <c r="X370" i="49"/>
  <c r="X369" i="49"/>
  <c r="X368" i="49"/>
  <c r="X367" i="49"/>
  <c r="X366" i="49"/>
  <c r="X365" i="49"/>
  <c r="X337" i="49"/>
  <c r="X336" i="49"/>
  <c r="X335" i="49"/>
  <c r="X334" i="49"/>
  <c r="X333" i="49"/>
  <c r="X332" i="49"/>
  <c r="X331" i="49"/>
  <c r="X330" i="49"/>
  <c r="X329" i="49"/>
  <c r="X328" i="49"/>
  <c r="X327" i="49"/>
  <c r="X299" i="49"/>
  <c r="X298" i="49"/>
  <c r="X297" i="49"/>
  <c r="X296" i="49"/>
  <c r="X295" i="49"/>
  <c r="X294" i="49"/>
  <c r="X293" i="49"/>
  <c r="X292" i="49"/>
  <c r="X291" i="49"/>
  <c r="X290" i="49"/>
  <c r="X289" i="49"/>
  <c r="X261" i="49"/>
  <c r="X260" i="49"/>
  <c r="X259" i="49"/>
  <c r="X258" i="49"/>
  <c r="X257" i="49"/>
  <c r="X256" i="49"/>
  <c r="X255" i="49"/>
  <c r="X254" i="49"/>
  <c r="X253" i="49"/>
  <c r="X252" i="49"/>
  <c r="X251" i="49"/>
  <c r="X223" i="49"/>
  <c r="X222" i="49"/>
  <c r="X221" i="49"/>
  <c r="X220" i="49"/>
  <c r="X219" i="49"/>
  <c r="X218" i="49"/>
  <c r="X217" i="49"/>
  <c r="X216" i="49"/>
  <c r="X215" i="49"/>
  <c r="X214" i="49"/>
  <c r="X213" i="49"/>
  <c r="X44" i="49"/>
  <c r="X45" i="49"/>
  <c r="X46" i="49"/>
  <c r="X47" i="49"/>
  <c r="X48" i="49"/>
  <c r="X49" i="49"/>
  <c r="X50" i="49"/>
  <c r="X51" i="49"/>
  <c r="X52" i="49"/>
  <c r="X53" i="49"/>
  <c r="X54" i="49"/>
  <c r="X55" i="49"/>
  <c r="X56" i="49"/>
  <c r="X57" i="49"/>
  <c r="X58" i="49"/>
  <c r="X59" i="49"/>
  <c r="X60" i="49"/>
  <c r="X61" i="49"/>
  <c r="X62" i="49"/>
  <c r="X63" i="49"/>
  <c r="X64" i="49"/>
  <c r="X65" i="49"/>
  <c r="X66" i="49"/>
  <c r="X67" i="49"/>
  <c r="X68" i="49"/>
  <c r="X69" i="49"/>
  <c r="X70" i="49"/>
  <c r="X71" i="49"/>
  <c r="X72" i="49"/>
  <c r="X73" i="49"/>
  <c r="X74" i="49"/>
  <c r="X75" i="49"/>
  <c r="X76" i="49"/>
  <c r="X77" i="49"/>
  <c r="X78" i="49"/>
  <c r="X79" i="49"/>
  <c r="X80" i="49"/>
  <c r="X81" i="49"/>
  <c r="X82" i="49"/>
  <c r="X83" i="49"/>
  <c r="X84" i="49"/>
  <c r="X85" i="49"/>
  <c r="X86" i="49"/>
  <c r="X87" i="49"/>
  <c r="X88" i="49"/>
  <c r="X89" i="49"/>
  <c r="X90" i="49"/>
  <c r="X91" i="49"/>
  <c r="X92" i="49"/>
  <c r="X93" i="49"/>
  <c r="X94" i="49"/>
  <c r="X95" i="49"/>
  <c r="X96" i="49"/>
  <c r="X97" i="49"/>
  <c r="X98" i="49"/>
  <c r="X99" i="49"/>
  <c r="X100" i="49"/>
  <c r="X101" i="49"/>
  <c r="X102" i="49"/>
  <c r="X103" i="49"/>
  <c r="X104" i="49"/>
  <c r="X105" i="49"/>
  <c r="X106" i="49"/>
  <c r="X107" i="49"/>
  <c r="X108" i="49"/>
  <c r="X109" i="49"/>
  <c r="X110" i="49"/>
  <c r="X111" i="49"/>
  <c r="X112" i="49"/>
  <c r="X113" i="49"/>
  <c r="X114" i="49"/>
  <c r="X115" i="49"/>
  <c r="X116" i="49"/>
  <c r="X117" i="49"/>
  <c r="X118" i="49"/>
  <c r="X119" i="49"/>
  <c r="X120" i="49"/>
  <c r="X121" i="49"/>
  <c r="X122" i="49"/>
  <c r="X123" i="49"/>
  <c r="X124" i="49"/>
  <c r="X125" i="49"/>
  <c r="X126" i="49"/>
  <c r="X127" i="49"/>
  <c r="X128" i="49"/>
  <c r="X129" i="49"/>
  <c r="X130" i="49"/>
  <c r="X131" i="49"/>
  <c r="X132" i="49"/>
  <c r="X133" i="49"/>
  <c r="X134" i="49"/>
  <c r="X135" i="49"/>
  <c r="X136" i="49"/>
  <c r="X137" i="49"/>
  <c r="X138" i="49"/>
  <c r="X139" i="49"/>
  <c r="X140" i="49"/>
  <c r="X141" i="49"/>
  <c r="X142" i="49"/>
  <c r="X143" i="49"/>
  <c r="X144" i="49"/>
  <c r="X145" i="49"/>
  <c r="X146" i="49"/>
  <c r="X147" i="49"/>
  <c r="X148" i="49"/>
  <c r="X149" i="49"/>
  <c r="X150" i="49"/>
  <c r="X151" i="49"/>
  <c r="X152" i="49"/>
  <c r="X153" i="49"/>
  <c r="X154" i="49"/>
  <c r="X155" i="49"/>
  <c r="X156" i="49"/>
  <c r="X157" i="49"/>
  <c r="X158" i="49"/>
  <c r="X159" i="49"/>
  <c r="X160" i="49"/>
  <c r="X161" i="49"/>
  <c r="X162" i="49"/>
  <c r="X163" i="49"/>
  <c r="X164" i="49"/>
  <c r="X165" i="49"/>
  <c r="X166" i="49"/>
  <c r="X167" i="49"/>
  <c r="X168" i="49"/>
  <c r="X169" i="49"/>
  <c r="X170" i="49"/>
  <c r="X171" i="49"/>
  <c r="X172" i="49"/>
  <c r="X173" i="49"/>
  <c r="X174" i="49"/>
  <c r="X175" i="49"/>
  <c r="X176" i="49"/>
  <c r="X177" i="49"/>
  <c r="X178" i="49"/>
  <c r="X179" i="49"/>
  <c r="X180" i="49"/>
  <c r="X181" i="49"/>
  <c r="X182" i="49"/>
  <c r="X183" i="49"/>
  <c r="X184" i="49"/>
  <c r="X185" i="49"/>
  <c r="X186" i="49"/>
  <c r="X187" i="49"/>
  <c r="X188" i="49"/>
  <c r="X189" i="49"/>
  <c r="X190" i="49"/>
  <c r="X191" i="49"/>
  <c r="X192" i="49"/>
  <c r="X43" i="49"/>
  <c r="I103" i="81" l="1"/>
  <c r="G242" i="81"/>
  <c r="G241" i="81"/>
  <c r="I206" i="81"/>
  <c r="I278" i="81"/>
  <c r="I134" i="81"/>
  <c r="I262" i="81"/>
  <c r="I190" i="81"/>
  <c r="I118" i="81"/>
  <c r="I174" i="81"/>
  <c r="I246" i="81"/>
  <c r="I102" i="81"/>
  <c r="G135" i="81"/>
  <c r="G207" i="81"/>
  <c r="G279" i="81"/>
  <c r="G119" i="81"/>
  <c r="G191" i="81"/>
  <c r="G263" i="81"/>
  <c r="G103" i="81"/>
  <c r="J103" i="81" s="1"/>
  <c r="G175" i="81"/>
  <c r="G247" i="81"/>
  <c r="I133" i="81"/>
  <c r="I277" i="81"/>
  <c r="I205" i="81"/>
  <c r="I117" i="81"/>
  <c r="I261" i="81"/>
  <c r="I189" i="81"/>
  <c r="I101" i="81"/>
  <c r="I245" i="81"/>
  <c r="I173" i="81"/>
  <c r="G134" i="81"/>
  <c r="G206" i="81"/>
  <c r="G278" i="81"/>
  <c r="G118" i="81"/>
  <c r="G190" i="81"/>
  <c r="G262" i="81"/>
  <c r="G102" i="81"/>
  <c r="G174" i="81"/>
  <c r="G246" i="81"/>
  <c r="J246" i="81" s="1"/>
  <c r="I276" i="81"/>
  <c r="I204" i="81"/>
  <c r="I132" i="81"/>
  <c r="I260" i="81"/>
  <c r="I188" i="81"/>
  <c r="I116" i="81"/>
  <c r="I244" i="81"/>
  <c r="I172" i="81"/>
  <c r="I100" i="81"/>
  <c r="G133" i="81"/>
  <c r="G205" i="81"/>
  <c r="G277" i="81"/>
  <c r="G117" i="81"/>
  <c r="G189" i="81"/>
  <c r="G261" i="81"/>
  <c r="G101" i="81"/>
  <c r="G173" i="81"/>
  <c r="J173" i="81" s="1"/>
  <c r="G245" i="81"/>
  <c r="J245" i="81" s="1"/>
  <c r="I131" i="81"/>
  <c r="I275" i="81"/>
  <c r="I203" i="81"/>
  <c r="I115" i="81"/>
  <c r="I259" i="81"/>
  <c r="I187" i="81"/>
  <c r="I243" i="81"/>
  <c r="I171" i="81"/>
  <c r="I99" i="81"/>
  <c r="G132" i="81"/>
  <c r="G204" i="81"/>
  <c r="G276" i="81"/>
  <c r="G116" i="81"/>
  <c r="G188" i="81"/>
  <c r="G260" i="81"/>
  <c r="G100" i="81"/>
  <c r="G172" i="81"/>
  <c r="G244" i="81"/>
  <c r="J244" i="81" s="1"/>
  <c r="I135" i="81"/>
  <c r="I279" i="81"/>
  <c r="I207" i="81"/>
  <c r="I274" i="81"/>
  <c r="I202" i="81"/>
  <c r="I130" i="81"/>
  <c r="I186" i="81"/>
  <c r="I258" i="81"/>
  <c r="I114" i="81"/>
  <c r="I242" i="81"/>
  <c r="I170" i="81"/>
  <c r="I98" i="81"/>
  <c r="G131" i="81"/>
  <c r="G203" i="81"/>
  <c r="G275" i="81"/>
  <c r="G115" i="81"/>
  <c r="G187" i="81"/>
  <c r="G259" i="81"/>
  <c r="G99" i="81"/>
  <c r="J99" i="81" s="1"/>
  <c r="G171" i="81"/>
  <c r="J171" i="81" s="1"/>
  <c r="G243" i="81"/>
  <c r="J243" i="81" s="1"/>
  <c r="I129" i="81"/>
  <c r="I273" i="81"/>
  <c r="I201" i="81"/>
  <c r="I113" i="81"/>
  <c r="I257" i="81"/>
  <c r="I185" i="81"/>
  <c r="I241" i="81"/>
  <c r="D149" i="81" s="1"/>
  <c r="I169" i="81"/>
  <c r="I97" i="81"/>
  <c r="G130" i="81"/>
  <c r="G202" i="81"/>
  <c r="G274" i="81"/>
  <c r="G114" i="81"/>
  <c r="G186" i="81"/>
  <c r="G258" i="81"/>
  <c r="G98" i="81"/>
  <c r="J98" i="81" s="1"/>
  <c r="G170" i="81"/>
  <c r="I119" i="81"/>
  <c r="I263" i="81"/>
  <c r="I191" i="81"/>
  <c r="I272" i="81"/>
  <c r="I200" i="81"/>
  <c r="I128" i="81"/>
  <c r="I256" i="81"/>
  <c r="I184" i="81"/>
  <c r="I112" i="81"/>
  <c r="I240" i="81"/>
  <c r="I168" i="81"/>
  <c r="I96" i="81"/>
  <c r="G129" i="81"/>
  <c r="G201" i="81"/>
  <c r="G273" i="81"/>
  <c r="G113" i="81"/>
  <c r="G185" i="81"/>
  <c r="G257" i="81"/>
  <c r="G97" i="81"/>
  <c r="G169" i="81"/>
  <c r="J169" i="81" s="1"/>
  <c r="G136" i="81"/>
  <c r="G208" i="81"/>
  <c r="G280" i="81"/>
  <c r="I238" i="81"/>
  <c r="J238" i="81" s="1"/>
  <c r="I166" i="81"/>
  <c r="J166" i="81" s="1"/>
  <c r="I94" i="81"/>
  <c r="J94" i="81" s="1"/>
  <c r="I271" i="81"/>
  <c r="I199" i="81"/>
  <c r="I127" i="81"/>
  <c r="I255" i="81"/>
  <c r="I183" i="81"/>
  <c r="I111" i="81"/>
  <c r="I239" i="81"/>
  <c r="I167" i="81"/>
  <c r="I95" i="81"/>
  <c r="G128" i="81"/>
  <c r="G200" i="81"/>
  <c r="G272" i="81"/>
  <c r="G112" i="81"/>
  <c r="G184" i="81"/>
  <c r="G256" i="81"/>
  <c r="G96" i="81"/>
  <c r="J96" i="81" s="1"/>
  <c r="G168" i="81"/>
  <c r="J168" i="81" s="1"/>
  <c r="G240" i="81"/>
  <c r="J240" i="81" s="1"/>
  <c r="I286" i="81"/>
  <c r="I214" i="81"/>
  <c r="I142" i="81"/>
  <c r="I270" i="81"/>
  <c r="I198" i="81"/>
  <c r="I126" i="81"/>
  <c r="I254" i="81"/>
  <c r="I182" i="81"/>
  <c r="I110" i="81"/>
  <c r="G199" i="81"/>
  <c r="G127" i="81"/>
  <c r="G271" i="81"/>
  <c r="G183" i="81"/>
  <c r="G111" i="81"/>
  <c r="G255" i="81"/>
  <c r="G95" i="81"/>
  <c r="G167" i="81"/>
  <c r="G239" i="81"/>
  <c r="J239" i="81" s="1"/>
  <c r="G176" i="81"/>
  <c r="G104" i="81"/>
  <c r="G248" i="81"/>
  <c r="I285" i="81"/>
  <c r="I213" i="81"/>
  <c r="I141" i="81"/>
  <c r="I269" i="81"/>
  <c r="I197" i="81"/>
  <c r="I125" i="81"/>
  <c r="I253" i="81"/>
  <c r="I181" i="81"/>
  <c r="I109" i="81"/>
  <c r="G214" i="81"/>
  <c r="G142" i="81"/>
  <c r="G286" i="81"/>
  <c r="G198" i="81"/>
  <c r="G126" i="81"/>
  <c r="G270" i="81"/>
  <c r="G182" i="81"/>
  <c r="G110" i="81"/>
  <c r="G254" i="81"/>
  <c r="G192" i="81"/>
  <c r="G120" i="81"/>
  <c r="G264" i="81"/>
  <c r="I212" i="81"/>
  <c r="I284" i="81"/>
  <c r="I140" i="81"/>
  <c r="I268" i="81"/>
  <c r="I196" i="81"/>
  <c r="I124" i="81"/>
  <c r="I180" i="81"/>
  <c r="I252" i="81"/>
  <c r="I108" i="81"/>
  <c r="G213" i="81"/>
  <c r="G141" i="81"/>
  <c r="G285" i="81"/>
  <c r="G125" i="81"/>
  <c r="G197" i="81"/>
  <c r="G269" i="81"/>
  <c r="G109" i="81"/>
  <c r="G181" i="81"/>
  <c r="G253" i="81"/>
  <c r="I247" i="81"/>
  <c r="I175" i="81"/>
  <c r="I283" i="81"/>
  <c r="I211" i="81"/>
  <c r="I139" i="81"/>
  <c r="I123" i="81"/>
  <c r="I267" i="81"/>
  <c r="I195" i="81"/>
  <c r="I251" i="81"/>
  <c r="I179" i="81"/>
  <c r="I107" i="81"/>
  <c r="G212" i="81"/>
  <c r="G140" i="81"/>
  <c r="G284" i="81"/>
  <c r="G196" i="81"/>
  <c r="G124" i="81"/>
  <c r="G268" i="81"/>
  <c r="G180" i="81"/>
  <c r="G108" i="81"/>
  <c r="G252" i="81"/>
  <c r="I282" i="81"/>
  <c r="I210" i="81"/>
  <c r="I138" i="81"/>
  <c r="I266" i="81"/>
  <c r="I194" i="81"/>
  <c r="I122" i="81"/>
  <c r="I250" i="81"/>
  <c r="I178" i="81"/>
  <c r="I106" i="81"/>
  <c r="G139" i="81"/>
  <c r="G211" i="81"/>
  <c r="G283" i="81"/>
  <c r="G123" i="81"/>
  <c r="G195" i="81"/>
  <c r="G267" i="81"/>
  <c r="G107" i="81"/>
  <c r="G179" i="81"/>
  <c r="G251" i="81"/>
  <c r="I281" i="81"/>
  <c r="I209" i="81"/>
  <c r="I137" i="81"/>
  <c r="I265" i="81"/>
  <c r="I193" i="81"/>
  <c r="I121" i="81"/>
  <c r="I249" i="81"/>
  <c r="I177" i="81"/>
  <c r="I105" i="81"/>
  <c r="G138" i="81"/>
  <c r="G210" i="81"/>
  <c r="G282" i="81"/>
  <c r="G122" i="81"/>
  <c r="G194" i="81"/>
  <c r="G266" i="81"/>
  <c r="G106" i="81"/>
  <c r="G178" i="81"/>
  <c r="G250" i="81"/>
  <c r="I136" i="81"/>
  <c r="I280" i="81"/>
  <c r="I208" i="81"/>
  <c r="I120" i="81"/>
  <c r="I192" i="81"/>
  <c r="I264" i="81"/>
  <c r="I104" i="81"/>
  <c r="I176" i="81"/>
  <c r="I248" i="81"/>
  <c r="G137" i="81"/>
  <c r="G209" i="81"/>
  <c r="G281" i="81"/>
  <c r="G121" i="81"/>
  <c r="G193" i="81"/>
  <c r="G265" i="81"/>
  <c r="G177" i="81"/>
  <c r="G105" i="81"/>
  <c r="G249" i="81"/>
  <c r="A1067" i="56"/>
  <c r="A1105" i="56"/>
  <c r="A497" i="56"/>
  <c r="A459" i="56"/>
  <c r="A725" i="56"/>
  <c r="A877" i="56"/>
  <c r="A1257" i="56"/>
  <c r="A1181" i="56"/>
  <c r="A915" i="56"/>
  <c r="A1143" i="56"/>
  <c r="A1219" i="56"/>
  <c r="A763" i="56"/>
  <c r="A953" i="56"/>
  <c r="A573" i="56"/>
  <c r="A801" i="56"/>
  <c r="A535" i="56"/>
  <c r="A1295" i="56"/>
  <c r="A1029" i="56"/>
  <c r="A1333" i="56"/>
  <c r="A421" i="56"/>
  <c r="A687" i="56"/>
  <c r="A611" i="56"/>
  <c r="A649" i="56"/>
  <c r="A388" i="56"/>
  <c r="A1371" i="56"/>
  <c r="A991" i="56"/>
  <c r="A839" i="56"/>
  <c r="A112" i="56"/>
  <c r="A2" i="76"/>
  <c r="J101" i="81" l="1"/>
  <c r="J247" i="81"/>
  <c r="J97" i="81"/>
  <c r="J175" i="81"/>
  <c r="C149" i="81"/>
  <c r="J174" i="81"/>
  <c r="J102" i="81"/>
  <c r="J95" i="81"/>
  <c r="J167" i="81"/>
  <c r="J242" i="81"/>
  <c r="J172" i="81"/>
  <c r="J100" i="81"/>
  <c r="J241" i="81"/>
  <c r="J170" i="81"/>
  <c r="F132" i="81"/>
  <c r="J132" i="81"/>
  <c r="F190" i="81"/>
  <c r="J190" i="81"/>
  <c r="F105" i="81"/>
  <c r="J105" i="81"/>
  <c r="F141" i="81"/>
  <c r="J141" i="81"/>
  <c r="J182" i="81"/>
  <c r="F182" i="81"/>
  <c r="F248" i="81"/>
  <c r="J248" i="81"/>
  <c r="J185" i="81"/>
  <c r="F185" i="81"/>
  <c r="F205" i="81"/>
  <c r="J205" i="81"/>
  <c r="J118" i="81"/>
  <c r="F118" i="81"/>
  <c r="F263" i="81"/>
  <c r="J263" i="81"/>
  <c r="F191" i="81"/>
  <c r="J191" i="81"/>
  <c r="J265" i="81"/>
  <c r="F265" i="81"/>
  <c r="J178" i="81"/>
  <c r="F178" i="81"/>
  <c r="J126" i="81"/>
  <c r="F126" i="81"/>
  <c r="J176" i="81"/>
  <c r="J273" i="81"/>
  <c r="F273" i="81"/>
  <c r="F206" i="81"/>
  <c r="J206" i="81"/>
  <c r="J119" i="81"/>
  <c r="F119" i="81"/>
  <c r="J110" i="81"/>
  <c r="F110" i="81"/>
  <c r="J213" i="81"/>
  <c r="F213" i="81"/>
  <c r="F251" i="81"/>
  <c r="J251" i="81"/>
  <c r="J198" i="81"/>
  <c r="F198" i="81"/>
  <c r="J201" i="81"/>
  <c r="F201" i="81"/>
  <c r="J258" i="81"/>
  <c r="F258" i="81"/>
  <c r="J134" i="81"/>
  <c r="F134" i="81"/>
  <c r="F279" i="81"/>
  <c r="J279" i="81"/>
  <c r="F277" i="81"/>
  <c r="J277" i="81"/>
  <c r="J113" i="81"/>
  <c r="F113" i="81"/>
  <c r="F193" i="81"/>
  <c r="J193" i="81"/>
  <c r="J121" i="81"/>
  <c r="F121" i="81"/>
  <c r="J266" i="81"/>
  <c r="F266" i="81"/>
  <c r="J179" i="81"/>
  <c r="F179" i="81"/>
  <c r="F286" i="81"/>
  <c r="J286" i="81"/>
  <c r="F129" i="81"/>
  <c r="J129" i="81"/>
  <c r="J186" i="81"/>
  <c r="F186" i="81"/>
  <c r="F207" i="81"/>
  <c r="J207" i="81"/>
  <c r="J257" i="81"/>
  <c r="F257" i="81"/>
  <c r="J281" i="81"/>
  <c r="F281" i="81"/>
  <c r="F194" i="81"/>
  <c r="J194" i="81"/>
  <c r="F107" i="81"/>
  <c r="J107" i="81"/>
  <c r="F252" i="81"/>
  <c r="J252" i="81"/>
  <c r="J142" i="81"/>
  <c r="F142" i="81"/>
  <c r="J114" i="81"/>
  <c r="F114" i="81"/>
  <c r="J259" i="81"/>
  <c r="F259" i="81"/>
  <c r="J135" i="81"/>
  <c r="F135" i="81"/>
  <c r="F270" i="81"/>
  <c r="J270" i="81"/>
  <c r="F122" i="81"/>
  <c r="J122" i="81"/>
  <c r="J214" i="81"/>
  <c r="F214" i="81"/>
  <c r="F255" i="81"/>
  <c r="J255" i="81"/>
  <c r="F274" i="81"/>
  <c r="J274" i="81"/>
  <c r="F187" i="81"/>
  <c r="J187" i="81"/>
  <c r="F278" i="81"/>
  <c r="J278" i="81"/>
  <c r="F209" i="81"/>
  <c r="J209" i="81"/>
  <c r="J137" i="81"/>
  <c r="F137" i="81"/>
  <c r="F282" i="81"/>
  <c r="J282" i="81"/>
  <c r="J195" i="81"/>
  <c r="F195" i="81"/>
  <c r="J180" i="81"/>
  <c r="F180" i="81"/>
  <c r="J111" i="81"/>
  <c r="F111" i="81"/>
  <c r="J202" i="81"/>
  <c r="F202" i="81"/>
  <c r="F115" i="81"/>
  <c r="J115" i="81"/>
  <c r="F285" i="81"/>
  <c r="J285" i="81"/>
  <c r="F108" i="81"/>
  <c r="J108" i="81"/>
  <c r="J210" i="81"/>
  <c r="F210" i="81"/>
  <c r="F123" i="81"/>
  <c r="J123" i="81"/>
  <c r="J268" i="81"/>
  <c r="F268" i="81"/>
  <c r="J183" i="81"/>
  <c r="F183" i="81"/>
  <c r="F256" i="81"/>
  <c r="J256" i="81"/>
  <c r="F130" i="81"/>
  <c r="J130" i="81"/>
  <c r="F275" i="81"/>
  <c r="J275" i="81"/>
  <c r="F138" i="81"/>
  <c r="J138" i="81"/>
  <c r="F283" i="81"/>
  <c r="J283" i="81"/>
  <c r="F124" i="81"/>
  <c r="J124" i="81"/>
  <c r="F253" i="81"/>
  <c r="J253" i="81"/>
  <c r="F271" i="81"/>
  <c r="J271" i="81"/>
  <c r="J184" i="81"/>
  <c r="F184" i="81"/>
  <c r="F203" i="81"/>
  <c r="J203" i="81"/>
  <c r="J249" i="81"/>
  <c r="F249" i="81"/>
  <c r="J250" i="81"/>
  <c r="F250" i="81"/>
  <c r="J104" i="81"/>
  <c r="F211" i="81"/>
  <c r="J211" i="81"/>
  <c r="J196" i="81"/>
  <c r="F196" i="81"/>
  <c r="J181" i="81"/>
  <c r="F181" i="81"/>
  <c r="J127" i="81"/>
  <c r="F127" i="81"/>
  <c r="J112" i="81"/>
  <c r="F112" i="81"/>
  <c r="F280" i="81"/>
  <c r="J280" i="81"/>
  <c r="F131" i="81"/>
  <c r="J131" i="81"/>
  <c r="F260" i="81"/>
  <c r="J260" i="81"/>
  <c r="F133" i="81"/>
  <c r="J133" i="81"/>
  <c r="J267" i="81"/>
  <c r="F267" i="81"/>
  <c r="F139" i="81"/>
  <c r="J139" i="81"/>
  <c r="F284" i="81"/>
  <c r="J284" i="81"/>
  <c r="F109" i="81"/>
  <c r="J109" i="81"/>
  <c r="F264" i="81"/>
  <c r="J264" i="81"/>
  <c r="J199" i="81"/>
  <c r="F199" i="81"/>
  <c r="F272" i="81"/>
  <c r="J272" i="81"/>
  <c r="J208" i="81"/>
  <c r="F208" i="81"/>
  <c r="F188" i="81"/>
  <c r="J188" i="81"/>
  <c r="J177" i="81"/>
  <c r="F177" i="81"/>
  <c r="F106" i="81"/>
  <c r="J106" i="81"/>
  <c r="F140" i="81"/>
  <c r="J140" i="81"/>
  <c r="F269" i="81"/>
  <c r="J269" i="81"/>
  <c r="J120" i="81"/>
  <c r="F120" i="81"/>
  <c r="J200" i="81"/>
  <c r="F200" i="81"/>
  <c r="J136" i="81"/>
  <c r="F136" i="81"/>
  <c r="F116" i="81"/>
  <c r="J116" i="81"/>
  <c r="F261" i="81"/>
  <c r="J261" i="81"/>
  <c r="F212" i="81"/>
  <c r="J212" i="81"/>
  <c r="F197" i="81"/>
  <c r="J197" i="81"/>
  <c r="F192" i="81"/>
  <c r="J192" i="81"/>
  <c r="J128" i="81"/>
  <c r="F128" i="81"/>
  <c r="F276" i="81"/>
  <c r="J276" i="81"/>
  <c r="F189" i="81"/>
  <c r="J189" i="81"/>
  <c r="F125" i="81"/>
  <c r="J125" i="81"/>
  <c r="F254" i="81"/>
  <c r="J254" i="81"/>
  <c r="F204" i="81"/>
  <c r="J204" i="81"/>
  <c r="F117" i="81"/>
  <c r="J117" i="81"/>
  <c r="F262" i="81"/>
  <c r="J262" i="81"/>
  <c r="D77" i="81"/>
  <c r="C226" i="81"/>
  <c r="C230" i="81" s="1"/>
  <c r="C82" i="81"/>
  <c r="E225" i="81"/>
  <c r="C220" i="81"/>
  <c r="E153" i="81"/>
  <c r="C148" i="81"/>
  <c r="C76" i="81"/>
  <c r="E81" i="81"/>
  <c r="D225" i="81"/>
  <c r="D220" i="81"/>
  <c r="D153" i="81"/>
  <c r="D148" i="81"/>
  <c r="D76" i="81"/>
  <c r="D81" i="81"/>
  <c r="C77" i="81"/>
  <c r="D221" i="81"/>
  <c r="D226" i="81"/>
  <c r="C221" i="81"/>
  <c r="E226" i="81"/>
  <c r="C225" i="81"/>
  <c r="C153" i="81"/>
  <c r="F176" i="81" s="1"/>
  <c r="C81" i="81"/>
  <c r="F104" i="81" s="1"/>
  <c r="G287" i="81"/>
  <c r="T286" i="81"/>
  <c r="G215" i="81"/>
  <c r="T142" i="81"/>
  <c r="G143" i="81"/>
  <c r="R214" i="81"/>
  <c r="I287" i="81"/>
  <c r="D154" i="81"/>
  <c r="E154" i="81"/>
  <c r="C154" i="81"/>
  <c r="E82" i="81"/>
  <c r="I215" i="81"/>
  <c r="D82" i="81"/>
  <c r="I143" i="81"/>
  <c r="A422" i="56"/>
  <c r="A536" i="56"/>
  <c r="A764" i="56"/>
  <c r="A1182" i="56"/>
  <c r="A460" i="56"/>
  <c r="A840" i="56"/>
  <c r="A650" i="56"/>
  <c r="A1334" i="56"/>
  <c r="A802" i="56"/>
  <c r="A1220" i="56"/>
  <c r="A1258" i="56"/>
  <c r="A498" i="56"/>
  <c r="A992" i="56"/>
  <c r="A612" i="56"/>
  <c r="A1030" i="56"/>
  <c r="A574" i="56"/>
  <c r="A1144" i="56"/>
  <c r="A878" i="56"/>
  <c r="A1106" i="56"/>
  <c r="A1372" i="56"/>
  <c r="A688" i="56"/>
  <c r="A1296" i="56"/>
  <c r="A954" i="56"/>
  <c r="A916" i="56"/>
  <c r="A726" i="56"/>
  <c r="A1068" i="56"/>
  <c r="A113" i="56"/>
  <c r="B6" i="60"/>
  <c r="C14" i="60"/>
  <c r="E282" i="56"/>
  <c r="C283" i="56"/>
  <c r="C282" i="56"/>
  <c r="D282" i="56"/>
  <c r="F240" i="81" l="1"/>
  <c r="F168" i="81"/>
  <c r="F173" i="81"/>
  <c r="F95" i="81"/>
  <c r="F94" i="81"/>
  <c r="F96" i="81"/>
  <c r="F101" i="81"/>
  <c r="F97" i="81"/>
  <c r="F98" i="81"/>
  <c r="F99" i="81"/>
  <c r="F100" i="81"/>
  <c r="F102" i="81"/>
  <c r="F103" i="81"/>
  <c r="F167" i="81"/>
  <c r="F166" i="81"/>
  <c r="F170" i="81"/>
  <c r="F169" i="81"/>
  <c r="F171" i="81"/>
  <c r="F172" i="81"/>
  <c r="F174" i="81"/>
  <c r="F175" i="81"/>
  <c r="F241" i="81"/>
  <c r="F245" i="81"/>
  <c r="F243" i="81"/>
  <c r="F244" i="81"/>
  <c r="F246" i="81"/>
  <c r="F247" i="81"/>
  <c r="F242" i="81"/>
  <c r="F239" i="81"/>
  <c r="F238" i="81"/>
  <c r="C78" i="81"/>
  <c r="C227" i="81"/>
  <c r="E83" i="81"/>
  <c r="C158" i="81"/>
  <c r="C86" i="81"/>
  <c r="D222" i="81"/>
  <c r="D227" i="81"/>
  <c r="C150" i="81"/>
  <c r="C222" i="81"/>
  <c r="E227" i="81"/>
  <c r="D83" i="81"/>
  <c r="C83" i="81"/>
  <c r="D155" i="81"/>
  <c r="D150" i="81"/>
  <c r="D78" i="81"/>
  <c r="J287" i="81"/>
  <c r="C155" i="81"/>
  <c r="E155" i="81"/>
  <c r="J215" i="81"/>
  <c r="J143" i="81"/>
  <c r="A575" i="56"/>
  <c r="A955" i="56"/>
  <c r="A1107" i="56"/>
  <c r="A1031" i="56"/>
  <c r="A1259" i="56"/>
  <c r="A651" i="56"/>
  <c r="A765" i="56"/>
  <c r="A499" i="56"/>
  <c r="A917" i="56"/>
  <c r="A1335" i="56"/>
  <c r="A1069" i="56"/>
  <c r="A1297" i="56"/>
  <c r="A879" i="56"/>
  <c r="A613" i="56"/>
  <c r="A1221" i="56"/>
  <c r="A841" i="56"/>
  <c r="A537" i="56"/>
  <c r="A1373" i="56"/>
  <c r="A727" i="56"/>
  <c r="A689" i="56"/>
  <c r="A1145" i="56"/>
  <c r="A993" i="56"/>
  <c r="A803" i="56"/>
  <c r="A461" i="56"/>
  <c r="A423" i="56"/>
  <c r="A1183" i="56"/>
  <c r="A114" i="56"/>
  <c r="F287" i="81" l="1"/>
  <c r="F143" i="81"/>
  <c r="F215" i="81"/>
  <c r="A462" i="56"/>
  <c r="A690" i="56"/>
  <c r="A842" i="56"/>
  <c r="A1298" i="56"/>
  <c r="A500" i="56"/>
  <c r="A1032" i="56"/>
  <c r="A804" i="56"/>
  <c r="A728" i="56"/>
  <c r="A1222" i="56"/>
  <c r="A1070" i="56"/>
  <c r="A766" i="56"/>
  <c r="A1108" i="56"/>
  <c r="A1184" i="56"/>
  <c r="A994" i="56"/>
  <c r="A1374" i="56"/>
  <c r="A614" i="56"/>
  <c r="A1336" i="56"/>
  <c r="A652" i="56"/>
  <c r="A956" i="56"/>
  <c r="A424" i="56"/>
  <c r="A1146" i="56"/>
  <c r="A538" i="56"/>
  <c r="A880" i="56"/>
  <c r="A918" i="56"/>
  <c r="A1260" i="56"/>
  <c r="A576" i="56"/>
  <c r="A115" i="56"/>
  <c r="E7" i="49"/>
  <c r="A919" i="56" l="1"/>
  <c r="A425" i="56"/>
  <c r="A615" i="56"/>
  <c r="A1109" i="56"/>
  <c r="A729" i="56"/>
  <c r="A1299" i="56"/>
  <c r="A881" i="56"/>
  <c r="A957" i="56"/>
  <c r="A1375" i="56"/>
  <c r="A767" i="56"/>
  <c r="A805" i="56"/>
  <c r="A843" i="56"/>
  <c r="A577" i="56"/>
  <c r="A539" i="56"/>
  <c r="A653" i="56"/>
  <c r="A995" i="56"/>
  <c r="A1071" i="56"/>
  <c r="A1033" i="56"/>
  <c r="A691" i="56"/>
  <c r="A1261" i="56"/>
  <c r="A1147" i="56"/>
  <c r="A1337" i="56"/>
  <c r="A1185" i="56"/>
  <c r="A1223" i="56"/>
  <c r="A501" i="56"/>
  <c r="A463" i="56"/>
  <c r="A116" i="56"/>
  <c r="DN408" i="51"/>
  <c r="DM408" i="51"/>
  <c r="DL408" i="51"/>
  <c r="DK408" i="51"/>
  <c r="DJ408" i="51"/>
  <c r="DI408" i="51"/>
  <c r="DH408" i="51"/>
  <c r="DG408" i="51"/>
  <c r="DF408" i="51"/>
  <c r="DE408" i="51"/>
  <c r="DD408" i="51"/>
  <c r="DC408" i="51"/>
  <c r="DB408" i="51"/>
  <c r="DA408" i="51"/>
  <c r="CZ408" i="51"/>
  <c r="CY408" i="51"/>
  <c r="CX408" i="51"/>
  <c r="CW408" i="51"/>
  <c r="CV408" i="51"/>
  <c r="CU408" i="51"/>
  <c r="CT408" i="51"/>
  <c r="CS408" i="51"/>
  <c r="CR408" i="51"/>
  <c r="CQ408" i="51"/>
  <c r="CP408" i="51"/>
  <c r="CO408" i="51"/>
  <c r="CN408" i="51"/>
  <c r="CM408" i="51"/>
  <c r="CL408" i="51"/>
  <c r="CK408" i="51"/>
  <c r="CJ408" i="51"/>
  <c r="CI408" i="51"/>
  <c r="CH408" i="51"/>
  <c r="CG408" i="51"/>
  <c r="CF408" i="51"/>
  <c r="CE408" i="51"/>
  <c r="CD408" i="51"/>
  <c r="CC408" i="51"/>
  <c r="CB408" i="51"/>
  <c r="CA408" i="51"/>
  <c r="BZ408" i="51"/>
  <c r="BY408" i="51"/>
  <c r="BX408" i="51"/>
  <c r="BW408" i="51"/>
  <c r="BV408" i="51"/>
  <c r="BU408" i="51"/>
  <c r="BT408" i="51"/>
  <c r="BS408" i="51"/>
  <c r="BR408" i="51"/>
  <c r="BQ408" i="51"/>
  <c r="BP408" i="51"/>
  <c r="BO408" i="51"/>
  <c r="BN408" i="51"/>
  <c r="BM408" i="51"/>
  <c r="BL408" i="51"/>
  <c r="BK408" i="51"/>
  <c r="BJ408" i="51"/>
  <c r="BI408" i="51"/>
  <c r="BH408" i="51"/>
  <c r="BG408" i="51"/>
  <c r="BF408" i="51"/>
  <c r="BE408" i="51"/>
  <c r="BD408" i="51"/>
  <c r="BC408" i="51"/>
  <c r="BB408" i="51"/>
  <c r="BA408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I408" i="51"/>
  <c r="AH408" i="51"/>
  <c r="AG408" i="51"/>
  <c r="AF408" i="51"/>
  <c r="AE408" i="51"/>
  <c r="AD408" i="51"/>
  <c r="AC408" i="51"/>
  <c r="AB408" i="51"/>
  <c r="AA408" i="51"/>
  <c r="Z408" i="51"/>
  <c r="Y408" i="51"/>
  <c r="X408" i="51"/>
  <c r="W408" i="51"/>
  <c r="V408" i="51"/>
  <c r="U408" i="51"/>
  <c r="T408" i="51"/>
  <c r="S408" i="51"/>
  <c r="DN396" i="51"/>
  <c r="DM396" i="51"/>
  <c r="DL396" i="51"/>
  <c r="DK396" i="51"/>
  <c r="DJ396" i="51"/>
  <c r="DI396" i="51"/>
  <c r="DH396" i="51"/>
  <c r="DG396" i="51"/>
  <c r="DF396" i="51"/>
  <c r="DE396" i="51"/>
  <c r="DD396" i="51"/>
  <c r="DC396" i="51"/>
  <c r="DB396" i="51"/>
  <c r="DA396" i="51"/>
  <c r="CZ396" i="51"/>
  <c r="CY396" i="51"/>
  <c r="CX396" i="51"/>
  <c r="CW396" i="51"/>
  <c r="CV396" i="51"/>
  <c r="CU396" i="51"/>
  <c r="CT396" i="51"/>
  <c r="CS396" i="51"/>
  <c r="CR396" i="51"/>
  <c r="CQ396" i="51"/>
  <c r="CP396" i="51"/>
  <c r="CO396" i="51"/>
  <c r="CN396" i="51"/>
  <c r="CM396" i="51"/>
  <c r="CL396" i="51"/>
  <c r="CK396" i="51"/>
  <c r="CJ396" i="51"/>
  <c r="CI396" i="51"/>
  <c r="CH396" i="51"/>
  <c r="CG396" i="51"/>
  <c r="CF396" i="51"/>
  <c r="CE396" i="51"/>
  <c r="CD396" i="51"/>
  <c r="CC396" i="51"/>
  <c r="CB396" i="51"/>
  <c r="CA396" i="51"/>
  <c r="BZ396" i="51"/>
  <c r="BY396" i="51"/>
  <c r="BX396" i="51"/>
  <c r="BW396" i="51"/>
  <c r="BV396" i="51"/>
  <c r="BU396" i="51"/>
  <c r="BT396" i="51"/>
  <c r="BS396" i="51"/>
  <c r="BR396" i="51"/>
  <c r="BQ396" i="51"/>
  <c r="BP396" i="51"/>
  <c r="BO396" i="51"/>
  <c r="BN396" i="51"/>
  <c r="BM396" i="51"/>
  <c r="BL396" i="51"/>
  <c r="BK396" i="51"/>
  <c r="BJ396" i="51"/>
  <c r="BI396" i="51"/>
  <c r="BH396" i="51"/>
  <c r="BG396" i="51"/>
  <c r="BF396" i="51"/>
  <c r="BE396" i="51"/>
  <c r="BD396" i="51"/>
  <c r="BC396" i="51"/>
  <c r="BB396" i="51"/>
  <c r="BA396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I396" i="51"/>
  <c r="AH396" i="51"/>
  <c r="AG396" i="51"/>
  <c r="AF396" i="51"/>
  <c r="AE396" i="51"/>
  <c r="AD396" i="51"/>
  <c r="AC396" i="51"/>
  <c r="AB396" i="51"/>
  <c r="AA396" i="51"/>
  <c r="Z396" i="51"/>
  <c r="Y396" i="51"/>
  <c r="X396" i="51"/>
  <c r="W396" i="51"/>
  <c r="V396" i="51"/>
  <c r="U396" i="51"/>
  <c r="T396" i="51"/>
  <c r="S396" i="51"/>
  <c r="DN384" i="51"/>
  <c r="DM384" i="51"/>
  <c r="DL384" i="51"/>
  <c r="DK384" i="51"/>
  <c r="DJ384" i="51"/>
  <c r="DI384" i="51"/>
  <c r="DH384" i="51"/>
  <c r="DG384" i="51"/>
  <c r="DF384" i="51"/>
  <c r="DE384" i="51"/>
  <c r="DD384" i="51"/>
  <c r="DC384" i="51"/>
  <c r="DB384" i="51"/>
  <c r="DA384" i="51"/>
  <c r="CZ384" i="51"/>
  <c r="CY384" i="51"/>
  <c r="CX384" i="51"/>
  <c r="CW384" i="51"/>
  <c r="CV384" i="51"/>
  <c r="CU384" i="51"/>
  <c r="CT384" i="51"/>
  <c r="CS384" i="51"/>
  <c r="CR384" i="51"/>
  <c r="CQ384" i="51"/>
  <c r="CP384" i="51"/>
  <c r="CO384" i="51"/>
  <c r="CN384" i="51"/>
  <c r="CM384" i="51"/>
  <c r="CL384" i="51"/>
  <c r="CK384" i="51"/>
  <c r="CJ384" i="51"/>
  <c r="CI384" i="51"/>
  <c r="CH384" i="51"/>
  <c r="CG384" i="51"/>
  <c r="CF384" i="51"/>
  <c r="CE384" i="51"/>
  <c r="CD384" i="51"/>
  <c r="CC384" i="51"/>
  <c r="CB384" i="51"/>
  <c r="CA384" i="51"/>
  <c r="BZ384" i="51"/>
  <c r="BY384" i="51"/>
  <c r="BX384" i="51"/>
  <c r="BW384" i="51"/>
  <c r="BV384" i="51"/>
  <c r="BU384" i="51"/>
  <c r="BT384" i="51"/>
  <c r="BS384" i="51"/>
  <c r="BR384" i="51"/>
  <c r="BQ384" i="51"/>
  <c r="BP384" i="51"/>
  <c r="BO384" i="51"/>
  <c r="BN384" i="51"/>
  <c r="BM384" i="51"/>
  <c r="BL384" i="51"/>
  <c r="BK384" i="51"/>
  <c r="BJ384" i="51"/>
  <c r="BI384" i="51"/>
  <c r="BH384" i="51"/>
  <c r="BG384" i="51"/>
  <c r="BF384" i="51"/>
  <c r="BE384" i="51"/>
  <c r="BD384" i="51"/>
  <c r="BC384" i="51"/>
  <c r="BB384" i="51"/>
  <c r="BA384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I384" i="51"/>
  <c r="AH384" i="51"/>
  <c r="AG384" i="51"/>
  <c r="AF384" i="51"/>
  <c r="AE384" i="51"/>
  <c r="AD384" i="51"/>
  <c r="AC384" i="51"/>
  <c r="AB384" i="51"/>
  <c r="AA384" i="51"/>
  <c r="Z384" i="51"/>
  <c r="Y384" i="51"/>
  <c r="X384" i="51"/>
  <c r="W384" i="51"/>
  <c r="V384" i="51"/>
  <c r="U384" i="51"/>
  <c r="T384" i="51"/>
  <c r="S384" i="51"/>
  <c r="DN372" i="51"/>
  <c r="DM372" i="51"/>
  <c r="DL372" i="51"/>
  <c r="DK372" i="51"/>
  <c r="DJ372" i="51"/>
  <c r="DI372" i="51"/>
  <c r="DH372" i="51"/>
  <c r="DG372" i="51"/>
  <c r="DF372" i="51"/>
  <c r="DE372" i="51"/>
  <c r="DD372" i="51"/>
  <c r="DC372" i="51"/>
  <c r="DB372" i="51"/>
  <c r="DA372" i="51"/>
  <c r="CZ372" i="51"/>
  <c r="CY372" i="51"/>
  <c r="CX372" i="51"/>
  <c r="CW372" i="51"/>
  <c r="CV372" i="51"/>
  <c r="CU372" i="51"/>
  <c r="CT372" i="51"/>
  <c r="CS372" i="51"/>
  <c r="CR372" i="51"/>
  <c r="CQ372" i="51"/>
  <c r="CP372" i="51"/>
  <c r="CO372" i="51"/>
  <c r="CN372" i="51"/>
  <c r="CM372" i="51"/>
  <c r="CL372" i="51"/>
  <c r="CK372" i="51"/>
  <c r="CJ372" i="51"/>
  <c r="CI372" i="51"/>
  <c r="CH372" i="51"/>
  <c r="CG372" i="51"/>
  <c r="CF372" i="51"/>
  <c r="CE372" i="51"/>
  <c r="CD372" i="51"/>
  <c r="CC372" i="51"/>
  <c r="CB372" i="51"/>
  <c r="CA372" i="51"/>
  <c r="BZ372" i="51"/>
  <c r="BY372" i="51"/>
  <c r="BX372" i="51"/>
  <c r="BW372" i="51"/>
  <c r="BV372" i="51"/>
  <c r="BU372" i="51"/>
  <c r="BT372" i="51"/>
  <c r="BS372" i="51"/>
  <c r="BR372" i="51"/>
  <c r="BQ372" i="51"/>
  <c r="BP372" i="51"/>
  <c r="BO372" i="51"/>
  <c r="BN372" i="51"/>
  <c r="BM372" i="51"/>
  <c r="BL372" i="51"/>
  <c r="BK372" i="51"/>
  <c r="BJ372" i="51"/>
  <c r="BI372" i="51"/>
  <c r="BH372" i="51"/>
  <c r="BG372" i="51"/>
  <c r="BF372" i="51"/>
  <c r="BE372" i="51"/>
  <c r="BD372" i="51"/>
  <c r="BC372" i="51"/>
  <c r="BB372" i="51"/>
  <c r="BA372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I372" i="51"/>
  <c r="AH372" i="51"/>
  <c r="AG372" i="51"/>
  <c r="AF372" i="51"/>
  <c r="AE372" i="51"/>
  <c r="AD372" i="51"/>
  <c r="AC372" i="51"/>
  <c r="AB372" i="51"/>
  <c r="AA372" i="51"/>
  <c r="Z372" i="51"/>
  <c r="Y372" i="51"/>
  <c r="X372" i="51"/>
  <c r="W372" i="51"/>
  <c r="V372" i="51"/>
  <c r="U372" i="51"/>
  <c r="T372" i="51"/>
  <c r="S372" i="51"/>
  <c r="DN360" i="51"/>
  <c r="DM360" i="51"/>
  <c r="DL360" i="51"/>
  <c r="DK360" i="51"/>
  <c r="DJ360" i="51"/>
  <c r="DI360" i="51"/>
  <c r="DH360" i="51"/>
  <c r="DG360" i="51"/>
  <c r="DF360" i="51"/>
  <c r="DE360" i="51"/>
  <c r="DD360" i="51"/>
  <c r="DC360" i="51"/>
  <c r="DB360" i="51"/>
  <c r="DA360" i="51"/>
  <c r="CZ360" i="51"/>
  <c r="CY360" i="51"/>
  <c r="CX360" i="51"/>
  <c r="CW360" i="51"/>
  <c r="CV360" i="51"/>
  <c r="CU360" i="51"/>
  <c r="CT360" i="51"/>
  <c r="CS360" i="51"/>
  <c r="CR360" i="51"/>
  <c r="CQ360" i="51"/>
  <c r="CP360" i="51"/>
  <c r="CO360" i="51"/>
  <c r="CN360" i="51"/>
  <c r="CM360" i="51"/>
  <c r="CL360" i="51"/>
  <c r="CK360" i="51"/>
  <c r="CJ360" i="51"/>
  <c r="CI360" i="51"/>
  <c r="CH360" i="51"/>
  <c r="CG360" i="51"/>
  <c r="CF360" i="51"/>
  <c r="CE360" i="51"/>
  <c r="CD360" i="51"/>
  <c r="CC360" i="51"/>
  <c r="CB360" i="51"/>
  <c r="CA360" i="51"/>
  <c r="BZ360" i="51"/>
  <c r="BY360" i="51"/>
  <c r="BX360" i="51"/>
  <c r="BW360" i="51"/>
  <c r="BV360" i="51"/>
  <c r="BU360" i="51"/>
  <c r="BT360" i="51"/>
  <c r="BS360" i="51"/>
  <c r="BR360" i="51"/>
  <c r="BQ360" i="51"/>
  <c r="BP360" i="51"/>
  <c r="BO360" i="51"/>
  <c r="BN360" i="51"/>
  <c r="BM360" i="51"/>
  <c r="BL360" i="51"/>
  <c r="BK360" i="51"/>
  <c r="BJ360" i="51"/>
  <c r="BI360" i="51"/>
  <c r="BH360" i="51"/>
  <c r="BG360" i="51"/>
  <c r="BF360" i="51"/>
  <c r="BE360" i="51"/>
  <c r="BD360" i="51"/>
  <c r="BC360" i="51"/>
  <c r="BB360" i="51"/>
  <c r="BA360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I360" i="51"/>
  <c r="AH360" i="51"/>
  <c r="AG360" i="51"/>
  <c r="AF360" i="51"/>
  <c r="AE360" i="51"/>
  <c r="AD360" i="51"/>
  <c r="AC360" i="51"/>
  <c r="AB360" i="51"/>
  <c r="AA360" i="51"/>
  <c r="Z360" i="51"/>
  <c r="Y360" i="51"/>
  <c r="X360" i="51"/>
  <c r="W360" i="51"/>
  <c r="V360" i="51"/>
  <c r="U360" i="51"/>
  <c r="T360" i="51"/>
  <c r="S360" i="51"/>
  <c r="DN348" i="51"/>
  <c r="DM348" i="51"/>
  <c r="DL348" i="51"/>
  <c r="DK348" i="51"/>
  <c r="DJ348" i="51"/>
  <c r="DI348" i="51"/>
  <c r="DH348" i="51"/>
  <c r="DG348" i="51"/>
  <c r="DF348" i="51"/>
  <c r="DE348" i="51"/>
  <c r="DD348" i="51"/>
  <c r="DC348" i="51"/>
  <c r="DB348" i="51"/>
  <c r="DA348" i="51"/>
  <c r="CZ348" i="51"/>
  <c r="CY348" i="51"/>
  <c r="CX348" i="51"/>
  <c r="CW348" i="51"/>
  <c r="CV348" i="51"/>
  <c r="CU348" i="51"/>
  <c r="CT348" i="51"/>
  <c r="CS348" i="51"/>
  <c r="CR348" i="51"/>
  <c r="CQ348" i="51"/>
  <c r="CP348" i="51"/>
  <c r="CO348" i="51"/>
  <c r="CN348" i="51"/>
  <c r="CM348" i="51"/>
  <c r="CL348" i="51"/>
  <c r="CK348" i="51"/>
  <c r="CJ348" i="51"/>
  <c r="CI348" i="51"/>
  <c r="CH348" i="51"/>
  <c r="CG348" i="51"/>
  <c r="CF348" i="51"/>
  <c r="CE348" i="51"/>
  <c r="CD348" i="51"/>
  <c r="CC348" i="51"/>
  <c r="CB348" i="51"/>
  <c r="CA348" i="51"/>
  <c r="BZ348" i="51"/>
  <c r="BY348" i="51"/>
  <c r="BX348" i="51"/>
  <c r="BW348" i="51"/>
  <c r="BV348" i="51"/>
  <c r="BU348" i="51"/>
  <c r="BT348" i="51"/>
  <c r="BS348" i="51"/>
  <c r="BR348" i="51"/>
  <c r="BQ348" i="51"/>
  <c r="BP348" i="51"/>
  <c r="BO348" i="51"/>
  <c r="BN348" i="51"/>
  <c r="BM348" i="51"/>
  <c r="BL348" i="51"/>
  <c r="BK348" i="51"/>
  <c r="BJ348" i="51"/>
  <c r="BI348" i="51"/>
  <c r="BH348" i="51"/>
  <c r="BG348" i="51"/>
  <c r="BF348" i="51"/>
  <c r="BE348" i="51"/>
  <c r="BD348" i="51"/>
  <c r="BC348" i="51"/>
  <c r="BB348" i="51"/>
  <c r="BA348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I348" i="51"/>
  <c r="AH348" i="51"/>
  <c r="AG348" i="51"/>
  <c r="AF348" i="51"/>
  <c r="AE348" i="51"/>
  <c r="AD348" i="51"/>
  <c r="AC348" i="51"/>
  <c r="AB348" i="51"/>
  <c r="AA348" i="51"/>
  <c r="Z348" i="51"/>
  <c r="Y348" i="51"/>
  <c r="X348" i="51"/>
  <c r="W348" i="51"/>
  <c r="V348" i="51"/>
  <c r="U348" i="51"/>
  <c r="T348" i="51"/>
  <c r="S348" i="51"/>
  <c r="DN336" i="51"/>
  <c r="DM336" i="51"/>
  <c r="DL336" i="51"/>
  <c r="DK336" i="51"/>
  <c r="DJ336" i="51"/>
  <c r="DI336" i="51"/>
  <c r="DH336" i="51"/>
  <c r="DG336" i="51"/>
  <c r="DF336" i="51"/>
  <c r="DE336" i="51"/>
  <c r="DD336" i="51"/>
  <c r="DC336" i="51"/>
  <c r="DB336" i="51"/>
  <c r="DA336" i="51"/>
  <c r="CZ336" i="51"/>
  <c r="CY336" i="51"/>
  <c r="CX336" i="51"/>
  <c r="CW336" i="51"/>
  <c r="CV336" i="51"/>
  <c r="CU336" i="51"/>
  <c r="CT336" i="51"/>
  <c r="CS336" i="51"/>
  <c r="CR336" i="51"/>
  <c r="CQ336" i="51"/>
  <c r="CP336" i="51"/>
  <c r="CO336" i="51"/>
  <c r="CN336" i="51"/>
  <c r="CM336" i="51"/>
  <c r="CL336" i="51"/>
  <c r="CK336" i="51"/>
  <c r="CJ336" i="51"/>
  <c r="CI336" i="51"/>
  <c r="CH336" i="51"/>
  <c r="CG336" i="51"/>
  <c r="CF336" i="51"/>
  <c r="CE336" i="51"/>
  <c r="CD336" i="51"/>
  <c r="CC336" i="51"/>
  <c r="CB336" i="51"/>
  <c r="CA336" i="51"/>
  <c r="BZ336" i="51"/>
  <c r="BY336" i="51"/>
  <c r="BX336" i="51"/>
  <c r="BW336" i="51"/>
  <c r="BV336" i="51"/>
  <c r="BU336" i="51"/>
  <c r="BT336" i="51"/>
  <c r="BS336" i="51"/>
  <c r="BR336" i="51"/>
  <c r="BQ336" i="51"/>
  <c r="BP336" i="51"/>
  <c r="BO336" i="51"/>
  <c r="BN336" i="51"/>
  <c r="BM336" i="51"/>
  <c r="BL336" i="51"/>
  <c r="BK336" i="51"/>
  <c r="BJ336" i="51"/>
  <c r="BI336" i="51"/>
  <c r="BH336" i="51"/>
  <c r="BG336" i="51"/>
  <c r="BF336" i="51"/>
  <c r="BE336" i="51"/>
  <c r="BD336" i="51"/>
  <c r="BC336" i="51"/>
  <c r="BB336" i="51"/>
  <c r="BA336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I336" i="51"/>
  <c r="AH336" i="51"/>
  <c r="AG336" i="51"/>
  <c r="AF336" i="51"/>
  <c r="AE336" i="51"/>
  <c r="AD336" i="51"/>
  <c r="AC336" i="51"/>
  <c r="AB336" i="51"/>
  <c r="AA336" i="51"/>
  <c r="Z336" i="51"/>
  <c r="Y336" i="51"/>
  <c r="X336" i="51"/>
  <c r="W336" i="51"/>
  <c r="V336" i="51"/>
  <c r="U336" i="51"/>
  <c r="T336" i="51"/>
  <c r="S336" i="51"/>
  <c r="DN324" i="51"/>
  <c r="DM324" i="51"/>
  <c r="DL324" i="51"/>
  <c r="DK324" i="51"/>
  <c r="DJ324" i="51"/>
  <c r="DI324" i="51"/>
  <c r="DH324" i="51"/>
  <c r="DG324" i="51"/>
  <c r="DF324" i="51"/>
  <c r="DE324" i="51"/>
  <c r="DD324" i="51"/>
  <c r="DC324" i="51"/>
  <c r="DB324" i="51"/>
  <c r="DA324" i="51"/>
  <c r="CZ324" i="51"/>
  <c r="CY324" i="51"/>
  <c r="CX324" i="51"/>
  <c r="CW324" i="51"/>
  <c r="CV324" i="51"/>
  <c r="CU324" i="51"/>
  <c r="CT324" i="51"/>
  <c r="CS324" i="51"/>
  <c r="CR324" i="51"/>
  <c r="CQ324" i="51"/>
  <c r="CP324" i="51"/>
  <c r="CO324" i="51"/>
  <c r="CN324" i="51"/>
  <c r="CM324" i="51"/>
  <c r="CL324" i="51"/>
  <c r="CK324" i="51"/>
  <c r="CJ324" i="51"/>
  <c r="CI324" i="51"/>
  <c r="CH324" i="51"/>
  <c r="CG324" i="51"/>
  <c r="CF324" i="51"/>
  <c r="CE324" i="51"/>
  <c r="CD324" i="51"/>
  <c r="CC324" i="51"/>
  <c r="CB324" i="51"/>
  <c r="CA324" i="51"/>
  <c r="BZ324" i="51"/>
  <c r="BY324" i="51"/>
  <c r="BX324" i="51"/>
  <c r="BW324" i="51"/>
  <c r="BV324" i="51"/>
  <c r="BU324" i="51"/>
  <c r="BT324" i="51"/>
  <c r="BS324" i="51"/>
  <c r="BR324" i="51"/>
  <c r="BQ324" i="51"/>
  <c r="BP324" i="51"/>
  <c r="BO324" i="51"/>
  <c r="BN324" i="51"/>
  <c r="BM324" i="51"/>
  <c r="BL324" i="51"/>
  <c r="BK324" i="51"/>
  <c r="BJ324" i="51"/>
  <c r="BI324" i="51"/>
  <c r="BH324" i="51"/>
  <c r="BG324" i="51"/>
  <c r="BF324" i="51"/>
  <c r="BE324" i="51"/>
  <c r="BD324" i="51"/>
  <c r="BC324" i="51"/>
  <c r="BB324" i="51"/>
  <c r="BA324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I324" i="51"/>
  <c r="AH324" i="51"/>
  <c r="AG324" i="51"/>
  <c r="AF324" i="51"/>
  <c r="AE324" i="51"/>
  <c r="AD324" i="51"/>
  <c r="AC324" i="51"/>
  <c r="AB324" i="51"/>
  <c r="AA324" i="51"/>
  <c r="Z324" i="51"/>
  <c r="Y324" i="51"/>
  <c r="X324" i="51"/>
  <c r="W324" i="51"/>
  <c r="V324" i="51"/>
  <c r="U324" i="51"/>
  <c r="T324" i="51"/>
  <c r="S324" i="51"/>
  <c r="DN312" i="51"/>
  <c r="DM312" i="51"/>
  <c r="DL312" i="51"/>
  <c r="DK312" i="51"/>
  <c r="DJ312" i="51"/>
  <c r="DI312" i="51"/>
  <c r="DH312" i="51"/>
  <c r="DG312" i="51"/>
  <c r="DF312" i="51"/>
  <c r="DE312" i="51"/>
  <c r="DD312" i="51"/>
  <c r="DC312" i="51"/>
  <c r="DB312" i="51"/>
  <c r="DA312" i="51"/>
  <c r="CZ312" i="51"/>
  <c r="CY312" i="51"/>
  <c r="CX312" i="51"/>
  <c r="CW312" i="51"/>
  <c r="CV312" i="51"/>
  <c r="CU312" i="51"/>
  <c r="CT312" i="51"/>
  <c r="CS312" i="51"/>
  <c r="CR312" i="51"/>
  <c r="CQ312" i="51"/>
  <c r="CP312" i="51"/>
  <c r="CO312" i="51"/>
  <c r="CN312" i="51"/>
  <c r="CM312" i="51"/>
  <c r="CL312" i="51"/>
  <c r="CK312" i="51"/>
  <c r="CJ312" i="51"/>
  <c r="CI312" i="51"/>
  <c r="CH312" i="51"/>
  <c r="CG312" i="51"/>
  <c r="CF312" i="51"/>
  <c r="CE312" i="51"/>
  <c r="CD312" i="51"/>
  <c r="CC312" i="51"/>
  <c r="CB312" i="51"/>
  <c r="CA312" i="51"/>
  <c r="BZ312" i="51"/>
  <c r="BY312" i="51"/>
  <c r="BX312" i="51"/>
  <c r="BW312" i="51"/>
  <c r="BV312" i="51"/>
  <c r="BU312" i="51"/>
  <c r="BT312" i="51"/>
  <c r="BS312" i="51"/>
  <c r="BR312" i="51"/>
  <c r="BQ312" i="51"/>
  <c r="BP312" i="51"/>
  <c r="BO312" i="51"/>
  <c r="BN312" i="51"/>
  <c r="BM312" i="51"/>
  <c r="BL312" i="51"/>
  <c r="BK312" i="51"/>
  <c r="BJ312" i="51"/>
  <c r="BI312" i="51"/>
  <c r="BH312" i="51"/>
  <c r="BG312" i="51"/>
  <c r="BF312" i="51"/>
  <c r="BE312" i="51"/>
  <c r="BD312" i="51"/>
  <c r="BC312" i="51"/>
  <c r="BB312" i="51"/>
  <c r="BA312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I312" i="51"/>
  <c r="AH312" i="51"/>
  <c r="AG312" i="51"/>
  <c r="AF312" i="51"/>
  <c r="AE312" i="51"/>
  <c r="AD312" i="51"/>
  <c r="AC312" i="51"/>
  <c r="AB312" i="51"/>
  <c r="AA312" i="51"/>
  <c r="Z312" i="51"/>
  <c r="Y312" i="51"/>
  <c r="X312" i="51"/>
  <c r="W312" i="51"/>
  <c r="V312" i="51"/>
  <c r="U312" i="51"/>
  <c r="T312" i="51"/>
  <c r="S312" i="51"/>
  <c r="DN300" i="51"/>
  <c r="DM300" i="51"/>
  <c r="DL300" i="51"/>
  <c r="DK300" i="51"/>
  <c r="DJ300" i="51"/>
  <c r="DI300" i="51"/>
  <c r="DH300" i="51"/>
  <c r="DG300" i="51"/>
  <c r="DF300" i="51"/>
  <c r="DE300" i="51"/>
  <c r="DD300" i="51"/>
  <c r="DC300" i="51"/>
  <c r="DB300" i="51"/>
  <c r="DA300" i="51"/>
  <c r="CZ300" i="51"/>
  <c r="CY300" i="51"/>
  <c r="CX300" i="51"/>
  <c r="CW300" i="51"/>
  <c r="CV300" i="51"/>
  <c r="CU300" i="51"/>
  <c r="CT300" i="51"/>
  <c r="CS300" i="51"/>
  <c r="CR300" i="51"/>
  <c r="CQ300" i="51"/>
  <c r="CP300" i="51"/>
  <c r="CO300" i="51"/>
  <c r="CN300" i="51"/>
  <c r="CM300" i="51"/>
  <c r="CL300" i="51"/>
  <c r="CK300" i="51"/>
  <c r="CJ300" i="51"/>
  <c r="CI300" i="51"/>
  <c r="CH300" i="51"/>
  <c r="CG300" i="51"/>
  <c r="CF300" i="51"/>
  <c r="CE300" i="51"/>
  <c r="CD300" i="51"/>
  <c r="CC300" i="51"/>
  <c r="CB300" i="51"/>
  <c r="CA300" i="51"/>
  <c r="BZ300" i="51"/>
  <c r="BY300" i="51"/>
  <c r="BX300" i="51"/>
  <c r="BW300" i="51"/>
  <c r="BV300" i="51"/>
  <c r="BU300" i="51"/>
  <c r="BT300" i="51"/>
  <c r="BS300" i="51"/>
  <c r="BR300" i="51"/>
  <c r="BQ300" i="51"/>
  <c r="BP300" i="51"/>
  <c r="BO300" i="51"/>
  <c r="BN300" i="51"/>
  <c r="BM300" i="51"/>
  <c r="BL300" i="51"/>
  <c r="BK300" i="51"/>
  <c r="BJ300" i="51"/>
  <c r="BI300" i="51"/>
  <c r="BH300" i="51"/>
  <c r="BG300" i="51"/>
  <c r="BF300" i="51"/>
  <c r="BE300" i="51"/>
  <c r="BD300" i="51"/>
  <c r="BC300" i="51"/>
  <c r="BB300" i="51"/>
  <c r="BA300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I300" i="51"/>
  <c r="AH300" i="51"/>
  <c r="AG300" i="51"/>
  <c r="AF300" i="51"/>
  <c r="AE300" i="51"/>
  <c r="AD300" i="51"/>
  <c r="AC300" i="51"/>
  <c r="AB300" i="51"/>
  <c r="AA300" i="51"/>
  <c r="Z300" i="51"/>
  <c r="Y300" i="51"/>
  <c r="X300" i="51"/>
  <c r="W300" i="51"/>
  <c r="V300" i="51"/>
  <c r="U300" i="51"/>
  <c r="T300" i="51"/>
  <c r="S300" i="51"/>
  <c r="DN288" i="51"/>
  <c r="DM288" i="51"/>
  <c r="DL288" i="51"/>
  <c r="DK288" i="51"/>
  <c r="DJ288" i="51"/>
  <c r="DI288" i="51"/>
  <c r="DH288" i="51"/>
  <c r="DG288" i="51"/>
  <c r="DF288" i="51"/>
  <c r="DE288" i="51"/>
  <c r="DD288" i="51"/>
  <c r="DC288" i="51"/>
  <c r="DB288" i="51"/>
  <c r="DA288" i="51"/>
  <c r="CZ288" i="51"/>
  <c r="CY288" i="51"/>
  <c r="CX288" i="51"/>
  <c r="CW288" i="51"/>
  <c r="CV288" i="51"/>
  <c r="CU288" i="51"/>
  <c r="CT288" i="51"/>
  <c r="CS288" i="51"/>
  <c r="CR288" i="51"/>
  <c r="CQ288" i="51"/>
  <c r="CP288" i="51"/>
  <c r="CO288" i="51"/>
  <c r="CN288" i="51"/>
  <c r="CM288" i="51"/>
  <c r="CL288" i="51"/>
  <c r="CK288" i="51"/>
  <c r="CJ288" i="51"/>
  <c r="CI288" i="51"/>
  <c r="CH288" i="51"/>
  <c r="CG288" i="51"/>
  <c r="CF288" i="51"/>
  <c r="CE288" i="51"/>
  <c r="CD288" i="51"/>
  <c r="CC288" i="51"/>
  <c r="CB288" i="51"/>
  <c r="CA288" i="51"/>
  <c r="BZ288" i="51"/>
  <c r="BY288" i="51"/>
  <c r="BX288" i="51"/>
  <c r="BW288" i="51"/>
  <c r="BV288" i="51"/>
  <c r="BU288" i="51"/>
  <c r="BT288" i="51"/>
  <c r="BS288" i="51"/>
  <c r="BR288" i="51"/>
  <c r="BQ288" i="51"/>
  <c r="BP288" i="51"/>
  <c r="BO288" i="51"/>
  <c r="BN288" i="51"/>
  <c r="BM288" i="51"/>
  <c r="BL288" i="51"/>
  <c r="BK288" i="51"/>
  <c r="BJ288" i="51"/>
  <c r="BI288" i="51"/>
  <c r="BH288" i="51"/>
  <c r="BG288" i="51"/>
  <c r="BF288" i="51"/>
  <c r="BE288" i="51"/>
  <c r="BD288" i="51"/>
  <c r="BC288" i="51"/>
  <c r="BB288" i="51"/>
  <c r="BA288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I288" i="51"/>
  <c r="AH288" i="51"/>
  <c r="AG288" i="51"/>
  <c r="AF288" i="51"/>
  <c r="AE288" i="51"/>
  <c r="AD288" i="51"/>
  <c r="AC288" i="51"/>
  <c r="AB288" i="51"/>
  <c r="AA288" i="51"/>
  <c r="Z288" i="51"/>
  <c r="Y288" i="51"/>
  <c r="X288" i="51"/>
  <c r="W288" i="51"/>
  <c r="V288" i="51"/>
  <c r="U288" i="51"/>
  <c r="T288" i="51"/>
  <c r="S288" i="51"/>
  <c r="DN276" i="51"/>
  <c r="DM276" i="51"/>
  <c r="DL276" i="51"/>
  <c r="DK276" i="51"/>
  <c r="DJ276" i="51"/>
  <c r="DI276" i="51"/>
  <c r="DH276" i="51"/>
  <c r="DG276" i="51"/>
  <c r="DF276" i="51"/>
  <c r="DE276" i="51"/>
  <c r="DD276" i="51"/>
  <c r="DC276" i="51"/>
  <c r="DB276" i="51"/>
  <c r="DA276" i="51"/>
  <c r="CZ276" i="51"/>
  <c r="CY276" i="51"/>
  <c r="CX276" i="51"/>
  <c r="CW276" i="51"/>
  <c r="CV276" i="51"/>
  <c r="CU276" i="51"/>
  <c r="CT276" i="51"/>
  <c r="CS276" i="51"/>
  <c r="CR276" i="51"/>
  <c r="CQ276" i="51"/>
  <c r="CP276" i="51"/>
  <c r="CO276" i="51"/>
  <c r="CN276" i="51"/>
  <c r="CM276" i="51"/>
  <c r="CL276" i="51"/>
  <c r="CK276" i="51"/>
  <c r="CJ276" i="51"/>
  <c r="CI276" i="51"/>
  <c r="CH276" i="51"/>
  <c r="CG276" i="51"/>
  <c r="CF276" i="51"/>
  <c r="CE276" i="51"/>
  <c r="CD276" i="51"/>
  <c r="CC276" i="51"/>
  <c r="CB276" i="51"/>
  <c r="CA276" i="51"/>
  <c r="BZ276" i="51"/>
  <c r="BY276" i="51"/>
  <c r="BX276" i="51"/>
  <c r="BW276" i="51"/>
  <c r="BV276" i="51"/>
  <c r="BU276" i="51"/>
  <c r="BT276" i="51"/>
  <c r="BS276" i="51"/>
  <c r="BR276" i="51"/>
  <c r="BQ276" i="51"/>
  <c r="BP276" i="51"/>
  <c r="BO276" i="51"/>
  <c r="BN276" i="51"/>
  <c r="BM276" i="51"/>
  <c r="BL276" i="51"/>
  <c r="BK276" i="51"/>
  <c r="BJ276" i="51"/>
  <c r="BI276" i="51"/>
  <c r="BH276" i="51"/>
  <c r="BG276" i="51"/>
  <c r="BF276" i="51"/>
  <c r="BE276" i="51"/>
  <c r="BD276" i="51"/>
  <c r="BC276" i="51"/>
  <c r="BB276" i="51"/>
  <c r="BA276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I276" i="51"/>
  <c r="AH276" i="51"/>
  <c r="AG276" i="51"/>
  <c r="AF276" i="51"/>
  <c r="AE276" i="51"/>
  <c r="AD276" i="51"/>
  <c r="AC276" i="51"/>
  <c r="AB276" i="51"/>
  <c r="AA276" i="51"/>
  <c r="Z276" i="51"/>
  <c r="Y276" i="51"/>
  <c r="X276" i="51"/>
  <c r="W276" i="51"/>
  <c r="V276" i="51"/>
  <c r="U276" i="51"/>
  <c r="T276" i="51"/>
  <c r="S276" i="51"/>
  <c r="DN264" i="51"/>
  <c r="DM264" i="51"/>
  <c r="DL264" i="51"/>
  <c r="DK264" i="51"/>
  <c r="DJ264" i="51"/>
  <c r="DI264" i="51"/>
  <c r="DH264" i="51"/>
  <c r="DG264" i="51"/>
  <c r="DF264" i="51"/>
  <c r="DE264" i="51"/>
  <c r="DD264" i="51"/>
  <c r="DC264" i="51"/>
  <c r="DB264" i="51"/>
  <c r="DA264" i="51"/>
  <c r="CZ264" i="51"/>
  <c r="CY264" i="51"/>
  <c r="CX264" i="51"/>
  <c r="CW264" i="51"/>
  <c r="CV264" i="51"/>
  <c r="CU264" i="51"/>
  <c r="CT264" i="51"/>
  <c r="CS264" i="51"/>
  <c r="CR264" i="51"/>
  <c r="CQ264" i="51"/>
  <c r="CP264" i="51"/>
  <c r="CO264" i="51"/>
  <c r="CN264" i="51"/>
  <c r="CM264" i="51"/>
  <c r="CL264" i="51"/>
  <c r="CK264" i="51"/>
  <c r="CJ264" i="51"/>
  <c r="CI264" i="51"/>
  <c r="CH264" i="51"/>
  <c r="CG264" i="51"/>
  <c r="CF264" i="51"/>
  <c r="CE264" i="51"/>
  <c r="CD264" i="51"/>
  <c r="CC264" i="51"/>
  <c r="CB264" i="51"/>
  <c r="CA264" i="51"/>
  <c r="BZ264" i="51"/>
  <c r="BY264" i="51"/>
  <c r="BX264" i="51"/>
  <c r="BW264" i="51"/>
  <c r="BV264" i="51"/>
  <c r="BU264" i="51"/>
  <c r="BT264" i="51"/>
  <c r="BS264" i="51"/>
  <c r="BR264" i="51"/>
  <c r="BQ264" i="51"/>
  <c r="BP264" i="51"/>
  <c r="BO264" i="51"/>
  <c r="BN264" i="51"/>
  <c r="BM264" i="51"/>
  <c r="BL264" i="51"/>
  <c r="BK264" i="51"/>
  <c r="BJ264" i="51"/>
  <c r="BI264" i="51"/>
  <c r="BH264" i="51"/>
  <c r="BG264" i="51"/>
  <c r="BF264" i="51"/>
  <c r="BE264" i="51"/>
  <c r="BD264" i="51"/>
  <c r="BC264" i="51"/>
  <c r="BB264" i="51"/>
  <c r="BA264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I264" i="51"/>
  <c r="AH264" i="51"/>
  <c r="AG264" i="51"/>
  <c r="AF264" i="51"/>
  <c r="AE264" i="51"/>
  <c r="AD264" i="51"/>
  <c r="AC264" i="51"/>
  <c r="AB264" i="51"/>
  <c r="AA264" i="51"/>
  <c r="Z264" i="51"/>
  <c r="Y264" i="51"/>
  <c r="X264" i="51"/>
  <c r="W264" i="51"/>
  <c r="V264" i="51"/>
  <c r="U264" i="51"/>
  <c r="T264" i="51"/>
  <c r="S264" i="51"/>
  <c r="DN252" i="51"/>
  <c r="DM252" i="51"/>
  <c r="DL252" i="51"/>
  <c r="DK252" i="51"/>
  <c r="DJ252" i="51"/>
  <c r="DI252" i="51"/>
  <c r="DH252" i="51"/>
  <c r="DG252" i="51"/>
  <c r="DF252" i="51"/>
  <c r="DE252" i="51"/>
  <c r="DD252" i="51"/>
  <c r="DC252" i="51"/>
  <c r="DB252" i="51"/>
  <c r="DA252" i="51"/>
  <c r="CZ252" i="51"/>
  <c r="CY252" i="51"/>
  <c r="CX252" i="51"/>
  <c r="CW252" i="51"/>
  <c r="CV252" i="51"/>
  <c r="CU252" i="51"/>
  <c r="CT252" i="51"/>
  <c r="CS252" i="51"/>
  <c r="CR252" i="51"/>
  <c r="CQ252" i="51"/>
  <c r="CP252" i="51"/>
  <c r="CO252" i="51"/>
  <c r="CN252" i="51"/>
  <c r="CM252" i="51"/>
  <c r="CL252" i="51"/>
  <c r="CK252" i="51"/>
  <c r="CJ252" i="51"/>
  <c r="CI252" i="51"/>
  <c r="CH252" i="51"/>
  <c r="CG252" i="51"/>
  <c r="CF252" i="51"/>
  <c r="CE252" i="51"/>
  <c r="CD252" i="51"/>
  <c r="CC252" i="51"/>
  <c r="CB252" i="51"/>
  <c r="CA252" i="51"/>
  <c r="BZ252" i="51"/>
  <c r="BY252" i="51"/>
  <c r="BX252" i="51"/>
  <c r="BW252" i="51"/>
  <c r="BV252" i="51"/>
  <c r="BU252" i="51"/>
  <c r="BT252" i="51"/>
  <c r="BS252" i="51"/>
  <c r="BR252" i="51"/>
  <c r="BQ252" i="51"/>
  <c r="BP252" i="51"/>
  <c r="BO252" i="51"/>
  <c r="BN252" i="51"/>
  <c r="BM252" i="51"/>
  <c r="BL252" i="51"/>
  <c r="BK252" i="51"/>
  <c r="BJ252" i="51"/>
  <c r="BI252" i="51"/>
  <c r="BH252" i="51"/>
  <c r="BG252" i="51"/>
  <c r="BF252" i="51"/>
  <c r="BE252" i="51"/>
  <c r="BD252" i="51"/>
  <c r="BC252" i="51"/>
  <c r="BB252" i="51"/>
  <c r="BA252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I252" i="51"/>
  <c r="AH252" i="51"/>
  <c r="AG252" i="51"/>
  <c r="AF252" i="51"/>
  <c r="AE252" i="51"/>
  <c r="AD252" i="51"/>
  <c r="AC252" i="51"/>
  <c r="AB252" i="51"/>
  <c r="AA252" i="51"/>
  <c r="Z252" i="51"/>
  <c r="Y252" i="51"/>
  <c r="X252" i="51"/>
  <c r="W252" i="51"/>
  <c r="V252" i="51"/>
  <c r="U252" i="51"/>
  <c r="T252" i="51"/>
  <c r="S252" i="51"/>
  <c r="DN240" i="51"/>
  <c r="DM240" i="51"/>
  <c r="DL240" i="51"/>
  <c r="DK240" i="51"/>
  <c r="DJ240" i="51"/>
  <c r="DI240" i="51"/>
  <c r="DH240" i="51"/>
  <c r="DG240" i="51"/>
  <c r="DF240" i="51"/>
  <c r="DE240" i="51"/>
  <c r="DD240" i="51"/>
  <c r="DC240" i="51"/>
  <c r="DB240" i="51"/>
  <c r="DA240" i="51"/>
  <c r="CZ240" i="51"/>
  <c r="CY240" i="51"/>
  <c r="CX240" i="51"/>
  <c r="CW240" i="51"/>
  <c r="CV240" i="51"/>
  <c r="CU240" i="51"/>
  <c r="CT240" i="51"/>
  <c r="CS240" i="51"/>
  <c r="CR240" i="51"/>
  <c r="CQ240" i="51"/>
  <c r="CP240" i="51"/>
  <c r="CO240" i="51"/>
  <c r="CN240" i="51"/>
  <c r="CM240" i="51"/>
  <c r="CL240" i="51"/>
  <c r="CK240" i="51"/>
  <c r="CJ240" i="51"/>
  <c r="CI240" i="51"/>
  <c r="CH240" i="51"/>
  <c r="CG240" i="51"/>
  <c r="CF240" i="51"/>
  <c r="CE240" i="51"/>
  <c r="CD240" i="51"/>
  <c r="CC240" i="51"/>
  <c r="CB240" i="51"/>
  <c r="CA240" i="51"/>
  <c r="BZ240" i="51"/>
  <c r="BY240" i="51"/>
  <c r="BX240" i="51"/>
  <c r="BW240" i="51"/>
  <c r="BV240" i="51"/>
  <c r="BU240" i="51"/>
  <c r="BT240" i="51"/>
  <c r="BS240" i="51"/>
  <c r="BR240" i="51"/>
  <c r="BQ240" i="51"/>
  <c r="BP240" i="51"/>
  <c r="BO240" i="51"/>
  <c r="BN240" i="51"/>
  <c r="BM240" i="51"/>
  <c r="BL240" i="51"/>
  <c r="BK240" i="51"/>
  <c r="BJ240" i="51"/>
  <c r="BI240" i="51"/>
  <c r="BH240" i="51"/>
  <c r="BG240" i="51"/>
  <c r="BF240" i="51"/>
  <c r="BE240" i="51"/>
  <c r="BD240" i="51"/>
  <c r="BC240" i="51"/>
  <c r="BB240" i="51"/>
  <c r="BA240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I240" i="51"/>
  <c r="AH240" i="51"/>
  <c r="AG240" i="51"/>
  <c r="AF240" i="51"/>
  <c r="AE240" i="51"/>
  <c r="AD240" i="51"/>
  <c r="AC240" i="51"/>
  <c r="AB240" i="51"/>
  <c r="AA240" i="51"/>
  <c r="Z240" i="51"/>
  <c r="Y240" i="51"/>
  <c r="X240" i="51"/>
  <c r="W240" i="51"/>
  <c r="V240" i="51"/>
  <c r="U240" i="51"/>
  <c r="T240" i="51"/>
  <c r="S240" i="51"/>
  <c r="DN228" i="51"/>
  <c r="DM228" i="51"/>
  <c r="DL228" i="51"/>
  <c r="DK228" i="51"/>
  <c r="DJ228" i="51"/>
  <c r="DI228" i="51"/>
  <c r="DH228" i="51"/>
  <c r="DG228" i="51"/>
  <c r="DF228" i="51"/>
  <c r="DE228" i="51"/>
  <c r="DD228" i="51"/>
  <c r="DC228" i="51"/>
  <c r="DB228" i="51"/>
  <c r="DA228" i="51"/>
  <c r="CZ228" i="51"/>
  <c r="CY228" i="51"/>
  <c r="CX228" i="51"/>
  <c r="CW228" i="51"/>
  <c r="CV228" i="51"/>
  <c r="CU228" i="51"/>
  <c r="CT228" i="51"/>
  <c r="CS228" i="51"/>
  <c r="CR228" i="51"/>
  <c r="CQ228" i="51"/>
  <c r="CP228" i="51"/>
  <c r="CO228" i="51"/>
  <c r="CN228" i="51"/>
  <c r="CM228" i="51"/>
  <c r="CL228" i="51"/>
  <c r="CK228" i="51"/>
  <c r="CJ228" i="51"/>
  <c r="CI228" i="51"/>
  <c r="CH228" i="51"/>
  <c r="CG228" i="51"/>
  <c r="CF228" i="51"/>
  <c r="CE228" i="51"/>
  <c r="CD228" i="51"/>
  <c r="CC228" i="51"/>
  <c r="CB228" i="51"/>
  <c r="CA228" i="51"/>
  <c r="BZ228" i="51"/>
  <c r="BY228" i="51"/>
  <c r="BX228" i="51"/>
  <c r="BW228" i="51"/>
  <c r="BV228" i="51"/>
  <c r="BU228" i="51"/>
  <c r="BT228" i="51"/>
  <c r="BS228" i="51"/>
  <c r="BR228" i="51"/>
  <c r="BQ228" i="51"/>
  <c r="BP228" i="51"/>
  <c r="BO228" i="51"/>
  <c r="BN228" i="51"/>
  <c r="BM228" i="51"/>
  <c r="BL228" i="51"/>
  <c r="BK228" i="51"/>
  <c r="BJ228" i="51"/>
  <c r="BI228" i="51"/>
  <c r="BH228" i="51"/>
  <c r="BG228" i="51"/>
  <c r="BF228" i="51"/>
  <c r="BE228" i="51"/>
  <c r="BD228" i="51"/>
  <c r="BC228" i="51"/>
  <c r="BB228" i="51"/>
  <c r="BA228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I228" i="51"/>
  <c r="AH228" i="51"/>
  <c r="AG228" i="51"/>
  <c r="AF228" i="51"/>
  <c r="AE228" i="51"/>
  <c r="AD228" i="51"/>
  <c r="AC228" i="51"/>
  <c r="AB228" i="51"/>
  <c r="AA228" i="51"/>
  <c r="Z228" i="51"/>
  <c r="Y228" i="51"/>
  <c r="X228" i="51"/>
  <c r="W228" i="51"/>
  <c r="V228" i="51"/>
  <c r="U228" i="51"/>
  <c r="T228" i="51"/>
  <c r="S228" i="51"/>
  <c r="DN216" i="51"/>
  <c r="DM216" i="51"/>
  <c r="DL216" i="51"/>
  <c r="DK216" i="51"/>
  <c r="DJ216" i="51"/>
  <c r="DI216" i="51"/>
  <c r="DH216" i="51"/>
  <c r="DG216" i="51"/>
  <c r="DF216" i="51"/>
  <c r="DE216" i="51"/>
  <c r="DD216" i="51"/>
  <c r="DC216" i="51"/>
  <c r="DB216" i="51"/>
  <c r="DA216" i="51"/>
  <c r="CZ216" i="51"/>
  <c r="CY216" i="51"/>
  <c r="CX216" i="51"/>
  <c r="CW216" i="51"/>
  <c r="CV216" i="51"/>
  <c r="CU216" i="51"/>
  <c r="CT216" i="51"/>
  <c r="CS216" i="51"/>
  <c r="CR216" i="51"/>
  <c r="CQ216" i="51"/>
  <c r="CP216" i="51"/>
  <c r="CO216" i="51"/>
  <c r="CN216" i="51"/>
  <c r="CM216" i="51"/>
  <c r="CL216" i="51"/>
  <c r="CK216" i="51"/>
  <c r="CJ216" i="51"/>
  <c r="CI216" i="51"/>
  <c r="CH216" i="51"/>
  <c r="CG216" i="51"/>
  <c r="CF216" i="51"/>
  <c r="CE216" i="51"/>
  <c r="CD216" i="51"/>
  <c r="CC216" i="51"/>
  <c r="CB216" i="51"/>
  <c r="CA216" i="51"/>
  <c r="BZ216" i="51"/>
  <c r="BY216" i="51"/>
  <c r="BX216" i="51"/>
  <c r="BW216" i="51"/>
  <c r="BV216" i="51"/>
  <c r="BU216" i="51"/>
  <c r="BT216" i="51"/>
  <c r="BS216" i="51"/>
  <c r="BR216" i="51"/>
  <c r="BQ216" i="51"/>
  <c r="BP216" i="51"/>
  <c r="BO216" i="51"/>
  <c r="BN216" i="51"/>
  <c r="BM216" i="51"/>
  <c r="BL216" i="51"/>
  <c r="BK216" i="51"/>
  <c r="BJ216" i="51"/>
  <c r="BI216" i="51"/>
  <c r="BH216" i="51"/>
  <c r="BG216" i="51"/>
  <c r="BF216" i="51"/>
  <c r="BE216" i="51"/>
  <c r="BD216" i="51"/>
  <c r="BC216" i="51"/>
  <c r="BB216" i="51"/>
  <c r="BA216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I216" i="51"/>
  <c r="AH216" i="51"/>
  <c r="AG216" i="51"/>
  <c r="AF216" i="51"/>
  <c r="AE216" i="51"/>
  <c r="AD216" i="51"/>
  <c r="AC216" i="51"/>
  <c r="AB216" i="51"/>
  <c r="AA216" i="51"/>
  <c r="Z216" i="51"/>
  <c r="Y216" i="51"/>
  <c r="X216" i="51"/>
  <c r="W216" i="51"/>
  <c r="V216" i="51"/>
  <c r="U216" i="51"/>
  <c r="T216" i="51"/>
  <c r="S216" i="51"/>
  <c r="DN204" i="51"/>
  <c r="DM204" i="51"/>
  <c r="DL204" i="51"/>
  <c r="DK204" i="51"/>
  <c r="DJ204" i="51"/>
  <c r="DI204" i="51"/>
  <c r="DH204" i="51"/>
  <c r="DG204" i="51"/>
  <c r="DF204" i="51"/>
  <c r="DE204" i="51"/>
  <c r="DD204" i="51"/>
  <c r="DC204" i="51"/>
  <c r="DB204" i="51"/>
  <c r="DA204" i="51"/>
  <c r="CZ204" i="51"/>
  <c r="CY204" i="51"/>
  <c r="CX204" i="51"/>
  <c r="CW204" i="51"/>
  <c r="CV204" i="51"/>
  <c r="CU204" i="51"/>
  <c r="CT204" i="51"/>
  <c r="CS204" i="51"/>
  <c r="CR204" i="51"/>
  <c r="CQ204" i="51"/>
  <c r="CP204" i="51"/>
  <c r="CO204" i="51"/>
  <c r="CN204" i="51"/>
  <c r="CM204" i="51"/>
  <c r="CL204" i="51"/>
  <c r="CK204" i="51"/>
  <c r="CJ204" i="51"/>
  <c r="CI204" i="51"/>
  <c r="CH204" i="51"/>
  <c r="CG204" i="51"/>
  <c r="CF204" i="51"/>
  <c r="CE204" i="51"/>
  <c r="CD204" i="51"/>
  <c r="CC204" i="51"/>
  <c r="CB204" i="51"/>
  <c r="CA204" i="51"/>
  <c r="BZ204" i="51"/>
  <c r="BY204" i="51"/>
  <c r="BX204" i="51"/>
  <c r="BW204" i="51"/>
  <c r="BV204" i="51"/>
  <c r="BU204" i="51"/>
  <c r="BT204" i="51"/>
  <c r="BS204" i="51"/>
  <c r="BR204" i="51"/>
  <c r="BQ204" i="51"/>
  <c r="BP204" i="51"/>
  <c r="BO204" i="51"/>
  <c r="BN204" i="51"/>
  <c r="BM204" i="51"/>
  <c r="BL204" i="51"/>
  <c r="BK204" i="51"/>
  <c r="BJ204" i="51"/>
  <c r="BI204" i="51"/>
  <c r="BH204" i="51"/>
  <c r="BG204" i="51"/>
  <c r="BF204" i="51"/>
  <c r="BE204" i="51"/>
  <c r="BD204" i="51"/>
  <c r="BC204" i="51"/>
  <c r="BB204" i="51"/>
  <c r="BA204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I204" i="51"/>
  <c r="AH204" i="51"/>
  <c r="AG204" i="51"/>
  <c r="AF204" i="51"/>
  <c r="AE204" i="51"/>
  <c r="AD204" i="51"/>
  <c r="AC204" i="51"/>
  <c r="AB204" i="51"/>
  <c r="AA204" i="51"/>
  <c r="Z204" i="51"/>
  <c r="Y204" i="51"/>
  <c r="X204" i="51"/>
  <c r="W204" i="51"/>
  <c r="V204" i="51"/>
  <c r="U204" i="51"/>
  <c r="T204" i="51"/>
  <c r="S204" i="51"/>
  <c r="DN192" i="51"/>
  <c r="DM192" i="51"/>
  <c r="DL192" i="51"/>
  <c r="DK192" i="51"/>
  <c r="DJ192" i="51"/>
  <c r="DI192" i="51"/>
  <c r="DH192" i="51"/>
  <c r="DG192" i="51"/>
  <c r="DF192" i="51"/>
  <c r="DE192" i="51"/>
  <c r="DD192" i="51"/>
  <c r="DC192" i="51"/>
  <c r="DB192" i="51"/>
  <c r="DA192" i="51"/>
  <c r="CZ192" i="51"/>
  <c r="CY192" i="51"/>
  <c r="CX192" i="51"/>
  <c r="CW192" i="51"/>
  <c r="CV192" i="51"/>
  <c r="CU192" i="51"/>
  <c r="CT192" i="51"/>
  <c r="CS192" i="51"/>
  <c r="CR192" i="51"/>
  <c r="CQ192" i="51"/>
  <c r="CP192" i="51"/>
  <c r="CO192" i="51"/>
  <c r="CN192" i="51"/>
  <c r="CM192" i="51"/>
  <c r="CL192" i="51"/>
  <c r="CK192" i="51"/>
  <c r="CJ192" i="51"/>
  <c r="CI192" i="51"/>
  <c r="CH192" i="51"/>
  <c r="CG192" i="51"/>
  <c r="CF192" i="51"/>
  <c r="CE192" i="51"/>
  <c r="CD192" i="51"/>
  <c r="CC192" i="51"/>
  <c r="CB192" i="51"/>
  <c r="CA192" i="51"/>
  <c r="BZ192" i="51"/>
  <c r="BY192" i="51"/>
  <c r="BX192" i="51"/>
  <c r="BW192" i="51"/>
  <c r="BV192" i="51"/>
  <c r="BU192" i="51"/>
  <c r="BT192" i="51"/>
  <c r="BS192" i="51"/>
  <c r="BR192" i="51"/>
  <c r="BQ192" i="51"/>
  <c r="BP192" i="51"/>
  <c r="BO192" i="51"/>
  <c r="BN192" i="51"/>
  <c r="BM192" i="51"/>
  <c r="BL192" i="51"/>
  <c r="BK192" i="51"/>
  <c r="BJ192" i="51"/>
  <c r="BI192" i="51"/>
  <c r="BH192" i="51"/>
  <c r="BG192" i="51"/>
  <c r="BF192" i="51"/>
  <c r="BE192" i="51"/>
  <c r="BD192" i="51"/>
  <c r="BC192" i="51"/>
  <c r="BB192" i="51"/>
  <c r="BA192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I192" i="51"/>
  <c r="AH192" i="51"/>
  <c r="AG192" i="51"/>
  <c r="AF192" i="51"/>
  <c r="AE192" i="51"/>
  <c r="AD192" i="51"/>
  <c r="AC192" i="51"/>
  <c r="AB192" i="51"/>
  <c r="AA192" i="51"/>
  <c r="Z192" i="51"/>
  <c r="Y192" i="51"/>
  <c r="X192" i="51"/>
  <c r="W192" i="51"/>
  <c r="V192" i="51"/>
  <c r="U192" i="51"/>
  <c r="T192" i="51"/>
  <c r="S192" i="51"/>
  <c r="DN180" i="51"/>
  <c r="DM180" i="51"/>
  <c r="DL180" i="51"/>
  <c r="DK180" i="51"/>
  <c r="DJ180" i="51"/>
  <c r="DI180" i="51"/>
  <c r="DH180" i="51"/>
  <c r="DG180" i="51"/>
  <c r="DF180" i="51"/>
  <c r="DE180" i="51"/>
  <c r="DD180" i="51"/>
  <c r="DC180" i="51"/>
  <c r="DB180" i="51"/>
  <c r="DA180" i="51"/>
  <c r="CZ180" i="51"/>
  <c r="CY180" i="51"/>
  <c r="CX180" i="51"/>
  <c r="CW180" i="51"/>
  <c r="CV180" i="51"/>
  <c r="CU180" i="51"/>
  <c r="CT180" i="51"/>
  <c r="CS180" i="51"/>
  <c r="CR180" i="51"/>
  <c r="CQ180" i="51"/>
  <c r="CP180" i="51"/>
  <c r="CO180" i="51"/>
  <c r="CN180" i="51"/>
  <c r="CM180" i="51"/>
  <c r="CL180" i="51"/>
  <c r="CK180" i="51"/>
  <c r="CJ180" i="51"/>
  <c r="CI180" i="51"/>
  <c r="CH180" i="51"/>
  <c r="CG180" i="51"/>
  <c r="CF180" i="51"/>
  <c r="CE180" i="51"/>
  <c r="CD180" i="51"/>
  <c r="CC180" i="51"/>
  <c r="CB180" i="51"/>
  <c r="CA180" i="51"/>
  <c r="BZ180" i="51"/>
  <c r="BY180" i="51"/>
  <c r="BX180" i="51"/>
  <c r="BW180" i="51"/>
  <c r="BV180" i="51"/>
  <c r="BU180" i="51"/>
  <c r="BT180" i="51"/>
  <c r="BS180" i="51"/>
  <c r="BR180" i="51"/>
  <c r="BQ180" i="51"/>
  <c r="BP180" i="51"/>
  <c r="BO180" i="51"/>
  <c r="BN180" i="51"/>
  <c r="BM180" i="51"/>
  <c r="BL180" i="51"/>
  <c r="BK180" i="51"/>
  <c r="BJ180" i="51"/>
  <c r="BI180" i="51"/>
  <c r="BH180" i="51"/>
  <c r="BG180" i="51"/>
  <c r="BF180" i="51"/>
  <c r="BE180" i="51"/>
  <c r="BD180" i="51"/>
  <c r="BC180" i="51"/>
  <c r="BB180" i="51"/>
  <c r="BA180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I180" i="51"/>
  <c r="AH180" i="51"/>
  <c r="AG180" i="51"/>
  <c r="AF180" i="51"/>
  <c r="AE180" i="51"/>
  <c r="AD180" i="51"/>
  <c r="AC180" i="51"/>
  <c r="AB180" i="51"/>
  <c r="AA180" i="51"/>
  <c r="Z180" i="51"/>
  <c r="Y180" i="51"/>
  <c r="X180" i="51"/>
  <c r="W180" i="51"/>
  <c r="V180" i="51"/>
  <c r="U180" i="51"/>
  <c r="T180" i="51"/>
  <c r="S180" i="51"/>
  <c r="DN168" i="51"/>
  <c r="DM168" i="51"/>
  <c r="DL168" i="51"/>
  <c r="DK168" i="51"/>
  <c r="DJ168" i="51"/>
  <c r="DI168" i="51"/>
  <c r="DH168" i="51"/>
  <c r="DG168" i="51"/>
  <c r="DF168" i="51"/>
  <c r="DE168" i="51"/>
  <c r="DD168" i="51"/>
  <c r="DC168" i="51"/>
  <c r="DB168" i="51"/>
  <c r="DA168" i="51"/>
  <c r="CZ168" i="51"/>
  <c r="CY168" i="51"/>
  <c r="CX168" i="51"/>
  <c r="CW168" i="51"/>
  <c r="CV168" i="51"/>
  <c r="CU168" i="51"/>
  <c r="CT168" i="51"/>
  <c r="CS168" i="51"/>
  <c r="CR168" i="51"/>
  <c r="CQ168" i="51"/>
  <c r="CP168" i="51"/>
  <c r="CO168" i="51"/>
  <c r="CN168" i="51"/>
  <c r="CM168" i="51"/>
  <c r="CL168" i="51"/>
  <c r="CK168" i="51"/>
  <c r="CJ168" i="51"/>
  <c r="CI168" i="51"/>
  <c r="CH168" i="51"/>
  <c r="CG168" i="51"/>
  <c r="CF168" i="51"/>
  <c r="CE168" i="51"/>
  <c r="CD168" i="51"/>
  <c r="CC168" i="51"/>
  <c r="CB168" i="51"/>
  <c r="CA168" i="51"/>
  <c r="BZ168" i="51"/>
  <c r="BY168" i="51"/>
  <c r="BX168" i="51"/>
  <c r="BW168" i="51"/>
  <c r="BV168" i="51"/>
  <c r="BU168" i="51"/>
  <c r="BT168" i="51"/>
  <c r="BS168" i="51"/>
  <c r="BR168" i="51"/>
  <c r="BQ168" i="51"/>
  <c r="BP168" i="51"/>
  <c r="BO168" i="51"/>
  <c r="BN168" i="51"/>
  <c r="BM168" i="51"/>
  <c r="BL168" i="51"/>
  <c r="BK168" i="51"/>
  <c r="BJ168" i="51"/>
  <c r="BI168" i="51"/>
  <c r="BH168" i="51"/>
  <c r="BG168" i="51"/>
  <c r="BF168" i="51"/>
  <c r="BE168" i="51"/>
  <c r="BD168" i="51"/>
  <c r="BC168" i="51"/>
  <c r="BB168" i="51"/>
  <c r="BA168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I168" i="51"/>
  <c r="AH168" i="51"/>
  <c r="AG168" i="51"/>
  <c r="AF168" i="51"/>
  <c r="AE168" i="51"/>
  <c r="AD168" i="51"/>
  <c r="AC168" i="51"/>
  <c r="AB168" i="51"/>
  <c r="AA168" i="51"/>
  <c r="Z168" i="51"/>
  <c r="Y168" i="51"/>
  <c r="X168" i="51"/>
  <c r="W168" i="51"/>
  <c r="V168" i="51"/>
  <c r="U168" i="51"/>
  <c r="T168" i="51"/>
  <c r="S168" i="51"/>
  <c r="DN156" i="51"/>
  <c r="DM156" i="51"/>
  <c r="DL156" i="51"/>
  <c r="DK156" i="51"/>
  <c r="DJ156" i="51"/>
  <c r="DI156" i="51"/>
  <c r="DH156" i="51"/>
  <c r="DG156" i="51"/>
  <c r="DF156" i="51"/>
  <c r="DE156" i="51"/>
  <c r="DD156" i="51"/>
  <c r="DC156" i="51"/>
  <c r="DB156" i="51"/>
  <c r="DA156" i="51"/>
  <c r="CZ156" i="51"/>
  <c r="CY156" i="51"/>
  <c r="CX156" i="51"/>
  <c r="CW156" i="51"/>
  <c r="CV156" i="51"/>
  <c r="CU156" i="51"/>
  <c r="CT156" i="51"/>
  <c r="CS156" i="51"/>
  <c r="CR156" i="51"/>
  <c r="CQ156" i="51"/>
  <c r="CP156" i="51"/>
  <c r="CO156" i="51"/>
  <c r="CN156" i="51"/>
  <c r="CM156" i="51"/>
  <c r="CL156" i="51"/>
  <c r="CK156" i="51"/>
  <c r="CJ156" i="51"/>
  <c r="CI156" i="51"/>
  <c r="CH156" i="51"/>
  <c r="CG156" i="51"/>
  <c r="CF156" i="51"/>
  <c r="CE156" i="51"/>
  <c r="CD156" i="51"/>
  <c r="CC156" i="51"/>
  <c r="CB156" i="51"/>
  <c r="CA156" i="51"/>
  <c r="BZ156" i="51"/>
  <c r="BY156" i="51"/>
  <c r="BX156" i="51"/>
  <c r="BW156" i="51"/>
  <c r="BV156" i="51"/>
  <c r="BU156" i="51"/>
  <c r="BT156" i="51"/>
  <c r="BS156" i="51"/>
  <c r="BR156" i="51"/>
  <c r="BQ156" i="51"/>
  <c r="BP156" i="51"/>
  <c r="BO156" i="51"/>
  <c r="BN156" i="51"/>
  <c r="BM156" i="51"/>
  <c r="BL156" i="51"/>
  <c r="BK156" i="51"/>
  <c r="BJ156" i="51"/>
  <c r="BI156" i="51"/>
  <c r="BH156" i="51"/>
  <c r="BG156" i="51"/>
  <c r="BF156" i="51"/>
  <c r="BE156" i="51"/>
  <c r="BD156" i="51"/>
  <c r="BC156" i="51"/>
  <c r="BB156" i="51"/>
  <c r="BA156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I156" i="51"/>
  <c r="AH156" i="51"/>
  <c r="AG156" i="51"/>
  <c r="AF156" i="51"/>
  <c r="AE156" i="51"/>
  <c r="AD156" i="51"/>
  <c r="AC156" i="51"/>
  <c r="AB156" i="51"/>
  <c r="AA156" i="51"/>
  <c r="Z156" i="51"/>
  <c r="Y156" i="51"/>
  <c r="X156" i="51"/>
  <c r="W156" i="51"/>
  <c r="V156" i="51"/>
  <c r="U156" i="51"/>
  <c r="T156" i="51"/>
  <c r="S156" i="51"/>
  <c r="DN144" i="51"/>
  <c r="DM144" i="51"/>
  <c r="DL144" i="51"/>
  <c r="DK144" i="51"/>
  <c r="DJ144" i="51"/>
  <c r="DI144" i="51"/>
  <c r="DH144" i="51"/>
  <c r="DG144" i="51"/>
  <c r="DF144" i="51"/>
  <c r="DE144" i="51"/>
  <c r="DD144" i="51"/>
  <c r="DC144" i="51"/>
  <c r="DB144" i="51"/>
  <c r="DA144" i="51"/>
  <c r="CZ144" i="51"/>
  <c r="CY144" i="51"/>
  <c r="CX144" i="51"/>
  <c r="CW144" i="51"/>
  <c r="CV144" i="51"/>
  <c r="CU144" i="51"/>
  <c r="CT144" i="51"/>
  <c r="CS144" i="51"/>
  <c r="CR144" i="51"/>
  <c r="CQ144" i="51"/>
  <c r="CP144" i="51"/>
  <c r="CO144" i="51"/>
  <c r="CN144" i="51"/>
  <c r="CM144" i="51"/>
  <c r="CL144" i="51"/>
  <c r="CK144" i="51"/>
  <c r="CJ144" i="51"/>
  <c r="CI144" i="51"/>
  <c r="CH144" i="51"/>
  <c r="CG144" i="51"/>
  <c r="CF144" i="51"/>
  <c r="CE144" i="51"/>
  <c r="CD144" i="51"/>
  <c r="CC144" i="51"/>
  <c r="CB144" i="51"/>
  <c r="CA144" i="51"/>
  <c r="BZ144" i="51"/>
  <c r="BY144" i="51"/>
  <c r="BX144" i="51"/>
  <c r="BW144" i="51"/>
  <c r="BV144" i="51"/>
  <c r="BU144" i="51"/>
  <c r="BT144" i="51"/>
  <c r="BS144" i="51"/>
  <c r="BR144" i="51"/>
  <c r="BQ144" i="51"/>
  <c r="BP144" i="51"/>
  <c r="BO144" i="51"/>
  <c r="BN144" i="51"/>
  <c r="BM144" i="51"/>
  <c r="BL144" i="51"/>
  <c r="BK144" i="51"/>
  <c r="BJ144" i="51"/>
  <c r="BI144" i="51"/>
  <c r="BH144" i="51"/>
  <c r="BG144" i="51"/>
  <c r="BF144" i="51"/>
  <c r="BE144" i="51"/>
  <c r="BD144" i="51"/>
  <c r="BC144" i="51"/>
  <c r="BB144" i="51"/>
  <c r="BA144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I144" i="51"/>
  <c r="AH144" i="51"/>
  <c r="AG144" i="51"/>
  <c r="AF144" i="51"/>
  <c r="AE144" i="51"/>
  <c r="AD144" i="51"/>
  <c r="AC144" i="51"/>
  <c r="AB144" i="51"/>
  <c r="AA144" i="51"/>
  <c r="Z144" i="51"/>
  <c r="Y144" i="51"/>
  <c r="X144" i="51"/>
  <c r="W144" i="51"/>
  <c r="V144" i="51"/>
  <c r="U144" i="51"/>
  <c r="T144" i="51"/>
  <c r="S144" i="51"/>
  <c r="DN132" i="51"/>
  <c r="DM132" i="51"/>
  <c r="DL132" i="51"/>
  <c r="DK132" i="51"/>
  <c r="DJ132" i="51"/>
  <c r="DI132" i="51"/>
  <c r="DH132" i="51"/>
  <c r="DG132" i="51"/>
  <c r="DF132" i="51"/>
  <c r="DE132" i="51"/>
  <c r="DD132" i="51"/>
  <c r="DC132" i="51"/>
  <c r="DB132" i="51"/>
  <c r="DA132" i="51"/>
  <c r="CZ132" i="51"/>
  <c r="CY132" i="51"/>
  <c r="CX132" i="51"/>
  <c r="CW132" i="51"/>
  <c r="CV132" i="51"/>
  <c r="CU132" i="51"/>
  <c r="CT132" i="51"/>
  <c r="CS132" i="51"/>
  <c r="CR132" i="51"/>
  <c r="CQ132" i="51"/>
  <c r="CP132" i="51"/>
  <c r="CO132" i="51"/>
  <c r="CN132" i="51"/>
  <c r="CM132" i="51"/>
  <c r="CL132" i="51"/>
  <c r="CK132" i="51"/>
  <c r="CJ132" i="51"/>
  <c r="CI132" i="51"/>
  <c r="CH132" i="51"/>
  <c r="CG132" i="51"/>
  <c r="CF132" i="51"/>
  <c r="CE132" i="51"/>
  <c r="CD132" i="51"/>
  <c r="CC132" i="51"/>
  <c r="CB132" i="51"/>
  <c r="CA132" i="51"/>
  <c r="BZ132" i="51"/>
  <c r="BY132" i="51"/>
  <c r="BX132" i="51"/>
  <c r="BW132" i="51"/>
  <c r="BV132" i="51"/>
  <c r="BU132" i="51"/>
  <c r="BT132" i="51"/>
  <c r="BS132" i="51"/>
  <c r="BR132" i="51"/>
  <c r="BQ132" i="51"/>
  <c r="BP132" i="51"/>
  <c r="BO132" i="51"/>
  <c r="BN132" i="51"/>
  <c r="BM132" i="51"/>
  <c r="BL132" i="51"/>
  <c r="BK132" i="51"/>
  <c r="BJ132" i="51"/>
  <c r="BI132" i="51"/>
  <c r="BH132" i="51"/>
  <c r="BG132" i="51"/>
  <c r="BF132" i="51"/>
  <c r="BE132" i="51"/>
  <c r="BD132" i="51"/>
  <c r="BC132" i="51"/>
  <c r="BB132" i="51"/>
  <c r="BA132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I132" i="51"/>
  <c r="AH132" i="51"/>
  <c r="AG132" i="51"/>
  <c r="AF132" i="51"/>
  <c r="AE132" i="51"/>
  <c r="AD132" i="51"/>
  <c r="AC132" i="51"/>
  <c r="AB132" i="51"/>
  <c r="AA132" i="51"/>
  <c r="Z132" i="51"/>
  <c r="Y132" i="51"/>
  <c r="X132" i="51"/>
  <c r="W132" i="51"/>
  <c r="V132" i="51"/>
  <c r="U132" i="51"/>
  <c r="T132" i="51"/>
  <c r="S132" i="51"/>
  <c r="DN120" i="51"/>
  <c r="DM120" i="51"/>
  <c r="DL120" i="51"/>
  <c r="DK120" i="51"/>
  <c r="DJ120" i="51"/>
  <c r="DI120" i="51"/>
  <c r="DH120" i="51"/>
  <c r="DG120" i="51"/>
  <c r="DF120" i="51"/>
  <c r="DE120" i="51"/>
  <c r="DD120" i="51"/>
  <c r="DC120" i="51"/>
  <c r="DB120" i="51"/>
  <c r="DA120" i="51"/>
  <c r="CZ120" i="51"/>
  <c r="CY120" i="51"/>
  <c r="CX120" i="51"/>
  <c r="CW120" i="51"/>
  <c r="CV120" i="51"/>
  <c r="CU120" i="51"/>
  <c r="CT120" i="51"/>
  <c r="CS120" i="51"/>
  <c r="CR120" i="51"/>
  <c r="CQ120" i="51"/>
  <c r="CP120" i="51"/>
  <c r="CO120" i="51"/>
  <c r="CN120" i="51"/>
  <c r="CM120" i="51"/>
  <c r="CL120" i="51"/>
  <c r="CK120" i="51"/>
  <c r="CJ120" i="51"/>
  <c r="CI120" i="51"/>
  <c r="CH120" i="51"/>
  <c r="CG120" i="51"/>
  <c r="CF120" i="51"/>
  <c r="CE120" i="51"/>
  <c r="CD120" i="51"/>
  <c r="CC120" i="51"/>
  <c r="CB120" i="51"/>
  <c r="CA120" i="51"/>
  <c r="BZ120" i="51"/>
  <c r="BY120" i="51"/>
  <c r="BX120" i="51"/>
  <c r="BW120" i="51"/>
  <c r="BV120" i="51"/>
  <c r="BU120" i="51"/>
  <c r="BT120" i="51"/>
  <c r="BS120" i="51"/>
  <c r="BR120" i="51"/>
  <c r="BQ120" i="51"/>
  <c r="BP120" i="51"/>
  <c r="BO120" i="51"/>
  <c r="BN120" i="51"/>
  <c r="BM120" i="51"/>
  <c r="BL120" i="51"/>
  <c r="BK120" i="51"/>
  <c r="BJ120" i="51"/>
  <c r="BI120" i="51"/>
  <c r="BH120" i="51"/>
  <c r="BG120" i="51"/>
  <c r="BF120" i="51"/>
  <c r="BE120" i="51"/>
  <c r="BD120" i="51"/>
  <c r="BC120" i="51"/>
  <c r="BB120" i="51"/>
  <c r="BA120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I120" i="51"/>
  <c r="AH120" i="51"/>
  <c r="AG120" i="51"/>
  <c r="AF120" i="51"/>
  <c r="AE120" i="51"/>
  <c r="AD120" i="51"/>
  <c r="AC120" i="51"/>
  <c r="AB120" i="51"/>
  <c r="AA120" i="51"/>
  <c r="Z120" i="51"/>
  <c r="Y120" i="51"/>
  <c r="X120" i="51"/>
  <c r="W120" i="51"/>
  <c r="V120" i="51"/>
  <c r="U120" i="51"/>
  <c r="T120" i="51"/>
  <c r="S120" i="51"/>
  <c r="DN108" i="51"/>
  <c r="DM108" i="51"/>
  <c r="DL108" i="51"/>
  <c r="DK108" i="51"/>
  <c r="DJ108" i="51"/>
  <c r="DI108" i="51"/>
  <c r="DH108" i="51"/>
  <c r="DG108" i="51"/>
  <c r="DF108" i="51"/>
  <c r="DE108" i="51"/>
  <c r="DD108" i="51"/>
  <c r="DC108" i="51"/>
  <c r="DB108" i="51"/>
  <c r="DA108" i="51"/>
  <c r="CZ108" i="51"/>
  <c r="CY108" i="51"/>
  <c r="CX108" i="51"/>
  <c r="CW108" i="51"/>
  <c r="CV108" i="51"/>
  <c r="CU108" i="51"/>
  <c r="CT108" i="51"/>
  <c r="CS108" i="51"/>
  <c r="CR108" i="51"/>
  <c r="CQ108" i="51"/>
  <c r="CP108" i="51"/>
  <c r="CO108" i="51"/>
  <c r="CN108" i="51"/>
  <c r="CM108" i="51"/>
  <c r="CL108" i="51"/>
  <c r="CK108" i="51"/>
  <c r="CJ108" i="51"/>
  <c r="CI108" i="51"/>
  <c r="CH108" i="51"/>
  <c r="CG108" i="51"/>
  <c r="CF108" i="51"/>
  <c r="CE108" i="51"/>
  <c r="CD108" i="51"/>
  <c r="CC108" i="51"/>
  <c r="CB108" i="51"/>
  <c r="CA108" i="51"/>
  <c r="BZ108" i="51"/>
  <c r="BY108" i="51"/>
  <c r="BX108" i="51"/>
  <c r="BW108" i="51"/>
  <c r="BV108" i="51"/>
  <c r="BU108" i="51"/>
  <c r="BT108" i="51"/>
  <c r="BS108" i="51"/>
  <c r="BR108" i="51"/>
  <c r="BQ108" i="51"/>
  <c r="BP108" i="51"/>
  <c r="BO108" i="51"/>
  <c r="BN108" i="51"/>
  <c r="BM108" i="51"/>
  <c r="BL108" i="51"/>
  <c r="BK108" i="51"/>
  <c r="BJ108" i="51"/>
  <c r="BI108" i="51"/>
  <c r="BH108" i="51"/>
  <c r="BG108" i="51"/>
  <c r="BF108" i="51"/>
  <c r="BE108" i="51"/>
  <c r="BD108" i="51"/>
  <c r="BC108" i="51"/>
  <c r="BB108" i="51"/>
  <c r="BA108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I108" i="51"/>
  <c r="AH108" i="51"/>
  <c r="AG108" i="51"/>
  <c r="AF108" i="51"/>
  <c r="AE108" i="51"/>
  <c r="AD108" i="51"/>
  <c r="AC108" i="51"/>
  <c r="AB108" i="51"/>
  <c r="AA108" i="51"/>
  <c r="Z108" i="51"/>
  <c r="Y108" i="51"/>
  <c r="X108" i="51"/>
  <c r="W108" i="51"/>
  <c r="V108" i="51"/>
  <c r="U108" i="51"/>
  <c r="T108" i="51"/>
  <c r="S108" i="51"/>
  <c r="DN96" i="51"/>
  <c r="DM96" i="51"/>
  <c r="DL96" i="51"/>
  <c r="DK96" i="51"/>
  <c r="DJ96" i="51"/>
  <c r="DI96" i="51"/>
  <c r="DH96" i="51"/>
  <c r="DG96" i="51"/>
  <c r="DF96" i="51"/>
  <c r="DE96" i="51"/>
  <c r="DD96" i="51"/>
  <c r="DC96" i="51"/>
  <c r="DB96" i="51"/>
  <c r="DA96" i="51"/>
  <c r="CZ96" i="51"/>
  <c r="CY96" i="51"/>
  <c r="CX96" i="51"/>
  <c r="CW96" i="51"/>
  <c r="CV96" i="51"/>
  <c r="CU96" i="51"/>
  <c r="CT96" i="51"/>
  <c r="CS96" i="51"/>
  <c r="CR96" i="51"/>
  <c r="CQ96" i="51"/>
  <c r="CP96" i="51"/>
  <c r="CO96" i="51"/>
  <c r="CN96" i="51"/>
  <c r="CM96" i="51"/>
  <c r="CL96" i="51"/>
  <c r="CK96" i="51"/>
  <c r="CJ96" i="51"/>
  <c r="CI96" i="51"/>
  <c r="CH96" i="51"/>
  <c r="CG96" i="51"/>
  <c r="CF96" i="51"/>
  <c r="CE96" i="51"/>
  <c r="CD96" i="51"/>
  <c r="CC96" i="51"/>
  <c r="CB96" i="51"/>
  <c r="CA96" i="51"/>
  <c r="BZ96" i="51"/>
  <c r="BY96" i="51"/>
  <c r="BX96" i="51"/>
  <c r="BW96" i="51"/>
  <c r="BV96" i="51"/>
  <c r="BU96" i="51"/>
  <c r="BT96" i="51"/>
  <c r="BS96" i="51"/>
  <c r="BR96" i="51"/>
  <c r="BQ96" i="51"/>
  <c r="BP96" i="51"/>
  <c r="BO96" i="51"/>
  <c r="BN96" i="51"/>
  <c r="BM96" i="51"/>
  <c r="BL96" i="51"/>
  <c r="BK96" i="51"/>
  <c r="BJ96" i="51"/>
  <c r="BI96" i="51"/>
  <c r="BH96" i="51"/>
  <c r="BG96" i="51"/>
  <c r="BF96" i="51"/>
  <c r="BE96" i="51"/>
  <c r="BD96" i="51"/>
  <c r="BC96" i="51"/>
  <c r="BB96" i="51"/>
  <c r="BA96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I96" i="51"/>
  <c r="AH96" i="51"/>
  <c r="AG96" i="51"/>
  <c r="AF96" i="51"/>
  <c r="AE96" i="51"/>
  <c r="AD96" i="51"/>
  <c r="AC96" i="51"/>
  <c r="AB96" i="51"/>
  <c r="AA96" i="51"/>
  <c r="Z96" i="51"/>
  <c r="Y96" i="51"/>
  <c r="X96" i="51"/>
  <c r="W96" i="51"/>
  <c r="V96" i="51"/>
  <c r="U96" i="51"/>
  <c r="T96" i="51"/>
  <c r="S96" i="51"/>
  <c r="DN84" i="51"/>
  <c r="DM84" i="51"/>
  <c r="DL84" i="51"/>
  <c r="DK84" i="51"/>
  <c r="DJ84" i="51"/>
  <c r="DI84" i="51"/>
  <c r="DH84" i="51"/>
  <c r="DG84" i="51"/>
  <c r="DF84" i="51"/>
  <c r="DE84" i="51"/>
  <c r="DD84" i="51"/>
  <c r="DC84" i="51"/>
  <c r="DB84" i="51"/>
  <c r="DA84" i="51"/>
  <c r="CZ84" i="51"/>
  <c r="CY84" i="51"/>
  <c r="CX84" i="51"/>
  <c r="CW84" i="51"/>
  <c r="CV84" i="51"/>
  <c r="CU84" i="51"/>
  <c r="CT84" i="51"/>
  <c r="CS84" i="51"/>
  <c r="CR84" i="51"/>
  <c r="CQ84" i="51"/>
  <c r="CP84" i="51"/>
  <c r="CO84" i="51"/>
  <c r="CN84" i="51"/>
  <c r="CM84" i="51"/>
  <c r="CL84" i="51"/>
  <c r="CK84" i="51"/>
  <c r="CJ84" i="51"/>
  <c r="CI84" i="51"/>
  <c r="CH84" i="51"/>
  <c r="CG84" i="51"/>
  <c r="CF84" i="51"/>
  <c r="CE84" i="51"/>
  <c r="CD84" i="51"/>
  <c r="CC84" i="51"/>
  <c r="CB84" i="51"/>
  <c r="CA84" i="51"/>
  <c r="BZ84" i="51"/>
  <c r="BY84" i="51"/>
  <c r="BX84" i="51"/>
  <c r="BW84" i="51"/>
  <c r="BV84" i="51"/>
  <c r="BU84" i="51"/>
  <c r="BT84" i="51"/>
  <c r="BS84" i="51"/>
  <c r="BR84" i="51"/>
  <c r="BQ84" i="51"/>
  <c r="BP84" i="51"/>
  <c r="BO84" i="51"/>
  <c r="BN84" i="51"/>
  <c r="BM84" i="51"/>
  <c r="BL84" i="51"/>
  <c r="BK84" i="51"/>
  <c r="BJ84" i="51"/>
  <c r="BI84" i="51"/>
  <c r="BH84" i="51"/>
  <c r="BG84" i="51"/>
  <c r="BF84" i="51"/>
  <c r="BE84" i="51"/>
  <c r="BD84" i="51"/>
  <c r="BC84" i="51"/>
  <c r="BB84" i="51"/>
  <c r="BA84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I84" i="51"/>
  <c r="AH84" i="51"/>
  <c r="AG84" i="51"/>
  <c r="AF84" i="51"/>
  <c r="AE84" i="51"/>
  <c r="AD84" i="51"/>
  <c r="AC84" i="51"/>
  <c r="AB84" i="51"/>
  <c r="AA84" i="51"/>
  <c r="Z84" i="51"/>
  <c r="Y84" i="51"/>
  <c r="X84" i="51"/>
  <c r="W84" i="51"/>
  <c r="V84" i="51"/>
  <c r="U84" i="51"/>
  <c r="T84" i="51"/>
  <c r="S84" i="51"/>
  <c r="I68" i="51"/>
  <c r="J68" i="51" s="1"/>
  <c r="DP68" i="51"/>
  <c r="BN72" i="51"/>
  <c r="BO72" i="51"/>
  <c r="BP72" i="51"/>
  <c r="BQ72" i="51"/>
  <c r="BR72" i="51"/>
  <c r="BS72" i="51"/>
  <c r="BT72" i="51"/>
  <c r="BU72" i="51"/>
  <c r="BV72" i="51"/>
  <c r="BW72" i="51"/>
  <c r="BX72" i="51"/>
  <c r="BY72" i="51"/>
  <c r="BZ72" i="51"/>
  <c r="CA72" i="51"/>
  <c r="CB72" i="51"/>
  <c r="CC72" i="51"/>
  <c r="CD72" i="51"/>
  <c r="CE72" i="51"/>
  <c r="CF72" i="51"/>
  <c r="CG72" i="51"/>
  <c r="CH72" i="51"/>
  <c r="CI72" i="51"/>
  <c r="CJ72" i="51"/>
  <c r="CK72" i="51"/>
  <c r="CL72" i="51"/>
  <c r="CM72" i="51"/>
  <c r="CN72" i="51"/>
  <c r="CO72" i="51"/>
  <c r="CP72" i="51"/>
  <c r="CQ72" i="51"/>
  <c r="CR72" i="51"/>
  <c r="CS72" i="51"/>
  <c r="CT72" i="51"/>
  <c r="CU72" i="51"/>
  <c r="CV72" i="51"/>
  <c r="CW72" i="51"/>
  <c r="CX72" i="51"/>
  <c r="CY72" i="51"/>
  <c r="CZ72" i="51"/>
  <c r="DA72" i="51"/>
  <c r="DB72" i="51"/>
  <c r="DC72" i="51"/>
  <c r="DD72" i="51"/>
  <c r="DE72" i="51"/>
  <c r="DF72" i="51"/>
  <c r="DG72" i="51"/>
  <c r="DH72" i="51"/>
  <c r="DI72" i="51"/>
  <c r="DJ72" i="51"/>
  <c r="DK72" i="51"/>
  <c r="DL72" i="51"/>
  <c r="BE57" i="51"/>
  <c r="BF57" i="51"/>
  <c r="BG57" i="51"/>
  <c r="BH57" i="51"/>
  <c r="BI57" i="51"/>
  <c r="BJ57" i="51"/>
  <c r="BK57" i="51"/>
  <c r="BL57" i="51"/>
  <c r="BM57" i="51"/>
  <c r="BN57" i="51"/>
  <c r="BO57" i="51"/>
  <c r="BP57" i="51"/>
  <c r="BQ57" i="51"/>
  <c r="BR57" i="51"/>
  <c r="BS57" i="51"/>
  <c r="BT57" i="51"/>
  <c r="BU57" i="51"/>
  <c r="BV57" i="51"/>
  <c r="BW57" i="51"/>
  <c r="BX57" i="51"/>
  <c r="BY57" i="51"/>
  <c r="BZ57" i="51"/>
  <c r="CA57" i="51"/>
  <c r="CB57" i="51"/>
  <c r="CC57" i="51"/>
  <c r="CD57" i="51"/>
  <c r="CE57" i="51"/>
  <c r="CF57" i="51"/>
  <c r="CG57" i="51"/>
  <c r="CH57" i="51"/>
  <c r="CI57" i="51"/>
  <c r="CJ57" i="51"/>
  <c r="CK57" i="51"/>
  <c r="CL57" i="51"/>
  <c r="CM57" i="51"/>
  <c r="CN57" i="51"/>
  <c r="CO57" i="51"/>
  <c r="CP57" i="51"/>
  <c r="CQ57" i="51"/>
  <c r="CR57" i="51"/>
  <c r="CS57" i="51"/>
  <c r="CT57" i="51"/>
  <c r="CU57" i="51"/>
  <c r="CV57" i="51"/>
  <c r="CW57" i="51"/>
  <c r="CX57" i="51"/>
  <c r="CY57" i="51"/>
  <c r="CZ57" i="51"/>
  <c r="DA57" i="51"/>
  <c r="DB57" i="51"/>
  <c r="DC57" i="51"/>
  <c r="DD57" i="51"/>
  <c r="DE57" i="51"/>
  <c r="DF57" i="51"/>
  <c r="DG57" i="51"/>
  <c r="DH57" i="51"/>
  <c r="DI57" i="51"/>
  <c r="DJ57" i="51"/>
  <c r="DK57" i="51"/>
  <c r="DL57" i="51"/>
  <c r="DX408" i="51"/>
  <c r="DX396" i="51"/>
  <c r="DX384" i="51"/>
  <c r="DX372" i="51"/>
  <c r="DX360" i="51"/>
  <c r="DX348" i="51"/>
  <c r="DX336" i="51"/>
  <c r="DX324" i="51"/>
  <c r="DX312" i="51"/>
  <c r="DX300" i="51"/>
  <c r="DX72" i="51"/>
  <c r="DX96" i="51"/>
  <c r="DX108" i="51"/>
  <c r="DX120" i="51"/>
  <c r="DX132" i="51"/>
  <c r="DX144" i="51"/>
  <c r="DX156" i="51"/>
  <c r="DX168" i="51"/>
  <c r="DX180" i="51"/>
  <c r="DX192" i="51"/>
  <c r="DX204" i="51"/>
  <c r="DX216" i="51"/>
  <c r="DX228" i="51"/>
  <c r="DX240" i="51"/>
  <c r="DX252" i="51"/>
  <c r="DY252" i="51"/>
  <c r="DX264" i="51"/>
  <c r="DY264" i="51"/>
  <c r="DW276" i="51"/>
  <c r="DX276" i="51"/>
  <c r="DY276" i="51"/>
  <c r="DZ276" i="51"/>
  <c r="EA276" i="51"/>
  <c r="A1224" i="56" l="1"/>
  <c r="A1262" i="56"/>
  <c r="A996" i="56"/>
  <c r="A844" i="56"/>
  <c r="A958" i="56"/>
  <c r="A1110" i="56"/>
  <c r="A1186" i="56"/>
  <c r="A692" i="56"/>
  <c r="A654" i="56"/>
  <c r="A806" i="56"/>
  <c r="A882" i="56"/>
  <c r="A616" i="56"/>
  <c r="A464" i="56"/>
  <c r="A1338" i="56"/>
  <c r="A1034" i="56"/>
  <c r="A540" i="56"/>
  <c r="A768" i="56"/>
  <c r="A1300" i="56"/>
  <c r="A426" i="56"/>
  <c r="A502" i="56"/>
  <c r="A1148" i="56"/>
  <c r="A1072" i="56"/>
  <c r="A578" i="56"/>
  <c r="A1376" i="56"/>
  <c r="A730" i="56"/>
  <c r="A920" i="56"/>
  <c r="A117" i="56"/>
  <c r="B266" i="56"/>
  <c r="A118" i="56" l="1"/>
  <c r="B67" i="56"/>
  <c r="B73" i="70" s="1"/>
  <c r="C67" i="56"/>
  <c r="C73" i="70" s="1"/>
  <c r="B68" i="56"/>
  <c r="B74" i="70" s="1"/>
  <c r="C68" i="56"/>
  <c r="C74" i="70" s="1"/>
  <c r="B69" i="56"/>
  <c r="B75" i="70" s="1"/>
  <c r="C69" i="56"/>
  <c r="C75" i="70" s="1"/>
  <c r="B22" i="56"/>
  <c r="C22" i="56"/>
  <c r="C28" i="70" s="1"/>
  <c r="B23" i="56"/>
  <c r="C23" i="56"/>
  <c r="C29" i="70" s="1"/>
  <c r="B24" i="56"/>
  <c r="C24" i="56"/>
  <c r="C30" i="70" s="1"/>
  <c r="B25" i="56"/>
  <c r="C25" i="56"/>
  <c r="C31" i="70" s="1"/>
  <c r="B26" i="56"/>
  <c r="C26" i="56"/>
  <c r="C32" i="70" s="1"/>
  <c r="B27" i="56"/>
  <c r="C27" i="56"/>
  <c r="C33" i="70" s="1"/>
  <c r="B28" i="56"/>
  <c r="C28" i="56"/>
  <c r="C34" i="70" s="1"/>
  <c r="B29" i="56"/>
  <c r="C29" i="56"/>
  <c r="C35" i="70" s="1"/>
  <c r="B30" i="56"/>
  <c r="C30" i="56"/>
  <c r="C36" i="70" s="1"/>
  <c r="B31" i="56"/>
  <c r="C31" i="56"/>
  <c r="C37" i="70" s="1"/>
  <c r="B32" i="56"/>
  <c r="C32" i="56"/>
  <c r="C38" i="70" s="1"/>
  <c r="B33" i="56"/>
  <c r="C33" i="56"/>
  <c r="C39" i="70" s="1"/>
  <c r="B34" i="56"/>
  <c r="C34" i="56"/>
  <c r="C40" i="70" s="1"/>
  <c r="B35" i="56"/>
  <c r="C35" i="56"/>
  <c r="C41" i="70" s="1"/>
  <c r="B36" i="56"/>
  <c r="C36" i="56"/>
  <c r="C42" i="70" s="1"/>
  <c r="B37" i="56"/>
  <c r="C37" i="56"/>
  <c r="C43" i="70" s="1"/>
  <c r="B38" i="56"/>
  <c r="C38" i="56"/>
  <c r="C44" i="70" s="1"/>
  <c r="B39" i="56"/>
  <c r="C39" i="56"/>
  <c r="C45" i="70" s="1"/>
  <c r="B40" i="56"/>
  <c r="C40" i="56"/>
  <c r="C46" i="70" s="1"/>
  <c r="B41" i="56"/>
  <c r="C41" i="56"/>
  <c r="C47" i="70" s="1"/>
  <c r="B42" i="56"/>
  <c r="C42" i="56"/>
  <c r="C48" i="70" s="1"/>
  <c r="B43" i="56"/>
  <c r="C43" i="56"/>
  <c r="C49" i="70" s="1"/>
  <c r="B44" i="56"/>
  <c r="C44" i="56"/>
  <c r="C50" i="70" s="1"/>
  <c r="B45" i="56"/>
  <c r="C45" i="56"/>
  <c r="C51" i="70" s="1"/>
  <c r="B46" i="56"/>
  <c r="C46" i="56"/>
  <c r="C52" i="70" s="1"/>
  <c r="B47" i="56"/>
  <c r="C47" i="56"/>
  <c r="C53" i="70" s="1"/>
  <c r="B48" i="56"/>
  <c r="C48" i="56"/>
  <c r="C54" i="70" s="1"/>
  <c r="B49" i="56"/>
  <c r="C49" i="56"/>
  <c r="C55" i="70" s="1"/>
  <c r="B50" i="56"/>
  <c r="B56" i="70" s="1"/>
  <c r="C50" i="56"/>
  <c r="C56" i="70" s="1"/>
  <c r="B51" i="56"/>
  <c r="B57" i="70" s="1"/>
  <c r="C51" i="56"/>
  <c r="C57" i="70" s="1"/>
  <c r="B52" i="56"/>
  <c r="B58" i="70" s="1"/>
  <c r="C52" i="56"/>
  <c r="C58" i="70" s="1"/>
  <c r="B53" i="56"/>
  <c r="B59" i="70" s="1"/>
  <c r="C53" i="56"/>
  <c r="C59" i="70" s="1"/>
  <c r="B54" i="56"/>
  <c r="B60" i="70" s="1"/>
  <c r="C54" i="56"/>
  <c r="C60" i="70" s="1"/>
  <c r="B55" i="56"/>
  <c r="B61" i="70" s="1"/>
  <c r="C55" i="56"/>
  <c r="C61" i="70" s="1"/>
  <c r="B56" i="56"/>
  <c r="B62" i="70" s="1"/>
  <c r="C56" i="56"/>
  <c r="C62" i="70" s="1"/>
  <c r="B57" i="56"/>
  <c r="B63" i="70" s="1"/>
  <c r="C57" i="56"/>
  <c r="C63" i="70" s="1"/>
  <c r="B58" i="56"/>
  <c r="B64" i="70" s="1"/>
  <c r="C58" i="56"/>
  <c r="C64" i="70" s="1"/>
  <c r="B59" i="56"/>
  <c r="B65" i="70" s="1"/>
  <c r="C59" i="56"/>
  <c r="C65" i="70" s="1"/>
  <c r="B60" i="56"/>
  <c r="B66" i="70" s="1"/>
  <c r="C60" i="56"/>
  <c r="C66" i="70" s="1"/>
  <c r="B61" i="56"/>
  <c r="B67" i="70" s="1"/>
  <c r="C61" i="56"/>
  <c r="C67" i="70" s="1"/>
  <c r="B62" i="56"/>
  <c r="B68" i="70" s="1"/>
  <c r="C62" i="56"/>
  <c r="C68" i="70" s="1"/>
  <c r="B63" i="56"/>
  <c r="B69" i="70" s="1"/>
  <c r="C63" i="56"/>
  <c r="C69" i="70" s="1"/>
  <c r="B64" i="56"/>
  <c r="B70" i="70" s="1"/>
  <c r="C64" i="56"/>
  <c r="C70" i="70" s="1"/>
  <c r="B65" i="56"/>
  <c r="B71" i="70" s="1"/>
  <c r="C65" i="56"/>
  <c r="C71" i="70" s="1"/>
  <c r="B66" i="56"/>
  <c r="B72" i="70" s="1"/>
  <c r="C66" i="56"/>
  <c r="C72" i="70" s="1"/>
  <c r="A119" i="56" l="1"/>
  <c r="L1100" i="56"/>
  <c r="M1100" i="56"/>
  <c r="N1100" i="56"/>
  <c r="K990" i="70" l="1"/>
  <c r="J1100" i="56"/>
  <c r="G990" i="70"/>
  <c r="H44" i="51"/>
  <c r="H53" i="51"/>
  <c r="H37" i="51"/>
  <c r="H47" i="51"/>
  <c r="H36" i="51"/>
  <c r="H49" i="51"/>
  <c r="H41" i="51"/>
  <c r="H38" i="51"/>
  <c r="H42" i="51"/>
  <c r="H46" i="51"/>
  <c r="H51" i="51"/>
  <c r="H35" i="51"/>
  <c r="H40" i="51"/>
  <c r="H39" i="51"/>
  <c r="H48" i="51"/>
  <c r="H45" i="51"/>
  <c r="H43" i="51"/>
  <c r="H52" i="51"/>
  <c r="H50" i="51"/>
  <c r="A120" i="56"/>
  <c r="D57" i="56"/>
  <c r="D63" i="70" s="1"/>
  <c r="E57" i="56"/>
  <c r="E63" i="70" s="1"/>
  <c r="D41" i="56"/>
  <c r="D47" i="70" s="1"/>
  <c r="E41" i="56"/>
  <c r="E47" i="70" s="1"/>
  <c r="E25" i="56"/>
  <c r="E31" i="70" s="1"/>
  <c r="D25" i="56"/>
  <c r="D31" i="70" s="1"/>
  <c r="D62" i="56"/>
  <c r="D68" i="70" s="1"/>
  <c r="E62" i="56"/>
  <c r="E68" i="70" s="1"/>
  <c r="D46" i="56"/>
  <c r="D52" i="70" s="1"/>
  <c r="E46" i="56"/>
  <c r="E52" i="70" s="1"/>
  <c r="D30" i="56"/>
  <c r="D36" i="70" s="1"/>
  <c r="E30" i="56"/>
  <c r="E36" i="70" s="1"/>
  <c r="D52" i="56"/>
  <c r="D58" i="70" s="1"/>
  <c r="E52" i="56"/>
  <c r="E58" i="70" s="1"/>
  <c r="E51" i="56"/>
  <c r="E57" i="70" s="1"/>
  <c r="D51" i="56"/>
  <c r="D57" i="70" s="1"/>
  <c r="E35" i="56"/>
  <c r="E41" i="70" s="1"/>
  <c r="D35" i="56"/>
  <c r="D41" i="70" s="1"/>
  <c r="D56" i="56"/>
  <c r="D62" i="70" s="1"/>
  <c r="E56" i="56"/>
  <c r="E62" i="70" s="1"/>
  <c r="D40" i="56"/>
  <c r="D46" i="70" s="1"/>
  <c r="E40" i="56"/>
  <c r="E46" i="70" s="1"/>
  <c r="D24" i="56"/>
  <c r="D30" i="70" s="1"/>
  <c r="E24" i="56"/>
  <c r="E30" i="70" s="1"/>
  <c r="D45" i="56"/>
  <c r="D51" i="70" s="1"/>
  <c r="E45" i="56"/>
  <c r="E51" i="70" s="1"/>
  <c r="E29" i="56"/>
  <c r="E35" i="70" s="1"/>
  <c r="D29" i="56"/>
  <c r="D35" i="70" s="1"/>
  <c r="E61" i="56"/>
  <c r="E67" i="70" s="1"/>
  <c r="D61" i="56"/>
  <c r="D67" i="70" s="1"/>
  <c r="D66" i="56"/>
  <c r="D72" i="70" s="1"/>
  <c r="E66" i="56"/>
  <c r="E72" i="70" s="1"/>
  <c r="D50" i="56"/>
  <c r="D56" i="70" s="1"/>
  <c r="E50" i="56"/>
  <c r="E56" i="70" s="1"/>
  <c r="D34" i="56"/>
  <c r="D40" i="70" s="1"/>
  <c r="E34" i="56"/>
  <c r="E40" i="70" s="1"/>
  <c r="E67" i="56"/>
  <c r="E73" i="70" s="1"/>
  <c r="D67" i="56"/>
  <c r="D73" i="70" s="1"/>
  <c r="D55" i="56"/>
  <c r="D61" i="70" s="1"/>
  <c r="E55" i="56"/>
  <c r="E61" i="70" s="1"/>
  <c r="D39" i="56"/>
  <c r="D45" i="70" s="1"/>
  <c r="E39" i="56"/>
  <c r="E45" i="70" s="1"/>
  <c r="E23" i="56"/>
  <c r="E29" i="70" s="1"/>
  <c r="D23" i="56"/>
  <c r="D29" i="70" s="1"/>
  <c r="D36" i="56"/>
  <c r="D42" i="70" s="1"/>
  <c r="E36" i="56"/>
  <c r="E42" i="70" s="1"/>
  <c r="D60" i="56"/>
  <c r="D66" i="70" s="1"/>
  <c r="E60" i="56"/>
  <c r="E66" i="70" s="1"/>
  <c r="D44" i="56"/>
  <c r="D50" i="70" s="1"/>
  <c r="E44" i="56"/>
  <c r="E50" i="70" s="1"/>
  <c r="D28" i="56"/>
  <c r="D34" i="70" s="1"/>
  <c r="E28" i="56"/>
  <c r="E34" i="70" s="1"/>
  <c r="D65" i="56"/>
  <c r="D71" i="70" s="1"/>
  <c r="E65" i="56"/>
  <c r="E71" i="70" s="1"/>
  <c r="D49" i="56"/>
  <c r="D55" i="70" s="1"/>
  <c r="E49" i="56"/>
  <c r="E55" i="70" s="1"/>
  <c r="D33" i="56"/>
  <c r="D39" i="70" s="1"/>
  <c r="E33" i="56"/>
  <c r="E39" i="70" s="1"/>
  <c r="D68" i="56"/>
  <c r="D74" i="70" s="1"/>
  <c r="E68" i="56"/>
  <c r="E74" i="70" s="1"/>
  <c r="D54" i="56"/>
  <c r="D60" i="70" s="1"/>
  <c r="E54" i="56"/>
  <c r="E60" i="70" s="1"/>
  <c r="D38" i="56"/>
  <c r="D44" i="70" s="1"/>
  <c r="E38" i="56"/>
  <c r="E44" i="70" s="1"/>
  <c r="D22" i="56"/>
  <c r="D28" i="70" s="1"/>
  <c r="E22" i="56"/>
  <c r="E28" i="70" s="1"/>
  <c r="D59" i="56"/>
  <c r="D65" i="70" s="1"/>
  <c r="E59" i="56"/>
  <c r="E65" i="70" s="1"/>
  <c r="D43" i="56"/>
  <c r="D49" i="70" s="1"/>
  <c r="E43" i="56"/>
  <c r="E49" i="70" s="1"/>
  <c r="D27" i="56"/>
  <c r="D33" i="70" s="1"/>
  <c r="E27" i="56"/>
  <c r="E33" i="70" s="1"/>
  <c r="D64" i="56"/>
  <c r="D70" i="70" s="1"/>
  <c r="E64" i="56"/>
  <c r="E70" i="70" s="1"/>
  <c r="D48" i="56"/>
  <c r="D54" i="70" s="1"/>
  <c r="E48" i="56"/>
  <c r="E54" i="70" s="1"/>
  <c r="D32" i="56"/>
  <c r="D38" i="70" s="1"/>
  <c r="E32" i="56"/>
  <c r="E38" i="70" s="1"/>
  <c r="D69" i="56"/>
  <c r="D75" i="70" s="1"/>
  <c r="E69" i="56"/>
  <c r="E75" i="70" s="1"/>
  <c r="D53" i="56"/>
  <c r="D59" i="70" s="1"/>
  <c r="E53" i="56"/>
  <c r="E59" i="70" s="1"/>
  <c r="E37" i="56"/>
  <c r="E43" i="70" s="1"/>
  <c r="D37" i="56"/>
  <c r="D43" i="70" s="1"/>
  <c r="D58" i="56"/>
  <c r="D64" i="70" s="1"/>
  <c r="E58" i="56"/>
  <c r="E64" i="70" s="1"/>
  <c r="D42" i="56"/>
  <c r="D48" i="70" s="1"/>
  <c r="E42" i="56"/>
  <c r="E48" i="70" s="1"/>
  <c r="D26" i="56"/>
  <c r="D32" i="70" s="1"/>
  <c r="E26" i="56"/>
  <c r="E32" i="70" s="1"/>
  <c r="D63" i="56"/>
  <c r="D69" i="70" s="1"/>
  <c r="E63" i="56"/>
  <c r="E69" i="70" s="1"/>
  <c r="D47" i="56"/>
  <c r="D53" i="70" s="1"/>
  <c r="E47" i="56"/>
  <c r="E53" i="70" s="1"/>
  <c r="E31" i="56"/>
  <c r="E37" i="70" s="1"/>
  <c r="D31" i="56"/>
  <c r="D37" i="70" s="1"/>
  <c r="D73" i="51"/>
  <c r="D85" i="51" s="1"/>
  <c r="D97" i="51" s="1"/>
  <c r="D109" i="51" s="1"/>
  <c r="D121" i="51" s="1"/>
  <c r="D133" i="51" s="1"/>
  <c r="D145" i="51" s="1"/>
  <c r="D157" i="51" s="1"/>
  <c r="D169" i="51" s="1"/>
  <c r="D181" i="51" s="1"/>
  <c r="D193" i="51" s="1"/>
  <c r="D205" i="51" s="1"/>
  <c r="D217" i="51" s="1"/>
  <c r="D229" i="51" s="1"/>
  <c r="D241" i="51" s="1"/>
  <c r="D253" i="51" s="1"/>
  <c r="D265" i="51" s="1"/>
  <c r="D277" i="51" s="1"/>
  <c r="D289" i="51" s="1"/>
  <c r="D301" i="51" s="1"/>
  <c r="D313" i="51" s="1"/>
  <c r="D325" i="51" s="1"/>
  <c r="D337" i="51" s="1"/>
  <c r="D349" i="51" s="1"/>
  <c r="D361" i="51" s="1"/>
  <c r="D373" i="51" s="1"/>
  <c r="D385" i="51" s="1"/>
  <c r="D397" i="51" s="1"/>
  <c r="A121" i="56" l="1"/>
  <c r="A230" i="51"/>
  <c r="A231" i="51"/>
  <c r="A232" i="51"/>
  <c r="A233" i="51"/>
  <c r="A234" i="51"/>
  <c r="A235" i="51"/>
  <c r="I235" i="51"/>
  <c r="J235" i="51" s="1"/>
  <c r="A236" i="51"/>
  <c r="I236" i="51"/>
  <c r="J236" i="51" s="1"/>
  <c r="A237" i="51"/>
  <c r="I237" i="51"/>
  <c r="J237" i="51" s="1"/>
  <c r="A238" i="51"/>
  <c r="I238" i="51"/>
  <c r="J238" i="51" s="1"/>
  <c r="I239" i="51"/>
  <c r="J239" i="51" s="1"/>
  <c r="N240" i="51"/>
  <c r="DT240" i="51"/>
  <c r="DU240" i="51"/>
  <c r="DV240" i="51"/>
  <c r="DW240" i="51"/>
  <c r="DY240" i="51"/>
  <c r="DZ240" i="51"/>
  <c r="EA240" i="51"/>
  <c r="A122" i="56" l="1"/>
  <c r="O240" i="51"/>
  <c r="P240" i="51"/>
  <c r="Q240" i="51"/>
  <c r="I234" i="51"/>
  <c r="J234" i="51" s="1"/>
  <c r="O144" i="51"/>
  <c r="P144" i="51"/>
  <c r="Q144" i="51"/>
  <c r="DO240" i="51" l="1"/>
  <c r="A123" i="56"/>
  <c r="R236" i="51"/>
  <c r="R237" i="51"/>
  <c r="R235" i="51"/>
  <c r="R233" i="51"/>
  <c r="R232" i="51"/>
  <c r="R239" i="51"/>
  <c r="R238" i="51"/>
  <c r="R234" i="51"/>
  <c r="R143" i="51"/>
  <c r="R142" i="51"/>
  <c r="R141" i="51"/>
  <c r="R140" i="51"/>
  <c r="R139" i="51"/>
  <c r="R137" i="51"/>
  <c r="R136" i="51"/>
  <c r="R138" i="51"/>
  <c r="DR240" i="51"/>
  <c r="I233" i="51"/>
  <c r="J233" i="51" s="1"/>
  <c r="EA408" i="51"/>
  <c r="DZ408" i="51"/>
  <c r="DY408" i="51"/>
  <c r="DW408" i="51"/>
  <c r="DV408" i="51"/>
  <c r="DU408" i="51"/>
  <c r="DT408" i="51"/>
  <c r="N408" i="51"/>
  <c r="I407" i="51"/>
  <c r="J407" i="51" s="1"/>
  <c r="I406" i="51"/>
  <c r="J406" i="51" s="1"/>
  <c r="I405" i="51"/>
  <c r="J405" i="51" s="1"/>
  <c r="I404" i="51"/>
  <c r="J404" i="51" s="1"/>
  <c r="I403" i="51"/>
  <c r="J403" i="51" s="1"/>
  <c r="I401" i="51"/>
  <c r="J401" i="51" s="1"/>
  <c r="Q408" i="51"/>
  <c r="P408" i="51"/>
  <c r="O408" i="51"/>
  <c r="EA396" i="51"/>
  <c r="DZ396" i="51"/>
  <c r="DY396" i="51"/>
  <c r="DW396" i="51"/>
  <c r="DV396" i="51"/>
  <c r="DU396" i="51"/>
  <c r="DT396" i="51"/>
  <c r="N396" i="51"/>
  <c r="I395" i="51"/>
  <c r="J395" i="51" s="1"/>
  <c r="I394" i="51"/>
  <c r="J394" i="51" s="1"/>
  <c r="I393" i="51"/>
  <c r="J393" i="51" s="1"/>
  <c r="I392" i="51"/>
  <c r="J392" i="51" s="1"/>
  <c r="I391" i="51"/>
  <c r="J391" i="51" s="1"/>
  <c r="Q396" i="51"/>
  <c r="P396" i="51"/>
  <c r="O396" i="51"/>
  <c r="EA384" i="51"/>
  <c r="DZ384" i="51"/>
  <c r="DY384" i="51"/>
  <c r="DW384" i="51"/>
  <c r="DV384" i="51"/>
  <c r="DU384" i="51"/>
  <c r="DT384" i="51"/>
  <c r="N384" i="51"/>
  <c r="I383" i="51"/>
  <c r="J383" i="51" s="1"/>
  <c r="I382" i="51"/>
  <c r="J382" i="51" s="1"/>
  <c r="I381" i="51"/>
  <c r="J381" i="51" s="1"/>
  <c r="I380" i="51"/>
  <c r="J380" i="51" s="1"/>
  <c r="I379" i="51"/>
  <c r="J379" i="51" s="1"/>
  <c r="Q384" i="51"/>
  <c r="P384" i="51"/>
  <c r="O384" i="51"/>
  <c r="EA372" i="51"/>
  <c r="DZ372" i="51"/>
  <c r="DY372" i="51"/>
  <c r="DW372" i="51"/>
  <c r="DV372" i="51"/>
  <c r="DU372" i="51"/>
  <c r="DT372" i="51"/>
  <c r="N372" i="51"/>
  <c r="I371" i="51"/>
  <c r="J371" i="51" s="1"/>
  <c r="I370" i="51"/>
  <c r="J370" i="51" s="1"/>
  <c r="I369" i="51"/>
  <c r="J369" i="51" s="1"/>
  <c r="I368" i="51"/>
  <c r="J368" i="51" s="1"/>
  <c r="I367" i="51"/>
  <c r="J367" i="51" s="1"/>
  <c r="Q372" i="51"/>
  <c r="P372" i="51"/>
  <c r="O372" i="51"/>
  <c r="EA360" i="51"/>
  <c r="DZ360" i="51"/>
  <c r="DY360" i="51"/>
  <c r="DW360" i="51"/>
  <c r="DV360" i="51"/>
  <c r="DU360" i="51"/>
  <c r="DT360" i="51"/>
  <c r="N360" i="51"/>
  <c r="I359" i="51"/>
  <c r="J359" i="51" s="1"/>
  <c r="I358" i="51"/>
  <c r="J358" i="51" s="1"/>
  <c r="I357" i="51"/>
  <c r="J357" i="51" s="1"/>
  <c r="I356" i="51"/>
  <c r="J356" i="51" s="1"/>
  <c r="I355" i="51"/>
  <c r="J355" i="51" s="1"/>
  <c r="Q360" i="51"/>
  <c r="P360" i="51"/>
  <c r="O360" i="51"/>
  <c r="EA348" i="51"/>
  <c r="DZ348" i="51"/>
  <c r="DY348" i="51"/>
  <c r="DW348" i="51"/>
  <c r="DV348" i="51"/>
  <c r="DU348" i="51"/>
  <c r="DT348" i="51"/>
  <c r="N348" i="51"/>
  <c r="I347" i="51"/>
  <c r="J347" i="51" s="1"/>
  <c r="I346" i="51"/>
  <c r="J346" i="51" s="1"/>
  <c r="I345" i="51"/>
  <c r="J345" i="51" s="1"/>
  <c r="I344" i="51"/>
  <c r="J344" i="51" s="1"/>
  <c r="I343" i="51"/>
  <c r="J343" i="51" s="1"/>
  <c r="Q348" i="51"/>
  <c r="P348" i="51"/>
  <c r="O348" i="51"/>
  <c r="EA336" i="51"/>
  <c r="DZ336" i="51"/>
  <c r="DY336" i="51"/>
  <c r="DW336" i="51"/>
  <c r="DV336" i="51"/>
  <c r="DU336" i="51"/>
  <c r="DT336" i="51"/>
  <c r="N336" i="51"/>
  <c r="I335" i="51"/>
  <c r="J335" i="51" s="1"/>
  <c r="I334" i="51"/>
  <c r="J334" i="51" s="1"/>
  <c r="I333" i="51"/>
  <c r="J333" i="51" s="1"/>
  <c r="I332" i="51"/>
  <c r="J332" i="51" s="1"/>
  <c r="I331" i="51"/>
  <c r="J331" i="51" s="1"/>
  <c r="Q336" i="51"/>
  <c r="P336" i="51"/>
  <c r="O336" i="51"/>
  <c r="EA324" i="51"/>
  <c r="DZ324" i="51"/>
  <c r="DY324" i="51"/>
  <c r="DW324" i="51"/>
  <c r="DV324" i="51"/>
  <c r="DU324" i="51"/>
  <c r="DT324" i="51"/>
  <c r="N324" i="51"/>
  <c r="I323" i="51"/>
  <c r="J323" i="51" s="1"/>
  <c r="I322" i="51"/>
  <c r="J322" i="51" s="1"/>
  <c r="I321" i="51"/>
  <c r="J321" i="51" s="1"/>
  <c r="I320" i="51"/>
  <c r="J320" i="51" s="1"/>
  <c r="I319" i="51"/>
  <c r="J319" i="51" s="1"/>
  <c r="Q324" i="51"/>
  <c r="P324" i="51"/>
  <c r="O324" i="51"/>
  <c r="EA312" i="51"/>
  <c r="DZ312" i="51"/>
  <c r="DY312" i="51"/>
  <c r="DW312" i="51"/>
  <c r="DV312" i="51"/>
  <c r="DU312" i="51"/>
  <c r="DT312" i="51"/>
  <c r="N312" i="51"/>
  <c r="I311" i="51"/>
  <c r="J311" i="51" s="1"/>
  <c r="I310" i="51"/>
  <c r="J310" i="51" s="1"/>
  <c r="I309" i="51"/>
  <c r="J309" i="51" s="1"/>
  <c r="I308" i="51"/>
  <c r="J308" i="51" s="1"/>
  <c r="I307" i="51"/>
  <c r="J307" i="51" s="1"/>
  <c r="Q312" i="51"/>
  <c r="P312" i="51"/>
  <c r="O312" i="51"/>
  <c r="DT84" i="51"/>
  <c r="I366" i="51" l="1"/>
  <c r="J366" i="51" s="1"/>
  <c r="I342" i="51"/>
  <c r="J342" i="51" s="1"/>
  <c r="I330" i="51"/>
  <c r="J330" i="51" s="1"/>
  <c r="I318" i="51"/>
  <c r="J318" i="51" s="1"/>
  <c r="I306" i="51"/>
  <c r="J306" i="51" s="1"/>
  <c r="A124" i="56"/>
  <c r="R144" i="51"/>
  <c r="R404" i="51"/>
  <c r="R405" i="51"/>
  <c r="R403" i="51"/>
  <c r="R402" i="51"/>
  <c r="R401" i="51"/>
  <c r="R400" i="51"/>
  <c r="R407" i="51"/>
  <c r="R406" i="51"/>
  <c r="R395" i="51"/>
  <c r="R394" i="51"/>
  <c r="R393" i="51"/>
  <c r="R392" i="51"/>
  <c r="R391" i="51"/>
  <c r="R390" i="51"/>
  <c r="R389" i="51"/>
  <c r="R388" i="51"/>
  <c r="R380" i="51"/>
  <c r="R379" i="51"/>
  <c r="R378" i="51"/>
  <c r="R381" i="51"/>
  <c r="R377" i="51"/>
  <c r="R376" i="51"/>
  <c r="R383" i="51"/>
  <c r="R382" i="51"/>
  <c r="R371" i="51"/>
  <c r="R370" i="51"/>
  <c r="R369" i="51"/>
  <c r="R368" i="51"/>
  <c r="R367" i="51"/>
  <c r="R366" i="51"/>
  <c r="R365" i="51"/>
  <c r="R364" i="51"/>
  <c r="R356" i="51"/>
  <c r="R355" i="51"/>
  <c r="R354" i="51"/>
  <c r="R353" i="51"/>
  <c r="R352" i="51"/>
  <c r="R357" i="51"/>
  <c r="R359" i="51"/>
  <c r="R358" i="51"/>
  <c r="R347" i="51"/>
  <c r="R346" i="51"/>
  <c r="R345" i="51"/>
  <c r="R344" i="51"/>
  <c r="R343" i="51"/>
  <c r="R342" i="51"/>
  <c r="R341" i="51"/>
  <c r="R340" i="51"/>
  <c r="R332" i="51"/>
  <c r="R331" i="51"/>
  <c r="R330" i="51"/>
  <c r="R329" i="51"/>
  <c r="R328" i="51"/>
  <c r="R335" i="51"/>
  <c r="R333" i="51"/>
  <c r="R334" i="51"/>
  <c r="R323" i="51"/>
  <c r="R322" i="51"/>
  <c r="R321" i="51"/>
  <c r="R320" i="51"/>
  <c r="R319" i="51"/>
  <c r="R318" i="51"/>
  <c r="R317" i="51"/>
  <c r="R316" i="51"/>
  <c r="R240" i="51"/>
  <c r="R308" i="51"/>
  <c r="R307" i="51"/>
  <c r="R305" i="51"/>
  <c r="R304" i="51"/>
  <c r="R311" i="51"/>
  <c r="R310" i="51"/>
  <c r="R309" i="51"/>
  <c r="R306" i="51"/>
  <c r="I317" i="51"/>
  <c r="J317" i="51" s="1"/>
  <c r="DR408" i="51"/>
  <c r="I389" i="51"/>
  <c r="J389" i="51" s="1"/>
  <c r="DR396" i="51"/>
  <c r="I377" i="51"/>
  <c r="J377" i="51" s="1"/>
  <c r="DR384" i="51"/>
  <c r="DR372" i="51"/>
  <c r="I365" i="51"/>
  <c r="J365" i="51" s="1"/>
  <c r="DR360" i="51"/>
  <c r="I353" i="51"/>
  <c r="J353" i="51" s="1"/>
  <c r="I354" i="51"/>
  <c r="J354" i="51" s="1"/>
  <c r="I341" i="51"/>
  <c r="J341" i="51" s="1"/>
  <c r="DR348" i="51"/>
  <c r="I329" i="51"/>
  <c r="J329" i="51" s="1"/>
  <c r="DR336" i="51"/>
  <c r="DP89" i="51"/>
  <c r="DP90" i="51"/>
  <c r="DP91" i="51"/>
  <c r="DP92" i="51"/>
  <c r="DP93" i="51"/>
  <c r="DP94" i="51"/>
  <c r="DP95" i="51"/>
  <c r="DP88" i="51"/>
  <c r="EA96" i="51"/>
  <c r="DZ96" i="51"/>
  <c r="DY96" i="51"/>
  <c r="DW96" i="51"/>
  <c r="DV96" i="51"/>
  <c r="DU96" i="51"/>
  <c r="DT96" i="51"/>
  <c r="DS96" i="51"/>
  <c r="DR96" i="51"/>
  <c r="N96" i="51"/>
  <c r="I95" i="51"/>
  <c r="J95" i="51" s="1"/>
  <c r="I94" i="51"/>
  <c r="J94" i="51" s="1"/>
  <c r="I93" i="51"/>
  <c r="J93" i="51" s="1"/>
  <c r="I92" i="51"/>
  <c r="J92" i="51" s="1"/>
  <c r="I91" i="51"/>
  <c r="J91" i="51" s="1"/>
  <c r="I90" i="51"/>
  <c r="J90" i="51" s="1"/>
  <c r="I89" i="51"/>
  <c r="J89" i="51" s="1"/>
  <c r="I88" i="51"/>
  <c r="J88" i="51" s="1"/>
  <c r="DN72" i="51"/>
  <c r="DM72" i="51"/>
  <c r="BM72" i="51"/>
  <c r="BL72" i="51"/>
  <c r="BK72" i="51"/>
  <c r="BJ72" i="51"/>
  <c r="BI72" i="51"/>
  <c r="BH72" i="51"/>
  <c r="BG72" i="51"/>
  <c r="BF72" i="51"/>
  <c r="BE72" i="51"/>
  <c r="BD72" i="51"/>
  <c r="BC72" i="51"/>
  <c r="BB72" i="51"/>
  <c r="BA72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I72" i="51"/>
  <c r="AH72" i="51"/>
  <c r="AG72" i="51"/>
  <c r="AF72" i="51"/>
  <c r="AE72" i="51"/>
  <c r="AD72" i="51"/>
  <c r="AC72" i="51"/>
  <c r="AB72" i="51"/>
  <c r="AA72" i="51"/>
  <c r="Z72" i="51"/>
  <c r="Y72" i="51"/>
  <c r="X72" i="51"/>
  <c r="W72" i="51"/>
  <c r="V72" i="51"/>
  <c r="U72" i="51"/>
  <c r="T72" i="51"/>
  <c r="DO372" i="51" l="1"/>
  <c r="DO360" i="51"/>
  <c r="DO348" i="51"/>
  <c r="DO336" i="51"/>
  <c r="DO324" i="51"/>
  <c r="DO312" i="51"/>
  <c r="A125" i="56"/>
  <c r="R348" i="51"/>
  <c r="R324" i="51"/>
  <c r="R372" i="51"/>
  <c r="R360" i="51"/>
  <c r="R396" i="51"/>
  <c r="R384" i="51"/>
  <c r="R408" i="51"/>
  <c r="R312" i="51"/>
  <c r="R336" i="51"/>
  <c r="DO96" i="51"/>
  <c r="I96" i="51"/>
  <c r="DR324" i="51"/>
  <c r="DR312" i="51"/>
  <c r="I305" i="51"/>
  <c r="J305" i="51" s="1"/>
  <c r="O96" i="51"/>
  <c r="P96" i="51"/>
  <c r="DP77" i="51"/>
  <c r="DP78" i="51"/>
  <c r="DP79" i="51"/>
  <c r="DP80" i="51"/>
  <c r="DP81" i="51"/>
  <c r="DP82" i="51"/>
  <c r="DP83" i="51"/>
  <c r="DP76" i="51"/>
  <c r="N84" i="51"/>
  <c r="DU84" i="51"/>
  <c r="DV84" i="51"/>
  <c r="DW84" i="51"/>
  <c r="DY84" i="51"/>
  <c r="DZ84" i="51"/>
  <c r="EA84" i="51"/>
  <c r="EA300" i="51"/>
  <c r="DZ300" i="51"/>
  <c r="DY300" i="51"/>
  <c r="DW300" i="51"/>
  <c r="DV300" i="51"/>
  <c r="DU300" i="51"/>
  <c r="DT300" i="51"/>
  <c r="N300" i="51"/>
  <c r="I299" i="51"/>
  <c r="J299" i="51" s="1"/>
  <c r="I298" i="51"/>
  <c r="J298" i="51" s="1"/>
  <c r="I297" i="51"/>
  <c r="J297" i="51" s="1"/>
  <c r="I296" i="51"/>
  <c r="J296" i="51" s="1"/>
  <c r="I295" i="51"/>
  <c r="J295" i="51" s="1"/>
  <c r="P300" i="51"/>
  <c r="O300" i="51"/>
  <c r="EA288" i="51"/>
  <c r="DZ288" i="51"/>
  <c r="DY288" i="51"/>
  <c r="DW288" i="51"/>
  <c r="DV288" i="51"/>
  <c r="DU288" i="51"/>
  <c r="DT288" i="51"/>
  <c r="N288" i="51"/>
  <c r="I287" i="51"/>
  <c r="J287" i="51" s="1"/>
  <c r="I286" i="51"/>
  <c r="J286" i="51" s="1"/>
  <c r="I285" i="51"/>
  <c r="J285" i="51" s="1"/>
  <c r="I284" i="51"/>
  <c r="J284" i="51" s="1"/>
  <c r="I283" i="51"/>
  <c r="J283" i="51" s="1"/>
  <c r="P288" i="51"/>
  <c r="O288" i="51"/>
  <c r="DV276" i="51"/>
  <c r="DU276" i="51"/>
  <c r="DT276" i="51"/>
  <c r="N276" i="51"/>
  <c r="I275" i="51"/>
  <c r="J275" i="51" s="1"/>
  <c r="I274" i="51"/>
  <c r="J274" i="51" s="1"/>
  <c r="I273" i="51"/>
  <c r="J273" i="51" s="1"/>
  <c r="I272" i="51"/>
  <c r="J272" i="51" s="1"/>
  <c r="I271" i="51"/>
  <c r="J271" i="51" s="1"/>
  <c r="P276" i="51"/>
  <c r="O276" i="51"/>
  <c r="EA264" i="51"/>
  <c r="DZ264" i="51"/>
  <c r="DW264" i="51"/>
  <c r="DV264" i="51"/>
  <c r="DU264" i="51"/>
  <c r="DT264" i="51"/>
  <c r="N264" i="51"/>
  <c r="I263" i="51"/>
  <c r="J263" i="51" s="1"/>
  <c r="I262" i="51"/>
  <c r="J262" i="51" s="1"/>
  <c r="I261" i="51"/>
  <c r="J261" i="51" s="1"/>
  <c r="I260" i="51"/>
  <c r="J260" i="51" s="1"/>
  <c r="I259" i="51"/>
  <c r="J259" i="51" s="1"/>
  <c r="P264" i="51"/>
  <c r="O264" i="51"/>
  <c r="EA252" i="51"/>
  <c r="DZ252" i="51"/>
  <c r="DW252" i="51"/>
  <c r="DV252" i="51"/>
  <c r="DU252" i="51"/>
  <c r="DT252" i="51"/>
  <c r="N252" i="51"/>
  <c r="I251" i="51"/>
  <c r="J251" i="51" s="1"/>
  <c r="I250" i="51"/>
  <c r="J250" i="51" s="1"/>
  <c r="I249" i="51"/>
  <c r="J249" i="51" s="1"/>
  <c r="I248" i="51"/>
  <c r="J248" i="51" s="1"/>
  <c r="I247" i="51"/>
  <c r="J247" i="51" s="1"/>
  <c r="P252" i="51"/>
  <c r="O252" i="51"/>
  <c r="EA228" i="51"/>
  <c r="DZ228" i="51"/>
  <c r="DY228" i="51"/>
  <c r="DW228" i="51"/>
  <c r="DV228" i="51"/>
  <c r="DU228" i="51"/>
  <c r="DT228" i="51"/>
  <c r="N228" i="51"/>
  <c r="I227" i="51"/>
  <c r="J227" i="51" s="1"/>
  <c r="I226" i="51"/>
  <c r="J226" i="51" s="1"/>
  <c r="I225" i="51"/>
  <c r="J225" i="51" s="1"/>
  <c r="I224" i="51"/>
  <c r="J224" i="51" s="1"/>
  <c r="I223" i="51"/>
  <c r="J223" i="51" s="1"/>
  <c r="P228" i="51"/>
  <c r="O228" i="51"/>
  <c r="EA216" i="51"/>
  <c r="DZ216" i="51"/>
  <c r="DY216" i="51"/>
  <c r="DW216" i="51"/>
  <c r="DV216" i="51"/>
  <c r="DU216" i="51"/>
  <c r="DT216" i="51"/>
  <c r="N216" i="51"/>
  <c r="I215" i="51"/>
  <c r="J215" i="51" s="1"/>
  <c r="I214" i="51"/>
  <c r="J214" i="51" s="1"/>
  <c r="I213" i="51"/>
  <c r="J213" i="51" s="1"/>
  <c r="I212" i="51"/>
  <c r="J212" i="51" s="1"/>
  <c r="I211" i="51"/>
  <c r="J211" i="51" s="1"/>
  <c r="P216" i="51"/>
  <c r="O216" i="51"/>
  <c r="EA204" i="51"/>
  <c r="DZ204" i="51"/>
  <c r="DY204" i="51"/>
  <c r="DW204" i="51"/>
  <c r="DV204" i="51"/>
  <c r="DU204" i="51"/>
  <c r="DT204" i="51"/>
  <c r="N204" i="51"/>
  <c r="I203" i="51"/>
  <c r="J203" i="51" s="1"/>
  <c r="I202" i="51"/>
  <c r="J202" i="51" s="1"/>
  <c r="I201" i="51"/>
  <c r="J201" i="51" s="1"/>
  <c r="I200" i="51"/>
  <c r="J200" i="51" s="1"/>
  <c r="I199" i="51"/>
  <c r="J199" i="51" s="1"/>
  <c r="P204" i="51"/>
  <c r="O204" i="51"/>
  <c r="EA192" i="51"/>
  <c r="DZ192" i="51"/>
  <c r="DY192" i="51"/>
  <c r="DW192" i="51"/>
  <c r="DV192" i="51"/>
  <c r="DU192" i="51"/>
  <c r="DT192" i="51"/>
  <c r="N192" i="51"/>
  <c r="I191" i="51"/>
  <c r="J191" i="51" s="1"/>
  <c r="I190" i="51"/>
  <c r="J190" i="51" s="1"/>
  <c r="I189" i="51"/>
  <c r="J189" i="51" s="1"/>
  <c r="I188" i="51"/>
  <c r="J188" i="51" s="1"/>
  <c r="I187" i="51"/>
  <c r="J187" i="51" s="1"/>
  <c r="EA180" i="51"/>
  <c r="DZ180" i="51"/>
  <c r="DY180" i="51"/>
  <c r="DW180" i="51"/>
  <c r="DV180" i="51"/>
  <c r="DU180" i="51"/>
  <c r="DT180" i="51"/>
  <c r="N180" i="51"/>
  <c r="I179" i="51"/>
  <c r="J179" i="51" s="1"/>
  <c r="I178" i="51"/>
  <c r="J178" i="51" s="1"/>
  <c r="I177" i="51"/>
  <c r="J177" i="51" s="1"/>
  <c r="I176" i="51"/>
  <c r="J176" i="51" s="1"/>
  <c r="I175" i="51"/>
  <c r="J175" i="51" s="1"/>
  <c r="P180" i="51"/>
  <c r="O180" i="51"/>
  <c r="EA168" i="51"/>
  <c r="DZ168" i="51"/>
  <c r="DY168" i="51"/>
  <c r="DW168" i="51"/>
  <c r="DV168" i="51"/>
  <c r="DU168" i="51"/>
  <c r="DT168" i="51"/>
  <c r="N168" i="51"/>
  <c r="I167" i="51"/>
  <c r="J167" i="51" s="1"/>
  <c r="I166" i="51"/>
  <c r="J166" i="51" s="1"/>
  <c r="I165" i="51"/>
  <c r="J165" i="51" s="1"/>
  <c r="I164" i="51"/>
  <c r="J164" i="51" s="1"/>
  <c r="I163" i="51"/>
  <c r="J163" i="51" s="1"/>
  <c r="P168" i="51"/>
  <c r="O168" i="51"/>
  <c r="EA156" i="51"/>
  <c r="DZ156" i="51"/>
  <c r="DY156" i="51"/>
  <c r="DW156" i="51"/>
  <c r="DV156" i="51"/>
  <c r="DU156" i="51"/>
  <c r="DT156" i="51"/>
  <c r="N156" i="51"/>
  <c r="I155" i="51"/>
  <c r="J155" i="51" s="1"/>
  <c r="I154" i="51"/>
  <c r="J154" i="51" s="1"/>
  <c r="I153" i="51"/>
  <c r="J153" i="51" s="1"/>
  <c r="I152" i="51"/>
  <c r="J152" i="51" s="1"/>
  <c r="I151" i="51"/>
  <c r="J151" i="51" s="1"/>
  <c r="P156" i="51"/>
  <c r="O156" i="51"/>
  <c r="EA144" i="51"/>
  <c r="DZ144" i="51"/>
  <c r="DY144" i="51"/>
  <c r="DW144" i="51"/>
  <c r="DV144" i="51"/>
  <c r="DU144" i="51"/>
  <c r="DT144" i="51"/>
  <c r="N144" i="51"/>
  <c r="I143" i="51"/>
  <c r="J143" i="51" s="1"/>
  <c r="I142" i="51"/>
  <c r="J142" i="51" s="1"/>
  <c r="I141" i="51"/>
  <c r="J141" i="51" s="1"/>
  <c r="I140" i="51"/>
  <c r="J140" i="51" s="1"/>
  <c r="I139" i="51"/>
  <c r="J139" i="51" s="1"/>
  <c r="EA132" i="51"/>
  <c r="DZ132" i="51"/>
  <c r="DY132" i="51"/>
  <c r="DW132" i="51"/>
  <c r="DV132" i="51"/>
  <c r="DU132" i="51"/>
  <c r="DT132" i="51"/>
  <c r="N132" i="51"/>
  <c r="I131" i="51"/>
  <c r="J131" i="51" s="1"/>
  <c r="I130" i="51"/>
  <c r="J130" i="51" s="1"/>
  <c r="I129" i="51"/>
  <c r="J129" i="51" s="1"/>
  <c r="I128" i="51"/>
  <c r="J128" i="51" s="1"/>
  <c r="I127" i="51"/>
  <c r="J127" i="51" s="1"/>
  <c r="P132" i="51"/>
  <c r="O132" i="51"/>
  <c r="EA120" i="51"/>
  <c r="DZ120" i="51"/>
  <c r="DY120" i="51"/>
  <c r="DW120" i="51"/>
  <c r="DV120" i="51"/>
  <c r="DU120" i="51"/>
  <c r="DT120" i="51"/>
  <c r="N120" i="51"/>
  <c r="I119" i="51"/>
  <c r="J119" i="51" s="1"/>
  <c r="I118" i="51"/>
  <c r="J118" i="51" s="1"/>
  <c r="I117" i="51"/>
  <c r="J117" i="51" s="1"/>
  <c r="I116" i="51"/>
  <c r="J116" i="51" s="1"/>
  <c r="I115" i="51"/>
  <c r="J115" i="51" s="1"/>
  <c r="EA108" i="51"/>
  <c r="DZ108" i="51"/>
  <c r="DY108" i="51"/>
  <c r="DW108" i="51"/>
  <c r="DV108" i="51"/>
  <c r="DU108" i="51"/>
  <c r="DT108" i="51"/>
  <c r="N108" i="51"/>
  <c r="I107" i="51"/>
  <c r="J107" i="51" s="1"/>
  <c r="I106" i="51"/>
  <c r="J106" i="51" s="1"/>
  <c r="I105" i="51"/>
  <c r="J105" i="51" s="1"/>
  <c r="I104" i="51"/>
  <c r="J104" i="51" s="1"/>
  <c r="I103" i="51"/>
  <c r="J103" i="51" s="1"/>
  <c r="P108" i="51"/>
  <c r="O108" i="51"/>
  <c r="I83" i="51"/>
  <c r="J83" i="51" s="1"/>
  <c r="I82" i="51"/>
  <c r="J82" i="51" s="1"/>
  <c r="I81" i="51"/>
  <c r="J81" i="51" s="1"/>
  <c r="I80" i="51"/>
  <c r="J80" i="51" s="1"/>
  <c r="I79" i="51"/>
  <c r="J79" i="51" s="1"/>
  <c r="I281" i="51" l="1"/>
  <c r="J281" i="51" s="1"/>
  <c r="I258" i="51"/>
  <c r="J258" i="51" s="1"/>
  <c r="A126" i="56"/>
  <c r="R94" i="51"/>
  <c r="R95" i="51"/>
  <c r="R93" i="51"/>
  <c r="R92" i="51"/>
  <c r="R91" i="51"/>
  <c r="R89" i="51"/>
  <c r="R88" i="51"/>
  <c r="R90" i="51"/>
  <c r="R107" i="51"/>
  <c r="R106" i="51"/>
  <c r="R105" i="51"/>
  <c r="R104" i="51"/>
  <c r="R103" i="51"/>
  <c r="R102" i="51"/>
  <c r="R101" i="51"/>
  <c r="R100" i="51"/>
  <c r="DO84" i="51"/>
  <c r="DO144" i="51"/>
  <c r="O192" i="51"/>
  <c r="P192" i="51"/>
  <c r="O120" i="51"/>
  <c r="P120" i="51"/>
  <c r="O84" i="51"/>
  <c r="P84" i="51"/>
  <c r="I221" i="51"/>
  <c r="J221" i="51" s="1"/>
  <c r="I294" i="51"/>
  <c r="J294" i="51" s="1"/>
  <c r="Q300" i="51"/>
  <c r="Q288" i="51"/>
  <c r="I270" i="51"/>
  <c r="J270" i="51" s="1"/>
  <c r="Q276" i="51"/>
  <c r="I257" i="51"/>
  <c r="J257" i="51" s="1"/>
  <c r="DR264" i="51"/>
  <c r="Q264" i="51"/>
  <c r="I246" i="51"/>
  <c r="J246" i="51" s="1"/>
  <c r="Q252" i="51"/>
  <c r="I222" i="51"/>
  <c r="J222" i="51" s="1"/>
  <c r="Q228" i="51"/>
  <c r="I210" i="51"/>
  <c r="J210" i="51" s="1"/>
  <c r="Q216" i="51"/>
  <c r="I198" i="51"/>
  <c r="J198" i="51" s="1"/>
  <c r="Q204" i="51"/>
  <c r="I186" i="51"/>
  <c r="J186" i="51" s="1"/>
  <c r="Q192" i="51"/>
  <c r="I173" i="51"/>
  <c r="J173" i="51" s="1"/>
  <c r="I174" i="51"/>
  <c r="J174" i="51" s="1"/>
  <c r="Q180" i="51"/>
  <c r="I162" i="51"/>
  <c r="J162" i="51" s="1"/>
  <c r="Q168" i="51"/>
  <c r="I150" i="51"/>
  <c r="J150" i="51" s="1"/>
  <c r="Q156" i="51"/>
  <c r="I138" i="51"/>
  <c r="J138" i="51" s="1"/>
  <c r="I126" i="51"/>
  <c r="J126" i="51" s="1"/>
  <c r="Q132" i="51"/>
  <c r="I114" i="51"/>
  <c r="J114" i="51" s="1"/>
  <c r="Q120" i="51"/>
  <c r="I102" i="51"/>
  <c r="J102" i="51" s="1"/>
  <c r="DO300" i="51" l="1"/>
  <c r="DO276" i="51"/>
  <c r="DO264" i="51"/>
  <c r="DO228" i="51"/>
  <c r="DO204" i="51"/>
  <c r="DO180" i="51"/>
  <c r="DO168" i="51"/>
  <c r="DO132" i="51"/>
  <c r="DO120" i="51"/>
  <c r="DO108" i="51"/>
  <c r="A127" i="56"/>
  <c r="DO288" i="51"/>
  <c r="R227" i="51"/>
  <c r="R226" i="51"/>
  <c r="R225" i="51"/>
  <c r="R224" i="51"/>
  <c r="R223" i="51"/>
  <c r="R222" i="51"/>
  <c r="R221" i="51"/>
  <c r="R220" i="51"/>
  <c r="R251" i="51"/>
  <c r="R250" i="51"/>
  <c r="R249" i="51"/>
  <c r="R248" i="51"/>
  <c r="R247" i="51"/>
  <c r="R246" i="51"/>
  <c r="R245" i="51"/>
  <c r="R244" i="51"/>
  <c r="R96" i="51"/>
  <c r="R167" i="51"/>
  <c r="R166" i="51"/>
  <c r="R165" i="51"/>
  <c r="R164" i="51"/>
  <c r="R163" i="51"/>
  <c r="R161" i="51"/>
  <c r="R160" i="51"/>
  <c r="R162" i="51"/>
  <c r="R177" i="51"/>
  <c r="R176" i="51"/>
  <c r="R175" i="51"/>
  <c r="R178" i="51"/>
  <c r="R174" i="51"/>
  <c r="R173" i="51"/>
  <c r="R172" i="51"/>
  <c r="R179" i="51"/>
  <c r="R299" i="51"/>
  <c r="R298" i="51"/>
  <c r="R297" i="51"/>
  <c r="R296" i="51"/>
  <c r="R295" i="51"/>
  <c r="R294" i="51"/>
  <c r="R293" i="51"/>
  <c r="R292" i="51"/>
  <c r="R275" i="51"/>
  <c r="R274" i="51"/>
  <c r="R273" i="51"/>
  <c r="R272" i="51"/>
  <c r="R271" i="51"/>
  <c r="R270" i="51"/>
  <c r="R269" i="51"/>
  <c r="R268" i="51"/>
  <c r="R153" i="51"/>
  <c r="R152" i="51"/>
  <c r="R151" i="51"/>
  <c r="R150" i="51"/>
  <c r="R149" i="51"/>
  <c r="R148" i="51"/>
  <c r="R154" i="51"/>
  <c r="R155" i="51"/>
  <c r="R191" i="51"/>
  <c r="R190" i="51"/>
  <c r="R189" i="51"/>
  <c r="R188" i="51"/>
  <c r="R187" i="51"/>
  <c r="R185" i="51"/>
  <c r="R184" i="51"/>
  <c r="R186" i="51"/>
  <c r="R83" i="51"/>
  <c r="R82" i="51"/>
  <c r="R81" i="51"/>
  <c r="R80" i="51"/>
  <c r="R79" i="51"/>
  <c r="R78" i="51"/>
  <c r="R77" i="51"/>
  <c r="R76" i="51"/>
  <c r="R108" i="51"/>
  <c r="R260" i="51"/>
  <c r="R259" i="51"/>
  <c r="R257" i="51"/>
  <c r="R256" i="51"/>
  <c r="R261" i="51"/>
  <c r="R263" i="51"/>
  <c r="R262" i="51"/>
  <c r="R258" i="51"/>
  <c r="R118" i="51"/>
  <c r="R117" i="51"/>
  <c r="R116" i="51"/>
  <c r="R115" i="51"/>
  <c r="R113" i="51"/>
  <c r="R112" i="51"/>
  <c r="R119" i="51"/>
  <c r="R114" i="51"/>
  <c r="R200" i="51"/>
  <c r="R199" i="51"/>
  <c r="R198" i="51"/>
  <c r="R197" i="51"/>
  <c r="R196" i="51"/>
  <c r="R201" i="51"/>
  <c r="R203" i="51"/>
  <c r="R202" i="51"/>
  <c r="R284" i="51"/>
  <c r="R283" i="51"/>
  <c r="R285" i="51"/>
  <c r="R281" i="51"/>
  <c r="R280" i="51"/>
  <c r="R287" i="51"/>
  <c r="R286" i="51"/>
  <c r="R282" i="51"/>
  <c r="R124" i="51"/>
  <c r="R125" i="51"/>
  <c r="R126" i="51"/>
  <c r="R127" i="51"/>
  <c r="R128" i="51"/>
  <c r="R129" i="51"/>
  <c r="R130" i="51"/>
  <c r="R131" i="51"/>
  <c r="R210" i="51"/>
  <c r="R211" i="51"/>
  <c r="R215" i="51"/>
  <c r="R212" i="51"/>
  <c r="R213" i="51"/>
  <c r="R208" i="51"/>
  <c r="R214" i="51"/>
  <c r="R209" i="51"/>
  <c r="DO156" i="51"/>
  <c r="DO252" i="51"/>
  <c r="DO216" i="51"/>
  <c r="DO192" i="51"/>
  <c r="I269" i="51"/>
  <c r="J269" i="51" s="1"/>
  <c r="DR228" i="51"/>
  <c r="I293" i="51"/>
  <c r="J293" i="51" s="1"/>
  <c r="DR300" i="51"/>
  <c r="DR276" i="51"/>
  <c r="I197" i="51"/>
  <c r="J197" i="51" s="1"/>
  <c r="DR204" i="51"/>
  <c r="DR180" i="51"/>
  <c r="I161" i="51"/>
  <c r="J161" i="51" s="1"/>
  <c r="DR168" i="51"/>
  <c r="I137" i="51"/>
  <c r="J137" i="51" s="1"/>
  <c r="DR144" i="51"/>
  <c r="I125" i="51"/>
  <c r="J125" i="51" s="1"/>
  <c r="DR132" i="51"/>
  <c r="I113" i="51"/>
  <c r="J113" i="51" s="1"/>
  <c r="DR120" i="51"/>
  <c r="I101" i="51"/>
  <c r="J101" i="51" s="1"/>
  <c r="DR108" i="51"/>
  <c r="EA72" i="51"/>
  <c r="DZ72" i="51"/>
  <c r="DY72" i="51"/>
  <c r="DW72" i="51"/>
  <c r="DV72" i="51"/>
  <c r="DU72" i="51"/>
  <c r="DT72" i="51"/>
  <c r="S72" i="51"/>
  <c r="N72" i="51"/>
  <c r="I66" i="51"/>
  <c r="J66" i="51" s="1"/>
  <c r="I67" i="51"/>
  <c r="J67" i="51" s="1"/>
  <c r="I69" i="51"/>
  <c r="J69" i="51" s="1"/>
  <c r="I70" i="51"/>
  <c r="J70" i="51" s="1"/>
  <c r="I71" i="51"/>
  <c r="J71" i="51" s="1"/>
  <c r="DP71" i="51"/>
  <c r="DP70" i="51"/>
  <c r="DP69" i="51"/>
  <c r="DP67" i="51"/>
  <c r="DP66" i="51"/>
  <c r="DP65" i="51"/>
  <c r="DP64" i="51"/>
  <c r="A128" i="56" l="1"/>
  <c r="R192" i="51"/>
  <c r="R300" i="51"/>
  <c r="R276" i="51"/>
  <c r="R252" i="51"/>
  <c r="R180" i="51"/>
  <c r="R264" i="51"/>
  <c r="R120" i="51"/>
  <c r="R204" i="51"/>
  <c r="R216" i="51"/>
  <c r="R288" i="51"/>
  <c r="R228" i="51"/>
  <c r="R84" i="51"/>
  <c r="R168" i="51"/>
  <c r="R156" i="51"/>
  <c r="R132" i="51"/>
  <c r="P72" i="51"/>
  <c r="Q72" i="51"/>
  <c r="R68" i="51" s="1"/>
  <c r="O72" i="51"/>
  <c r="I282" i="51"/>
  <c r="J282" i="51" s="1"/>
  <c r="DR288" i="51"/>
  <c r="I245" i="51"/>
  <c r="J245" i="51" s="1"/>
  <c r="DR252" i="51"/>
  <c r="I209" i="51"/>
  <c r="J209" i="51" s="1"/>
  <c r="DR216" i="51"/>
  <c r="I185" i="51"/>
  <c r="J185" i="51" s="1"/>
  <c r="DR192" i="51"/>
  <c r="I149" i="51"/>
  <c r="J149" i="51" s="1"/>
  <c r="DR156" i="51"/>
  <c r="A129" i="56" l="1"/>
  <c r="R65" i="51"/>
  <c r="R67" i="51"/>
  <c r="R66" i="51"/>
  <c r="R71" i="51"/>
  <c r="R69" i="51"/>
  <c r="R64" i="51"/>
  <c r="R70" i="51"/>
  <c r="A130" i="56" l="1"/>
  <c r="R72" i="51"/>
  <c r="A131" i="56" l="1"/>
  <c r="V45" i="52"/>
  <c r="A132" i="56" l="1"/>
  <c r="B54" i="70"/>
  <c r="B55" i="70"/>
  <c r="B39" i="70"/>
  <c r="B40" i="70"/>
  <c r="B41" i="70"/>
  <c r="B42" i="70"/>
  <c r="B43" i="70"/>
  <c r="B44" i="70"/>
  <c r="B45" i="70"/>
  <c r="B46" i="70"/>
  <c r="B47" i="70"/>
  <c r="B48" i="70"/>
  <c r="B49" i="70"/>
  <c r="B50" i="70"/>
  <c r="B51" i="70"/>
  <c r="B52" i="70"/>
  <c r="B53" i="70"/>
  <c r="H20" i="51"/>
  <c r="H21" i="51"/>
  <c r="H22" i="51"/>
  <c r="H23" i="51"/>
  <c r="H24" i="51"/>
  <c r="H25" i="51"/>
  <c r="H26" i="51"/>
  <c r="H27" i="51"/>
  <c r="H28" i="51"/>
  <c r="H29" i="51"/>
  <c r="H30" i="51"/>
  <c r="H31" i="51"/>
  <c r="H32" i="51"/>
  <c r="H33" i="51"/>
  <c r="H34" i="51"/>
  <c r="H54" i="51"/>
  <c r="A133" i="56" l="1"/>
  <c r="H14" i="51"/>
  <c r="H15" i="51"/>
  <c r="H16" i="51"/>
  <c r="H17" i="51"/>
  <c r="H18" i="51"/>
  <c r="H19" i="51"/>
  <c r="H55" i="51"/>
  <c r="H56" i="51"/>
  <c r="A134" i="56" l="1"/>
  <c r="O1" i="77"/>
  <c r="A135" i="56" l="1"/>
  <c r="F3" i="76"/>
  <c r="B7" i="77"/>
  <c r="A136" i="56" l="1"/>
  <c r="C202" i="77"/>
  <c r="C203" i="77"/>
  <c r="C204" i="77"/>
  <c r="C205" i="77"/>
  <c r="C206" i="77"/>
  <c r="C207" i="77"/>
  <c r="C208" i="77"/>
  <c r="C10" i="77"/>
  <c r="C11" i="77"/>
  <c r="C12" i="77"/>
  <c r="C13" i="77"/>
  <c r="C14" i="77"/>
  <c r="C15" i="77"/>
  <c r="C16" i="77"/>
  <c r="C17" i="77"/>
  <c r="C18" i="77"/>
  <c r="C19" i="77"/>
  <c r="C20" i="77"/>
  <c r="C21" i="77"/>
  <c r="C22" i="77"/>
  <c r="C23" i="77"/>
  <c r="C24" i="77"/>
  <c r="C25" i="77"/>
  <c r="C26" i="77"/>
  <c r="C27" i="77"/>
  <c r="C28" i="77"/>
  <c r="C29" i="77"/>
  <c r="C30" i="77"/>
  <c r="C31" i="77"/>
  <c r="C32" i="77"/>
  <c r="C33" i="77"/>
  <c r="C34" i="77"/>
  <c r="C35" i="77"/>
  <c r="C36" i="77"/>
  <c r="C37" i="77"/>
  <c r="C38" i="77"/>
  <c r="C39" i="77"/>
  <c r="C40" i="77"/>
  <c r="C41" i="77"/>
  <c r="C42" i="77"/>
  <c r="C43" i="77"/>
  <c r="C44" i="77"/>
  <c r="C45" i="77"/>
  <c r="C46" i="77"/>
  <c r="C47" i="77"/>
  <c r="C48" i="77"/>
  <c r="C49" i="77"/>
  <c r="C50" i="77"/>
  <c r="C51" i="77"/>
  <c r="C52" i="77"/>
  <c r="C53" i="77"/>
  <c r="C54" i="77"/>
  <c r="C55" i="77"/>
  <c r="C56" i="77"/>
  <c r="C57" i="77"/>
  <c r="C58" i="77"/>
  <c r="C59" i="77"/>
  <c r="C60" i="77"/>
  <c r="C61" i="77"/>
  <c r="C62" i="77"/>
  <c r="C63" i="77"/>
  <c r="C64" i="77"/>
  <c r="C65" i="77"/>
  <c r="C66" i="77"/>
  <c r="C67" i="77"/>
  <c r="C68" i="77"/>
  <c r="C69" i="77"/>
  <c r="C70" i="77"/>
  <c r="C71" i="77"/>
  <c r="C72" i="77"/>
  <c r="C73" i="77"/>
  <c r="C74" i="77"/>
  <c r="C75" i="77"/>
  <c r="C76" i="77"/>
  <c r="C77" i="77"/>
  <c r="C78" i="77"/>
  <c r="C79" i="77"/>
  <c r="C80" i="77"/>
  <c r="C81" i="77"/>
  <c r="C82" i="77"/>
  <c r="C83" i="77"/>
  <c r="C84" i="77"/>
  <c r="C85" i="77"/>
  <c r="C86" i="77"/>
  <c r="C87" i="77"/>
  <c r="C88" i="77"/>
  <c r="C89" i="77"/>
  <c r="C90" i="77"/>
  <c r="C91" i="77"/>
  <c r="C92" i="77"/>
  <c r="C93" i="77"/>
  <c r="C94" i="77"/>
  <c r="C95" i="77"/>
  <c r="C96" i="77"/>
  <c r="C97" i="77"/>
  <c r="C98" i="77"/>
  <c r="C99" i="77"/>
  <c r="C100" i="77"/>
  <c r="C101" i="77"/>
  <c r="C102" i="77"/>
  <c r="C103" i="77"/>
  <c r="C104" i="77"/>
  <c r="C105" i="77"/>
  <c r="C106" i="77"/>
  <c r="C107" i="77"/>
  <c r="C108" i="77"/>
  <c r="C109" i="77"/>
  <c r="C110" i="77"/>
  <c r="C111" i="77"/>
  <c r="C112" i="77"/>
  <c r="C113" i="77"/>
  <c r="C114" i="77"/>
  <c r="C115" i="77"/>
  <c r="C116" i="77"/>
  <c r="C117" i="77"/>
  <c r="C118" i="77"/>
  <c r="C119" i="77"/>
  <c r="C120" i="77"/>
  <c r="C121" i="77"/>
  <c r="C122" i="77"/>
  <c r="C123" i="77"/>
  <c r="C124" i="77"/>
  <c r="C125" i="77"/>
  <c r="C126" i="77"/>
  <c r="C127" i="77"/>
  <c r="C128" i="77"/>
  <c r="C129" i="77"/>
  <c r="C130" i="77"/>
  <c r="C131" i="77"/>
  <c r="C132" i="77"/>
  <c r="C133" i="77"/>
  <c r="C134" i="77"/>
  <c r="C135" i="77"/>
  <c r="C136" i="77"/>
  <c r="C137" i="77"/>
  <c r="C138" i="77"/>
  <c r="C139" i="77"/>
  <c r="C140" i="77"/>
  <c r="C141" i="77"/>
  <c r="C142" i="77"/>
  <c r="C143" i="77"/>
  <c r="C144" i="77"/>
  <c r="C145" i="77"/>
  <c r="C146" i="77"/>
  <c r="C147" i="77"/>
  <c r="C148" i="77"/>
  <c r="C149" i="77"/>
  <c r="C150" i="77"/>
  <c r="C151" i="77"/>
  <c r="C152" i="77"/>
  <c r="C153" i="77"/>
  <c r="C154" i="77"/>
  <c r="C155" i="77"/>
  <c r="C156" i="77"/>
  <c r="C157" i="77"/>
  <c r="C158" i="77"/>
  <c r="C159" i="77"/>
  <c r="C160" i="77"/>
  <c r="C161" i="77"/>
  <c r="C162" i="77"/>
  <c r="C163" i="77"/>
  <c r="C164" i="77"/>
  <c r="C165" i="77"/>
  <c r="C166" i="77"/>
  <c r="C167" i="77"/>
  <c r="C168" i="77"/>
  <c r="C169" i="77"/>
  <c r="C170" i="77"/>
  <c r="C171" i="77"/>
  <c r="C172" i="77"/>
  <c r="C173" i="77"/>
  <c r="C174" i="77"/>
  <c r="C175" i="77"/>
  <c r="C176" i="77"/>
  <c r="C177" i="77"/>
  <c r="C178" i="77"/>
  <c r="C179" i="77"/>
  <c r="C180" i="77"/>
  <c r="C181" i="77"/>
  <c r="C182" i="77"/>
  <c r="C183" i="77"/>
  <c r="C184" i="77"/>
  <c r="C185" i="77"/>
  <c r="C186" i="77"/>
  <c r="C187" i="77"/>
  <c r="C188" i="77"/>
  <c r="C189" i="77"/>
  <c r="C190" i="77"/>
  <c r="C191" i="77"/>
  <c r="C192" i="77"/>
  <c r="C193" i="77"/>
  <c r="C194" i="77"/>
  <c r="C195" i="77"/>
  <c r="C196" i="77"/>
  <c r="C197" i="77"/>
  <c r="C198" i="77"/>
  <c r="C199" i="77"/>
  <c r="C200" i="77"/>
  <c r="C201" i="77"/>
  <c r="C9" i="77"/>
  <c r="T7" i="77"/>
  <c r="T6" i="77"/>
  <c r="T5" i="77"/>
  <c r="T4" i="77"/>
  <c r="T3" i="77"/>
  <c r="T2" i="77"/>
  <c r="A137" i="56" l="1"/>
  <c r="V331" i="49"/>
  <c r="V330" i="49"/>
  <c r="V294" i="49"/>
  <c r="V293" i="49"/>
  <c r="A3" i="76"/>
  <c r="A4" i="76"/>
  <c r="A5" i="76"/>
  <c r="A6" i="76"/>
  <c r="A7" i="76"/>
  <c r="A8" i="76"/>
  <c r="A9" i="76"/>
  <c r="A10" i="76"/>
  <c r="A11" i="76"/>
  <c r="A12" i="76"/>
  <c r="A13" i="76"/>
  <c r="A14" i="76"/>
  <c r="A15" i="76"/>
  <c r="A16" i="76"/>
  <c r="A17" i="76"/>
  <c r="A18" i="76"/>
  <c r="A19" i="76"/>
  <c r="A20" i="76"/>
  <c r="A21" i="76"/>
  <c r="A22" i="76"/>
  <c r="A23" i="76"/>
  <c r="A24" i="76"/>
  <c r="A25" i="76"/>
  <c r="A26" i="76"/>
  <c r="A27" i="76"/>
  <c r="A28" i="76"/>
  <c r="A29" i="76"/>
  <c r="A30" i="76"/>
  <c r="A31" i="76"/>
  <c r="A32" i="76"/>
  <c r="A33" i="76"/>
  <c r="A34" i="76"/>
  <c r="A35" i="76"/>
  <c r="A36" i="76"/>
  <c r="A37" i="76"/>
  <c r="A38" i="76"/>
  <c r="A39" i="76"/>
  <c r="A40" i="76"/>
  <c r="A41" i="76"/>
  <c r="A42" i="76"/>
  <c r="A43" i="76"/>
  <c r="A44" i="76"/>
  <c r="A45" i="76"/>
  <c r="A46" i="76"/>
  <c r="A47" i="76"/>
  <c r="A48" i="76"/>
  <c r="A49" i="76"/>
  <c r="A50" i="76"/>
  <c r="A51" i="76"/>
  <c r="A52" i="76"/>
  <c r="A53" i="76"/>
  <c r="A54" i="76"/>
  <c r="A55" i="76"/>
  <c r="A56" i="76"/>
  <c r="A57" i="76"/>
  <c r="A58" i="76"/>
  <c r="A59" i="76"/>
  <c r="A60" i="76"/>
  <c r="A61" i="76"/>
  <c r="A62" i="76"/>
  <c r="A63" i="76"/>
  <c r="A64" i="76"/>
  <c r="A65" i="76"/>
  <c r="A66" i="76"/>
  <c r="A67" i="76"/>
  <c r="A68" i="76"/>
  <c r="A69" i="76"/>
  <c r="A70" i="76"/>
  <c r="A71" i="76"/>
  <c r="A72" i="76"/>
  <c r="A73" i="76"/>
  <c r="A74" i="76"/>
  <c r="A75" i="76"/>
  <c r="A76" i="76"/>
  <c r="A77" i="76"/>
  <c r="A78" i="76"/>
  <c r="A79" i="76"/>
  <c r="A80" i="76"/>
  <c r="A81" i="76"/>
  <c r="A82" i="76"/>
  <c r="A83" i="76"/>
  <c r="A84" i="76"/>
  <c r="A85" i="76"/>
  <c r="A86" i="76"/>
  <c r="A87" i="76"/>
  <c r="A88" i="76"/>
  <c r="A89" i="76"/>
  <c r="A90" i="76"/>
  <c r="A91" i="76"/>
  <c r="A92" i="76"/>
  <c r="A93" i="76"/>
  <c r="A94" i="76"/>
  <c r="A95" i="76"/>
  <c r="A96" i="76"/>
  <c r="A97" i="76"/>
  <c r="A98" i="76"/>
  <c r="A99" i="76"/>
  <c r="A100" i="76"/>
  <c r="A101" i="76"/>
  <c r="A102" i="76"/>
  <c r="A103" i="76"/>
  <c r="A104" i="76"/>
  <c r="A105" i="76"/>
  <c r="A106" i="76"/>
  <c r="A107" i="76"/>
  <c r="A108" i="76"/>
  <c r="A109" i="76"/>
  <c r="A110" i="76"/>
  <c r="A111" i="76"/>
  <c r="A112" i="76"/>
  <c r="A113" i="76"/>
  <c r="A114" i="76"/>
  <c r="A115" i="76"/>
  <c r="A116" i="76"/>
  <c r="A117" i="76"/>
  <c r="A118" i="76"/>
  <c r="A119" i="76"/>
  <c r="A120" i="76"/>
  <c r="A121" i="76"/>
  <c r="A122" i="76"/>
  <c r="A123" i="76"/>
  <c r="A124" i="76"/>
  <c r="A125" i="76"/>
  <c r="A126" i="76"/>
  <c r="A127" i="76"/>
  <c r="A128" i="76"/>
  <c r="A129" i="76"/>
  <c r="A130" i="76"/>
  <c r="A131" i="76"/>
  <c r="A132" i="76"/>
  <c r="A133" i="76"/>
  <c r="A134" i="76"/>
  <c r="A135" i="76"/>
  <c r="A136" i="76"/>
  <c r="A137" i="76"/>
  <c r="A138" i="76"/>
  <c r="A139" i="76"/>
  <c r="A140" i="76"/>
  <c r="A141" i="76"/>
  <c r="A142" i="76"/>
  <c r="A143" i="76"/>
  <c r="A144" i="76"/>
  <c r="A145" i="76"/>
  <c r="A146" i="76"/>
  <c r="A147" i="76"/>
  <c r="A148" i="76"/>
  <c r="A149" i="76"/>
  <c r="A150" i="76"/>
  <c r="A151" i="76"/>
  <c r="A152" i="76"/>
  <c r="A153" i="76"/>
  <c r="A154" i="76"/>
  <c r="A155" i="76"/>
  <c r="A156" i="76"/>
  <c r="A157" i="76"/>
  <c r="A158" i="76"/>
  <c r="A159" i="76"/>
  <c r="A160" i="76"/>
  <c r="A161" i="76"/>
  <c r="A162" i="76"/>
  <c r="A163" i="76"/>
  <c r="A164" i="76"/>
  <c r="A165" i="76"/>
  <c r="A166" i="76"/>
  <c r="A167" i="76"/>
  <c r="A168" i="76"/>
  <c r="A169" i="76"/>
  <c r="A170" i="76"/>
  <c r="A171" i="76"/>
  <c r="A172" i="76"/>
  <c r="A173" i="76"/>
  <c r="A174" i="76"/>
  <c r="A175" i="76"/>
  <c r="A176" i="76"/>
  <c r="A177" i="76"/>
  <c r="A178" i="76"/>
  <c r="A179" i="76"/>
  <c r="A180" i="76"/>
  <c r="A181" i="76"/>
  <c r="A182" i="76"/>
  <c r="A183" i="76"/>
  <c r="A184" i="76"/>
  <c r="A185" i="76"/>
  <c r="A186" i="76"/>
  <c r="A187" i="76"/>
  <c r="A188" i="76"/>
  <c r="A189" i="76"/>
  <c r="A190" i="76"/>
  <c r="A191" i="76"/>
  <c r="A192" i="76"/>
  <c r="A193" i="76"/>
  <c r="A194" i="76"/>
  <c r="A195" i="76"/>
  <c r="A196" i="76"/>
  <c r="A197" i="76"/>
  <c r="A198" i="76"/>
  <c r="A199" i="76"/>
  <c r="A200" i="76"/>
  <c r="A201" i="76"/>
  <c r="A202" i="76"/>
  <c r="A203" i="76"/>
  <c r="A204" i="76"/>
  <c r="A205" i="76"/>
  <c r="A206" i="76"/>
  <c r="A207" i="76"/>
  <c r="A208" i="76"/>
  <c r="A209" i="76"/>
  <c r="A210" i="76"/>
  <c r="A211" i="76"/>
  <c r="A212" i="76"/>
  <c r="A213" i="76"/>
  <c r="A214" i="76"/>
  <c r="A215" i="76"/>
  <c r="A216" i="76"/>
  <c r="A217" i="76"/>
  <c r="A218" i="76"/>
  <c r="A219" i="76"/>
  <c r="A220" i="76"/>
  <c r="A221" i="76"/>
  <c r="A222" i="76"/>
  <c r="A223" i="76"/>
  <c r="A224" i="76"/>
  <c r="A225" i="76"/>
  <c r="A226" i="76"/>
  <c r="A227" i="76"/>
  <c r="A228" i="76"/>
  <c r="A229" i="76"/>
  <c r="A230" i="76"/>
  <c r="A231" i="76"/>
  <c r="A232" i="76"/>
  <c r="A233" i="76"/>
  <c r="A234" i="76"/>
  <c r="A235" i="76"/>
  <c r="A236" i="76"/>
  <c r="A237" i="76"/>
  <c r="A238" i="76"/>
  <c r="A239" i="76"/>
  <c r="A240" i="76"/>
  <c r="A241" i="76"/>
  <c r="A242" i="76"/>
  <c r="A243" i="76"/>
  <c r="A244" i="76"/>
  <c r="A245" i="76"/>
  <c r="A246" i="76"/>
  <c r="A247" i="76"/>
  <c r="A248" i="76"/>
  <c r="A249" i="76"/>
  <c r="A250" i="76"/>
  <c r="A251" i="76"/>
  <c r="A252" i="76"/>
  <c r="A253" i="76"/>
  <c r="A254" i="76"/>
  <c r="A255" i="76"/>
  <c r="A256" i="76"/>
  <c r="A257" i="76"/>
  <c r="A258" i="76"/>
  <c r="A259" i="76"/>
  <c r="A260" i="76"/>
  <c r="A261" i="76"/>
  <c r="A262" i="76"/>
  <c r="A263" i="76"/>
  <c r="A264" i="76"/>
  <c r="A265" i="76"/>
  <c r="A266" i="76"/>
  <c r="A267" i="76"/>
  <c r="A268" i="76"/>
  <c r="A269" i="76"/>
  <c r="A270" i="76"/>
  <c r="A271" i="76"/>
  <c r="A272" i="76"/>
  <c r="A273" i="76"/>
  <c r="A274" i="76"/>
  <c r="A275" i="76"/>
  <c r="A276" i="76"/>
  <c r="A277" i="76"/>
  <c r="A278" i="76"/>
  <c r="A279" i="76"/>
  <c r="A280" i="76"/>
  <c r="A281" i="76"/>
  <c r="A282" i="76"/>
  <c r="A283" i="76"/>
  <c r="A284" i="76"/>
  <c r="A285" i="76"/>
  <c r="A286" i="76"/>
  <c r="A287" i="76"/>
  <c r="A288" i="76"/>
  <c r="A289" i="76"/>
  <c r="A290" i="76"/>
  <c r="A291" i="76"/>
  <c r="A292" i="76"/>
  <c r="A293" i="76"/>
  <c r="A294" i="76"/>
  <c r="A295" i="76"/>
  <c r="A296" i="76"/>
  <c r="A297" i="76"/>
  <c r="A298" i="76"/>
  <c r="A299" i="76"/>
  <c r="A300" i="76"/>
  <c r="A301" i="76"/>
  <c r="A302" i="76"/>
  <c r="A303" i="76"/>
  <c r="A304" i="76"/>
  <c r="A305" i="76"/>
  <c r="A306" i="76"/>
  <c r="A307" i="76"/>
  <c r="A308" i="76"/>
  <c r="A309" i="76"/>
  <c r="A310" i="76"/>
  <c r="A311" i="76"/>
  <c r="A312" i="76"/>
  <c r="A313" i="76"/>
  <c r="A314" i="76"/>
  <c r="A315" i="76"/>
  <c r="A316" i="76"/>
  <c r="A317" i="76"/>
  <c r="A318" i="76"/>
  <c r="A319" i="76"/>
  <c r="A320" i="76"/>
  <c r="A321" i="76"/>
  <c r="A322" i="76"/>
  <c r="A323" i="76"/>
  <c r="A324" i="76"/>
  <c r="A325" i="76"/>
  <c r="A326" i="76"/>
  <c r="A327" i="76"/>
  <c r="A328" i="76"/>
  <c r="A329" i="76"/>
  <c r="A330" i="76"/>
  <c r="A331" i="76"/>
  <c r="A332" i="76"/>
  <c r="A333" i="76"/>
  <c r="A334" i="76"/>
  <c r="A335" i="76"/>
  <c r="A336" i="76"/>
  <c r="A337" i="76"/>
  <c r="A338" i="76"/>
  <c r="A339" i="76"/>
  <c r="A340" i="76"/>
  <c r="A341" i="76"/>
  <c r="A342" i="76"/>
  <c r="A343" i="76"/>
  <c r="A344" i="76"/>
  <c r="A345" i="76"/>
  <c r="A346" i="76"/>
  <c r="A347" i="76"/>
  <c r="A348" i="76"/>
  <c r="A349" i="76"/>
  <c r="A350" i="76"/>
  <c r="A351" i="76"/>
  <c r="A352" i="76"/>
  <c r="A353" i="76"/>
  <c r="A354" i="76"/>
  <c r="A355" i="76"/>
  <c r="A356" i="76"/>
  <c r="A357" i="76"/>
  <c r="A358" i="76"/>
  <c r="A359" i="76"/>
  <c r="A360" i="76"/>
  <c r="A361" i="76"/>
  <c r="A362" i="76"/>
  <c r="A363" i="76"/>
  <c r="A364" i="76"/>
  <c r="A365" i="76"/>
  <c r="A366" i="76"/>
  <c r="A367" i="76"/>
  <c r="A368" i="76"/>
  <c r="A369" i="76"/>
  <c r="A370" i="76"/>
  <c r="A371" i="76"/>
  <c r="A372" i="76"/>
  <c r="A373" i="76"/>
  <c r="A374" i="76"/>
  <c r="A375" i="76"/>
  <c r="A376" i="76"/>
  <c r="A377" i="76"/>
  <c r="A378" i="76"/>
  <c r="A379" i="76"/>
  <c r="A380" i="76"/>
  <c r="A381" i="76"/>
  <c r="A382" i="76"/>
  <c r="A383" i="76"/>
  <c r="A384" i="76"/>
  <c r="A385" i="76"/>
  <c r="A386" i="76"/>
  <c r="A387" i="76"/>
  <c r="A388" i="76"/>
  <c r="A389" i="76"/>
  <c r="A390" i="76"/>
  <c r="A391" i="76"/>
  <c r="A392" i="76"/>
  <c r="A393" i="76"/>
  <c r="A394" i="76"/>
  <c r="A395" i="76"/>
  <c r="A396" i="76"/>
  <c r="A397" i="76"/>
  <c r="A398" i="76"/>
  <c r="A399" i="76"/>
  <c r="A400" i="76"/>
  <c r="A401" i="76"/>
  <c r="A402" i="76"/>
  <c r="A403" i="76"/>
  <c r="A404" i="76"/>
  <c r="A405" i="76"/>
  <c r="A406" i="76"/>
  <c r="A407" i="76"/>
  <c r="A408" i="76"/>
  <c r="A409" i="76"/>
  <c r="A410" i="76"/>
  <c r="A411" i="76"/>
  <c r="A412" i="76"/>
  <c r="A413" i="76"/>
  <c r="A414" i="76"/>
  <c r="A415" i="76"/>
  <c r="A416" i="76"/>
  <c r="A417" i="76"/>
  <c r="A418" i="76"/>
  <c r="A419" i="76"/>
  <c r="A420" i="76"/>
  <c r="A421" i="76"/>
  <c r="A422" i="76"/>
  <c r="A423" i="76"/>
  <c r="A424" i="76"/>
  <c r="A425" i="76"/>
  <c r="A426" i="76"/>
  <c r="A427" i="76"/>
  <c r="A428" i="76"/>
  <c r="A429" i="76"/>
  <c r="A430" i="76"/>
  <c r="A431" i="76"/>
  <c r="A432" i="76"/>
  <c r="A433" i="76"/>
  <c r="A434" i="76"/>
  <c r="A435" i="76"/>
  <c r="A436" i="76"/>
  <c r="A437" i="76"/>
  <c r="A438" i="76"/>
  <c r="A439" i="76"/>
  <c r="A440" i="76"/>
  <c r="A441" i="76"/>
  <c r="A442" i="76"/>
  <c r="A443" i="76"/>
  <c r="A444" i="76"/>
  <c r="A445" i="76"/>
  <c r="A446" i="76"/>
  <c r="A447" i="76"/>
  <c r="A448" i="76"/>
  <c r="A449" i="76"/>
  <c r="A450" i="76"/>
  <c r="A451" i="76"/>
  <c r="A452" i="76"/>
  <c r="A453" i="76"/>
  <c r="A454" i="76"/>
  <c r="A455" i="76"/>
  <c r="A456" i="76"/>
  <c r="A457" i="76"/>
  <c r="A458" i="76"/>
  <c r="A459" i="76"/>
  <c r="A460" i="76"/>
  <c r="A461" i="76"/>
  <c r="A462" i="76"/>
  <c r="A463" i="76"/>
  <c r="A464" i="76"/>
  <c r="A465" i="76"/>
  <c r="A466" i="76"/>
  <c r="A467" i="76"/>
  <c r="A468" i="76"/>
  <c r="A469" i="76"/>
  <c r="A470" i="76"/>
  <c r="S293" i="49" l="1"/>
  <c r="AA293" i="49" s="1"/>
  <c r="S294" i="49"/>
  <c r="AA294" i="49" s="1"/>
  <c r="S330" i="49"/>
  <c r="AA330" i="49" s="1"/>
  <c r="S331" i="49"/>
  <c r="AA331" i="49" s="1"/>
  <c r="A138" i="56"/>
  <c r="AF293" i="49"/>
  <c r="AE293" i="49"/>
  <c r="AF294" i="49"/>
  <c r="AE294" i="49"/>
  <c r="AF330" i="49"/>
  <c r="AE330" i="49"/>
  <c r="AF331" i="49"/>
  <c r="AE331" i="49"/>
  <c r="U470" i="76"/>
  <c r="S470" i="76"/>
  <c r="R470" i="76"/>
  <c r="P470" i="76"/>
  <c r="N470" i="76"/>
  <c r="M470" i="76"/>
  <c r="K470" i="76"/>
  <c r="J470" i="76"/>
  <c r="I470" i="76"/>
  <c r="H470" i="76"/>
  <c r="G470" i="76"/>
  <c r="F470" i="76"/>
  <c r="E470" i="76"/>
  <c r="D470" i="76"/>
  <c r="C470" i="76"/>
  <c r="B470" i="76" s="1"/>
  <c r="U469" i="76"/>
  <c r="S469" i="76"/>
  <c r="R469" i="76"/>
  <c r="P469" i="76"/>
  <c r="N469" i="76"/>
  <c r="M469" i="76"/>
  <c r="K469" i="76"/>
  <c r="J469" i="76"/>
  <c r="I469" i="76"/>
  <c r="H469" i="76"/>
  <c r="G469" i="76"/>
  <c r="F469" i="76"/>
  <c r="E469" i="76"/>
  <c r="D469" i="76"/>
  <c r="C469" i="76"/>
  <c r="B469" i="76" s="1"/>
  <c r="U468" i="76"/>
  <c r="S468" i="76"/>
  <c r="R468" i="76"/>
  <c r="P468" i="76"/>
  <c r="N468" i="76"/>
  <c r="M468" i="76"/>
  <c r="K468" i="76"/>
  <c r="J468" i="76"/>
  <c r="I468" i="76"/>
  <c r="H468" i="76"/>
  <c r="G468" i="76"/>
  <c r="F468" i="76"/>
  <c r="E468" i="76"/>
  <c r="D468" i="76"/>
  <c r="C468" i="76"/>
  <c r="B468" i="76" s="1"/>
  <c r="U467" i="76"/>
  <c r="S467" i="76"/>
  <c r="R467" i="76"/>
  <c r="P467" i="76"/>
  <c r="N467" i="76"/>
  <c r="M467" i="76"/>
  <c r="K467" i="76"/>
  <c r="J467" i="76"/>
  <c r="I467" i="76"/>
  <c r="H467" i="76"/>
  <c r="G467" i="76"/>
  <c r="F467" i="76"/>
  <c r="E467" i="76"/>
  <c r="D467" i="76"/>
  <c r="C467" i="76"/>
  <c r="B467" i="76" s="1"/>
  <c r="U466" i="76"/>
  <c r="S466" i="76"/>
  <c r="R466" i="76"/>
  <c r="P466" i="76"/>
  <c r="N466" i="76"/>
  <c r="M466" i="76"/>
  <c r="K466" i="76"/>
  <c r="J466" i="76"/>
  <c r="I466" i="76"/>
  <c r="H466" i="76"/>
  <c r="G466" i="76"/>
  <c r="F466" i="76"/>
  <c r="E466" i="76"/>
  <c r="D466" i="76"/>
  <c r="C466" i="76"/>
  <c r="B466" i="76" s="1"/>
  <c r="U465" i="76"/>
  <c r="S465" i="76"/>
  <c r="R465" i="76"/>
  <c r="P465" i="76"/>
  <c r="N465" i="76"/>
  <c r="M465" i="76"/>
  <c r="K465" i="76"/>
  <c r="J465" i="76"/>
  <c r="I465" i="76"/>
  <c r="H465" i="76"/>
  <c r="G465" i="76"/>
  <c r="F465" i="76"/>
  <c r="E465" i="76"/>
  <c r="D465" i="76"/>
  <c r="C465" i="76"/>
  <c r="B465" i="76" s="1"/>
  <c r="U464" i="76"/>
  <c r="S464" i="76"/>
  <c r="R464" i="76"/>
  <c r="P464" i="76"/>
  <c r="N464" i="76"/>
  <c r="M464" i="76"/>
  <c r="K464" i="76"/>
  <c r="J464" i="76"/>
  <c r="I464" i="76"/>
  <c r="H464" i="76"/>
  <c r="G464" i="76"/>
  <c r="F464" i="76"/>
  <c r="E464" i="76"/>
  <c r="D464" i="76"/>
  <c r="C464" i="76"/>
  <c r="B464" i="76" s="1"/>
  <c r="U463" i="76"/>
  <c r="S463" i="76"/>
  <c r="R463" i="76"/>
  <c r="P463" i="76"/>
  <c r="N463" i="76"/>
  <c r="M463" i="76"/>
  <c r="K463" i="76"/>
  <c r="J463" i="76"/>
  <c r="I463" i="76"/>
  <c r="H463" i="76"/>
  <c r="G463" i="76"/>
  <c r="F463" i="76"/>
  <c r="E463" i="76"/>
  <c r="D463" i="76"/>
  <c r="C463" i="76"/>
  <c r="B463" i="76" s="1"/>
  <c r="U462" i="76"/>
  <c r="S462" i="76"/>
  <c r="R462" i="76"/>
  <c r="P462" i="76"/>
  <c r="N462" i="76"/>
  <c r="M462" i="76"/>
  <c r="K462" i="76"/>
  <c r="J462" i="76"/>
  <c r="I462" i="76"/>
  <c r="H462" i="76"/>
  <c r="G462" i="76"/>
  <c r="F462" i="76"/>
  <c r="E462" i="76"/>
  <c r="D462" i="76"/>
  <c r="C462" i="76"/>
  <c r="B462" i="76" s="1"/>
  <c r="U461" i="76"/>
  <c r="S461" i="76"/>
  <c r="R461" i="76"/>
  <c r="P461" i="76"/>
  <c r="N461" i="76"/>
  <c r="M461" i="76"/>
  <c r="K461" i="76"/>
  <c r="J461" i="76"/>
  <c r="I461" i="76"/>
  <c r="H461" i="76"/>
  <c r="G461" i="76"/>
  <c r="F461" i="76"/>
  <c r="E461" i="76"/>
  <c r="D461" i="76"/>
  <c r="C461" i="76"/>
  <c r="B461" i="76" s="1"/>
  <c r="U460" i="76"/>
  <c r="S460" i="76"/>
  <c r="R460" i="76"/>
  <c r="P460" i="76"/>
  <c r="N460" i="76"/>
  <c r="M460" i="76"/>
  <c r="K460" i="76"/>
  <c r="J460" i="76"/>
  <c r="I460" i="76"/>
  <c r="H460" i="76"/>
  <c r="G460" i="76"/>
  <c r="F460" i="76"/>
  <c r="E460" i="76"/>
  <c r="D460" i="76"/>
  <c r="C460" i="76"/>
  <c r="B460" i="76" s="1"/>
  <c r="U459" i="76"/>
  <c r="S459" i="76"/>
  <c r="R459" i="76"/>
  <c r="P459" i="76"/>
  <c r="N459" i="76"/>
  <c r="M459" i="76"/>
  <c r="K459" i="76"/>
  <c r="J459" i="76"/>
  <c r="I459" i="76"/>
  <c r="H459" i="76"/>
  <c r="G459" i="76"/>
  <c r="F459" i="76"/>
  <c r="E459" i="76"/>
  <c r="D459" i="76"/>
  <c r="C459" i="76"/>
  <c r="B459" i="76" s="1"/>
  <c r="U458" i="76"/>
  <c r="S458" i="76"/>
  <c r="R458" i="76"/>
  <c r="P458" i="76"/>
  <c r="N458" i="76"/>
  <c r="M458" i="76"/>
  <c r="K458" i="76"/>
  <c r="J458" i="76"/>
  <c r="I458" i="76"/>
  <c r="H458" i="76"/>
  <c r="G458" i="76"/>
  <c r="F458" i="76"/>
  <c r="E458" i="76"/>
  <c r="D458" i="76"/>
  <c r="C458" i="76"/>
  <c r="B458" i="76" s="1"/>
  <c r="U457" i="76"/>
  <c r="S457" i="76"/>
  <c r="R457" i="76"/>
  <c r="P457" i="76"/>
  <c r="N457" i="76"/>
  <c r="M457" i="76"/>
  <c r="K457" i="76"/>
  <c r="J457" i="76"/>
  <c r="I457" i="76"/>
  <c r="H457" i="76"/>
  <c r="G457" i="76"/>
  <c r="F457" i="76"/>
  <c r="E457" i="76"/>
  <c r="D457" i="76"/>
  <c r="C457" i="76"/>
  <c r="B457" i="76" s="1"/>
  <c r="U456" i="76"/>
  <c r="S456" i="76"/>
  <c r="R456" i="76"/>
  <c r="P456" i="76"/>
  <c r="N456" i="76"/>
  <c r="M456" i="76"/>
  <c r="K456" i="76"/>
  <c r="J456" i="76"/>
  <c r="I456" i="76"/>
  <c r="H456" i="76"/>
  <c r="G456" i="76"/>
  <c r="F456" i="76"/>
  <c r="E456" i="76"/>
  <c r="D456" i="76"/>
  <c r="C456" i="76"/>
  <c r="B456" i="76" s="1"/>
  <c r="U455" i="76"/>
  <c r="S455" i="76"/>
  <c r="R455" i="76"/>
  <c r="P455" i="76"/>
  <c r="N455" i="76"/>
  <c r="M455" i="76"/>
  <c r="K455" i="76"/>
  <c r="J455" i="76"/>
  <c r="I455" i="76"/>
  <c r="H455" i="76"/>
  <c r="G455" i="76"/>
  <c r="F455" i="76"/>
  <c r="E455" i="76"/>
  <c r="D455" i="76"/>
  <c r="C455" i="76"/>
  <c r="B455" i="76" s="1"/>
  <c r="U454" i="76"/>
  <c r="S454" i="76"/>
  <c r="R454" i="76"/>
  <c r="P454" i="76"/>
  <c r="N454" i="76"/>
  <c r="M454" i="76"/>
  <c r="K454" i="76"/>
  <c r="J454" i="76"/>
  <c r="I454" i="76"/>
  <c r="H454" i="76"/>
  <c r="G454" i="76"/>
  <c r="F454" i="76"/>
  <c r="E454" i="76"/>
  <c r="D454" i="76"/>
  <c r="C454" i="76"/>
  <c r="B454" i="76" s="1"/>
  <c r="U453" i="76"/>
  <c r="S453" i="76"/>
  <c r="R453" i="76"/>
  <c r="P453" i="76"/>
  <c r="N453" i="76"/>
  <c r="M453" i="76"/>
  <c r="K453" i="76"/>
  <c r="J453" i="76"/>
  <c r="I453" i="76"/>
  <c r="H453" i="76"/>
  <c r="G453" i="76"/>
  <c r="F453" i="76"/>
  <c r="E453" i="76"/>
  <c r="D453" i="76"/>
  <c r="C453" i="76"/>
  <c r="B453" i="76" s="1"/>
  <c r="U452" i="76"/>
  <c r="S452" i="76"/>
  <c r="R452" i="76"/>
  <c r="P452" i="76"/>
  <c r="N452" i="76"/>
  <c r="M452" i="76"/>
  <c r="K452" i="76"/>
  <c r="J452" i="76"/>
  <c r="I452" i="76"/>
  <c r="H452" i="76"/>
  <c r="G452" i="76"/>
  <c r="F452" i="76"/>
  <c r="E452" i="76"/>
  <c r="D452" i="76"/>
  <c r="C452" i="76"/>
  <c r="B452" i="76" s="1"/>
  <c r="U451" i="76"/>
  <c r="S451" i="76"/>
  <c r="R451" i="76"/>
  <c r="P451" i="76"/>
  <c r="N451" i="76"/>
  <c r="M451" i="76"/>
  <c r="K451" i="76"/>
  <c r="J451" i="76"/>
  <c r="I451" i="76"/>
  <c r="H451" i="76"/>
  <c r="G451" i="76"/>
  <c r="F451" i="76"/>
  <c r="E451" i="76"/>
  <c r="D451" i="76"/>
  <c r="C451" i="76"/>
  <c r="B451" i="76" s="1"/>
  <c r="U450" i="76"/>
  <c r="S450" i="76"/>
  <c r="R450" i="76"/>
  <c r="P450" i="76"/>
  <c r="N450" i="76"/>
  <c r="M450" i="76"/>
  <c r="K450" i="76"/>
  <c r="J450" i="76"/>
  <c r="I450" i="76"/>
  <c r="H450" i="76"/>
  <c r="G450" i="76"/>
  <c r="F450" i="76"/>
  <c r="E450" i="76"/>
  <c r="D450" i="76"/>
  <c r="C450" i="76"/>
  <c r="B450" i="76" s="1"/>
  <c r="U449" i="76"/>
  <c r="S449" i="76"/>
  <c r="R449" i="76"/>
  <c r="P449" i="76"/>
  <c r="N449" i="76"/>
  <c r="M449" i="76"/>
  <c r="K449" i="76"/>
  <c r="J449" i="76"/>
  <c r="I449" i="76"/>
  <c r="H449" i="76"/>
  <c r="G449" i="76"/>
  <c r="F449" i="76"/>
  <c r="E449" i="76"/>
  <c r="D449" i="76"/>
  <c r="C449" i="76"/>
  <c r="B449" i="76" s="1"/>
  <c r="U448" i="76"/>
  <c r="S448" i="76"/>
  <c r="R448" i="76"/>
  <c r="P448" i="76"/>
  <c r="N448" i="76"/>
  <c r="M448" i="76"/>
  <c r="K448" i="76"/>
  <c r="J448" i="76"/>
  <c r="I448" i="76"/>
  <c r="H448" i="76"/>
  <c r="G448" i="76"/>
  <c r="F448" i="76"/>
  <c r="E448" i="76"/>
  <c r="D448" i="76"/>
  <c r="C448" i="76"/>
  <c r="B448" i="76" s="1"/>
  <c r="U447" i="76"/>
  <c r="S447" i="76"/>
  <c r="R447" i="76"/>
  <c r="P447" i="76"/>
  <c r="N447" i="76"/>
  <c r="M447" i="76"/>
  <c r="K447" i="76"/>
  <c r="J447" i="76"/>
  <c r="I447" i="76"/>
  <c r="H447" i="76"/>
  <c r="G447" i="76"/>
  <c r="F447" i="76"/>
  <c r="E447" i="76"/>
  <c r="D447" i="76"/>
  <c r="C447" i="76"/>
  <c r="B447" i="76" s="1"/>
  <c r="U446" i="76"/>
  <c r="S446" i="76"/>
  <c r="R446" i="76"/>
  <c r="P446" i="76"/>
  <c r="N446" i="76"/>
  <c r="M446" i="76"/>
  <c r="K446" i="76"/>
  <c r="J446" i="76"/>
  <c r="I446" i="76"/>
  <c r="H446" i="76"/>
  <c r="G446" i="76"/>
  <c r="F446" i="76"/>
  <c r="E446" i="76"/>
  <c r="D446" i="76"/>
  <c r="C446" i="76"/>
  <c r="B446" i="76" s="1"/>
  <c r="U445" i="76"/>
  <c r="S445" i="76"/>
  <c r="R445" i="76"/>
  <c r="P445" i="76"/>
  <c r="N445" i="76"/>
  <c r="M445" i="76"/>
  <c r="K445" i="76"/>
  <c r="J445" i="76"/>
  <c r="I445" i="76"/>
  <c r="H445" i="76"/>
  <c r="G445" i="76"/>
  <c r="F445" i="76"/>
  <c r="E445" i="76"/>
  <c r="D445" i="76"/>
  <c r="C445" i="76"/>
  <c r="B445" i="76" s="1"/>
  <c r="U444" i="76"/>
  <c r="S444" i="76"/>
  <c r="R444" i="76"/>
  <c r="P444" i="76"/>
  <c r="N444" i="76"/>
  <c r="M444" i="76"/>
  <c r="K444" i="76"/>
  <c r="J444" i="76"/>
  <c r="I444" i="76"/>
  <c r="H444" i="76"/>
  <c r="G444" i="76"/>
  <c r="F444" i="76"/>
  <c r="E444" i="76"/>
  <c r="D444" i="76"/>
  <c r="C444" i="76"/>
  <c r="B444" i="76" s="1"/>
  <c r="U443" i="76"/>
  <c r="S443" i="76"/>
  <c r="R443" i="76"/>
  <c r="P443" i="76"/>
  <c r="N443" i="76"/>
  <c r="M443" i="76"/>
  <c r="K443" i="76"/>
  <c r="J443" i="76"/>
  <c r="I443" i="76"/>
  <c r="H443" i="76"/>
  <c r="G443" i="76"/>
  <c r="F443" i="76"/>
  <c r="E443" i="76"/>
  <c r="D443" i="76"/>
  <c r="C443" i="76"/>
  <c r="B443" i="76" s="1"/>
  <c r="U442" i="76"/>
  <c r="S442" i="76"/>
  <c r="R442" i="76"/>
  <c r="P442" i="76"/>
  <c r="N442" i="76"/>
  <c r="M442" i="76"/>
  <c r="K442" i="76"/>
  <c r="J442" i="76"/>
  <c r="I442" i="76"/>
  <c r="H442" i="76"/>
  <c r="G442" i="76"/>
  <c r="F442" i="76"/>
  <c r="E442" i="76"/>
  <c r="D442" i="76"/>
  <c r="C442" i="76"/>
  <c r="B442" i="76" s="1"/>
  <c r="U441" i="76"/>
  <c r="S441" i="76"/>
  <c r="R441" i="76"/>
  <c r="P441" i="76"/>
  <c r="N441" i="76"/>
  <c r="M441" i="76"/>
  <c r="K441" i="76"/>
  <c r="J441" i="76"/>
  <c r="I441" i="76"/>
  <c r="H441" i="76"/>
  <c r="G441" i="76"/>
  <c r="F441" i="76"/>
  <c r="E441" i="76"/>
  <c r="D441" i="76"/>
  <c r="C441" i="76"/>
  <c r="B441" i="76" s="1"/>
  <c r="U440" i="76"/>
  <c r="S440" i="76"/>
  <c r="R440" i="76"/>
  <c r="P440" i="76"/>
  <c r="N440" i="76"/>
  <c r="M440" i="76"/>
  <c r="K440" i="76"/>
  <c r="J440" i="76"/>
  <c r="I440" i="76"/>
  <c r="H440" i="76"/>
  <c r="G440" i="76"/>
  <c r="F440" i="76"/>
  <c r="E440" i="76"/>
  <c r="D440" i="76"/>
  <c r="C440" i="76"/>
  <c r="B440" i="76" s="1"/>
  <c r="U439" i="76"/>
  <c r="S439" i="76"/>
  <c r="R439" i="76"/>
  <c r="P439" i="76"/>
  <c r="N439" i="76"/>
  <c r="M439" i="76"/>
  <c r="K439" i="76"/>
  <c r="J439" i="76"/>
  <c r="I439" i="76"/>
  <c r="H439" i="76"/>
  <c r="G439" i="76"/>
  <c r="F439" i="76"/>
  <c r="E439" i="76"/>
  <c r="D439" i="76"/>
  <c r="C439" i="76"/>
  <c r="B439" i="76" s="1"/>
  <c r="U438" i="76"/>
  <c r="S438" i="76"/>
  <c r="R438" i="76"/>
  <c r="P438" i="76"/>
  <c r="N438" i="76"/>
  <c r="M438" i="76"/>
  <c r="K438" i="76"/>
  <c r="J438" i="76"/>
  <c r="I438" i="76"/>
  <c r="H438" i="76"/>
  <c r="G438" i="76"/>
  <c r="F438" i="76"/>
  <c r="E438" i="76"/>
  <c r="D438" i="76"/>
  <c r="C438" i="76"/>
  <c r="B438" i="76" s="1"/>
  <c r="U437" i="76"/>
  <c r="S437" i="76"/>
  <c r="R437" i="76"/>
  <c r="P437" i="76"/>
  <c r="N437" i="76"/>
  <c r="M437" i="76"/>
  <c r="K437" i="76"/>
  <c r="J437" i="76"/>
  <c r="I437" i="76"/>
  <c r="H437" i="76"/>
  <c r="G437" i="76"/>
  <c r="F437" i="76"/>
  <c r="E437" i="76"/>
  <c r="D437" i="76"/>
  <c r="C437" i="76"/>
  <c r="B437" i="76" s="1"/>
  <c r="U436" i="76"/>
  <c r="S436" i="76"/>
  <c r="R436" i="76"/>
  <c r="P436" i="76"/>
  <c r="N436" i="76"/>
  <c r="M436" i="76"/>
  <c r="K436" i="76"/>
  <c r="J436" i="76"/>
  <c r="I436" i="76"/>
  <c r="H436" i="76"/>
  <c r="G436" i="76"/>
  <c r="F436" i="76"/>
  <c r="E436" i="76"/>
  <c r="D436" i="76"/>
  <c r="C436" i="76"/>
  <c r="B436" i="76" s="1"/>
  <c r="U435" i="76"/>
  <c r="S435" i="76"/>
  <c r="R435" i="76"/>
  <c r="P435" i="76"/>
  <c r="N435" i="76"/>
  <c r="M435" i="76"/>
  <c r="K435" i="76"/>
  <c r="J435" i="76"/>
  <c r="I435" i="76"/>
  <c r="H435" i="76"/>
  <c r="G435" i="76"/>
  <c r="F435" i="76"/>
  <c r="E435" i="76"/>
  <c r="D435" i="76"/>
  <c r="C435" i="76"/>
  <c r="B435" i="76" s="1"/>
  <c r="U434" i="76"/>
  <c r="S434" i="76"/>
  <c r="R434" i="76"/>
  <c r="P434" i="76"/>
  <c r="N434" i="76"/>
  <c r="M434" i="76"/>
  <c r="K434" i="76"/>
  <c r="J434" i="76"/>
  <c r="I434" i="76"/>
  <c r="H434" i="76"/>
  <c r="G434" i="76"/>
  <c r="F434" i="76"/>
  <c r="E434" i="76"/>
  <c r="D434" i="76"/>
  <c r="C434" i="76"/>
  <c r="B434" i="76" s="1"/>
  <c r="U433" i="76"/>
  <c r="S433" i="76"/>
  <c r="R433" i="76"/>
  <c r="P433" i="76"/>
  <c r="N433" i="76"/>
  <c r="M433" i="76"/>
  <c r="K433" i="76"/>
  <c r="J433" i="76"/>
  <c r="I433" i="76"/>
  <c r="H433" i="76"/>
  <c r="G433" i="76"/>
  <c r="F433" i="76"/>
  <c r="E433" i="76"/>
  <c r="D433" i="76"/>
  <c r="C433" i="76"/>
  <c r="B433" i="76" s="1"/>
  <c r="U432" i="76"/>
  <c r="S432" i="76"/>
  <c r="R432" i="76"/>
  <c r="P432" i="76"/>
  <c r="N432" i="76"/>
  <c r="M432" i="76"/>
  <c r="K432" i="76"/>
  <c r="J432" i="76"/>
  <c r="I432" i="76"/>
  <c r="H432" i="76"/>
  <c r="G432" i="76"/>
  <c r="F432" i="76"/>
  <c r="E432" i="76"/>
  <c r="D432" i="76"/>
  <c r="C432" i="76"/>
  <c r="B432" i="76" s="1"/>
  <c r="U431" i="76"/>
  <c r="S431" i="76"/>
  <c r="R431" i="76"/>
  <c r="P431" i="76"/>
  <c r="N431" i="76"/>
  <c r="M431" i="76"/>
  <c r="K431" i="76"/>
  <c r="J431" i="76"/>
  <c r="I431" i="76"/>
  <c r="H431" i="76"/>
  <c r="G431" i="76"/>
  <c r="F431" i="76"/>
  <c r="E431" i="76"/>
  <c r="D431" i="76"/>
  <c r="C431" i="76"/>
  <c r="B431" i="76" s="1"/>
  <c r="U430" i="76"/>
  <c r="S430" i="76"/>
  <c r="R430" i="76"/>
  <c r="P430" i="76"/>
  <c r="N430" i="76"/>
  <c r="M430" i="76"/>
  <c r="K430" i="76"/>
  <c r="J430" i="76"/>
  <c r="I430" i="76"/>
  <c r="H430" i="76"/>
  <c r="G430" i="76"/>
  <c r="F430" i="76"/>
  <c r="E430" i="76"/>
  <c r="D430" i="76"/>
  <c r="C430" i="76"/>
  <c r="B430" i="76" s="1"/>
  <c r="U429" i="76"/>
  <c r="S429" i="76"/>
  <c r="R429" i="76"/>
  <c r="P429" i="76"/>
  <c r="N429" i="76"/>
  <c r="M429" i="76"/>
  <c r="K429" i="76"/>
  <c r="J429" i="76"/>
  <c r="I429" i="76"/>
  <c r="H429" i="76"/>
  <c r="G429" i="76"/>
  <c r="F429" i="76"/>
  <c r="E429" i="76"/>
  <c r="D429" i="76"/>
  <c r="C429" i="76"/>
  <c r="B429" i="76" s="1"/>
  <c r="U428" i="76"/>
  <c r="S428" i="76"/>
  <c r="R428" i="76"/>
  <c r="P428" i="76"/>
  <c r="N428" i="76"/>
  <c r="M428" i="76"/>
  <c r="K428" i="76"/>
  <c r="J428" i="76"/>
  <c r="I428" i="76"/>
  <c r="H428" i="76"/>
  <c r="G428" i="76"/>
  <c r="F428" i="76"/>
  <c r="E428" i="76"/>
  <c r="D428" i="76"/>
  <c r="C428" i="76"/>
  <c r="B428" i="76" s="1"/>
  <c r="U427" i="76"/>
  <c r="S427" i="76"/>
  <c r="R427" i="76"/>
  <c r="P427" i="76"/>
  <c r="N427" i="76"/>
  <c r="M427" i="76"/>
  <c r="K427" i="76"/>
  <c r="J427" i="76"/>
  <c r="I427" i="76"/>
  <c r="H427" i="76"/>
  <c r="G427" i="76"/>
  <c r="F427" i="76"/>
  <c r="E427" i="76"/>
  <c r="D427" i="76"/>
  <c r="C427" i="76"/>
  <c r="B427" i="76" s="1"/>
  <c r="U426" i="76"/>
  <c r="S426" i="76"/>
  <c r="R426" i="76"/>
  <c r="P426" i="76"/>
  <c r="N426" i="76"/>
  <c r="M426" i="76"/>
  <c r="K426" i="76"/>
  <c r="J426" i="76"/>
  <c r="I426" i="76"/>
  <c r="H426" i="76"/>
  <c r="G426" i="76"/>
  <c r="F426" i="76"/>
  <c r="E426" i="76"/>
  <c r="D426" i="76"/>
  <c r="C426" i="76"/>
  <c r="B426" i="76" s="1"/>
  <c r="U425" i="76"/>
  <c r="S425" i="76"/>
  <c r="R425" i="76"/>
  <c r="P425" i="76"/>
  <c r="N425" i="76"/>
  <c r="M425" i="76"/>
  <c r="K425" i="76"/>
  <c r="J425" i="76"/>
  <c r="I425" i="76"/>
  <c r="H425" i="76"/>
  <c r="G425" i="76"/>
  <c r="F425" i="76"/>
  <c r="E425" i="76"/>
  <c r="D425" i="76"/>
  <c r="C425" i="76"/>
  <c r="B425" i="76" s="1"/>
  <c r="U424" i="76"/>
  <c r="S424" i="76"/>
  <c r="R424" i="76"/>
  <c r="P424" i="76"/>
  <c r="N424" i="76"/>
  <c r="M424" i="76"/>
  <c r="K424" i="76"/>
  <c r="J424" i="76"/>
  <c r="I424" i="76"/>
  <c r="H424" i="76"/>
  <c r="G424" i="76"/>
  <c r="F424" i="76"/>
  <c r="E424" i="76"/>
  <c r="D424" i="76"/>
  <c r="C424" i="76"/>
  <c r="B424" i="76" s="1"/>
  <c r="U423" i="76"/>
  <c r="S423" i="76"/>
  <c r="R423" i="76"/>
  <c r="P423" i="76"/>
  <c r="N423" i="76"/>
  <c r="M423" i="76"/>
  <c r="K423" i="76"/>
  <c r="J423" i="76"/>
  <c r="I423" i="76"/>
  <c r="H423" i="76"/>
  <c r="G423" i="76"/>
  <c r="F423" i="76"/>
  <c r="E423" i="76"/>
  <c r="D423" i="76"/>
  <c r="C423" i="76"/>
  <c r="B423" i="76" s="1"/>
  <c r="U422" i="76"/>
  <c r="S422" i="76"/>
  <c r="R422" i="76"/>
  <c r="P422" i="76"/>
  <c r="N422" i="76"/>
  <c r="M422" i="76"/>
  <c r="K422" i="76"/>
  <c r="J422" i="76"/>
  <c r="I422" i="76"/>
  <c r="H422" i="76"/>
  <c r="G422" i="76"/>
  <c r="F422" i="76"/>
  <c r="E422" i="76"/>
  <c r="D422" i="76"/>
  <c r="C422" i="76"/>
  <c r="B422" i="76" s="1"/>
  <c r="U421" i="76"/>
  <c r="S421" i="76"/>
  <c r="R421" i="76"/>
  <c r="P421" i="76"/>
  <c r="N421" i="76"/>
  <c r="M421" i="76"/>
  <c r="K421" i="76"/>
  <c r="J421" i="76"/>
  <c r="I421" i="76"/>
  <c r="H421" i="76"/>
  <c r="G421" i="76"/>
  <c r="F421" i="76"/>
  <c r="E421" i="76"/>
  <c r="D421" i="76"/>
  <c r="C421" i="76"/>
  <c r="B421" i="76" s="1"/>
  <c r="U420" i="76"/>
  <c r="S420" i="76"/>
  <c r="R420" i="76"/>
  <c r="P420" i="76"/>
  <c r="N420" i="76"/>
  <c r="M420" i="76"/>
  <c r="K420" i="76"/>
  <c r="J420" i="76"/>
  <c r="I420" i="76"/>
  <c r="H420" i="76"/>
  <c r="G420" i="76"/>
  <c r="F420" i="76"/>
  <c r="E420" i="76"/>
  <c r="D420" i="76"/>
  <c r="C420" i="76"/>
  <c r="B420" i="76" s="1"/>
  <c r="U419" i="76"/>
  <c r="S419" i="76"/>
  <c r="R419" i="76"/>
  <c r="P419" i="76"/>
  <c r="N419" i="76"/>
  <c r="M419" i="76"/>
  <c r="K419" i="76"/>
  <c r="J419" i="76"/>
  <c r="I419" i="76"/>
  <c r="H419" i="76"/>
  <c r="G419" i="76"/>
  <c r="F419" i="76"/>
  <c r="E419" i="76"/>
  <c r="D419" i="76"/>
  <c r="C419" i="76"/>
  <c r="B419" i="76" s="1"/>
  <c r="U418" i="76"/>
  <c r="S418" i="76"/>
  <c r="R418" i="76"/>
  <c r="P418" i="76"/>
  <c r="N418" i="76"/>
  <c r="M418" i="76"/>
  <c r="K418" i="76"/>
  <c r="J418" i="76"/>
  <c r="I418" i="76"/>
  <c r="H418" i="76"/>
  <c r="G418" i="76"/>
  <c r="F418" i="76"/>
  <c r="E418" i="76"/>
  <c r="D418" i="76"/>
  <c r="C418" i="76"/>
  <c r="B418" i="76" s="1"/>
  <c r="U417" i="76"/>
  <c r="S417" i="76"/>
  <c r="R417" i="76"/>
  <c r="P417" i="76"/>
  <c r="N417" i="76"/>
  <c r="M417" i="76"/>
  <c r="K417" i="76"/>
  <c r="J417" i="76"/>
  <c r="I417" i="76"/>
  <c r="H417" i="76"/>
  <c r="G417" i="76"/>
  <c r="F417" i="76"/>
  <c r="E417" i="76"/>
  <c r="D417" i="76"/>
  <c r="C417" i="76"/>
  <c r="B417" i="76" s="1"/>
  <c r="U416" i="76"/>
  <c r="S416" i="76"/>
  <c r="R416" i="76"/>
  <c r="P416" i="76"/>
  <c r="N416" i="76"/>
  <c r="M416" i="76"/>
  <c r="K416" i="76"/>
  <c r="J416" i="76"/>
  <c r="I416" i="76"/>
  <c r="H416" i="76"/>
  <c r="G416" i="76"/>
  <c r="F416" i="76"/>
  <c r="E416" i="76"/>
  <c r="D416" i="76"/>
  <c r="C416" i="76"/>
  <c r="B416" i="76" s="1"/>
  <c r="U415" i="76"/>
  <c r="S415" i="76"/>
  <c r="R415" i="76"/>
  <c r="P415" i="76"/>
  <c r="N415" i="76"/>
  <c r="M415" i="76"/>
  <c r="K415" i="76"/>
  <c r="J415" i="76"/>
  <c r="I415" i="76"/>
  <c r="H415" i="76"/>
  <c r="G415" i="76"/>
  <c r="F415" i="76"/>
  <c r="E415" i="76"/>
  <c r="D415" i="76"/>
  <c r="C415" i="76"/>
  <c r="B415" i="76" s="1"/>
  <c r="U414" i="76"/>
  <c r="S414" i="76"/>
  <c r="R414" i="76"/>
  <c r="P414" i="76"/>
  <c r="N414" i="76"/>
  <c r="M414" i="76"/>
  <c r="K414" i="76"/>
  <c r="J414" i="76"/>
  <c r="I414" i="76"/>
  <c r="H414" i="76"/>
  <c r="G414" i="76"/>
  <c r="F414" i="76"/>
  <c r="E414" i="76"/>
  <c r="D414" i="76"/>
  <c r="C414" i="76"/>
  <c r="B414" i="76" s="1"/>
  <c r="U413" i="76"/>
  <c r="S413" i="76"/>
  <c r="R413" i="76"/>
  <c r="P413" i="76"/>
  <c r="N413" i="76"/>
  <c r="M413" i="76"/>
  <c r="K413" i="76"/>
  <c r="J413" i="76"/>
  <c r="I413" i="76"/>
  <c r="H413" i="76"/>
  <c r="G413" i="76"/>
  <c r="F413" i="76"/>
  <c r="E413" i="76"/>
  <c r="D413" i="76"/>
  <c r="C413" i="76"/>
  <c r="B413" i="76" s="1"/>
  <c r="U412" i="76"/>
  <c r="S412" i="76"/>
  <c r="R412" i="76"/>
  <c r="P412" i="76"/>
  <c r="N412" i="76"/>
  <c r="M412" i="76"/>
  <c r="K412" i="76"/>
  <c r="J412" i="76"/>
  <c r="I412" i="76"/>
  <c r="H412" i="76"/>
  <c r="G412" i="76"/>
  <c r="F412" i="76"/>
  <c r="E412" i="76"/>
  <c r="D412" i="76"/>
  <c r="C412" i="76"/>
  <c r="B412" i="76" s="1"/>
  <c r="U411" i="76"/>
  <c r="S411" i="76"/>
  <c r="R411" i="76"/>
  <c r="P411" i="76"/>
  <c r="N411" i="76"/>
  <c r="M411" i="76"/>
  <c r="K411" i="76"/>
  <c r="J411" i="76"/>
  <c r="I411" i="76"/>
  <c r="H411" i="76"/>
  <c r="G411" i="76"/>
  <c r="F411" i="76"/>
  <c r="E411" i="76"/>
  <c r="D411" i="76"/>
  <c r="C411" i="76"/>
  <c r="B411" i="76" s="1"/>
  <c r="U410" i="76"/>
  <c r="S410" i="76"/>
  <c r="R410" i="76"/>
  <c r="P410" i="76"/>
  <c r="N410" i="76"/>
  <c r="M410" i="76"/>
  <c r="K410" i="76"/>
  <c r="J410" i="76"/>
  <c r="I410" i="76"/>
  <c r="H410" i="76"/>
  <c r="G410" i="76"/>
  <c r="F410" i="76"/>
  <c r="E410" i="76"/>
  <c r="D410" i="76"/>
  <c r="C410" i="76"/>
  <c r="B410" i="76" s="1"/>
  <c r="U409" i="76"/>
  <c r="S409" i="76"/>
  <c r="R409" i="76"/>
  <c r="P409" i="76"/>
  <c r="N409" i="76"/>
  <c r="M409" i="76"/>
  <c r="K409" i="76"/>
  <c r="J409" i="76"/>
  <c r="I409" i="76"/>
  <c r="H409" i="76"/>
  <c r="G409" i="76"/>
  <c r="F409" i="76"/>
  <c r="E409" i="76"/>
  <c r="D409" i="76"/>
  <c r="C409" i="76"/>
  <c r="B409" i="76" s="1"/>
  <c r="U408" i="76"/>
  <c r="S408" i="76"/>
  <c r="R408" i="76"/>
  <c r="P408" i="76"/>
  <c r="N408" i="76"/>
  <c r="M408" i="76"/>
  <c r="K408" i="76"/>
  <c r="J408" i="76"/>
  <c r="I408" i="76"/>
  <c r="H408" i="76"/>
  <c r="G408" i="76"/>
  <c r="F408" i="76"/>
  <c r="E408" i="76"/>
  <c r="D408" i="76"/>
  <c r="C408" i="76"/>
  <c r="B408" i="76" s="1"/>
  <c r="U407" i="76"/>
  <c r="S407" i="76"/>
  <c r="R407" i="76"/>
  <c r="P407" i="76"/>
  <c r="N407" i="76"/>
  <c r="M407" i="76"/>
  <c r="K407" i="76"/>
  <c r="J407" i="76"/>
  <c r="I407" i="76"/>
  <c r="H407" i="76"/>
  <c r="G407" i="76"/>
  <c r="F407" i="76"/>
  <c r="E407" i="76"/>
  <c r="D407" i="76"/>
  <c r="C407" i="76"/>
  <c r="B407" i="76" s="1"/>
  <c r="U406" i="76"/>
  <c r="S406" i="76"/>
  <c r="R406" i="76"/>
  <c r="P406" i="76"/>
  <c r="N406" i="76"/>
  <c r="M406" i="76"/>
  <c r="K406" i="76"/>
  <c r="J406" i="76"/>
  <c r="I406" i="76"/>
  <c r="H406" i="76"/>
  <c r="G406" i="76"/>
  <c r="F406" i="76"/>
  <c r="E406" i="76"/>
  <c r="D406" i="76"/>
  <c r="C406" i="76"/>
  <c r="B406" i="76" s="1"/>
  <c r="U405" i="76"/>
  <c r="S405" i="76"/>
  <c r="R405" i="76"/>
  <c r="P405" i="76"/>
  <c r="N405" i="76"/>
  <c r="M405" i="76"/>
  <c r="K405" i="76"/>
  <c r="J405" i="76"/>
  <c r="I405" i="76"/>
  <c r="H405" i="76"/>
  <c r="G405" i="76"/>
  <c r="F405" i="76"/>
  <c r="E405" i="76"/>
  <c r="D405" i="76"/>
  <c r="C405" i="76"/>
  <c r="B405" i="76" s="1"/>
  <c r="U404" i="76"/>
  <c r="S404" i="76"/>
  <c r="R404" i="76"/>
  <c r="P404" i="76"/>
  <c r="N404" i="76"/>
  <c r="M404" i="76"/>
  <c r="K404" i="76"/>
  <c r="J404" i="76"/>
  <c r="I404" i="76"/>
  <c r="H404" i="76"/>
  <c r="G404" i="76"/>
  <c r="F404" i="76"/>
  <c r="E404" i="76"/>
  <c r="D404" i="76"/>
  <c r="C404" i="76"/>
  <c r="B404" i="76" s="1"/>
  <c r="U403" i="76"/>
  <c r="S403" i="76"/>
  <c r="R403" i="76"/>
  <c r="P403" i="76"/>
  <c r="N403" i="76"/>
  <c r="M403" i="76"/>
  <c r="K403" i="76"/>
  <c r="J403" i="76"/>
  <c r="I403" i="76"/>
  <c r="H403" i="76"/>
  <c r="G403" i="76"/>
  <c r="F403" i="76"/>
  <c r="E403" i="76"/>
  <c r="D403" i="76"/>
  <c r="C403" i="76"/>
  <c r="B403" i="76" s="1"/>
  <c r="U402" i="76"/>
  <c r="S402" i="76"/>
  <c r="R402" i="76"/>
  <c r="P402" i="76"/>
  <c r="N402" i="76"/>
  <c r="M402" i="76"/>
  <c r="K402" i="76"/>
  <c r="J402" i="76"/>
  <c r="I402" i="76"/>
  <c r="H402" i="76"/>
  <c r="G402" i="76"/>
  <c r="F402" i="76"/>
  <c r="E402" i="76"/>
  <c r="D402" i="76"/>
  <c r="C402" i="76"/>
  <c r="B402" i="76" s="1"/>
  <c r="U401" i="76"/>
  <c r="S401" i="76"/>
  <c r="R401" i="76"/>
  <c r="P401" i="76"/>
  <c r="N401" i="76"/>
  <c r="M401" i="76"/>
  <c r="K401" i="76"/>
  <c r="J401" i="76"/>
  <c r="I401" i="76"/>
  <c r="H401" i="76"/>
  <c r="G401" i="76"/>
  <c r="F401" i="76"/>
  <c r="E401" i="76"/>
  <c r="D401" i="76"/>
  <c r="C401" i="76"/>
  <c r="B401" i="76" s="1"/>
  <c r="U400" i="76"/>
  <c r="S400" i="76"/>
  <c r="R400" i="76"/>
  <c r="P400" i="76"/>
  <c r="N400" i="76"/>
  <c r="M400" i="76"/>
  <c r="K400" i="76"/>
  <c r="J400" i="76"/>
  <c r="I400" i="76"/>
  <c r="H400" i="76"/>
  <c r="G400" i="76"/>
  <c r="F400" i="76"/>
  <c r="E400" i="76"/>
  <c r="D400" i="76"/>
  <c r="C400" i="76"/>
  <c r="B400" i="76" s="1"/>
  <c r="U399" i="76"/>
  <c r="S399" i="76"/>
  <c r="R399" i="76"/>
  <c r="P399" i="76"/>
  <c r="N399" i="76"/>
  <c r="M399" i="76"/>
  <c r="K399" i="76"/>
  <c r="J399" i="76"/>
  <c r="I399" i="76"/>
  <c r="H399" i="76"/>
  <c r="G399" i="76"/>
  <c r="F399" i="76"/>
  <c r="E399" i="76"/>
  <c r="D399" i="76"/>
  <c r="C399" i="76"/>
  <c r="B399" i="76" s="1"/>
  <c r="U398" i="76"/>
  <c r="S398" i="76"/>
  <c r="R398" i="76"/>
  <c r="P398" i="76"/>
  <c r="N398" i="76"/>
  <c r="M398" i="76"/>
  <c r="K398" i="76"/>
  <c r="J398" i="76"/>
  <c r="I398" i="76"/>
  <c r="H398" i="76"/>
  <c r="G398" i="76"/>
  <c r="F398" i="76"/>
  <c r="E398" i="76"/>
  <c r="D398" i="76"/>
  <c r="C398" i="76"/>
  <c r="B398" i="76" s="1"/>
  <c r="U397" i="76"/>
  <c r="S397" i="76"/>
  <c r="R397" i="76"/>
  <c r="P397" i="76"/>
  <c r="N397" i="76"/>
  <c r="M397" i="76"/>
  <c r="K397" i="76"/>
  <c r="J397" i="76"/>
  <c r="I397" i="76"/>
  <c r="H397" i="76"/>
  <c r="G397" i="76"/>
  <c r="F397" i="76"/>
  <c r="E397" i="76"/>
  <c r="D397" i="76"/>
  <c r="C397" i="76"/>
  <c r="B397" i="76" s="1"/>
  <c r="U396" i="76"/>
  <c r="S396" i="76"/>
  <c r="R396" i="76"/>
  <c r="P396" i="76"/>
  <c r="N396" i="76"/>
  <c r="M396" i="76"/>
  <c r="K396" i="76"/>
  <c r="J396" i="76"/>
  <c r="I396" i="76"/>
  <c r="H396" i="76"/>
  <c r="G396" i="76"/>
  <c r="F396" i="76"/>
  <c r="E396" i="76"/>
  <c r="D396" i="76"/>
  <c r="C396" i="76"/>
  <c r="B396" i="76" s="1"/>
  <c r="U395" i="76"/>
  <c r="S395" i="76"/>
  <c r="R395" i="76"/>
  <c r="P395" i="76"/>
  <c r="N395" i="76"/>
  <c r="M395" i="76"/>
  <c r="K395" i="76"/>
  <c r="J395" i="76"/>
  <c r="I395" i="76"/>
  <c r="H395" i="76"/>
  <c r="G395" i="76"/>
  <c r="F395" i="76"/>
  <c r="E395" i="76"/>
  <c r="D395" i="76"/>
  <c r="C395" i="76"/>
  <c r="B395" i="76" s="1"/>
  <c r="U394" i="76"/>
  <c r="S394" i="76"/>
  <c r="R394" i="76"/>
  <c r="P394" i="76"/>
  <c r="N394" i="76"/>
  <c r="M394" i="76"/>
  <c r="K394" i="76"/>
  <c r="J394" i="76"/>
  <c r="I394" i="76"/>
  <c r="H394" i="76"/>
  <c r="G394" i="76"/>
  <c r="F394" i="76"/>
  <c r="E394" i="76"/>
  <c r="D394" i="76"/>
  <c r="C394" i="76"/>
  <c r="B394" i="76" s="1"/>
  <c r="U393" i="76"/>
  <c r="S393" i="76"/>
  <c r="R393" i="76"/>
  <c r="P393" i="76"/>
  <c r="N393" i="76"/>
  <c r="M393" i="76"/>
  <c r="K393" i="76"/>
  <c r="J393" i="76"/>
  <c r="I393" i="76"/>
  <c r="H393" i="76"/>
  <c r="G393" i="76"/>
  <c r="F393" i="76"/>
  <c r="E393" i="76"/>
  <c r="D393" i="76"/>
  <c r="C393" i="76"/>
  <c r="B393" i="76" s="1"/>
  <c r="U392" i="76"/>
  <c r="S392" i="76"/>
  <c r="R392" i="76"/>
  <c r="P392" i="76"/>
  <c r="N392" i="76"/>
  <c r="M392" i="76"/>
  <c r="K392" i="76"/>
  <c r="J392" i="76"/>
  <c r="I392" i="76"/>
  <c r="H392" i="76"/>
  <c r="G392" i="76"/>
  <c r="F392" i="76"/>
  <c r="E392" i="76"/>
  <c r="D392" i="76"/>
  <c r="C392" i="76"/>
  <c r="B392" i="76" s="1"/>
  <c r="U391" i="76"/>
  <c r="S391" i="76"/>
  <c r="R391" i="76"/>
  <c r="P391" i="76"/>
  <c r="N391" i="76"/>
  <c r="M391" i="76"/>
  <c r="K391" i="76"/>
  <c r="J391" i="76"/>
  <c r="I391" i="76"/>
  <c r="H391" i="76"/>
  <c r="G391" i="76"/>
  <c r="F391" i="76"/>
  <c r="E391" i="76"/>
  <c r="D391" i="76"/>
  <c r="C391" i="76"/>
  <c r="B391" i="76" s="1"/>
  <c r="U390" i="76"/>
  <c r="S390" i="76"/>
  <c r="R390" i="76"/>
  <c r="P390" i="76"/>
  <c r="N390" i="76"/>
  <c r="M390" i="76"/>
  <c r="K390" i="76"/>
  <c r="J390" i="76"/>
  <c r="I390" i="76"/>
  <c r="H390" i="76"/>
  <c r="G390" i="76"/>
  <c r="F390" i="76"/>
  <c r="E390" i="76"/>
  <c r="D390" i="76"/>
  <c r="C390" i="76"/>
  <c r="B390" i="76" s="1"/>
  <c r="U389" i="76"/>
  <c r="S389" i="76"/>
  <c r="R389" i="76"/>
  <c r="P389" i="76"/>
  <c r="N389" i="76"/>
  <c r="M389" i="76"/>
  <c r="K389" i="76"/>
  <c r="J389" i="76"/>
  <c r="I389" i="76"/>
  <c r="H389" i="76"/>
  <c r="G389" i="76"/>
  <c r="F389" i="76"/>
  <c r="E389" i="76"/>
  <c r="D389" i="76"/>
  <c r="C389" i="76"/>
  <c r="B389" i="76" s="1"/>
  <c r="U388" i="76"/>
  <c r="S388" i="76"/>
  <c r="R388" i="76"/>
  <c r="P388" i="76"/>
  <c r="N388" i="76"/>
  <c r="M388" i="76"/>
  <c r="K388" i="76"/>
  <c r="J388" i="76"/>
  <c r="I388" i="76"/>
  <c r="H388" i="76"/>
  <c r="G388" i="76"/>
  <c r="F388" i="76"/>
  <c r="E388" i="76"/>
  <c r="D388" i="76"/>
  <c r="C388" i="76"/>
  <c r="B388" i="76" s="1"/>
  <c r="U387" i="76"/>
  <c r="S387" i="76"/>
  <c r="R387" i="76"/>
  <c r="P387" i="76"/>
  <c r="N387" i="76"/>
  <c r="M387" i="76"/>
  <c r="K387" i="76"/>
  <c r="J387" i="76"/>
  <c r="I387" i="76"/>
  <c r="H387" i="76"/>
  <c r="G387" i="76"/>
  <c r="F387" i="76"/>
  <c r="E387" i="76"/>
  <c r="D387" i="76"/>
  <c r="C387" i="76"/>
  <c r="B387" i="76" s="1"/>
  <c r="U386" i="76"/>
  <c r="S386" i="76"/>
  <c r="R386" i="76"/>
  <c r="P386" i="76"/>
  <c r="N386" i="76"/>
  <c r="M386" i="76"/>
  <c r="K386" i="76"/>
  <c r="J386" i="76"/>
  <c r="I386" i="76"/>
  <c r="H386" i="76"/>
  <c r="G386" i="76"/>
  <c r="F386" i="76"/>
  <c r="E386" i="76"/>
  <c r="D386" i="76"/>
  <c r="C386" i="76"/>
  <c r="B386" i="76" s="1"/>
  <c r="U385" i="76"/>
  <c r="S385" i="76"/>
  <c r="R385" i="76"/>
  <c r="P385" i="76"/>
  <c r="N385" i="76"/>
  <c r="M385" i="76"/>
  <c r="K385" i="76"/>
  <c r="J385" i="76"/>
  <c r="I385" i="76"/>
  <c r="H385" i="76"/>
  <c r="G385" i="76"/>
  <c r="F385" i="76"/>
  <c r="E385" i="76"/>
  <c r="D385" i="76"/>
  <c r="C385" i="76"/>
  <c r="B385" i="76" s="1"/>
  <c r="U384" i="76"/>
  <c r="S384" i="76"/>
  <c r="R384" i="76"/>
  <c r="P384" i="76"/>
  <c r="N384" i="76"/>
  <c r="M384" i="76"/>
  <c r="K384" i="76"/>
  <c r="J384" i="76"/>
  <c r="I384" i="76"/>
  <c r="H384" i="76"/>
  <c r="G384" i="76"/>
  <c r="F384" i="76"/>
  <c r="E384" i="76"/>
  <c r="D384" i="76"/>
  <c r="C384" i="76"/>
  <c r="B384" i="76" s="1"/>
  <c r="U383" i="76"/>
  <c r="S383" i="76"/>
  <c r="R383" i="76"/>
  <c r="P383" i="76"/>
  <c r="N383" i="76"/>
  <c r="M383" i="76"/>
  <c r="K383" i="76"/>
  <c r="J383" i="76"/>
  <c r="I383" i="76"/>
  <c r="H383" i="76"/>
  <c r="G383" i="76"/>
  <c r="F383" i="76"/>
  <c r="E383" i="76"/>
  <c r="D383" i="76"/>
  <c r="C383" i="76"/>
  <c r="B383" i="76" s="1"/>
  <c r="U382" i="76"/>
  <c r="S382" i="76"/>
  <c r="R382" i="76"/>
  <c r="P382" i="76"/>
  <c r="N382" i="76"/>
  <c r="M382" i="76"/>
  <c r="K382" i="76"/>
  <c r="J382" i="76"/>
  <c r="I382" i="76"/>
  <c r="H382" i="76"/>
  <c r="G382" i="76"/>
  <c r="F382" i="76"/>
  <c r="E382" i="76"/>
  <c r="D382" i="76"/>
  <c r="C382" i="76"/>
  <c r="B382" i="76" s="1"/>
  <c r="U381" i="76"/>
  <c r="S381" i="76"/>
  <c r="R381" i="76"/>
  <c r="P381" i="76"/>
  <c r="N381" i="76"/>
  <c r="M381" i="76"/>
  <c r="K381" i="76"/>
  <c r="J381" i="76"/>
  <c r="I381" i="76"/>
  <c r="H381" i="76"/>
  <c r="G381" i="76"/>
  <c r="F381" i="76"/>
  <c r="E381" i="76"/>
  <c r="D381" i="76"/>
  <c r="C381" i="76"/>
  <c r="B381" i="76" s="1"/>
  <c r="U380" i="76"/>
  <c r="S380" i="76"/>
  <c r="R380" i="76"/>
  <c r="P380" i="76"/>
  <c r="N380" i="76"/>
  <c r="M380" i="76"/>
  <c r="K380" i="76"/>
  <c r="J380" i="76"/>
  <c r="I380" i="76"/>
  <c r="H380" i="76"/>
  <c r="G380" i="76"/>
  <c r="F380" i="76"/>
  <c r="E380" i="76"/>
  <c r="D380" i="76"/>
  <c r="C380" i="76"/>
  <c r="B380" i="76" s="1"/>
  <c r="U379" i="76"/>
  <c r="S379" i="76"/>
  <c r="R379" i="76"/>
  <c r="P379" i="76"/>
  <c r="N379" i="76"/>
  <c r="M379" i="76"/>
  <c r="K379" i="76"/>
  <c r="J379" i="76"/>
  <c r="I379" i="76"/>
  <c r="H379" i="76"/>
  <c r="G379" i="76"/>
  <c r="F379" i="76"/>
  <c r="E379" i="76"/>
  <c r="D379" i="76"/>
  <c r="C379" i="76"/>
  <c r="B379" i="76" s="1"/>
  <c r="U378" i="76"/>
  <c r="S378" i="76"/>
  <c r="R378" i="76"/>
  <c r="P378" i="76"/>
  <c r="N378" i="76"/>
  <c r="M378" i="76"/>
  <c r="K378" i="76"/>
  <c r="J378" i="76"/>
  <c r="I378" i="76"/>
  <c r="H378" i="76"/>
  <c r="G378" i="76"/>
  <c r="F378" i="76"/>
  <c r="E378" i="76"/>
  <c r="D378" i="76"/>
  <c r="C378" i="76"/>
  <c r="B378" i="76" s="1"/>
  <c r="U377" i="76"/>
  <c r="S377" i="76"/>
  <c r="R377" i="76"/>
  <c r="P377" i="76"/>
  <c r="N377" i="76"/>
  <c r="M377" i="76"/>
  <c r="K377" i="76"/>
  <c r="J377" i="76"/>
  <c r="I377" i="76"/>
  <c r="H377" i="76"/>
  <c r="G377" i="76"/>
  <c r="F377" i="76"/>
  <c r="E377" i="76"/>
  <c r="D377" i="76"/>
  <c r="C377" i="76"/>
  <c r="B377" i="76" s="1"/>
  <c r="U376" i="76"/>
  <c r="S376" i="76"/>
  <c r="R376" i="76"/>
  <c r="P376" i="76"/>
  <c r="N376" i="76"/>
  <c r="M376" i="76"/>
  <c r="K376" i="76"/>
  <c r="J376" i="76"/>
  <c r="I376" i="76"/>
  <c r="H376" i="76"/>
  <c r="G376" i="76"/>
  <c r="F376" i="76"/>
  <c r="E376" i="76"/>
  <c r="D376" i="76"/>
  <c r="C376" i="76"/>
  <c r="B376" i="76" s="1"/>
  <c r="U375" i="76"/>
  <c r="S375" i="76"/>
  <c r="R375" i="76"/>
  <c r="P375" i="76"/>
  <c r="N375" i="76"/>
  <c r="M375" i="76"/>
  <c r="K375" i="76"/>
  <c r="J375" i="76"/>
  <c r="I375" i="76"/>
  <c r="H375" i="76"/>
  <c r="G375" i="76"/>
  <c r="F375" i="76"/>
  <c r="E375" i="76"/>
  <c r="D375" i="76"/>
  <c r="C375" i="76"/>
  <c r="B375" i="76" s="1"/>
  <c r="U374" i="76"/>
  <c r="S374" i="76"/>
  <c r="R374" i="76"/>
  <c r="P374" i="76"/>
  <c r="N374" i="76"/>
  <c r="M374" i="76"/>
  <c r="K374" i="76"/>
  <c r="J374" i="76"/>
  <c r="I374" i="76"/>
  <c r="H374" i="76"/>
  <c r="G374" i="76"/>
  <c r="F374" i="76"/>
  <c r="E374" i="76"/>
  <c r="D374" i="76"/>
  <c r="C374" i="76"/>
  <c r="B374" i="76" s="1"/>
  <c r="U373" i="76"/>
  <c r="S373" i="76"/>
  <c r="R373" i="76"/>
  <c r="P373" i="76"/>
  <c r="N373" i="76"/>
  <c r="M373" i="76"/>
  <c r="K373" i="76"/>
  <c r="J373" i="76"/>
  <c r="I373" i="76"/>
  <c r="H373" i="76"/>
  <c r="G373" i="76"/>
  <c r="F373" i="76"/>
  <c r="E373" i="76"/>
  <c r="D373" i="76"/>
  <c r="C373" i="76"/>
  <c r="B373" i="76" s="1"/>
  <c r="U372" i="76"/>
  <c r="S372" i="76"/>
  <c r="R372" i="76"/>
  <c r="P372" i="76"/>
  <c r="N372" i="76"/>
  <c r="M372" i="76"/>
  <c r="K372" i="76"/>
  <c r="J372" i="76"/>
  <c r="I372" i="76"/>
  <c r="H372" i="76"/>
  <c r="G372" i="76"/>
  <c r="F372" i="76"/>
  <c r="E372" i="76"/>
  <c r="D372" i="76"/>
  <c r="C372" i="76"/>
  <c r="B372" i="76" s="1"/>
  <c r="U371" i="76"/>
  <c r="S371" i="76"/>
  <c r="R371" i="76"/>
  <c r="P371" i="76"/>
  <c r="N371" i="76"/>
  <c r="M371" i="76"/>
  <c r="K371" i="76"/>
  <c r="J371" i="76"/>
  <c r="I371" i="76"/>
  <c r="H371" i="76"/>
  <c r="G371" i="76"/>
  <c r="F371" i="76"/>
  <c r="E371" i="76"/>
  <c r="D371" i="76"/>
  <c r="C371" i="76"/>
  <c r="B371" i="76" s="1"/>
  <c r="U370" i="76"/>
  <c r="S370" i="76"/>
  <c r="R370" i="76"/>
  <c r="P370" i="76"/>
  <c r="N370" i="76"/>
  <c r="M370" i="76"/>
  <c r="K370" i="76"/>
  <c r="J370" i="76"/>
  <c r="I370" i="76"/>
  <c r="H370" i="76"/>
  <c r="G370" i="76"/>
  <c r="F370" i="76"/>
  <c r="E370" i="76"/>
  <c r="D370" i="76"/>
  <c r="C370" i="76"/>
  <c r="B370" i="76" s="1"/>
  <c r="U369" i="76"/>
  <c r="S369" i="76"/>
  <c r="R369" i="76"/>
  <c r="P369" i="76"/>
  <c r="N369" i="76"/>
  <c r="M369" i="76"/>
  <c r="K369" i="76"/>
  <c r="J369" i="76"/>
  <c r="I369" i="76"/>
  <c r="H369" i="76"/>
  <c r="G369" i="76"/>
  <c r="F369" i="76"/>
  <c r="E369" i="76"/>
  <c r="D369" i="76"/>
  <c r="C369" i="76"/>
  <c r="B369" i="76" s="1"/>
  <c r="U368" i="76"/>
  <c r="S368" i="76"/>
  <c r="R368" i="76"/>
  <c r="P368" i="76"/>
  <c r="N368" i="76"/>
  <c r="M368" i="76"/>
  <c r="K368" i="76"/>
  <c r="J368" i="76"/>
  <c r="I368" i="76"/>
  <c r="H368" i="76"/>
  <c r="G368" i="76"/>
  <c r="F368" i="76"/>
  <c r="E368" i="76"/>
  <c r="D368" i="76"/>
  <c r="C368" i="76"/>
  <c r="B368" i="76" s="1"/>
  <c r="U367" i="76"/>
  <c r="S367" i="76"/>
  <c r="R367" i="76"/>
  <c r="P367" i="76"/>
  <c r="N367" i="76"/>
  <c r="M367" i="76"/>
  <c r="K367" i="76"/>
  <c r="J367" i="76"/>
  <c r="I367" i="76"/>
  <c r="H367" i="76"/>
  <c r="G367" i="76"/>
  <c r="F367" i="76"/>
  <c r="E367" i="76"/>
  <c r="D367" i="76"/>
  <c r="C367" i="76"/>
  <c r="B367" i="76" s="1"/>
  <c r="U366" i="76"/>
  <c r="S366" i="76"/>
  <c r="R366" i="76"/>
  <c r="P366" i="76"/>
  <c r="N366" i="76"/>
  <c r="M366" i="76"/>
  <c r="K366" i="76"/>
  <c r="J366" i="76"/>
  <c r="I366" i="76"/>
  <c r="H366" i="76"/>
  <c r="G366" i="76"/>
  <c r="F366" i="76"/>
  <c r="E366" i="76"/>
  <c r="D366" i="76"/>
  <c r="C366" i="76"/>
  <c r="B366" i="76" s="1"/>
  <c r="U365" i="76"/>
  <c r="S365" i="76"/>
  <c r="R365" i="76"/>
  <c r="P365" i="76"/>
  <c r="N365" i="76"/>
  <c r="M365" i="76"/>
  <c r="K365" i="76"/>
  <c r="J365" i="76"/>
  <c r="I365" i="76"/>
  <c r="H365" i="76"/>
  <c r="G365" i="76"/>
  <c r="F365" i="76"/>
  <c r="E365" i="76"/>
  <c r="D365" i="76"/>
  <c r="C365" i="76"/>
  <c r="B365" i="76" s="1"/>
  <c r="U364" i="76"/>
  <c r="S364" i="76"/>
  <c r="R364" i="76"/>
  <c r="P364" i="76"/>
  <c r="N364" i="76"/>
  <c r="M364" i="76"/>
  <c r="K364" i="76"/>
  <c r="J364" i="76"/>
  <c r="I364" i="76"/>
  <c r="H364" i="76"/>
  <c r="G364" i="76"/>
  <c r="F364" i="76"/>
  <c r="E364" i="76"/>
  <c r="D364" i="76"/>
  <c r="C364" i="76"/>
  <c r="B364" i="76" s="1"/>
  <c r="U363" i="76"/>
  <c r="S363" i="76"/>
  <c r="R363" i="76"/>
  <c r="P363" i="76"/>
  <c r="N363" i="76"/>
  <c r="M363" i="76"/>
  <c r="K363" i="76"/>
  <c r="J363" i="76"/>
  <c r="I363" i="76"/>
  <c r="H363" i="76"/>
  <c r="G363" i="76"/>
  <c r="F363" i="76"/>
  <c r="E363" i="76"/>
  <c r="D363" i="76"/>
  <c r="C363" i="76"/>
  <c r="B363" i="76" s="1"/>
  <c r="U362" i="76"/>
  <c r="S362" i="76"/>
  <c r="R362" i="76"/>
  <c r="P362" i="76"/>
  <c r="N362" i="76"/>
  <c r="M362" i="76"/>
  <c r="K362" i="76"/>
  <c r="J362" i="76"/>
  <c r="I362" i="76"/>
  <c r="H362" i="76"/>
  <c r="G362" i="76"/>
  <c r="F362" i="76"/>
  <c r="E362" i="76"/>
  <c r="D362" i="76"/>
  <c r="C362" i="76"/>
  <c r="B362" i="76" s="1"/>
  <c r="U361" i="76"/>
  <c r="S361" i="76"/>
  <c r="R361" i="76"/>
  <c r="P361" i="76"/>
  <c r="N361" i="76"/>
  <c r="M361" i="76"/>
  <c r="K361" i="76"/>
  <c r="J361" i="76"/>
  <c r="I361" i="76"/>
  <c r="H361" i="76"/>
  <c r="G361" i="76"/>
  <c r="F361" i="76"/>
  <c r="E361" i="76"/>
  <c r="D361" i="76"/>
  <c r="C361" i="76"/>
  <c r="B361" i="76" s="1"/>
  <c r="U360" i="76"/>
  <c r="S360" i="76"/>
  <c r="R360" i="76"/>
  <c r="P360" i="76"/>
  <c r="N360" i="76"/>
  <c r="M360" i="76"/>
  <c r="K360" i="76"/>
  <c r="J360" i="76"/>
  <c r="I360" i="76"/>
  <c r="H360" i="76"/>
  <c r="G360" i="76"/>
  <c r="F360" i="76"/>
  <c r="E360" i="76"/>
  <c r="D360" i="76"/>
  <c r="C360" i="76"/>
  <c r="B360" i="76" s="1"/>
  <c r="U359" i="76"/>
  <c r="S359" i="76"/>
  <c r="R359" i="76"/>
  <c r="P359" i="76"/>
  <c r="N359" i="76"/>
  <c r="M359" i="76"/>
  <c r="K359" i="76"/>
  <c r="J359" i="76"/>
  <c r="I359" i="76"/>
  <c r="H359" i="76"/>
  <c r="G359" i="76"/>
  <c r="F359" i="76"/>
  <c r="E359" i="76"/>
  <c r="D359" i="76"/>
  <c r="C359" i="76"/>
  <c r="B359" i="76" s="1"/>
  <c r="U358" i="76"/>
  <c r="S358" i="76"/>
  <c r="R358" i="76"/>
  <c r="P358" i="76"/>
  <c r="N358" i="76"/>
  <c r="M358" i="76"/>
  <c r="K358" i="76"/>
  <c r="J358" i="76"/>
  <c r="I358" i="76"/>
  <c r="H358" i="76"/>
  <c r="G358" i="76"/>
  <c r="F358" i="76"/>
  <c r="E358" i="76"/>
  <c r="D358" i="76"/>
  <c r="C358" i="76"/>
  <c r="B358" i="76" s="1"/>
  <c r="U357" i="76"/>
  <c r="S357" i="76"/>
  <c r="R357" i="76"/>
  <c r="P357" i="76"/>
  <c r="N357" i="76"/>
  <c r="M357" i="76"/>
  <c r="K357" i="76"/>
  <c r="J357" i="76"/>
  <c r="I357" i="76"/>
  <c r="H357" i="76"/>
  <c r="G357" i="76"/>
  <c r="F357" i="76"/>
  <c r="E357" i="76"/>
  <c r="D357" i="76"/>
  <c r="C357" i="76"/>
  <c r="B357" i="76" s="1"/>
  <c r="U356" i="76"/>
  <c r="S356" i="76"/>
  <c r="R356" i="76"/>
  <c r="P356" i="76"/>
  <c r="N356" i="76"/>
  <c r="M356" i="76"/>
  <c r="K356" i="76"/>
  <c r="J356" i="76"/>
  <c r="I356" i="76"/>
  <c r="H356" i="76"/>
  <c r="G356" i="76"/>
  <c r="F356" i="76"/>
  <c r="E356" i="76"/>
  <c r="D356" i="76"/>
  <c r="C356" i="76"/>
  <c r="B356" i="76" s="1"/>
  <c r="U355" i="76"/>
  <c r="S355" i="76"/>
  <c r="R355" i="76"/>
  <c r="P355" i="76"/>
  <c r="N355" i="76"/>
  <c r="M355" i="76"/>
  <c r="K355" i="76"/>
  <c r="J355" i="76"/>
  <c r="I355" i="76"/>
  <c r="H355" i="76"/>
  <c r="G355" i="76"/>
  <c r="F355" i="76"/>
  <c r="E355" i="76"/>
  <c r="D355" i="76"/>
  <c r="C355" i="76"/>
  <c r="B355" i="76" s="1"/>
  <c r="U354" i="76"/>
  <c r="S354" i="76"/>
  <c r="R354" i="76"/>
  <c r="P354" i="76"/>
  <c r="N354" i="76"/>
  <c r="M354" i="76"/>
  <c r="K354" i="76"/>
  <c r="J354" i="76"/>
  <c r="I354" i="76"/>
  <c r="H354" i="76"/>
  <c r="G354" i="76"/>
  <c r="F354" i="76"/>
  <c r="E354" i="76"/>
  <c r="D354" i="76"/>
  <c r="C354" i="76"/>
  <c r="B354" i="76" s="1"/>
  <c r="U353" i="76"/>
  <c r="S353" i="76"/>
  <c r="R353" i="76"/>
  <c r="P353" i="76"/>
  <c r="N353" i="76"/>
  <c r="M353" i="76"/>
  <c r="K353" i="76"/>
  <c r="J353" i="76"/>
  <c r="I353" i="76"/>
  <c r="H353" i="76"/>
  <c r="G353" i="76"/>
  <c r="F353" i="76"/>
  <c r="E353" i="76"/>
  <c r="D353" i="76"/>
  <c r="C353" i="76"/>
  <c r="B353" i="76" s="1"/>
  <c r="U352" i="76"/>
  <c r="S352" i="76"/>
  <c r="R352" i="76"/>
  <c r="P352" i="76"/>
  <c r="N352" i="76"/>
  <c r="M352" i="76"/>
  <c r="K352" i="76"/>
  <c r="J352" i="76"/>
  <c r="I352" i="76"/>
  <c r="H352" i="76"/>
  <c r="G352" i="76"/>
  <c r="F352" i="76"/>
  <c r="E352" i="76"/>
  <c r="D352" i="76"/>
  <c r="C352" i="76"/>
  <c r="B352" i="76" s="1"/>
  <c r="U351" i="76"/>
  <c r="S351" i="76"/>
  <c r="R351" i="76"/>
  <c r="P351" i="76"/>
  <c r="N351" i="76"/>
  <c r="M351" i="76"/>
  <c r="K351" i="76"/>
  <c r="J351" i="76"/>
  <c r="I351" i="76"/>
  <c r="H351" i="76"/>
  <c r="G351" i="76"/>
  <c r="F351" i="76"/>
  <c r="E351" i="76"/>
  <c r="D351" i="76"/>
  <c r="C351" i="76"/>
  <c r="B351" i="76" s="1"/>
  <c r="U350" i="76"/>
  <c r="S350" i="76"/>
  <c r="R350" i="76"/>
  <c r="P350" i="76"/>
  <c r="N350" i="76"/>
  <c r="M350" i="76"/>
  <c r="K350" i="76"/>
  <c r="J350" i="76"/>
  <c r="I350" i="76"/>
  <c r="H350" i="76"/>
  <c r="G350" i="76"/>
  <c r="F350" i="76"/>
  <c r="E350" i="76"/>
  <c r="D350" i="76"/>
  <c r="C350" i="76"/>
  <c r="B350" i="76" s="1"/>
  <c r="U349" i="76"/>
  <c r="S349" i="76"/>
  <c r="R349" i="76"/>
  <c r="P349" i="76"/>
  <c r="N349" i="76"/>
  <c r="M349" i="76"/>
  <c r="K349" i="76"/>
  <c r="J349" i="76"/>
  <c r="I349" i="76"/>
  <c r="H349" i="76"/>
  <c r="G349" i="76"/>
  <c r="F349" i="76"/>
  <c r="E349" i="76"/>
  <c r="D349" i="76"/>
  <c r="C349" i="76"/>
  <c r="B349" i="76" s="1"/>
  <c r="U348" i="76"/>
  <c r="S348" i="76"/>
  <c r="R348" i="76"/>
  <c r="P348" i="76"/>
  <c r="N348" i="76"/>
  <c r="M348" i="76"/>
  <c r="K348" i="76"/>
  <c r="J348" i="76"/>
  <c r="I348" i="76"/>
  <c r="H348" i="76"/>
  <c r="G348" i="76"/>
  <c r="F348" i="76"/>
  <c r="E348" i="76"/>
  <c r="D348" i="76"/>
  <c r="C348" i="76"/>
  <c r="B348" i="76" s="1"/>
  <c r="U347" i="76"/>
  <c r="S347" i="76"/>
  <c r="R347" i="76"/>
  <c r="P347" i="76"/>
  <c r="N347" i="76"/>
  <c r="M347" i="76"/>
  <c r="K347" i="76"/>
  <c r="J347" i="76"/>
  <c r="I347" i="76"/>
  <c r="H347" i="76"/>
  <c r="G347" i="76"/>
  <c r="F347" i="76"/>
  <c r="E347" i="76"/>
  <c r="D347" i="76"/>
  <c r="C347" i="76"/>
  <c r="B347" i="76" s="1"/>
  <c r="U346" i="76"/>
  <c r="S346" i="76"/>
  <c r="R346" i="76"/>
  <c r="P346" i="76"/>
  <c r="N346" i="76"/>
  <c r="M346" i="76"/>
  <c r="K346" i="76"/>
  <c r="J346" i="76"/>
  <c r="I346" i="76"/>
  <c r="H346" i="76"/>
  <c r="G346" i="76"/>
  <c r="F346" i="76"/>
  <c r="E346" i="76"/>
  <c r="D346" i="76"/>
  <c r="C346" i="76"/>
  <c r="B346" i="76" s="1"/>
  <c r="U345" i="76"/>
  <c r="S345" i="76"/>
  <c r="R345" i="76"/>
  <c r="P345" i="76"/>
  <c r="N345" i="76"/>
  <c r="M345" i="76"/>
  <c r="K345" i="76"/>
  <c r="J345" i="76"/>
  <c r="I345" i="76"/>
  <c r="H345" i="76"/>
  <c r="G345" i="76"/>
  <c r="F345" i="76"/>
  <c r="E345" i="76"/>
  <c r="D345" i="76"/>
  <c r="C345" i="76"/>
  <c r="B345" i="76" s="1"/>
  <c r="U344" i="76"/>
  <c r="S344" i="76"/>
  <c r="R344" i="76"/>
  <c r="P344" i="76"/>
  <c r="N344" i="76"/>
  <c r="M344" i="76"/>
  <c r="K344" i="76"/>
  <c r="J344" i="76"/>
  <c r="I344" i="76"/>
  <c r="H344" i="76"/>
  <c r="G344" i="76"/>
  <c r="F344" i="76"/>
  <c r="E344" i="76"/>
  <c r="D344" i="76"/>
  <c r="C344" i="76"/>
  <c r="B344" i="76" s="1"/>
  <c r="U343" i="76"/>
  <c r="S343" i="76"/>
  <c r="R343" i="76"/>
  <c r="P343" i="76"/>
  <c r="N343" i="76"/>
  <c r="M343" i="76"/>
  <c r="K343" i="76"/>
  <c r="J343" i="76"/>
  <c r="I343" i="76"/>
  <c r="H343" i="76"/>
  <c r="G343" i="76"/>
  <c r="F343" i="76"/>
  <c r="E343" i="76"/>
  <c r="D343" i="76"/>
  <c r="C343" i="76"/>
  <c r="B343" i="76" s="1"/>
  <c r="U342" i="76"/>
  <c r="S342" i="76"/>
  <c r="R342" i="76"/>
  <c r="P342" i="76"/>
  <c r="N342" i="76"/>
  <c r="M342" i="76"/>
  <c r="K342" i="76"/>
  <c r="J342" i="76"/>
  <c r="I342" i="76"/>
  <c r="H342" i="76"/>
  <c r="G342" i="76"/>
  <c r="F342" i="76"/>
  <c r="E342" i="76"/>
  <c r="D342" i="76"/>
  <c r="C342" i="76"/>
  <c r="B342" i="76" s="1"/>
  <c r="U341" i="76"/>
  <c r="S341" i="76"/>
  <c r="R341" i="76"/>
  <c r="P341" i="76"/>
  <c r="N341" i="76"/>
  <c r="M341" i="76"/>
  <c r="K341" i="76"/>
  <c r="J341" i="76"/>
  <c r="I341" i="76"/>
  <c r="H341" i="76"/>
  <c r="G341" i="76"/>
  <c r="F341" i="76"/>
  <c r="E341" i="76"/>
  <c r="D341" i="76"/>
  <c r="C341" i="76"/>
  <c r="B341" i="76" s="1"/>
  <c r="U340" i="76"/>
  <c r="S340" i="76"/>
  <c r="R340" i="76"/>
  <c r="P340" i="76"/>
  <c r="N340" i="76"/>
  <c r="M340" i="76"/>
  <c r="K340" i="76"/>
  <c r="J340" i="76"/>
  <c r="I340" i="76"/>
  <c r="H340" i="76"/>
  <c r="G340" i="76"/>
  <c r="F340" i="76"/>
  <c r="E340" i="76"/>
  <c r="D340" i="76"/>
  <c r="C340" i="76"/>
  <c r="B340" i="76" s="1"/>
  <c r="U339" i="76"/>
  <c r="S339" i="76"/>
  <c r="R339" i="76"/>
  <c r="P339" i="76"/>
  <c r="N339" i="76"/>
  <c r="M339" i="76"/>
  <c r="K339" i="76"/>
  <c r="J339" i="76"/>
  <c r="I339" i="76"/>
  <c r="H339" i="76"/>
  <c r="G339" i="76"/>
  <c r="F339" i="76"/>
  <c r="E339" i="76"/>
  <c r="D339" i="76"/>
  <c r="C339" i="76"/>
  <c r="B339" i="76" s="1"/>
  <c r="U338" i="76"/>
  <c r="S338" i="76"/>
  <c r="R338" i="76"/>
  <c r="P338" i="76"/>
  <c r="N338" i="76"/>
  <c r="M338" i="76"/>
  <c r="K338" i="76"/>
  <c r="J338" i="76"/>
  <c r="I338" i="76"/>
  <c r="H338" i="76"/>
  <c r="G338" i="76"/>
  <c r="F338" i="76"/>
  <c r="E338" i="76"/>
  <c r="D338" i="76"/>
  <c r="C338" i="76"/>
  <c r="B338" i="76" s="1"/>
  <c r="U337" i="76"/>
  <c r="S337" i="76"/>
  <c r="R337" i="76"/>
  <c r="P337" i="76"/>
  <c r="N337" i="76"/>
  <c r="M337" i="76"/>
  <c r="K337" i="76"/>
  <c r="J337" i="76"/>
  <c r="I337" i="76"/>
  <c r="H337" i="76"/>
  <c r="G337" i="76"/>
  <c r="F337" i="76"/>
  <c r="E337" i="76"/>
  <c r="D337" i="76"/>
  <c r="C337" i="76"/>
  <c r="B337" i="76" s="1"/>
  <c r="U336" i="76"/>
  <c r="S336" i="76"/>
  <c r="R336" i="76"/>
  <c r="P336" i="76"/>
  <c r="N336" i="76"/>
  <c r="M336" i="76"/>
  <c r="K336" i="76"/>
  <c r="J336" i="76"/>
  <c r="I336" i="76"/>
  <c r="H336" i="76"/>
  <c r="G336" i="76"/>
  <c r="F336" i="76"/>
  <c r="E336" i="76"/>
  <c r="D336" i="76"/>
  <c r="C336" i="76"/>
  <c r="B336" i="76" s="1"/>
  <c r="U335" i="76"/>
  <c r="S335" i="76"/>
  <c r="R335" i="76"/>
  <c r="P335" i="76"/>
  <c r="N335" i="76"/>
  <c r="M335" i="76"/>
  <c r="K335" i="76"/>
  <c r="J335" i="76"/>
  <c r="I335" i="76"/>
  <c r="H335" i="76"/>
  <c r="G335" i="76"/>
  <c r="F335" i="76"/>
  <c r="E335" i="76"/>
  <c r="D335" i="76"/>
  <c r="C335" i="76"/>
  <c r="B335" i="76" s="1"/>
  <c r="U334" i="76"/>
  <c r="S334" i="76"/>
  <c r="R334" i="76"/>
  <c r="P334" i="76"/>
  <c r="N334" i="76"/>
  <c r="M334" i="76"/>
  <c r="K334" i="76"/>
  <c r="J334" i="76"/>
  <c r="I334" i="76"/>
  <c r="H334" i="76"/>
  <c r="G334" i="76"/>
  <c r="F334" i="76"/>
  <c r="E334" i="76"/>
  <c r="D334" i="76"/>
  <c r="C334" i="76"/>
  <c r="B334" i="76" s="1"/>
  <c r="U333" i="76"/>
  <c r="S333" i="76"/>
  <c r="R333" i="76"/>
  <c r="P333" i="76"/>
  <c r="N333" i="76"/>
  <c r="M333" i="76"/>
  <c r="K333" i="76"/>
  <c r="J333" i="76"/>
  <c r="I333" i="76"/>
  <c r="H333" i="76"/>
  <c r="G333" i="76"/>
  <c r="F333" i="76"/>
  <c r="E333" i="76"/>
  <c r="D333" i="76"/>
  <c r="C333" i="76"/>
  <c r="B333" i="76" s="1"/>
  <c r="U332" i="76"/>
  <c r="S332" i="76"/>
  <c r="R332" i="76"/>
  <c r="P332" i="76"/>
  <c r="N332" i="76"/>
  <c r="M332" i="76"/>
  <c r="K332" i="76"/>
  <c r="J332" i="76"/>
  <c r="I332" i="76"/>
  <c r="H332" i="76"/>
  <c r="G332" i="76"/>
  <c r="F332" i="76"/>
  <c r="E332" i="76"/>
  <c r="D332" i="76"/>
  <c r="C332" i="76"/>
  <c r="B332" i="76" s="1"/>
  <c r="U331" i="76"/>
  <c r="S331" i="76"/>
  <c r="R331" i="76"/>
  <c r="P331" i="76"/>
  <c r="N331" i="76"/>
  <c r="M331" i="76"/>
  <c r="K331" i="76"/>
  <c r="J331" i="76"/>
  <c r="I331" i="76"/>
  <c r="H331" i="76"/>
  <c r="G331" i="76"/>
  <c r="F331" i="76"/>
  <c r="E331" i="76"/>
  <c r="D331" i="76"/>
  <c r="C331" i="76"/>
  <c r="B331" i="76" s="1"/>
  <c r="U330" i="76"/>
  <c r="S330" i="76"/>
  <c r="R330" i="76"/>
  <c r="P330" i="76"/>
  <c r="N330" i="76"/>
  <c r="M330" i="76"/>
  <c r="K330" i="76"/>
  <c r="J330" i="76"/>
  <c r="I330" i="76"/>
  <c r="H330" i="76"/>
  <c r="G330" i="76"/>
  <c r="F330" i="76"/>
  <c r="E330" i="76"/>
  <c r="D330" i="76"/>
  <c r="C330" i="76"/>
  <c r="B330" i="76" s="1"/>
  <c r="U329" i="76"/>
  <c r="S329" i="76"/>
  <c r="R329" i="76"/>
  <c r="P329" i="76"/>
  <c r="N329" i="76"/>
  <c r="M329" i="76"/>
  <c r="K329" i="76"/>
  <c r="J329" i="76"/>
  <c r="I329" i="76"/>
  <c r="H329" i="76"/>
  <c r="G329" i="76"/>
  <c r="F329" i="76"/>
  <c r="E329" i="76"/>
  <c r="D329" i="76"/>
  <c r="C329" i="76"/>
  <c r="B329" i="76" s="1"/>
  <c r="U328" i="76"/>
  <c r="S328" i="76"/>
  <c r="R328" i="76"/>
  <c r="P328" i="76"/>
  <c r="N328" i="76"/>
  <c r="M328" i="76"/>
  <c r="K328" i="76"/>
  <c r="J328" i="76"/>
  <c r="I328" i="76"/>
  <c r="H328" i="76"/>
  <c r="G328" i="76"/>
  <c r="F328" i="76"/>
  <c r="E328" i="76"/>
  <c r="D328" i="76"/>
  <c r="C328" i="76"/>
  <c r="B328" i="76" s="1"/>
  <c r="U327" i="76"/>
  <c r="S327" i="76"/>
  <c r="R327" i="76"/>
  <c r="P327" i="76"/>
  <c r="N327" i="76"/>
  <c r="M327" i="76"/>
  <c r="K327" i="76"/>
  <c r="J327" i="76"/>
  <c r="I327" i="76"/>
  <c r="H327" i="76"/>
  <c r="G327" i="76"/>
  <c r="F327" i="76"/>
  <c r="E327" i="76"/>
  <c r="D327" i="76"/>
  <c r="C327" i="76"/>
  <c r="B327" i="76" s="1"/>
  <c r="U326" i="76"/>
  <c r="S326" i="76"/>
  <c r="R326" i="76"/>
  <c r="P326" i="76"/>
  <c r="N326" i="76"/>
  <c r="M326" i="76"/>
  <c r="K326" i="76"/>
  <c r="J326" i="76"/>
  <c r="I326" i="76"/>
  <c r="H326" i="76"/>
  <c r="G326" i="76"/>
  <c r="F326" i="76"/>
  <c r="E326" i="76"/>
  <c r="D326" i="76"/>
  <c r="C326" i="76"/>
  <c r="B326" i="76" s="1"/>
  <c r="U325" i="76"/>
  <c r="S325" i="76"/>
  <c r="R325" i="76"/>
  <c r="P325" i="76"/>
  <c r="N325" i="76"/>
  <c r="M325" i="76"/>
  <c r="K325" i="76"/>
  <c r="J325" i="76"/>
  <c r="I325" i="76"/>
  <c r="H325" i="76"/>
  <c r="G325" i="76"/>
  <c r="F325" i="76"/>
  <c r="E325" i="76"/>
  <c r="D325" i="76"/>
  <c r="C325" i="76"/>
  <c r="B325" i="76" s="1"/>
  <c r="U324" i="76"/>
  <c r="S324" i="76"/>
  <c r="R324" i="76"/>
  <c r="P324" i="76"/>
  <c r="N324" i="76"/>
  <c r="M324" i="76"/>
  <c r="K324" i="76"/>
  <c r="J324" i="76"/>
  <c r="I324" i="76"/>
  <c r="H324" i="76"/>
  <c r="G324" i="76"/>
  <c r="F324" i="76"/>
  <c r="E324" i="76"/>
  <c r="D324" i="76"/>
  <c r="C324" i="76"/>
  <c r="B324" i="76" s="1"/>
  <c r="U323" i="76"/>
  <c r="S323" i="76"/>
  <c r="R323" i="76"/>
  <c r="P323" i="76"/>
  <c r="N323" i="76"/>
  <c r="M323" i="76"/>
  <c r="K323" i="76"/>
  <c r="J323" i="76"/>
  <c r="I323" i="76"/>
  <c r="H323" i="76"/>
  <c r="G323" i="76"/>
  <c r="F323" i="76"/>
  <c r="E323" i="76"/>
  <c r="D323" i="76"/>
  <c r="C323" i="76"/>
  <c r="B323" i="76" s="1"/>
  <c r="U322" i="76"/>
  <c r="S322" i="76"/>
  <c r="R322" i="76"/>
  <c r="P322" i="76"/>
  <c r="N322" i="76"/>
  <c r="M322" i="76"/>
  <c r="K322" i="76"/>
  <c r="J322" i="76"/>
  <c r="I322" i="76"/>
  <c r="H322" i="76"/>
  <c r="G322" i="76"/>
  <c r="F322" i="76"/>
  <c r="E322" i="76"/>
  <c r="D322" i="76"/>
  <c r="C322" i="76"/>
  <c r="B322" i="76" s="1"/>
  <c r="U321" i="76"/>
  <c r="S321" i="76"/>
  <c r="R321" i="76"/>
  <c r="P321" i="76"/>
  <c r="N321" i="76"/>
  <c r="M321" i="76"/>
  <c r="K321" i="76"/>
  <c r="J321" i="76"/>
  <c r="I321" i="76"/>
  <c r="H321" i="76"/>
  <c r="G321" i="76"/>
  <c r="F321" i="76"/>
  <c r="E321" i="76"/>
  <c r="D321" i="76"/>
  <c r="C321" i="76"/>
  <c r="B321" i="76" s="1"/>
  <c r="U320" i="76"/>
  <c r="S320" i="76"/>
  <c r="R320" i="76"/>
  <c r="P320" i="76"/>
  <c r="N320" i="76"/>
  <c r="M320" i="76"/>
  <c r="K320" i="76"/>
  <c r="J320" i="76"/>
  <c r="I320" i="76"/>
  <c r="H320" i="76"/>
  <c r="G320" i="76"/>
  <c r="F320" i="76"/>
  <c r="E320" i="76"/>
  <c r="D320" i="76"/>
  <c r="C320" i="76"/>
  <c r="B320" i="76" s="1"/>
  <c r="U319" i="76"/>
  <c r="S319" i="76"/>
  <c r="R319" i="76"/>
  <c r="P319" i="76"/>
  <c r="N319" i="76"/>
  <c r="M319" i="76"/>
  <c r="K319" i="76"/>
  <c r="J319" i="76"/>
  <c r="I319" i="76"/>
  <c r="H319" i="76"/>
  <c r="G319" i="76"/>
  <c r="F319" i="76"/>
  <c r="E319" i="76"/>
  <c r="D319" i="76"/>
  <c r="C319" i="76"/>
  <c r="B319" i="76" s="1"/>
  <c r="U318" i="76"/>
  <c r="S318" i="76"/>
  <c r="R318" i="76"/>
  <c r="P318" i="76"/>
  <c r="N318" i="76"/>
  <c r="M318" i="76"/>
  <c r="K318" i="76"/>
  <c r="J318" i="76"/>
  <c r="I318" i="76"/>
  <c r="H318" i="76"/>
  <c r="G318" i="76"/>
  <c r="F318" i="76"/>
  <c r="E318" i="76"/>
  <c r="D318" i="76"/>
  <c r="C318" i="76"/>
  <c r="B318" i="76" s="1"/>
  <c r="U317" i="76"/>
  <c r="S317" i="76"/>
  <c r="R317" i="76"/>
  <c r="P317" i="76"/>
  <c r="N317" i="76"/>
  <c r="M317" i="76"/>
  <c r="K317" i="76"/>
  <c r="J317" i="76"/>
  <c r="I317" i="76"/>
  <c r="H317" i="76"/>
  <c r="G317" i="76"/>
  <c r="F317" i="76"/>
  <c r="E317" i="76"/>
  <c r="D317" i="76"/>
  <c r="C317" i="76"/>
  <c r="B317" i="76" s="1"/>
  <c r="U316" i="76"/>
  <c r="S316" i="76"/>
  <c r="R316" i="76"/>
  <c r="P316" i="76"/>
  <c r="N316" i="76"/>
  <c r="M316" i="76"/>
  <c r="K316" i="76"/>
  <c r="J316" i="76"/>
  <c r="I316" i="76"/>
  <c r="H316" i="76"/>
  <c r="G316" i="76"/>
  <c r="F316" i="76"/>
  <c r="E316" i="76"/>
  <c r="D316" i="76"/>
  <c r="C316" i="76"/>
  <c r="B316" i="76" s="1"/>
  <c r="U315" i="76"/>
  <c r="S315" i="76"/>
  <c r="R315" i="76"/>
  <c r="P315" i="76"/>
  <c r="N315" i="76"/>
  <c r="M315" i="76"/>
  <c r="K315" i="76"/>
  <c r="J315" i="76"/>
  <c r="I315" i="76"/>
  <c r="H315" i="76"/>
  <c r="G315" i="76"/>
  <c r="F315" i="76"/>
  <c r="E315" i="76"/>
  <c r="D315" i="76"/>
  <c r="C315" i="76"/>
  <c r="B315" i="76" s="1"/>
  <c r="U314" i="76"/>
  <c r="S314" i="76"/>
  <c r="R314" i="76"/>
  <c r="P314" i="76"/>
  <c r="N314" i="76"/>
  <c r="M314" i="76"/>
  <c r="K314" i="76"/>
  <c r="J314" i="76"/>
  <c r="I314" i="76"/>
  <c r="H314" i="76"/>
  <c r="G314" i="76"/>
  <c r="F314" i="76"/>
  <c r="E314" i="76"/>
  <c r="D314" i="76"/>
  <c r="C314" i="76"/>
  <c r="B314" i="76" s="1"/>
  <c r="U313" i="76"/>
  <c r="S313" i="76"/>
  <c r="R313" i="76"/>
  <c r="P313" i="76"/>
  <c r="N313" i="76"/>
  <c r="M313" i="76"/>
  <c r="K313" i="76"/>
  <c r="J313" i="76"/>
  <c r="I313" i="76"/>
  <c r="H313" i="76"/>
  <c r="G313" i="76"/>
  <c r="F313" i="76"/>
  <c r="E313" i="76"/>
  <c r="D313" i="76"/>
  <c r="C313" i="76"/>
  <c r="B313" i="76" s="1"/>
  <c r="U312" i="76"/>
  <c r="S312" i="76"/>
  <c r="R312" i="76"/>
  <c r="P312" i="76"/>
  <c r="N312" i="76"/>
  <c r="M312" i="76"/>
  <c r="K312" i="76"/>
  <c r="J312" i="76"/>
  <c r="I312" i="76"/>
  <c r="H312" i="76"/>
  <c r="G312" i="76"/>
  <c r="F312" i="76"/>
  <c r="E312" i="76"/>
  <c r="D312" i="76"/>
  <c r="C312" i="76"/>
  <c r="B312" i="76" s="1"/>
  <c r="U311" i="76"/>
  <c r="S311" i="76"/>
  <c r="R311" i="76"/>
  <c r="P311" i="76"/>
  <c r="N311" i="76"/>
  <c r="M311" i="76"/>
  <c r="K311" i="76"/>
  <c r="J311" i="76"/>
  <c r="I311" i="76"/>
  <c r="H311" i="76"/>
  <c r="G311" i="76"/>
  <c r="F311" i="76"/>
  <c r="E311" i="76"/>
  <c r="D311" i="76"/>
  <c r="C311" i="76"/>
  <c r="B311" i="76" s="1"/>
  <c r="U310" i="76"/>
  <c r="S310" i="76"/>
  <c r="R310" i="76"/>
  <c r="P310" i="76"/>
  <c r="N310" i="76"/>
  <c r="M310" i="76"/>
  <c r="K310" i="76"/>
  <c r="J310" i="76"/>
  <c r="I310" i="76"/>
  <c r="H310" i="76"/>
  <c r="G310" i="76"/>
  <c r="F310" i="76"/>
  <c r="E310" i="76"/>
  <c r="D310" i="76"/>
  <c r="C310" i="76"/>
  <c r="B310" i="76" s="1"/>
  <c r="U309" i="76"/>
  <c r="S309" i="76"/>
  <c r="R309" i="76"/>
  <c r="P309" i="76"/>
  <c r="N309" i="76"/>
  <c r="M309" i="76"/>
  <c r="K309" i="76"/>
  <c r="J309" i="76"/>
  <c r="I309" i="76"/>
  <c r="H309" i="76"/>
  <c r="G309" i="76"/>
  <c r="F309" i="76"/>
  <c r="E309" i="76"/>
  <c r="D309" i="76"/>
  <c r="C309" i="76"/>
  <c r="B309" i="76" s="1"/>
  <c r="U308" i="76"/>
  <c r="S308" i="76"/>
  <c r="R308" i="76"/>
  <c r="P308" i="76"/>
  <c r="N308" i="76"/>
  <c r="M308" i="76"/>
  <c r="K308" i="76"/>
  <c r="J308" i="76"/>
  <c r="I308" i="76"/>
  <c r="H308" i="76"/>
  <c r="G308" i="76"/>
  <c r="F308" i="76"/>
  <c r="E308" i="76"/>
  <c r="D308" i="76"/>
  <c r="C308" i="76"/>
  <c r="B308" i="76" s="1"/>
  <c r="U307" i="76"/>
  <c r="S307" i="76"/>
  <c r="R307" i="76"/>
  <c r="P307" i="76"/>
  <c r="N307" i="76"/>
  <c r="M307" i="76"/>
  <c r="K307" i="76"/>
  <c r="J307" i="76"/>
  <c r="I307" i="76"/>
  <c r="H307" i="76"/>
  <c r="G307" i="76"/>
  <c r="F307" i="76"/>
  <c r="E307" i="76"/>
  <c r="D307" i="76"/>
  <c r="C307" i="76"/>
  <c r="B307" i="76" s="1"/>
  <c r="U306" i="76"/>
  <c r="S306" i="76"/>
  <c r="R306" i="76"/>
  <c r="P306" i="76"/>
  <c r="N306" i="76"/>
  <c r="M306" i="76"/>
  <c r="K306" i="76"/>
  <c r="J306" i="76"/>
  <c r="I306" i="76"/>
  <c r="H306" i="76"/>
  <c r="G306" i="76"/>
  <c r="F306" i="76"/>
  <c r="E306" i="76"/>
  <c r="D306" i="76"/>
  <c r="C306" i="76"/>
  <c r="B306" i="76" s="1"/>
  <c r="U305" i="76"/>
  <c r="S305" i="76"/>
  <c r="R305" i="76"/>
  <c r="P305" i="76"/>
  <c r="N305" i="76"/>
  <c r="M305" i="76"/>
  <c r="K305" i="76"/>
  <c r="J305" i="76"/>
  <c r="I305" i="76"/>
  <c r="H305" i="76"/>
  <c r="G305" i="76"/>
  <c r="F305" i="76"/>
  <c r="E305" i="76"/>
  <c r="D305" i="76"/>
  <c r="C305" i="76"/>
  <c r="B305" i="76" s="1"/>
  <c r="U304" i="76"/>
  <c r="S304" i="76"/>
  <c r="R304" i="76"/>
  <c r="P304" i="76"/>
  <c r="N304" i="76"/>
  <c r="M304" i="76"/>
  <c r="K304" i="76"/>
  <c r="J304" i="76"/>
  <c r="I304" i="76"/>
  <c r="H304" i="76"/>
  <c r="G304" i="76"/>
  <c r="F304" i="76"/>
  <c r="E304" i="76"/>
  <c r="D304" i="76"/>
  <c r="C304" i="76"/>
  <c r="B304" i="76" s="1"/>
  <c r="U303" i="76"/>
  <c r="S303" i="76"/>
  <c r="R303" i="76"/>
  <c r="P303" i="76"/>
  <c r="N303" i="76"/>
  <c r="M303" i="76"/>
  <c r="K303" i="76"/>
  <c r="J303" i="76"/>
  <c r="I303" i="76"/>
  <c r="H303" i="76"/>
  <c r="G303" i="76"/>
  <c r="F303" i="76"/>
  <c r="E303" i="76"/>
  <c r="D303" i="76"/>
  <c r="C303" i="76"/>
  <c r="B303" i="76" s="1"/>
  <c r="U302" i="76"/>
  <c r="S302" i="76"/>
  <c r="R302" i="76"/>
  <c r="P302" i="76"/>
  <c r="N302" i="76"/>
  <c r="M302" i="76"/>
  <c r="K302" i="76"/>
  <c r="J302" i="76"/>
  <c r="I302" i="76"/>
  <c r="H302" i="76"/>
  <c r="G302" i="76"/>
  <c r="F302" i="76"/>
  <c r="E302" i="76"/>
  <c r="D302" i="76"/>
  <c r="C302" i="76"/>
  <c r="B302" i="76" s="1"/>
  <c r="U301" i="76"/>
  <c r="S301" i="76"/>
  <c r="R301" i="76"/>
  <c r="P301" i="76"/>
  <c r="N301" i="76"/>
  <c r="M301" i="76"/>
  <c r="K301" i="76"/>
  <c r="J301" i="76"/>
  <c r="I301" i="76"/>
  <c r="H301" i="76"/>
  <c r="G301" i="76"/>
  <c r="F301" i="76"/>
  <c r="E301" i="76"/>
  <c r="D301" i="76"/>
  <c r="C301" i="76"/>
  <c r="B301" i="76" s="1"/>
  <c r="U300" i="76"/>
  <c r="S300" i="76"/>
  <c r="R300" i="76"/>
  <c r="P300" i="76"/>
  <c r="N300" i="76"/>
  <c r="M300" i="76"/>
  <c r="K300" i="76"/>
  <c r="J300" i="76"/>
  <c r="I300" i="76"/>
  <c r="H300" i="76"/>
  <c r="G300" i="76"/>
  <c r="F300" i="76"/>
  <c r="E300" i="76"/>
  <c r="D300" i="76"/>
  <c r="C300" i="76"/>
  <c r="B300" i="76" s="1"/>
  <c r="U299" i="76"/>
  <c r="S299" i="76"/>
  <c r="R299" i="76"/>
  <c r="P299" i="76"/>
  <c r="N299" i="76"/>
  <c r="M299" i="76"/>
  <c r="K299" i="76"/>
  <c r="J299" i="76"/>
  <c r="I299" i="76"/>
  <c r="H299" i="76"/>
  <c r="G299" i="76"/>
  <c r="F299" i="76"/>
  <c r="E299" i="76"/>
  <c r="D299" i="76"/>
  <c r="C299" i="76"/>
  <c r="B299" i="76" s="1"/>
  <c r="U298" i="76"/>
  <c r="S298" i="76"/>
  <c r="R298" i="76"/>
  <c r="P298" i="76"/>
  <c r="N298" i="76"/>
  <c r="M298" i="76"/>
  <c r="K298" i="76"/>
  <c r="J298" i="76"/>
  <c r="I298" i="76"/>
  <c r="H298" i="76"/>
  <c r="G298" i="76"/>
  <c r="F298" i="76"/>
  <c r="E298" i="76"/>
  <c r="D298" i="76"/>
  <c r="C298" i="76"/>
  <c r="B298" i="76" s="1"/>
  <c r="U297" i="76"/>
  <c r="S297" i="76"/>
  <c r="R297" i="76"/>
  <c r="P297" i="76"/>
  <c r="N297" i="76"/>
  <c r="M297" i="76"/>
  <c r="K297" i="76"/>
  <c r="J297" i="76"/>
  <c r="I297" i="76"/>
  <c r="H297" i="76"/>
  <c r="G297" i="76"/>
  <c r="F297" i="76"/>
  <c r="E297" i="76"/>
  <c r="D297" i="76"/>
  <c r="C297" i="76"/>
  <c r="B297" i="76" s="1"/>
  <c r="U296" i="76"/>
  <c r="S296" i="76"/>
  <c r="R296" i="76"/>
  <c r="P296" i="76"/>
  <c r="N296" i="76"/>
  <c r="M296" i="76"/>
  <c r="K296" i="76"/>
  <c r="J296" i="76"/>
  <c r="I296" i="76"/>
  <c r="H296" i="76"/>
  <c r="G296" i="76"/>
  <c r="F296" i="76"/>
  <c r="E296" i="76"/>
  <c r="D296" i="76"/>
  <c r="C296" i="76"/>
  <c r="B296" i="76" s="1"/>
  <c r="U295" i="76"/>
  <c r="S295" i="76"/>
  <c r="R295" i="76"/>
  <c r="P295" i="76"/>
  <c r="N295" i="76"/>
  <c r="M295" i="76"/>
  <c r="K295" i="76"/>
  <c r="J295" i="76"/>
  <c r="I295" i="76"/>
  <c r="H295" i="76"/>
  <c r="G295" i="76"/>
  <c r="F295" i="76"/>
  <c r="E295" i="76"/>
  <c r="D295" i="76"/>
  <c r="C295" i="76"/>
  <c r="B295" i="76" s="1"/>
  <c r="U294" i="76"/>
  <c r="S294" i="76"/>
  <c r="R294" i="76"/>
  <c r="P294" i="76"/>
  <c r="N294" i="76"/>
  <c r="M294" i="76"/>
  <c r="K294" i="76"/>
  <c r="J294" i="76"/>
  <c r="I294" i="76"/>
  <c r="H294" i="76"/>
  <c r="G294" i="76"/>
  <c r="F294" i="76"/>
  <c r="E294" i="76"/>
  <c r="D294" i="76"/>
  <c r="C294" i="76"/>
  <c r="B294" i="76" s="1"/>
  <c r="U293" i="76"/>
  <c r="S293" i="76"/>
  <c r="R293" i="76"/>
  <c r="P293" i="76"/>
  <c r="N293" i="76"/>
  <c r="M293" i="76"/>
  <c r="K293" i="76"/>
  <c r="J293" i="76"/>
  <c r="I293" i="76"/>
  <c r="H293" i="76"/>
  <c r="G293" i="76"/>
  <c r="F293" i="76"/>
  <c r="E293" i="76"/>
  <c r="D293" i="76"/>
  <c r="C293" i="76"/>
  <c r="B293" i="76" s="1"/>
  <c r="U292" i="76"/>
  <c r="S292" i="76"/>
  <c r="R292" i="76"/>
  <c r="P292" i="76"/>
  <c r="N292" i="76"/>
  <c r="M292" i="76"/>
  <c r="K292" i="76"/>
  <c r="J292" i="76"/>
  <c r="I292" i="76"/>
  <c r="H292" i="76"/>
  <c r="G292" i="76"/>
  <c r="F292" i="76"/>
  <c r="E292" i="76"/>
  <c r="D292" i="76"/>
  <c r="C292" i="76"/>
  <c r="B292" i="76" s="1"/>
  <c r="U291" i="76"/>
  <c r="S291" i="76"/>
  <c r="R291" i="76"/>
  <c r="P291" i="76"/>
  <c r="N291" i="76"/>
  <c r="M291" i="76"/>
  <c r="K291" i="76"/>
  <c r="J291" i="76"/>
  <c r="I291" i="76"/>
  <c r="H291" i="76"/>
  <c r="G291" i="76"/>
  <c r="F291" i="76"/>
  <c r="E291" i="76"/>
  <c r="D291" i="76"/>
  <c r="C291" i="76"/>
  <c r="B291" i="76" s="1"/>
  <c r="U290" i="76"/>
  <c r="S290" i="76"/>
  <c r="R290" i="76"/>
  <c r="P290" i="76"/>
  <c r="N290" i="76"/>
  <c r="M290" i="76"/>
  <c r="K290" i="76"/>
  <c r="J290" i="76"/>
  <c r="I290" i="76"/>
  <c r="H290" i="76"/>
  <c r="G290" i="76"/>
  <c r="F290" i="76"/>
  <c r="E290" i="76"/>
  <c r="D290" i="76"/>
  <c r="C290" i="76"/>
  <c r="B290" i="76" s="1"/>
  <c r="U289" i="76"/>
  <c r="S289" i="76"/>
  <c r="R289" i="76"/>
  <c r="P289" i="76"/>
  <c r="N289" i="76"/>
  <c r="M289" i="76"/>
  <c r="K289" i="76"/>
  <c r="J289" i="76"/>
  <c r="I289" i="76"/>
  <c r="H289" i="76"/>
  <c r="G289" i="76"/>
  <c r="F289" i="76"/>
  <c r="E289" i="76"/>
  <c r="D289" i="76"/>
  <c r="C289" i="76"/>
  <c r="B289" i="76" s="1"/>
  <c r="U288" i="76"/>
  <c r="S288" i="76"/>
  <c r="R288" i="76"/>
  <c r="P288" i="76"/>
  <c r="N288" i="76"/>
  <c r="M288" i="76"/>
  <c r="K288" i="76"/>
  <c r="J288" i="76"/>
  <c r="I288" i="76"/>
  <c r="H288" i="76"/>
  <c r="G288" i="76"/>
  <c r="F288" i="76"/>
  <c r="E288" i="76"/>
  <c r="D288" i="76"/>
  <c r="C288" i="76"/>
  <c r="B288" i="76" s="1"/>
  <c r="U287" i="76"/>
  <c r="S287" i="76"/>
  <c r="R287" i="76"/>
  <c r="P287" i="76"/>
  <c r="N287" i="76"/>
  <c r="M287" i="76"/>
  <c r="K287" i="76"/>
  <c r="J287" i="76"/>
  <c r="I287" i="76"/>
  <c r="H287" i="76"/>
  <c r="G287" i="76"/>
  <c r="F287" i="76"/>
  <c r="E287" i="76"/>
  <c r="D287" i="76"/>
  <c r="C287" i="76"/>
  <c r="B287" i="76" s="1"/>
  <c r="U286" i="76"/>
  <c r="S286" i="76"/>
  <c r="R286" i="76"/>
  <c r="P286" i="76"/>
  <c r="N286" i="76"/>
  <c r="M286" i="76"/>
  <c r="K286" i="76"/>
  <c r="J286" i="76"/>
  <c r="I286" i="76"/>
  <c r="H286" i="76"/>
  <c r="G286" i="76"/>
  <c r="F286" i="76"/>
  <c r="E286" i="76"/>
  <c r="D286" i="76"/>
  <c r="C286" i="76"/>
  <c r="B286" i="76" s="1"/>
  <c r="U285" i="76"/>
  <c r="S285" i="76"/>
  <c r="R285" i="76"/>
  <c r="P285" i="76"/>
  <c r="N285" i="76"/>
  <c r="M285" i="76"/>
  <c r="K285" i="76"/>
  <c r="J285" i="76"/>
  <c r="I285" i="76"/>
  <c r="H285" i="76"/>
  <c r="G285" i="76"/>
  <c r="F285" i="76"/>
  <c r="E285" i="76"/>
  <c r="D285" i="76"/>
  <c r="C285" i="76"/>
  <c r="B285" i="76" s="1"/>
  <c r="U284" i="76"/>
  <c r="S284" i="76"/>
  <c r="R284" i="76"/>
  <c r="P284" i="76"/>
  <c r="N284" i="76"/>
  <c r="M284" i="76"/>
  <c r="K284" i="76"/>
  <c r="J284" i="76"/>
  <c r="I284" i="76"/>
  <c r="H284" i="76"/>
  <c r="G284" i="76"/>
  <c r="F284" i="76"/>
  <c r="E284" i="76"/>
  <c r="D284" i="76"/>
  <c r="C284" i="76"/>
  <c r="B284" i="76" s="1"/>
  <c r="U283" i="76"/>
  <c r="S283" i="76"/>
  <c r="R283" i="76"/>
  <c r="P283" i="76"/>
  <c r="N283" i="76"/>
  <c r="M283" i="76"/>
  <c r="K283" i="76"/>
  <c r="J283" i="76"/>
  <c r="I283" i="76"/>
  <c r="H283" i="76"/>
  <c r="G283" i="76"/>
  <c r="F283" i="76"/>
  <c r="E283" i="76"/>
  <c r="D283" i="76"/>
  <c r="C283" i="76"/>
  <c r="B283" i="76" s="1"/>
  <c r="U282" i="76"/>
  <c r="S282" i="76"/>
  <c r="R282" i="76"/>
  <c r="P282" i="76"/>
  <c r="N282" i="76"/>
  <c r="M282" i="76"/>
  <c r="K282" i="76"/>
  <c r="J282" i="76"/>
  <c r="I282" i="76"/>
  <c r="H282" i="76"/>
  <c r="G282" i="76"/>
  <c r="F282" i="76"/>
  <c r="E282" i="76"/>
  <c r="D282" i="76"/>
  <c r="C282" i="76"/>
  <c r="B282" i="76" s="1"/>
  <c r="U281" i="76"/>
  <c r="S281" i="76"/>
  <c r="R281" i="76"/>
  <c r="P281" i="76"/>
  <c r="N281" i="76"/>
  <c r="M281" i="76"/>
  <c r="K281" i="76"/>
  <c r="J281" i="76"/>
  <c r="I281" i="76"/>
  <c r="H281" i="76"/>
  <c r="G281" i="76"/>
  <c r="F281" i="76"/>
  <c r="E281" i="76"/>
  <c r="D281" i="76"/>
  <c r="C281" i="76"/>
  <c r="B281" i="76" s="1"/>
  <c r="U280" i="76"/>
  <c r="S280" i="76"/>
  <c r="R280" i="76"/>
  <c r="P280" i="76"/>
  <c r="N280" i="76"/>
  <c r="M280" i="76"/>
  <c r="K280" i="76"/>
  <c r="J280" i="76"/>
  <c r="I280" i="76"/>
  <c r="H280" i="76"/>
  <c r="G280" i="76"/>
  <c r="F280" i="76"/>
  <c r="E280" i="76"/>
  <c r="D280" i="76"/>
  <c r="C280" i="76"/>
  <c r="B280" i="76" s="1"/>
  <c r="U279" i="76"/>
  <c r="S279" i="76"/>
  <c r="R279" i="76"/>
  <c r="P279" i="76"/>
  <c r="N279" i="76"/>
  <c r="M279" i="76"/>
  <c r="K279" i="76"/>
  <c r="J279" i="76"/>
  <c r="I279" i="76"/>
  <c r="H279" i="76"/>
  <c r="G279" i="76"/>
  <c r="F279" i="76"/>
  <c r="E279" i="76"/>
  <c r="D279" i="76"/>
  <c r="C279" i="76"/>
  <c r="B279" i="76" s="1"/>
  <c r="U278" i="76"/>
  <c r="S278" i="76"/>
  <c r="R278" i="76"/>
  <c r="P278" i="76"/>
  <c r="N278" i="76"/>
  <c r="M278" i="76"/>
  <c r="K278" i="76"/>
  <c r="J278" i="76"/>
  <c r="I278" i="76"/>
  <c r="H278" i="76"/>
  <c r="G278" i="76"/>
  <c r="F278" i="76"/>
  <c r="E278" i="76"/>
  <c r="D278" i="76"/>
  <c r="C278" i="76"/>
  <c r="B278" i="76" s="1"/>
  <c r="U277" i="76"/>
  <c r="S277" i="76"/>
  <c r="R277" i="76"/>
  <c r="P277" i="76"/>
  <c r="N277" i="76"/>
  <c r="M277" i="76"/>
  <c r="K277" i="76"/>
  <c r="J277" i="76"/>
  <c r="I277" i="76"/>
  <c r="H277" i="76"/>
  <c r="G277" i="76"/>
  <c r="F277" i="76"/>
  <c r="E277" i="76"/>
  <c r="D277" i="76"/>
  <c r="C277" i="76"/>
  <c r="B277" i="76" s="1"/>
  <c r="U276" i="76"/>
  <c r="S276" i="76"/>
  <c r="R276" i="76"/>
  <c r="P276" i="76"/>
  <c r="N276" i="76"/>
  <c r="M276" i="76"/>
  <c r="K276" i="76"/>
  <c r="J276" i="76"/>
  <c r="I276" i="76"/>
  <c r="H276" i="76"/>
  <c r="G276" i="76"/>
  <c r="F276" i="76"/>
  <c r="E276" i="76"/>
  <c r="D276" i="76"/>
  <c r="C276" i="76"/>
  <c r="B276" i="76" s="1"/>
  <c r="U275" i="76"/>
  <c r="S275" i="76"/>
  <c r="R275" i="76"/>
  <c r="P275" i="76"/>
  <c r="N275" i="76"/>
  <c r="M275" i="76"/>
  <c r="K275" i="76"/>
  <c r="J275" i="76"/>
  <c r="I275" i="76"/>
  <c r="H275" i="76"/>
  <c r="G275" i="76"/>
  <c r="F275" i="76"/>
  <c r="E275" i="76"/>
  <c r="D275" i="76"/>
  <c r="C275" i="76"/>
  <c r="B275" i="76" s="1"/>
  <c r="U274" i="76"/>
  <c r="S274" i="76"/>
  <c r="R274" i="76"/>
  <c r="P274" i="76"/>
  <c r="N274" i="76"/>
  <c r="M274" i="76"/>
  <c r="K274" i="76"/>
  <c r="J274" i="76"/>
  <c r="I274" i="76"/>
  <c r="H274" i="76"/>
  <c r="G274" i="76"/>
  <c r="F274" i="76"/>
  <c r="E274" i="76"/>
  <c r="D274" i="76"/>
  <c r="C274" i="76"/>
  <c r="B274" i="76" s="1"/>
  <c r="U273" i="76"/>
  <c r="S273" i="76"/>
  <c r="R273" i="76"/>
  <c r="P273" i="76"/>
  <c r="N273" i="76"/>
  <c r="M273" i="76"/>
  <c r="K273" i="76"/>
  <c r="J273" i="76"/>
  <c r="I273" i="76"/>
  <c r="H273" i="76"/>
  <c r="G273" i="76"/>
  <c r="F273" i="76"/>
  <c r="E273" i="76"/>
  <c r="D273" i="76"/>
  <c r="C273" i="76"/>
  <c r="B273" i="76" s="1"/>
  <c r="U272" i="76"/>
  <c r="S272" i="76"/>
  <c r="R272" i="76"/>
  <c r="P272" i="76"/>
  <c r="N272" i="76"/>
  <c r="M272" i="76"/>
  <c r="K272" i="76"/>
  <c r="J272" i="76"/>
  <c r="I272" i="76"/>
  <c r="H272" i="76"/>
  <c r="G272" i="76"/>
  <c r="F272" i="76"/>
  <c r="E272" i="76"/>
  <c r="D272" i="76"/>
  <c r="C272" i="76"/>
  <c r="B272" i="76" s="1"/>
  <c r="U271" i="76"/>
  <c r="S271" i="76"/>
  <c r="R271" i="76"/>
  <c r="P271" i="76"/>
  <c r="N271" i="76"/>
  <c r="M271" i="76"/>
  <c r="K271" i="76"/>
  <c r="J271" i="76"/>
  <c r="I271" i="76"/>
  <c r="H271" i="76"/>
  <c r="G271" i="76"/>
  <c r="F271" i="76"/>
  <c r="E271" i="76"/>
  <c r="D271" i="76"/>
  <c r="C271" i="76"/>
  <c r="B271" i="76" s="1"/>
  <c r="U270" i="76"/>
  <c r="S270" i="76"/>
  <c r="R270" i="76"/>
  <c r="P270" i="76"/>
  <c r="N270" i="76"/>
  <c r="M270" i="76"/>
  <c r="K270" i="76"/>
  <c r="J270" i="76"/>
  <c r="I270" i="76"/>
  <c r="H270" i="76"/>
  <c r="G270" i="76"/>
  <c r="F270" i="76"/>
  <c r="E270" i="76"/>
  <c r="D270" i="76"/>
  <c r="C270" i="76"/>
  <c r="B270" i="76" s="1"/>
  <c r="U269" i="76"/>
  <c r="S269" i="76"/>
  <c r="R269" i="76"/>
  <c r="P269" i="76"/>
  <c r="N269" i="76"/>
  <c r="M269" i="76"/>
  <c r="K269" i="76"/>
  <c r="J269" i="76"/>
  <c r="I269" i="76"/>
  <c r="H269" i="76"/>
  <c r="G269" i="76"/>
  <c r="F269" i="76"/>
  <c r="E269" i="76"/>
  <c r="D269" i="76"/>
  <c r="C269" i="76"/>
  <c r="B269" i="76" s="1"/>
  <c r="U268" i="76"/>
  <c r="S268" i="76"/>
  <c r="R268" i="76"/>
  <c r="P268" i="76"/>
  <c r="N268" i="76"/>
  <c r="M268" i="76"/>
  <c r="K268" i="76"/>
  <c r="J268" i="76"/>
  <c r="I268" i="76"/>
  <c r="H268" i="76"/>
  <c r="G268" i="76"/>
  <c r="F268" i="76"/>
  <c r="E268" i="76"/>
  <c r="D268" i="76"/>
  <c r="C268" i="76"/>
  <c r="B268" i="76" s="1"/>
  <c r="U267" i="76"/>
  <c r="S267" i="76"/>
  <c r="R267" i="76"/>
  <c r="P267" i="76"/>
  <c r="N267" i="76"/>
  <c r="M267" i="76"/>
  <c r="K267" i="76"/>
  <c r="J267" i="76"/>
  <c r="I267" i="76"/>
  <c r="H267" i="76"/>
  <c r="G267" i="76"/>
  <c r="F267" i="76"/>
  <c r="E267" i="76"/>
  <c r="D267" i="76"/>
  <c r="C267" i="76"/>
  <c r="B267" i="76" s="1"/>
  <c r="U266" i="76"/>
  <c r="S266" i="76"/>
  <c r="R266" i="76"/>
  <c r="P266" i="76"/>
  <c r="N266" i="76"/>
  <c r="M266" i="76"/>
  <c r="K266" i="76"/>
  <c r="J266" i="76"/>
  <c r="I266" i="76"/>
  <c r="H266" i="76"/>
  <c r="G266" i="76"/>
  <c r="F266" i="76"/>
  <c r="E266" i="76"/>
  <c r="D266" i="76"/>
  <c r="C266" i="76"/>
  <c r="B266" i="76" s="1"/>
  <c r="U265" i="76"/>
  <c r="S265" i="76"/>
  <c r="R265" i="76"/>
  <c r="P265" i="76"/>
  <c r="N265" i="76"/>
  <c r="M265" i="76"/>
  <c r="K265" i="76"/>
  <c r="J265" i="76"/>
  <c r="I265" i="76"/>
  <c r="H265" i="76"/>
  <c r="G265" i="76"/>
  <c r="F265" i="76"/>
  <c r="E265" i="76"/>
  <c r="D265" i="76"/>
  <c r="C265" i="76"/>
  <c r="B265" i="76" s="1"/>
  <c r="U264" i="76"/>
  <c r="S264" i="76"/>
  <c r="R264" i="76"/>
  <c r="P264" i="76"/>
  <c r="N264" i="76"/>
  <c r="M264" i="76"/>
  <c r="K264" i="76"/>
  <c r="J264" i="76"/>
  <c r="I264" i="76"/>
  <c r="H264" i="76"/>
  <c r="G264" i="76"/>
  <c r="F264" i="76"/>
  <c r="E264" i="76"/>
  <c r="D264" i="76"/>
  <c r="C264" i="76"/>
  <c r="B264" i="76" s="1"/>
  <c r="U263" i="76"/>
  <c r="S263" i="76"/>
  <c r="R263" i="76"/>
  <c r="P263" i="76"/>
  <c r="N263" i="76"/>
  <c r="M263" i="76"/>
  <c r="K263" i="76"/>
  <c r="J263" i="76"/>
  <c r="I263" i="76"/>
  <c r="H263" i="76"/>
  <c r="G263" i="76"/>
  <c r="F263" i="76"/>
  <c r="E263" i="76"/>
  <c r="D263" i="76"/>
  <c r="C263" i="76"/>
  <c r="B263" i="76" s="1"/>
  <c r="U262" i="76"/>
  <c r="S262" i="76"/>
  <c r="R262" i="76"/>
  <c r="P262" i="76"/>
  <c r="N262" i="76"/>
  <c r="M262" i="76"/>
  <c r="K262" i="76"/>
  <c r="J262" i="76"/>
  <c r="I262" i="76"/>
  <c r="H262" i="76"/>
  <c r="G262" i="76"/>
  <c r="F262" i="76"/>
  <c r="E262" i="76"/>
  <c r="D262" i="76"/>
  <c r="C262" i="76"/>
  <c r="B262" i="76" s="1"/>
  <c r="U261" i="76"/>
  <c r="S261" i="76"/>
  <c r="R261" i="76"/>
  <c r="P261" i="76"/>
  <c r="N261" i="76"/>
  <c r="M261" i="76"/>
  <c r="K261" i="76"/>
  <c r="J261" i="76"/>
  <c r="I261" i="76"/>
  <c r="H261" i="76"/>
  <c r="G261" i="76"/>
  <c r="F261" i="76"/>
  <c r="E261" i="76"/>
  <c r="D261" i="76"/>
  <c r="C261" i="76"/>
  <c r="B261" i="76" s="1"/>
  <c r="U260" i="76"/>
  <c r="S260" i="76"/>
  <c r="R260" i="76"/>
  <c r="P260" i="76"/>
  <c r="N260" i="76"/>
  <c r="M260" i="76"/>
  <c r="K260" i="76"/>
  <c r="J260" i="76"/>
  <c r="I260" i="76"/>
  <c r="H260" i="76"/>
  <c r="G260" i="76"/>
  <c r="F260" i="76"/>
  <c r="E260" i="76"/>
  <c r="D260" i="76"/>
  <c r="C260" i="76"/>
  <c r="B260" i="76" s="1"/>
  <c r="U259" i="76"/>
  <c r="S259" i="76"/>
  <c r="R259" i="76"/>
  <c r="P259" i="76"/>
  <c r="N259" i="76"/>
  <c r="M259" i="76"/>
  <c r="K259" i="76"/>
  <c r="J259" i="76"/>
  <c r="I259" i="76"/>
  <c r="H259" i="76"/>
  <c r="G259" i="76"/>
  <c r="F259" i="76"/>
  <c r="E259" i="76"/>
  <c r="D259" i="76"/>
  <c r="C259" i="76"/>
  <c r="B259" i="76" s="1"/>
  <c r="U258" i="76"/>
  <c r="S258" i="76"/>
  <c r="R258" i="76"/>
  <c r="P258" i="76"/>
  <c r="N258" i="76"/>
  <c r="M258" i="76"/>
  <c r="K258" i="76"/>
  <c r="J258" i="76"/>
  <c r="I258" i="76"/>
  <c r="H258" i="76"/>
  <c r="G258" i="76"/>
  <c r="F258" i="76"/>
  <c r="E258" i="76"/>
  <c r="D258" i="76"/>
  <c r="C258" i="76"/>
  <c r="B258" i="76" s="1"/>
  <c r="U257" i="76"/>
  <c r="S257" i="76"/>
  <c r="R257" i="76"/>
  <c r="P257" i="76"/>
  <c r="N257" i="76"/>
  <c r="M257" i="76"/>
  <c r="K257" i="76"/>
  <c r="J257" i="76"/>
  <c r="I257" i="76"/>
  <c r="H257" i="76"/>
  <c r="G257" i="76"/>
  <c r="F257" i="76"/>
  <c r="E257" i="76"/>
  <c r="D257" i="76"/>
  <c r="C257" i="76"/>
  <c r="B257" i="76" s="1"/>
  <c r="U256" i="76"/>
  <c r="S256" i="76"/>
  <c r="R256" i="76"/>
  <c r="P256" i="76"/>
  <c r="N256" i="76"/>
  <c r="M256" i="76"/>
  <c r="K256" i="76"/>
  <c r="J256" i="76"/>
  <c r="I256" i="76"/>
  <c r="H256" i="76"/>
  <c r="G256" i="76"/>
  <c r="F256" i="76"/>
  <c r="E256" i="76"/>
  <c r="D256" i="76"/>
  <c r="C256" i="76"/>
  <c r="B256" i="76" s="1"/>
  <c r="U255" i="76"/>
  <c r="S255" i="76"/>
  <c r="R255" i="76"/>
  <c r="P255" i="76"/>
  <c r="N255" i="76"/>
  <c r="M255" i="76"/>
  <c r="K255" i="76"/>
  <c r="J255" i="76"/>
  <c r="I255" i="76"/>
  <c r="H255" i="76"/>
  <c r="G255" i="76"/>
  <c r="F255" i="76"/>
  <c r="E255" i="76"/>
  <c r="D255" i="76"/>
  <c r="C255" i="76"/>
  <c r="B255" i="76" s="1"/>
  <c r="U254" i="76"/>
  <c r="S254" i="76"/>
  <c r="R254" i="76"/>
  <c r="P254" i="76"/>
  <c r="N254" i="76"/>
  <c r="M254" i="76"/>
  <c r="K254" i="76"/>
  <c r="J254" i="76"/>
  <c r="I254" i="76"/>
  <c r="H254" i="76"/>
  <c r="G254" i="76"/>
  <c r="F254" i="76"/>
  <c r="E254" i="76"/>
  <c r="D254" i="76"/>
  <c r="C254" i="76"/>
  <c r="B254" i="76" s="1"/>
  <c r="U253" i="76"/>
  <c r="S253" i="76"/>
  <c r="R253" i="76"/>
  <c r="P253" i="76"/>
  <c r="N253" i="76"/>
  <c r="M253" i="76"/>
  <c r="K253" i="76"/>
  <c r="J253" i="76"/>
  <c r="I253" i="76"/>
  <c r="H253" i="76"/>
  <c r="G253" i="76"/>
  <c r="F253" i="76"/>
  <c r="E253" i="76"/>
  <c r="D253" i="76"/>
  <c r="C253" i="76"/>
  <c r="B253" i="76" s="1"/>
  <c r="U252" i="76"/>
  <c r="S252" i="76"/>
  <c r="R252" i="76"/>
  <c r="P252" i="76"/>
  <c r="N252" i="76"/>
  <c r="M252" i="76"/>
  <c r="K252" i="76"/>
  <c r="J252" i="76"/>
  <c r="I252" i="76"/>
  <c r="H252" i="76"/>
  <c r="G252" i="76"/>
  <c r="F252" i="76"/>
  <c r="E252" i="76"/>
  <c r="D252" i="76"/>
  <c r="C252" i="76"/>
  <c r="B252" i="76" s="1"/>
  <c r="U251" i="76"/>
  <c r="S251" i="76"/>
  <c r="R251" i="76"/>
  <c r="P251" i="76"/>
  <c r="N251" i="76"/>
  <c r="M251" i="76"/>
  <c r="K251" i="76"/>
  <c r="J251" i="76"/>
  <c r="I251" i="76"/>
  <c r="H251" i="76"/>
  <c r="G251" i="76"/>
  <c r="F251" i="76"/>
  <c r="E251" i="76"/>
  <c r="D251" i="76"/>
  <c r="C251" i="76"/>
  <c r="B251" i="76" s="1"/>
  <c r="U250" i="76"/>
  <c r="S250" i="76"/>
  <c r="R250" i="76"/>
  <c r="P250" i="76"/>
  <c r="N250" i="76"/>
  <c r="M250" i="76"/>
  <c r="K250" i="76"/>
  <c r="J250" i="76"/>
  <c r="I250" i="76"/>
  <c r="H250" i="76"/>
  <c r="G250" i="76"/>
  <c r="F250" i="76"/>
  <c r="E250" i="76"/>
  <c r="D250" i="76"/>
  <c r="C250" i="76"/>
  <c r="B250" i="76" s="1"/>
  <c r="U249" i="76"/>
  <c r="S249" i="76"/>
  <c r="R249" i="76"/>
  <c r="P249" i="76"/>
  <c r="N249" i="76"/>
  <c r="M249" i="76"/>
  <c r="K249" i="76"/>
  <c r="J249" i="76"/>
  <c r="I249" i="76"/>
  <c r="H249" i="76"/>
  <c r="G249" i="76"/>
  <c r="F249" i="76"/>
  <c r="E249" i="76"/>
  <c r="D249" i="76"/>
  <c r="C249" i="76"/>
  <c r="B249" i="76" s="1"/>
  <c r="U248" i="76"/>
  <c r="S248" i="76"/>
  <c r="R248" i="76"/>
  <c r="P248" i="76"/>
  <c r="N248" i="76"/>
  <c r="M248" i="76"/>
  <c r="K248" i="76"/>
  <c r="J248" i="76"/>
  <c r="I248" i="76"/>
  <c r="H248" i="76"/>
  <c r="G248" i="76"/>
  <c r="F248" i="76"/>
  <c r="E248" i="76"/>
  <c r="D248" i="76"/>
  <c r="C248" i="76"/>
  <c r="B248" i="76" s="1"/>
  <c r="U247" i="76"/>
  <c r="S247" i="76"/>
  <c r="R247" i="76"/>
  <c r="P247" i="76"/>
  <c r="N247" i="76"/>
  <c r="M247" i="76"/>
  <c r="K247" i="76"/>
  <c r="J247" i="76"/>
  <c r="I247" i="76"/>
  <c r="H247" i="76"/>
  <c r="G247" i="76"/>
  <c r="F247" i="76"/>
  <c r="E247" i="76"/>
  <c r="D247" i="76"/>
  <c r="C247" i="76"/>
  <c r="B247" i="76" s="1"/>
  <c r="U246" i="76"/>
  <c r="S246" i="76"/>
  <c r="R246" i="76"/>
  <c r="P246" i="76"/>
  <c r="N246" i="76"/>
  <c r="M246" i="76"/>
  <c r="K246" i="76"/>
  <c r="J246" i="76"/>
  <c r="I246" i="76"/>
  <c r="H246" i="76"/>
  <c r="G246" i="76"/>
  <c r="F246" i="76"/>
  <c r="E246" i="76"/>
  <c r="D246" i="76"/>
  <c r="C246" i="76"/>
  <c r="B246" i="76" s="1"/>
  <c r="U245" i="76"/>
  <c r="S245" i="76"/>
  <c r="R245" i="76"/>
  <c r="P245" i="76"/>
  <c r="N245" i="76"/>
  <c r="M245" i="76"/>
  <c r="K245" i="76"/>
  <c r="J245" i="76"/>
  <c r="I245" i="76"/>
  <c r="H245" i="76"/>
  <c r="G245" i="76"/>
  <c r="F245" i="76"/>
  <c r="E245" i="76"/>
  <c r="D245" i="76"/>
  <c r="C245" i="76"/>
  <c r="B245" i="76" s="1"/>
  <c r="U244" i="76"/>
  <c r="S244" i="76"/>
  <c r="R244" i="76"/>
  <c r="P244" i="76"/>
  <c r="N244" i="76"/>
  <c r="M244" i="76"/>
  <c r="K244" i="76"/>
  <c r="J244" i="76"/>
  <c r="I244" i="76"/>
  <c r="H244" i="76"/>
  <c r="G244" i="76"/>
  <c r="F244" i="76"/>
  <c r="E244" i="76"/>
  <c r="D244" i="76"/>
  <c r="C244" i="76"/>
  <c r="B244" i="76" s="1"/>
  <c r="U243" i="76"/>
  <c r="S243" i="76"/>
  <c r="R243" i="76"/>
  <c r="P243" i="76"/>
  <c r="N243" i="76"/>
  <c r="M243" i="76"/>
  <c r="K243" i="76"/>
  <c r="J243" i="76"/>
  <c r="I243" i="76"/>
  <c r="H243" i="76"/>
  <c r="G243" i="76"/>
  <c r="F243" i="76"/>
  <c r="E243" i="76"/>
  <c r="D243" i="76"/>
  <c r="C243" i="76"/>
  <c r="B243" i="76" s="1"/>
  <c r="U242" i="76"/>
  <c r="S242" i="76"/>
  <c r="R242" i="76"/>
  <c r="P242" i="76"/>
  <c r="N242" i="76"/>
  <c r="M242" i="76"/>
  <c r="K242" i="76"/>
  <c r="J242" i="76"/>
  <c r="I242" i="76"/>
  <c r="H242" i="76"/>
  <c r="G242" i="76"/>
  <c r="F242" i="76"/>
  <c r="E242" i="76"/>
  <c r="D242" i="76"/>
  <c r="C242" i="76"/>
  <c r="B242" i="76" s="1"/>
  <c r="U241" i="76"/>
  <c r="S241" i="76"/>
  <c r="R241" i="76"/>
  <c r="P241" i="76"/>
  <c r="N241" i="76"/>
  <c r="M241" i="76"/>
  <c r="K241" i="76"/>
  <c r="J241" i="76"/>
  <c r="I241" i="76"/>
  <c r="H241" i="76"/>
  <c r="G241" i="76"/>
  <c r="F241" i="76"/>
  <c r="E241" i="76"/>
  <c r="D241" i="76"/>
  <c r="C241" i="76"/>
  <c r="B241" i="76" s="1"/>
  <c r="U240" i="76"/>
  <c r="S240" i="76"/>
  <c r="R240" i="76"/>
  <c r="P240" i="76"/>
  <c r="N240" i="76"/>
  <c r="M240" i="76"/>
  <c r="K240" i="76"/>
  <c r="J240" i="76"/>
  <c r="I240" i="76"/>
  <c r="H240" i="76"/>
  <c r="G240" i="76"/>
  <c r="F240" i="76"/>
  <c r="E240" i="76"/>
  <c r="D240" i="76"/>
  <c r="C240" i="76"/>
  <c r="B240" i="76" s="1"/>
  <c r="U239" i="76"/>
  <c r="S239" i="76"/>
  <c r="R239" i="76"/>
  <c r="P239" i="76"/>
  <c r="N239" i="76"/>
  <c r="M239" i="76"/>
  <c r="K239" i="76"/>
  <c r="J239" i="76"/>
  <c r="I239" i="76"/>
  <c r="H239" i="76"/>
  <c r="G239" i="76"/>
  <c r="F239" i="76"/>
  <c r="E239" i="76"/>
  <c r="D239" i="76"/>
  <c r="C239" i="76"/>
  <c r="B239" i="76" s="1"/>
  <c r="U238" i="76"/>
  <c r="S238" i="76"/>
  <c r="R238" i="76"/>
  <c r="P238" i="76"/>
  <c r="N238" i="76"/>
  <c r="M238" i="76"/>
  <c r="K238" i="76"/>
  <c r="J238" i="76"/>
  <c r="I238" i="76"/>
  <c r="H238" i="76"/>
  <c r="G238" i="76"/>
  <c r="F238" i="76"/>
  <c r="E238" i="76"/>
  <c r="D238" i="76"/>
  <c r="C238" i="76"/>
  <c r="B238" i="76" s="1"/>
  <c r="U237" i="76"/>
  <c r="S237" i="76"/>
  <c r="R237" i="76"/>
  <c r="P237" i="76"/>
  <c r="N237" i="76"/>
  <c r="M237" i="76"/>
  <c r="K237" i="76"/>
  <c r="J237" i="76"/>
  <c r="I237" i="76"/>
  <c r="H237" i="76"/>
  <c r="G237" i="76"/>
  <c r="F237" i="76"/>
  <c r="E237" i="76"/>
  <c r="D237" i="76"/>
  <c r="C237" i="76"/>
  <c r="B237" i="76" s="1"/>
  <c r="U236" i="76"/>
  <c r="S236" i="76"/>
  <c r="R236" i="76"/>
  <c r="P236" i="76"/>
  <c r="N236" i="76"/>
  <c r="M236" i="76"/>
  <c r="K236" i="76"/>
  <c r="J236" i="76"/>
  <c r="I236" i="76"/>
  <c r="H236" i="76"/>
  <c r="G236" i="76"/>
  <c r="F236" i="76"/>
  <c r="E236" i="76"/>
  <c r="D236" i="76"/>
  <c r="C236" i="76"/>
  <c r="B236" i="76" s="1"/>
  <c r="U235" i="76"/>
  <c r="S235" i="76"/>
  <c r="R235" i="76"/>
  <c r="P235" i="76"/>
  <c r="N235" i="76"/>
  <c r="M235" i="76"/>
  <c r="K235" i="76"/>
  <c r="J235" i="76"/>
  <c r="I235" i="76"/>
  <c r="H235" i="76"/>
  <c r="G235" i="76"/>
  <c r="F235" i="76"/>
  <c r="E235" i="76"/>
  <c r="D235" i="76"/>
  <c r="C235" i="76"/>
  <c r="B235" i="76" s="1"/>
  <c r="U234" i="76"/>
  <c r="S234" i="76"/>
  <c r="R234" i="76"/>
  <c r="P234" i="76"/>
  <c r="N234" i="76"/>
  <c r="M234" i="76"/>
  <c r="K234" i="76"/>
  <c r="J234" i="76"/>
  <c r="I234" i="76"/>
  <c r="H234" i="76"/>
  <c r="G234" i="76"/>
  <c r="F234" i="76"/>
  <c r="E234" i="76"/>
  <c r="D234" i="76"/>
  <c r="C234" i="76"/>
  <c r="B234" i="76" s="1"/>
  <c r="U233" i="76"/>
  <c r="S233" i="76"/>
  <c r="R233" i="76"/>
  <c r="P233" i="76"/>
  <c r="N233" i="76"/>
  <c r="M233" i="76"/>
  <c r="K233" i="76"/>
  <c r="J233" i="76"/>
  <c r="I233" i="76"/>
  <c r="H233" i="76"/>
  <c r="G233" i="76"/>
  <c r="F233" i="76"/>
  <c r="E233" i="76"/>
  <c r="D233" i="76"/>
  <c r="C233" i="76"/>
  <c r="B233" i="76" s="1"/>
  <c r="U232" i="76"/>
  <c r="S232" i="76"/>
  <c r="R232" i="76"/>
  <c r="P232" i="76"/>
  <c r="N232" i="76"/>
  <c r="M232" i="76"/>
  <c r="K232" i="76"/>
  <c r="J232" i="76"/>
  <c r="I232" i="76"/>
  <c r="H232" i="76"/>
  <c r="G232" i="76"/>
  <c r="F232" i="76"/>
  <c r="E232" i="76"/>
  <c r="D232" i="76"/>
  <c r="C232" i="76"/>
  <c r="B232" i="76" s="1"/>
  <c r="U231" i="76"/>
  <c r="S231" i="76"/>
  <c r="R231" i="76"/>
  <c r="P231" i="76"/>
  <c r="N231" i="76"/>
  <c r="M231" i="76"/>
  <c r="K231" i="76"/>
  <c r="J231" i="76"/>
  <c r="I231" i="76"/>
  <c r="H231" i="76"/>
  <c r="G231" i="76"/>
  <c r="F231" i="76"/>
  <c r="E231" i="76"/>
  <c r="D231" i="76"/>
  <c r="C231" i="76"/>
  <c r="B231" i="76" s="1"/>
  <c r="U230" i="76"/>
  <c r="S230" i="76"/>
  <c r="R230" i="76"/>
  <c r="P230" i="76"/>
  <c r="N230" i="76"/>
  <c r="M230" i="76"/>
  <c r="K230" i="76"/>
  <c r="J230" i="76"/>
  <c r="I230" i="76"/>
  <c r="H230" i="76"/>
  <c r="G230" i="76"/>
  <c r="F230" i="76"/>
  <c r="E230" i="76"/>
  <c r="D230" i="76"/>
  <c r="C230" i="76"/>
  <c r="B230" i="76" s="1"/>
  <c r="U229" i="76"/>
  <c r="S229" i="76"/>
  <c r="R229" i="76"/>
  <c r="P229" i="76"/>
  <c r="N229" i="76"/>
  <c r="M229" i="76"/>
  <c r="K229" i="76"/>
  <c r="J229" i="76"/>
  <c r="I229" i="76"/>
  <c r="H229" i="76"/>
  <c r="G229" i="76"/>
  <c r="F229" i="76"/>
  <c r="E229" i="76"/>
  <c r="D229" i="76"/>
  <c r="C229" i="76"/>
  <c r="B229" i="76" s="1"/>
  <c r="U228" i="76"/>
  <c r="S228" i="76"/>
  <c r="R228" i="76"/>
  <c r="P228" i="76"/>
  <c r="N228" i="76"/>
  <c r="M228" i="76"/>
  <c r="K228" i="76"/>
  <c r="J228" i="76"/>
  <c r="I228" i="76"/>
  <c r="H228" i="76"/>
  <c r="G228" i="76"/>
  <c r="F228" i="76"/>
  <c r="E228" i="76"/>
  <c r="D228" i="76"/>
  <c r="C228" i="76"/>
  <c r="B228" i="76" s="1"/>
  <c r="U227" i="76"/>
  <c r="S227" i="76"/>
  <c r="R227" i="76"/>
  <c r="P227" i="76"/>
  <c r="N227" i="76"/>
  <c r="M227" i="76"/>
  <c r="K227" i="76"/>
  <c r="J227" i="76"/>
  <c r="I227" i="76"/>
  <c r="H227" i="76"/>
  <c r="G227" i="76"/>
  <c r="F227" i="76"/>
  <c r="E227" i="76"/>
  <c r="D227" i="76"/>
  <c r="C227" i="76"/>
  <c r="B227" i="76" s="1"/>
  <c r="U226" i="76"/>
  <c r="S226" i="76"/>
  <c r="R226" i="76"/>
  <c r="P226" i="76"/>
  <c r="N226" i="76"/>
  <c r="M226" i="76"/>
  <c r="K226" i="76"/>
  <c r="J226" i="76"/>
  <c r="I226" i="76"/>
  <c r="H226" i="76"/>
  <c r="G226" i="76"/>
  <c r="F226" i="76"/>
  <c r="E226" i="76"/>
  <c r="D226" i="76"/>
  <c r="C226" i="76"/>
  <c r="B226" i="76" s="1"/>
  <c r="U225" i="76"/>
  <c r="S225" i="76"/>
  <c r="R225" i="76"/>
  <c r="P225" i="76"/>
  <c r="N225" i="76"/>
  <c r="M225" i="76"/>
  <c r="K225" i="76"/>
  <c r="J225" i="76"/>
  <c r="I225" i="76"/>
  <c r="H225" i="76"/>
  <c r="G225" i="76"/>
  <c r="F225" i="76"/>
  <c r="E225" i="76"/>
  <c r="D225" i="76"/>
  <c r="C225" i="76"/>
  <c r="B225" i="76" s="1"/>
  <c r="U224" i="76"/>
  <c r="S224" i="76"/>
  <c r="R224" i="76"/>
  <c r="P224" i="76"/>
  <c r="N224" i="76"/>
  <c r="M224" i="76"/>
  <c r="K224" i="76"/>
  <c r="J224" i="76"/>
  <c r="I224" i="76"/>
  <c r="H224" i="76"/>
  <c r="G224" i="76"/>
  <c r="F224" i="76"/>
  <c r="E224" i="76"/>
  <c r="D224" i="76"/>
  <c r="C224" i="76"/>
  <c r="B224" i="76" s="1"/>
  <c r="U223" i="76"/>
  <c r="S223" i="76"/>
  <c r="R223" i="76"/>
  <c r="P223" i="76"/>
  <c r="N223" i="76"/>
  <c r="M223" i="76"/>
  <c r="K223" i="76"/>
  <c r="J223" i="76"/>
  <c r="I223" i="76"/>
  <c r="H223" i="76"/>
  <c r="G223" i="76"/>
  <c r="F223" i="76"/>
  <c r="E223" i="76"/>
  <c r="D223" i="76"/>
  <c r="C223" i="76"/>
  <c r="B223" i="76" s="1"/>
  <c r="U222" i="76"/>
  <c r="S222" i="76"/>
  <c r="R222" i="76"/>
  <c r="P222" i="76"/>
  <c r="N222" i="76"/>
  <c r="M222" i="76"/>
  <c r="K222" i="76"/>
  <c r="J222" i="76"/>
  <c r="I222" i="76"/>
  <c r="H222" i="76"/>
  <c r="G222" i="76"/>
  <c r="F222" i="76"/>
  <c r="E222" i="76"/>
  <c r="D222" i="76"/>
  <c r="C222" i="76"/>
  <c r="B222" i="76" s="1"/>
  <c r="U221" i="76"/>
  <c r="S221" i="76"/>
  <c r="R221" i="76"/>
  <c r="P221" i="76"/>
  <c r="N221" i="76"/>
  <c r="M221" i="76"/>
  <c r="K221" i="76"/>
  <c r="J221" i="76"/>
  <c r="I221" i="76"/>
  <c r="H221" i="76"/>
  <c r="G221" i="76"/>
  <c r="F221" i="76"/>
  <c r="E221" i="76"/>
  <c r="D221" i="76"/>
  <c r="C221" i="76"/>
  <c r="B221" i="76" s="1"/>
  <c r="U220" i="76"/>
  <c r="S220" i="76"/>
  <c r="R220" i="76"/>
  <c r="P220" i="76"/>
  <c r="N220" i="76"/>
  <c r="M220" i="76"/>
  <c r="K220" i="76"/>
  <c r="J220" i="76"/>
  <c r="I220" i="76"/>
  <c r="H220" i="76"/>
  <c r="G220" i="76"/>
  <c r="F220" i="76"/>
  <c r="E220" i="76"/>
  <c r="D220" i="76"/>
  <c r="C220" i="76"/>
  <c r="B220" i="76" s="1"/>
  <c r="U219" i="76"/>
  <c r="S219" i="76"/>
  <c r="R219" i="76"/>
  <c r="P219" i="76"/>
  <c r="N219" i="76"/>
  <c r="M219" i="76"/>
  <c r="K219" i="76"/>
  <c r="J219" i="76"/>
  <c r="I219" i="76"/>
  <c r="H219" i="76"/>
  <c r="G219" i="76"/>
  <c r="F219" i="76"/>
  <c r="E219" i="76"/>
  <c r="D219" i="76"/>
  <c r="C219" i="76"/>
  <c r="B219" i="76" s="1"/>
  <c r="U218" i="76"/>
  <c r="S218" i="76"/>
  <c r="R218" i="76"/>
  <c r="P218" i="76"/>
  <c r="N218" i="76"/>
  <c r="M218" i="76"/>
  <c r="K218" i="76"/>
  <c r="J218" i="76"/>
  <c r="I218" i="76"/>
  <c r="H218" i="76"/>
  <c r="G218" i="76"/>
  <c r="F218" i="76"/>
  <c r="E218" i="76"/>
  <c r="D218" i="76"/>
  <c r="C218" i="76"/>
  <c r="B218" i="76" s="1"/>
  <c r="U217" i="76"/>
  <c r="S217" i="76"/>
  <c r="R217" i="76"/>
  <c r="P217" i="76"/>
  <c r="N217" i="76"/>
  <c r="M217" i="76"/>
  <c r="K217" i="76"/>
  <c r="J217" i="76"/>
  <c r="I217" i="76"/>
  <c r="H217" i="76"/>
  <c r="G217" i="76"/>
  <c r="F217" i="76"/>
  <c r="E217" i="76"/>
  <c r="D217" i="76"/>
  <c r="C217" i="76"/>
  <c r="B217" i="76" s="1"/>
  <c r="U216" i="76"/>
  <c r="S216" i="76"/>
  <c r="R216" i="76"/>
  <c r="P216" i="76"/>
  <c r="N216" i="76"/>
  <c r="M216" i="76"/>
  <c r="K216" i="76"/>
  <c r="J216" i="76"/>
  <c r="I216" i="76"/>
  <c r="H216" i="76"/>
  <c r="G216" i="76"/>
  <c r="F216" i="76"/>
  <c r="E216" i="76"/>
  <c r="D216" i="76"/>
  <c r="C216" i="76"/>
  <c r="B216" i="76" s="1"/>
  <c r="U215" i="76"/>
  <c r="S215" i="76"/>
  <c r="R215" i="76"/>
  <c r="P215" i="76"/>
  <c r="N215" i="76"/>
  <c r="M215" i="76"/>
  <c r="K215" i="76"/>
  <c r="J215" i="76"/>
  <c r="I215" i="76"/>
  <c r="H215" i="76"/>
  <c r="G215" i="76"/>
  <c r="F215" i="76"/>
  <c r="E215" i="76"/>
  <c r="D215" i="76"/>
  <c r="C215" i="76"/>
  <c r="B215" i="76" s="1"/>
  <c r="U214" i="76"/>
  <c r="S214" i="76"/>
  <c r="R214" i="76"/>
  <c r="P214" i="76"/>
  <c r="N214" i="76"/>
  <c r="M214" i="76"/>
  <c r="K214" i="76"/>
  <c r="J214" i="76"/>
  <c r="I214" i="76"/>
  <c r="H214" i="76"/>
  <c r="G214" i="76"/>
  <c r="F214" i="76"/>
  <c r="E214" i="76"/>
  <c r="D214" i="76"/>
  <c r="C214" i="76"/>
  <c r="B214" i="76" s="1"/>
  <c r="U213" i="76"/>
  <c r="S213" i="76"/>
  <c r="R213" i="76"/>
  <c r="P213" i="76"/>
  <c r="N213" i="76"/>
  <c r="M213" i="76"/>
  <c r="K213" i="76"/>
  <c r="J213" i="76"/>
  <c r="I213" i="76"/>
  <c r="H213" i="76"/>
  <c r="G213" i="76"/>
  <c r="F213" i="76"/>
  <c r="E213" i="76"/>
  <c r="D213" i="76"/>
  <c r="C213" i="76"/>
  <c r="B213" i="76" s="1"/>
  <c r="U212" i="76"/>
  <c r="S212" i="76"/>
  <c r="R212" i="76"/>
  <c r="P212" i="76"/>
  <c r="N212" i="76"/>
  <c r="M212" i="76"/>
  <c r="K212" i="76"/>
  <c r="J212" i="76"/>
  <c r="I212" i="76"/>
  <c r="H212" i="76"/>
  <c r="G212" i="76"/>
  <c r="F212" i="76"/>
  <c r="E212" i="76"/>
  <c r="D212" i="76"/>
  <c r="C212" i="76"/>
  <c r="B212" i="76" s="1"/>
  <c r="U211" i="76"/>
  <c r="S211" i="76"/>
  <c r="R211" i="76"/>
  <c r="P211" i="76"/>
  <c r="N211" i="76"/>
  <c r="M211" i="76"/>
  <c r="K211" i="76"/>
  <c r="J211" i="76"/>
  <c r="I211" i="76"/>
  <c r="H211" i="76"/>
  <c r="G211" i="76"/>
  <c r="F211" i="76"/>
  <c r="E211" i="76"/>
  <c r="D211" i="76"/>
  <c r="C211" i="76"/>
  <c r="B211" i="76" s="1"/>
  <c r="U210" i="76"/>
  <c r="S210" i="76"/>
  <c r="R210" i="76"/>
  <c r="P210" i="76"/>
  <c r="N210" i="76"/>
  <c r="M210" i="76"/>
  <c r="K210" i="76"/>
  <c r="J210" i="76"/>
  <c r="I210" i="76"/>
  <c r="H210" i="76"/>
  <c r="G210" i="76"/>
  <c r="F210" i="76"/>
  <c r="E210" i="76"/>
  <c r="D210" i="76"/>
  <c r="C210" i="76"/>
  <c r="B210" i="76" s="1"/>
  <c r="U209" i="76"/>
  <c r="S209" i="76"/>
  <c r="R209" i="76"/>
  <c r="P209" i="76"/>
  <c r="N209" i="76"/>
  <c r="M209" i="76"/>
  <c r="K209" i="76"/>
  <c r="J209" i="76"/>
  <c r="I209" i="76"/>
  <c r="H209" i="76"/>
  <c r="G209" i="76"/>
  <c r="F209" i="76"/>
  <c r="E209" i="76"/>
  <c r="D209" i="76"/>
  <c r="C209" i="76"/>
  <c r="B209" i="76" s="1"/>
  <c r="U208" i="76"/>
  <c r="S208" i="76"/>
  <c r="R208" i="76"/>
  <c r="P208" i="76"/>
  <c r="N208" i="76"/>
  <c r="M208" i="76"/>
  <c r="K208" i="76"/>
  <c r="J208" i="76"/>
  <c r="I208" i="76"/>
  <c r="H208" i="76"/>
  <c r="G208" i="76"/>
  <c r="F208" i="76"/>
  <c r="E208" i="76"/>
  <c r="D208" i="76"/>
  <c r="C208" i="76"/>
  <c r="B208" i="76" s="1"/>
  <c r="U207" i="76"/>
  <c r="S207" i="76"/>
  <c r="R207" i="76"/>
  <c r="P207" i="76"/>
  <c r="N207" i="76"/>
  <c r="M207" i="76"/>
  <c r="K207" i="76"/>
  <c r="J207" i="76"/>
  <c r="I207" i="76"/>
  <c r="H207" i="76"/>
  <c r="G207" i="76"/>
  <c r="F207" i="76"/>
  <c r="E207" i="76"/>
  <c r="D207" i="76"/>
  <c r="C207" i="76"/>
  <c r="B207" i="76" s="1"/>
  <c r="U206" i="76"/>
  <c r="S206" i="76"/>
  <c r="R206" i="76"/>
  <c r="P206" i="76"/>
  <c r="N206" i="76"/>
  <c r="M206" i="76"/>
  <c r="K206" i="76"/>
  <c r="J206" i="76"/>
  <c r="I206" i="76"/>
  <c r="H206" i="76"/>
  <c r="G206" i="76"/>
  <c r="F206" i="76"/>
  <c r="E206" i="76"/>
  <c r="D206" i="76"/>
  <c r="C206" i="76"/>
  <c r="B206" i="76" s="1"/>
  <c r="U205" i="76"/>
  <c r="S205" i="76"/>
  <c r="R205" i="76"/>
  <c r="P205" i="76"/>
  <c r="N205" i="76"/>
  <c r="M205" i="76"/>
  <c r="K205" i="76"/>
  <c r="J205" i="76"/>
  <c r="I205" i="76"/>
  <c r="H205" i="76"/>
  <c r="G205" i="76"/>
  <c r="F205" i="76"/>
  <c r="E205" i="76"/>
  <c r="D205" i="76"/>
  <c r="C205" i="76"/>
  <c r="B205" i="76" s="1"/>
  <c r="U204" i="76"/>
  <c r="S204" i="76"/>
  <c r="R204" i="76"/>
  <c r="P204" i="76"/>
  <c r="N204" i="76"/>
  <c r="M204" i="76"/>
  <c r="K204" i="76"/>
  <c r="J204" i="76"/>
  <c r="I204" i="76"/>
  <c r="H204" i="76"/>
  <c r="G204" i="76"/>
  <c r="F204" i="76"/>
  <c r="E204" i="76"/>
  <c r="D204" i="76"/>
  <c r="C204" i="76"/>
  <c r="B204" i="76" s="1"/>
  <c r="U203" i="76"/>
  <c r="S203" i="76"/>
  <c r="R203" i="76"/>
  <c r="P203" i="76"/>
  <c r="N203" i="76"/>
  <c r="M203" i="76"/>
  <c r="K203" i="76"/>
  <c r="J203" i="76"/>
  <c r="I203" i="76"/>
  <c r="H203" i="76"/>
  <c r="G203" i="76"/>
  <c r="F203" i="76"/>
  <c r="E203" i="76"/>
  <c r="D203" i="76"/>
  <c r="C203" i="76"/>
  <c r="B203" i="76" s="1"/>
  <c r="U202" i="76"/>
  <c r="S202" i="76"/>
  <c r="R202" i="76"/>
  <c r="P202" i="76"/>
  <c r="N202" i="76"/>
  <c r="M202" i="76"/>
  <c r="K202" i="76"/>
  <c r="J202" i="76"/>
  <c r="I202" i="76"/>
  <c r="H202" i="76"/>
  <c r="G202" i="76"/>
  <c r="F202" i="76"/>
  <c r="E202" i="76"/>
  <c r="D202" i="76"/>
  <c r="C202" i="76"/>
  <c r="B202" i="76" s="1"/>
  <c r="U201" i="76"/>
  <c r="S201" i="76"/>
  <c r="R201" i="76"/>
  <c r="P201" i="76"/>
  <c r="N201" i="76"/>
  <c r="M201" i="76"/>
  <c r="K201" i="76"/>
  <c r="J201" i="76"/>
  <c r="I201" i="76"/>
  <c r="H201" i="76"/>
  <c r="G201" i="76"/>
  <c r="F201" i="76"/>
  <c r="E201" i="76"/>
  <c r="D201" i="76"/>
  <c r="C201" i="76"/>
  <c r="B201" i="76" s="1"/>
  <c r="U200" i="76"/>
  <c r="S200" i="76"/>
  <c r="R200" i="76"/>
  <c r="P200" i="76"/>
  <c r="N200" i="76"/>
  <c r="M200" i="76"/>
  <c r="K200" i="76"/>
  <c r="J200" i="76"/>
  <c r="I200" i="76"/>
  <c r="H200" i="76"/>
  <c r="G200" i="76"/>
  <c r="F200" i="76"/>
  <c r="E200" i="76"/>
  <c r="D200" i="76"/>
  <c r="C200" i="76"/>
  <c r="B200" i="76" s="1"/>
  <c r="U199" i="76"/>
  <c r="S199" i="76"/>
  <c r="R199" i="76"/>
  <c r="P199" i="76"/>
  <c r="N199" i="76"/>
  <c r="M199" i="76"/>
  <c r="K199" i="76"/>
  <c r="J199" i="76"/>
  <c r="I199" i="76"/>
  <c r="H199" i="76"/>
  <c r="G199" i="76"/>
  <c r="F199" i="76"/>
  <c r="E199" i="76"/>
  <c r="D199" i="76"/>
  <c r="C199" i="76"/>
  <c r="B199" i="76" s="1"/>
  <c r="U198" i="76"/>
  <c r="S198" i="76"/>
  <c r="R198" i="76"/>
  <c r="P198" i="76"/>
  <c r="N198" i="76"/>
  <c r="M198" i="76"/>
  <c r="K198" i="76"/>
  <c r="J198" i="76"/>
  <c r="I198" i="76"/>
  <c r="H198" i="76"/>
  <c r="G198" i="76"/>
  <c r="F198" i="76"/>
  <c r="E198" i="76"/>
  <c r="D198" i="76"/>
  <c r="C198" i="76"/>
  <c r="B198" i="76" s="1"/>
  <c r="U197" i="76"/>
  <c r="S197" i="76"/>
  <c r="R197" i="76"/>
  <c r="P197" i="76"/>
  <c r="N197" i="76"/>
  <c r="M197" i="76"/>
  <c r="K197" i="76"/>
  <c r="J197" i="76"/>
  <c r="I197" i="76"/>
  <c r="H197" i="76"/>
  <c r="G197" i="76"/>
  <c r="F197" i="76"/>
  <c r="E197" i="76"/>
  <c r="D197" i="76"/>
  <c r="C197" i="76"/>
  <c r="B197" i="76" s="1"/>
  <c r="U196" i="76"/>
  <c r="S196" i="76"/>
  <c r="R196" i="76"/>
  <c r="P196" i="76"/>
  <c r="N196" i="76"/>
  <c r="M196" i="76"/>
  <c r="K196" i="76"/>
  <c r="J196" i="76"/>
  <c r="I196" i="76"/>
  <c r="H196" i="76"/>
  <c r="G196" i="76"/>
  <c r="F196" i="76"/>
  <c r="E196" i="76"/>
  <c r="D196" i="76"/>
  <c r="C196" i="76"/>
  <c r="B196" i="76" s="1"/>
  <c r="U195" i="76"/>
  <c r="S195" i="76"/>
  <c r="R195" i="76"/>
  <c r="P195" i="76"/>
  <c r="N195" i="76"/>
  <c r="M195" i="76"/>
  <c r="K195" i="76"/>
  <c r="J195" i="76"/>
  <c r="I195" i="76"/>
  <c r="H195" i="76"/>
  <c r="G195" i="76"/>
  <c r="F195" i="76"/>
  <c r="E195" i="76"/>
  <c r="D195" i="76"/>
  <c r="C195" i="76"/>
  <c r="B195" i="76" s="1"/>
  <c r="U194" i="76"/>
  <c r="S194" i="76"/>
  <c r="R194" i="76"/>
  <c r="P194" i="76"/>
  <c r="N194" i="76"/>
  <c r="M194" i="76"/>
  <c r="K194" i="76"/>
  <c r="J194" i="76"/>
  <c r="I194" i="76"/>
  <c r="H194" i="76"/>
  <c r="G194" i="76"/>
  <c r="F194" i="76"/>
  <c r="E194" i="76"/>
  <c r="D194" i="76"/>
  <c r="C194" i="76"/>
  <c r="B194" i="76" s="1"/>
  <c r="U193" i="76"/>
  <c r="S193" i="76"/>
  <c r="R193" i="76"/>
  <c r="P193" i="76"/>
  <c r="N193" i="76"/>
  <c r="M193" i="76"/>
  <c r="K193" i="76"/>
  <c r="J193" i="76"/>
  <c r="I193" i="76"/>
  <c r="H193" i="76"/>
  <c r="G193" i="76"/>
  <c r="F193" i="76"/>
  <c r="E193" i="76"/>
  <c r="D193" i="76"/>
  <c r="C193" i="76"/>
  <c r="B193" i="76" s="1"/>
  <c r="U192" i="76"/>
  <c r="S192" i="76"/>
  <c r="R192" i="76"/>
  <c r="P192" i="76"/>
  <c r="N192" i="76"/>
  <c r="M192" i="76"/>
  <c r="K192" i="76"/>
  <c r="J192" i="76"/>
  <c r="I192" i="76"/>
  <c r="H192" i="76"/>
  <c r="G192" i="76"/>
  <c r="F192" i="76"/>
  <c r="E192" i="76"/>
  <c r="D192" i="76"/>
  <c r="C192" i="76"/>
  <c r="B192" i="76" s="1"/>
  <c r="U191" i="76"/>
  <c r="S191" i="76"/>
  <c r="R191" i="76"/>
  <c r="P191" i="76"/>
  <c r="N191" i="76"/>
  <c r="M191" i="76"/>
  <c r="K191" i="76"/>
  <c r="J191" i="76"/>
  <c r="I191" i="76"/>
  <c r="H191" i="76"/>
  <c r="G191" i="76"/>
  <c r="F191" i="76"/>
  <c r="E191" i="76"/>
  <c r="D191" i="76"/>
  <c r="C191" i="76"/>
  <c r="B191" i="76" s="1"/>
  <c r="U190" i="76"/>
  <c r="S190" i="76"/>
  <c r="R190" i="76"/>
  <c r="P190" i="76"/>
  <c r="N190" i="76"/>
  <c r="M190" i="76"/>
  <c r="K190" i="76"/>
  <c r="J190" i="76"/>
  <c r="I190" i="76"/>
  <c r="H190" i="76"/>
  <c r="G190" i="76"/>
  <c r="F190" i="76"/>
  <c r="E190" i="76"/>
  <c r="D190" i="76"/>
  <c r="C190" i="76"/>
  <c r="B190" i="76" s="1"/>
  <c r="U189" i="76"/>
  <c r="S189" i="76"/>
  <c r="R189" i="76"/>
  <c r="P189" i="76"/>
  <c r="N189" i="76"/>
  <c r="M189" i="76"/>
  <c r="K189" i="76"/>
  <c r="J189" i="76"/>
  <c r="I189" i="76"/>
  <c r="H189" i="76"/>
  <c r="G189" i="76"/>
  <c r="F189" i="76"/>
  <c r="E189" i="76"/>
  <c r="D189" i="76"/>
  <c r="C189" i="76"/>
  <c r="B189" i="76" s="1"/>
  <c r="U188" i="76"/>
  <c r="S188" i="76"/>
  <c r="R188" i="76"/>
  <c r="P188" i="76"/>
  <c r="N188" i="76"/>
  <c r="M188" i="76"/>
  <c r="K188" i="76"/>
  <c r="J188" i="76"/>
  <c r="I188" i="76"/>
  <c r="H188" i="76"/>
  <c r="G188" i="76"/>
  <c r="F188" i="76"/>
  <c r="E188" i="76"/>
  <c r="D188" i="76"/>
  <c r="C188" i="76"/>
  <c r="B188" i="76" s="1"/>
  <c r="U187" i="76"/>
  <c r="S187" i="76"/>
  <c r="R187" i="76"/>
  <c r="P187" i="76"/>
  <c r="N187" i="76"/>
  <c r="M187" i="76"/>
  <c r="K187" i="76"/>
  <c r="J187" i="76"/>
  <c r="I187" i="76"/>
  <c r="H187" i="76"/>
  <c r="G187" i="76"/>
  <c r="F187" i="76"/>
  <c r="E187" i="76"/>
  <c r="D187" i="76"/>
  <c r="C187" i="76"/>
  <c r="B187" i="76" s="1"/>
  <c r="U186" i="76"/>
  <c r="S186" i="76"/>
  <c r="R186" i="76"/>
  <c r="P186" i="76"/>
  <c r="N186" i="76"/>
  <c r="M186" i="76"/>
  <c r="K186" i="76"/>
  <c r="J186" i="76"/>
  <c r="I186" i="76"/>
  <c r="H186" i="76"/>
  <c r="G186" i="76"/>
  <c r="F186" i="76"/>
  <c r="E186" i="76"/>
  <c r="D186" i="76"/>
  <c r="C186" i="76"/>
  <c r="B186" i="76" s="1"/>
  <c r="U185" i="76"/>
  <c r="S185" i="76"/>
  <c r="R185" i="76"/>
  <c r="P185" i="76"/>
  <c r="N185" i="76"/>
  <c r="M185" i="76"/>
  <c r="K185" i="76"/>
  <c r="J185" i="76"/>
  <c r="I185" i="76"/>
  <c r="H185" i="76"/>
  <c r="G185" i="76"/>
  <c r="F185" i="76"/>
  <c r="E185" i="76"/>
  <c r="D185" i="76"/>
  <c r="C185" i="76"/>
  <c r="B185" i="76" s="1"/>
  <c r="U184" i="76"/>
  <c r="S184" i="76"/>
  <c r="R184" i="76"/>
  <c r="P184" i="76"/>
  <c r="N184" i="76"/>
  <c r="M184" i="76"/>
  <c r="K184" i="76"/>
  <c r="J184" i="76"/>
  <c r="I184" i="76"/>
  <c r="H184" i="76"/>
  <c r="G184" i="76"/>
  <c r="F184" i="76"/>
  <c r="E184" i="76"/>
  <c r="D184" i="76"/>
  <c r="C184" i="76"/>
  <c r="B184" i="76" s="1"/>
  <c r="U183" i="76"/>
  <c r="S183" i="76"/>
  <c r="R183" i="76"/>
  <c r="P183" i="76"/>
  <c r="N183" i="76"/>
  <c r="M183" i="76"/>
  <c r="K183" i="76"/>
  <c r="J183" i="76"/>
  <c r="I183" i="76"/>
  <c r="H183" i="76"/>
  <c r="G183" i="76"/>
  <c r="F183" i="76"/>
  <c r="E183" i="76"/>
  <c r="D183" i="76"/>
  <c r="C183" i="76"/>
  <c r="B183" i="76" s="1"/>
  <c r="U182" i="76"/>
  <c r="S182" i="76"/>
  <c r="R182" i="76"/>
  <c r="P182" i="76"/>
  <c r="N182" i="76"/>
  <c r="M182" i="76"/>
  <c r="K182" i="76"/>
  <c r="J182" i="76"/>
  <c r="I182" i="76"/>
  <c r="H182" i="76"/>
  <c r="G182" i="76"/>
  <c r="F182" i="76"/>
  <c r="E182" i="76"/>
  <c r="D182" i="76"/>
  <c r="C182" i="76"/>
  <c r="B182" i="76" s="1"/>
  <c r="U181" i="76"/>
  <c r="S181" i="76"/>
  <c r="R181" i="76"/>
  <c r="P181" i="76"/>
  <c r="N181" i="76"/>
  <c r="M181" i="76"/>
  <c r="K181" i="76"/>
  <c r="J181" i="76"/>
  <c r="I181" i="76"/>
  <c r="H181" i="76"/>
  <c r="G181" i="76"/>
  <c r="F181" i="76"/>
  <c r="E181" i="76"/>
  <c r="D181" i="76"/>
  <c r="C181" i="76"/>
  <c r="B181" i="76" s="1"/>
  <c r="U180" i="76"/>
  <c r="S180" i="76"/>
  <c r="R180" i="76"/>
  <c r="P180" i="76"/>
  <c r="N180" i="76"/>
  <c r="M180" i="76"/>
  <c r="K180" i="76"/>
  <c r="J180" i="76"/>
  <c r="I180" i="76"/>
  <c r="H180" i="76"/>
  <c r="G180" i="76"/>
  <c r="F180" i="76"/>
  <c r="E180" i="76"/>
  <c r="D180" i="76"/>
  <c r="C180" i="76"/>
  <c r="B180" i="76" s="1"/>
  <c r="U179" i="76"/>
  <c r="S179" i="76"/>
  <c r="R179" i="76"/>
  <c r="P179" i="76"/>
  <c r="N179" i="76"/>
  <c r="M179" i="76"/>
  <c r="K179" i="76"/>
  <c r="J179" i="76"/>
  <c r="I179" i="76"/>
  <c r="H179" i="76"/>
  <c r="G179" i="76"/>
  <c r="F179" i="76"/>
  <c r="E179" i="76"/>
  <c r="D179" i="76"/>
  <c r="C179" i="76"/>
  <c r="B179" i="76" s="1"/>
  <c r="U178" i="76"/>
  <c r="S178" i="76"/>
  <c r="R178" i="76"/>
  <c r="P178" i="76"/>
  <c r="N178" i="76"/>
  <c r="M178" i="76"/>
  <c r="K178" i="76"/>
  <c r="J178" i="76"/>
  <c r="I178" i="76"/>
  <c r="H178" i="76"/>
  <c r="G178" i="76"/>
  <c r="F178" i="76"/>
  <c r="E178" i="76"/>
  <c r="D178" i="76"/>
  <c r="C178" i="76"/>
  <c r="B178" i="76" s="1"/>
  <c r="U177" i="76"/>
  <c r="S177" i="76"/>
  <c r="R177" i="76"/>
  <c r="P177" i="76"/>
  <c r="N177" i="76"/>
  <c r="M177" i="76"/>
  <c r="K177" i="76"/>
  <c r="J177" i="76"/>
  <c r="I177" i="76"/>
  <c r="H177" i="76"/>
  <c r="G177" i="76"/>
  <c r="F177" i="76"/>
  <c r="E177" i="76"/>
  <c r="D177" i="76"/>
  <c r="C177" i="76"/>
  <c r="B177" i="76" s="1"/>
  <c r="U176" i="76"/>
  <c r="S176" i="76"/>
  <c r="R176" i="76"/>
  <c r="P176" i="76"/>
  <c r="N176" i="76"/>
  <c r="M176" i="76"/>
  <c r="K176" i="76"/>
  <c r="J176" i="76"/>
  <c r="I176" i="76"/>
  <c r="H176" i="76"/>
  <c r="G176" i="76"/>
  <c r="F176" i="76"/>
  <c r="E176" i="76"/>
  <c r="D176" i="76"/>
  <c r="C176" i="76"/>
  <c r="B176" i="76" s="1"/>
  <c r="U175" i="76"/>
  <c r="S175" i="76"/>
  <c r="R175" i="76"/>
  <c r="P175" i="76"/>
  <c r="N175" i="76"/>
  <c r="M175" i="76"/>
  <c r="K175" i="76"/>
  <c r="J175" i="76"/>
  <c r="I175" i="76"/>
  <c r="H175" i="76"/>
  <c r="G175" i="76"/>
  <c r="F175" i="76"/>
  <c r="E175" i="76"/>
  <c r="D175" i="76"/>
  <c r="C175" i="76"/>
  <c r="B175" i="76" s="1"/>
  <c r="U174" i="76"/>
  <c r="S174" i="76"/>
  <c r="R174" i="76"/>
  <c r="P174" i="76"/>
  <c r="N174" i="76"/>
  <c r="M174" i="76"/>
  <c r="K174" i="76"/>
  <c r="J174" i="76"/>
  <c r="I174" i="76"/>
  <c r="H174" i="76"/>
  <c r="G174" i="76"/>
  <c r="F174" i="76"/>
  <c r="E174" i="76"/>
  <c r="D174" i="76"/>
  <c r="C174" i="76"/>
  <c r="B174" i="76" s="1"/>
  <c r="U173" i="76"/>
  <c r="S173" i="76"/>
  <c r="R173" i="76"/>
  <c r="P173" i="76"/>
  <c r="N173" i="76"/>
  <c r="M173" i="76"/>
  <c r="K173" i="76"/>
  <c r="J173" i="76"/>
  <c r="I173" i="76"/>
  <c r="H173" i="76"/>
  <c r="G173" i="76"/>
  <c r="F173" i="76"/>
  <c r="E173" i="76"/>
  <c r="D173" i="76"/>
  <c r="C173" i="76"/>
  <c r="B173" i="76" s="1"/>
  <c r="U172" i="76"/>
  <c r="S172" i="76"/>
  <c r="R172" i="76"/>
  <c r="P172" i="76"/>
  <c r="N172" i="76"/>
  <c r="M172" i="76"/>
  <c r="K172" i="76"/>
  <c r="J172" i="76"/>
  <c r="I172" i="76"/>
  <c r="H172" i="76"/>
  <c r="G172" i="76"/>
  <c r="F172" i="76"/>
  <c r="E172" i="76"/>
  <c r="D172" i="76"/>
  <c r="C172" i="76"/>
  <c r="B172" i="76" s="1"/>
  <c r="U171" i="76"/>
  <c r="S171" i="76"/>
  <c r="R171" i="76"/>
  <c r="P171" i="76"/>
  <c r="N171" i="76"/>
  <c r="M171" i="76"/>
  <c r="K171" i="76"/>
  <c r="J171" i="76"/>
  <c r="I171" i="76"/>
  <c r="H171" i="76"/>
  <c r="G171" i="76"/>
  <c r="F171" i="76"/>
  <c r="E171" i="76"/>
  <c r="D171" i="76"/>
  <c r="C171" i="76"/>
  <c r="B171" i="76" s="1"/>
  <c r="U170" i="76"/>
  <c r="S170" i="76"/>
  <c r="R170" i="76"/>
  <c r="P170" i="76"/>
  <c r="N170" i="76"/>
  <c r="M170" i="76"/>
  <c r="K170" i="76"/>
  <c r="J170" i="76"/>
  <c r="I170" i="76"/>
  <c r="H170" i="76"/>
  <c r="G170" i="76"/>
  <c r="F170" i="76"/>
  <c r="E170" i="76"/>
  <c r="D170" i="76"/>
  <c r="C170" i="76"/>
  <c r="B170" i="76" s="1"/>
  <c r="U169" i="76"/>
  <c r="S169" i="76"/>
  <c r="R169" i="76"/>
  <c r="P169" i="76"/>
  <c r="N169" i="76"/>
  <c r="M169" i="76"/>
  <c r="K169" i="76"/>
  <c r="J169" i="76"/>
  <c r="I169" i="76"/>
  <c r="H169" i="76"/>
  <c r="G169" i="76"/>
  <c r="F169" i="76"/>
  <c r="E169" i="76"/>
  <c r="D169" i="76"/>
  <c r="C169" i="76"/>
  <c r="B169" i="76" s="1"/>
  <c r="U168" i="76"/>
  <c r="S168" i="76"/>
  <c r="R168" i="76"/>
  <c r="P168" i="76"/>
  <c r="N168" i="76"/>
  <c r="M168" i="76"/>
  <c r="K168" i="76"/>
  <c r="J168" i="76"/>
  <c r="I168" i="76"/>
  <c r="H168" i="76"/>
  <c r="G168" i="76"/>
  <c r="F168" i="76"/>
  <c r="E168" i="76"/>
  <c r="D168" i="76"/>
  <c r="C168" i="76"/>
  <c r="B168" i="76" s="1"/>
  <c r="U167" i="76"/>
  <c r="S167" i="76"/>
  <c r="R167" i="76"/>
  <c r="P167" i="76"/>
  <c r="N167" i="76"/>
  <c r="M167" i="76"/>
  <c r="K167" i="76"/>
  <c r="J167" i="76"/>
  <c r="I167" i="76"/>
  <c r="H167" i="76"/>
  <c r="G167" i="76"/>
  <c r="F167" i="76"/>
  <c r="E167" i="76"/>
  <c r="D167" i="76"/>
  <c r="C167" i="76"/>
  <c r="B167" i="76" s="1"/>
  <c r="U166" i="76"/>
  <c r="S166" i="76"/>
  <c r="R166" i="76"/>
  <c r="P166" i="76"/>
  <c r="N166" i="76"/>
  <c r="M166" i="76"/>
  <c r="K166" i="76"/>
  <c r="J166" i="76"/>
  <c r="I166" i="76"/>
  <c r="H166" i="76"/>
  <c r="G166" i="76"/>
  <c r="F166" i="76"/>
  <c r="E166" i="76"/>
  <c r="D166" i="76"/>
  <c r="C166" i="76"/>
  <c r="B166" i="76" s="1"/>
  <c r="U165" i="76"/>
  <c r="S165" i="76"/>
  <c r="R165" i="76"/>
  <c r="P165" i="76"/>
  <c r="N165" i="76"/>
  <c r="M165" i="76"/>
  <c r="K165" i="76"/>
  <c r="J165" i="76"/>
  <c r="I165" i="76"/>
  <c r="H165" i="76"/>
  <c r="G165" i="76"/>
  <c r="F165" i="76"/>
  <c r="E165" i="76"/>
  <c r="D165" i="76"/>
  <c r="C165" i="76"/>
  <c r="B165" i="76" s="1"/>
  <c r="U164" i="76"/>
  <c r="S164" i="76"/>
  <c r="R164" i="76"/>
  <c r="P164" i="76"/>
  <c r="N164" i="76"/>
  <c r="M164" i="76"/>
  <c r="K164" i="76"/>
  <c r="J164" i="76"/>
  <c r="I164" i="76"/>
  <c r="H164" i="76"/>
  <c r="G164" i="76"/>
  <c r="F164" i="76"/>
  <c r="E164" i="76"/>
  <c r="D164" i="76"/>
  <c r="C164" i="76"/>
  <c r="B164" i="76" s="1"/>
  <c r="U163" i="76"/>
  <c r="S163" i="76"/>
  <c r="R163" i="76"/>
  <c r="P163" i="76"/>
  <c r="N163" i="76"/>
  <c r="M163" i="76"/>
  <c r="K163" i="76"/>
  <c r="J163" i="76"/>
  <c r="I163" i="76"/>
  <c r="H163" i="76"/>
  <c r="G163" i="76"/>
  <c r="F163" i="76"/>
  <c r="E163" i="76"/>
  <c r="D163" i="76"/>
  <c r="C163" i="76"/>
  <c r="B163" i="76" s="1"/>
  <c r="U162" i="76"/>
  <c r="S162" i="76"/>
  <c r="R162" i="76"/>
  <c r="P162" i="76"/>
  <c r="N162" i="76"/>
  <c r="M162" i="76"/>
  <c r="K162" i="76"/>
  <c r="J162" i="76"/>
  <c r="I162" i="76"/>
  <c r="H162" i="76"/>
  <c r="G162" i="76"/>
  <c r="F162" i="76"/>
  <c r="E162" i="76"/>
  <c r="D162" i="76"/>
  <c r="C162" i="76"/>
  <c r="B162" i="76" s="1"/>
  <c r="U161" i="76"/>
  <c r="S161" i="76"/>
  <c r="R161" i="76"/>
  <c r="P161" i="76"/>
  <c r="N161" i="76"/>
  <c r="M161" i="76"/>
  <c r="K161" i="76"/>
  <c r="J161" i="76"/>
  <c r="I161" i="76"/>
  <c r="H161" i="76"/>
  <c r="G161" i="76"/>
  <c r="F161" i="76"/>
  <c r="E161" i="76"/>
  <c r="D161" i="76"/>
  <c r="C161" i="76"/>
  <c r="B161" i="76" s="1"/>
  <c r="U160" i="76"/>
  <c r="S160" i="76"/>
  <c r="R160" i="76"/>
  <c r="P160" i="76"/>
  <c r="N160" i="76"/>
  <c r="M160" i="76"/>
  <c r="K160" i="76"/>
  <c r="J160" i="76"/>
  <c r="I160" i="76"/>
  <c r="H160" i="76"/>
  <c r="G160" i="76"/>
  <c r="F160" i="76"/>
  <c r="E160" i="76"/>
  <c r="D160" i="76"/>
  <c r="C160" i="76"/>
  <c r="B160" i="76" s="1"/>
  <c r="U159" i="76"/>
  <c r="S159" i="76"/>
  <c r="R159" i="76"/>
  <c r="P159" i="76"/>
  <c r="N159" i="76"/>
  <c r="M159" i="76"/>
  <c r="K159" i="76"/>
  <c r="J159" i="76"/>
  <c r="I159" i="76"/>
  <c r="H159" i="76"/>
  <c r="G159" i="76"/>
  <c r="F159" i="76"/>
  <c r="E159" i="76"/>
  <c r="D159" i="76"/>
  <c r="C159" i="76"/>
  <c r="B159" i="76" s="1"/>
  <c r="U158" i="76"/>
  <c r="S158" i="76"/>
  <c r="R158" i="76"/>
  <c r="P158" i="76"/>
  <c r="N158" i="76"/>
  <c r="M158" i="76"/>
  <c r="K158" i="76"/>
  <c r="J158" i="76"/>
  <c r="I158" i="76"/>
  <c r="H158" i="76"/>
  <c r="G158" i="76"/>
  <c r="F158" i="76"/>
  <c r="E158" i="76"/>
  <c r="D158" i="76"/>
  <c r="C158" i="76"/>
  <c r="B158" i="76" s="1"/>
  <c r="U157" i="76"/>
  <c r="S157" i="76"/>
  <c r="R157" i="76"/>
  <c r="P157" i="76"/>
  <c r="N157" i="76"/>
  <c r="M157" i="76"/>
  <c r="K157" i="76"/>
  <c r="J157" i="76"/>
  <c r="I157" i="76"/>
  <c r="H157" i="76"/>
  <c r="G157" i="76"/>
  <c r="F157" i="76"/>
  <c r="E157" i="76"/>
  <c r="D157" i="76"/>
  <c r="C157" i="76"/>
  <c r="B157" i="76" s="1"/>
  <c r="U156" i="76"/>
  <c r="S156" i="76"/>
  <c r="R156" i="76"/>
  <c r="P156" i="76"/>
  <c r="N156" i="76"/>
  <c r="M156" i="76"/>
  <c r="K156" i="76"/>
  <c r="J156" i="76"/>
  <c r="I156" i="76"/>
  <c r="H156" i="76"/>
  <c r="G156" i="76"/>
  <c r="F156" i="76"/>
  <c r="E156" i="76"/>
  <c r="D156" i="76"/>
  <c r="C156" i="76"/>
  <c r="B156" i="76" s="1"/>
  <c r="U155" i="76"/>
  <c r="S155" i="76"/>
  <c r="R155" i="76"/>
  <c r="P155" i="76"/>
  <c r="N155" i="76"/>
  <c r="M155" i="76"/>
  <c r="K155" i="76"/>
  <c r="J155" i="76"/>
  <c r="I155" i="76"/>
  <c r="H155" i="76"/>
  <c r="G155" i="76"/>
  <c r="F155" i="76"/>
  <c r="E155" i="76"/>
  <c r="D155" i="76"/>
  <c r="C155" i="76"/>
  <c r="B155" i="76" s="1"/>
  <c r="U154" i="76"/>
  <c r="S154" i="76"/>
  <c r="R154" i="76"/>
  <c r="P154" i="76"/>
  <c r="N154" i="76"/>
  <c r="M154" i="76"/>
  <c r="K154" i="76"/>
  <c r="J154" i="76"/>
  <c r="I154" i="76"/>
  <c r="H154" i="76"/>
  <c r="G154" i="76"/>
  <c r="F154" i="76"/>
  <c r="E154" i="76"/>
  <c r="D154" i="76"/>
  <c r="C154" i="76"/>
  <c r="B154" i="76" s="1"/>
  <c r="U153" i="76"/>
  <c r="S153" i="76"/>
  <c r="R153" i="76"/>
  <c r="P153" i="76"/>
  <c r="N153" i="76"/>
  <c r="M153" i="76"/>
  <c r="K153" i="76"/>
  <c r="J153" i="76"/>
  <c r="I153" i="76"/>
  <c r="H153" i="76"/>
  <c r="G153" i="76"/>
  <c r="F153" i="76"/>
  <c r="E153" i="76"/>
  <c r="D153" i="76"/>
  <c r="C153" i="76"/>
  <c r="B153" i="76" s="1"/>
  <c r="U152" i="76"/>
  <c r="S152" i="76"/>
  <c r="R152" i="76"/>
  <c r="P152" i="76"/>
  <c r="N152" i="76"/>
  <c r="M152" i="76"/>
  <c r="K152" i="76"/>
  <c r="J152" i="76"/>
  <c r="I152" i="76"/>
  <c r="H152" i="76"/>
  <c r="G152" i="76"/>
  <c r="F152" i="76"/>
  <c r="E152" i="76"/>
  <c r="D152" i="76"/>
  <c r="C152" i="76"/>
  <c r="B152" i="76" s="1"/>
  <c r="U151" i="76"/>
  <c r="S151" i="76"/>
  <c r="R151" i="76"/>
  <c r="P151" i="76"/>
  <c r="N151" i="76"/>
  <c r="M151" i="76"/>
  <c r="K151" i="76"/>
  <c r="J151" i="76"/>
  <c r="I151" i="76"/>
  <c r="H151" i="76"/>
  <c r="G151" i="76"/>
  <c r="F151" i="76"/>
  <c r="E151" i="76"/>
  <c r="D151" i="76"/>
  <c r="C151" i="76"/>
  <c r="B151" i="76" s="1"/>
  <c r="U150" i="76"/>
  <c r="S150" i="76"/>
  <c r="R150" i="76"/>
  <c r="P150" i="76"/>
  <c r="N150" i="76"/>
  <c r="M150" i="76"/>
  <c r="K150" i="76"/>
  <c r="J150" i="76"/>
  <c r="I150" i="76"/>
  <c r="H150" i="76"/>
  <c r="G150" i="76"/>
  <c r="F150" i="76"/>
  <c r="E150" i="76"/>
  <c r="D150" i="76"/>
  <c r="C150" i="76"/>
  <c r="B150" i="76" s="1"/>
  <c r="U149" i="76"/>
  <c r="S149" i="76"/>
  <c r="R149" i="76"/>
  <c r="P149" i="76"/>
  <c r="N149" i="76"/>
  <c r="M149" i="76"/>
  <c r="K149" i="76"/>
  <c r="J149" i="76"/>
  <c r="I149" i="76"/>
  <c r="H149" i="76"/>
  <c r="G149" i="76"/>
  <c r="F149" i="76"/>
  <c r="E149" i="76"/>
  <c r="D149" i="76"/>
  <c r="C149" i="76"/>
  <c r="B149" i="76" s="1"/>
  <c r="U148" i="76"/>
  <c r="S148" i="76"/>
  <c r="R148" i="76"/>
  <c r="P148" i="76"/>
  <c r="N148" i="76"/>
  <c r="M148" i="76"/>
  <c r="K148" i="76"/>
  <c r="J148" i="76"/>
  <c r="I148" i="76"/>
  <c r="H148" i="76"/>
  <c r="G148" i="76"/>
  <c r="F148" i="76"/>
  <c r="E148" i="76"/>
  <c r="D148" i="76"/>
  <c r="C148" i="76"/>
  <c r="B148" i="76" s="1"/>
  <c r="U147" i="76"/>
  <c r="S147" i="76"/>
  <c r="R147" i="76"/>
  <c r="P147" i="76"/>
  <c r="N147" i="76"/>
  <c r="M147" i="76"/>
  <c r="K147" i="76"/>
  <c r="J147" i="76"/>
  <c r="I147" i="76"/>
  <c r="H147" i="76"/>
  <c r="G147" i="76"/>
  <c r="F147" i="76"/>
  <c r="E147" i="76"/>
  <c r="D147" i="76"/>
  <c r="C147" i="76"/>
  <c r="B147" i="76" s="1"/>
  <c r="U146" i="76"/>
  <c r="S146" i="76"/>
  <c r="R146" i="76"/>
  <c r="P146" i="76"/>
  <c r="N146" i="76"/>
  <c r="M146" i="76"/>
  <c r="K146" i="76"/>
  <c r="J146" i="76"/>
  <c r="I146" i="76"/>
  <c r="H146" i="76"/>
  <c r="G146" i="76"/>
  <c r="F146" i="76"/>
  <c r="E146" i="76"/>
  <c r="D146" i="76"/>
  <c r="C146" i="76"/>
  <c r="B146" i="76" s="1"/>
  <c r="U145" i="76"/>
  <c r="S145" i="76"/>
  <c r="R145" i="76"/>
  <c r="P145" i="76"/>
  <c r="N145" i="76"/>
  <c r="M145" i="76"/>
  <c r="K145" i="76"/>
  <c r="J145" i="76"/>
  <c r="I145" i="76"/>
  <c r="H145" i="76"/>
  <c r="G145" i="76"/>
  <c r="F145" i="76"/>
  <c r="E145" i="76"/>
  <c r="D145" i="76"/>
  <c r="C145" i="76"/>
  <c r="B145" i="76" s="1"/>
  <c r="U144" i="76"/>
  <c r="S144" i="76"/>
  <c r="R144" i="76"/>
  <c r="P144" i="76"/>
  <c r="N144" i="76"/>
  <c r="M144" i="76"/>
  <c r="K144" i="76"/>
  <c r="J144" i="76"/>
  <c r="I144" i="76"/>
  <c r="H144" i="76"/>
  <c r="G144" i="76"/>
  <c r="F144" i="76"/>
  <c r="E144" i="76"/>
  <c r="D144" i="76"/>
  <c r="C144" i="76"/>
  <c r="B144" i="76" s="1"/>
  <c r="U143" i="76"/>
  <c r="S143" i="76"/>
  <c r="R143" i="76"/>
  <c r="P143" i="76"/>
  <c r="N143" i="76"/>
  <c r="M143" i="76"/>
  <c r="K143" i="76"/>
  <c r="J143" i="76"/>
  <c r="I143" i="76"/>
  <c r="H143" i="76"/>
  <c r="G143" i="76"/>
  <c r="F143" i="76"/>
  <c r="E143" i="76"/>
  <c r="D143" i="76"/>
  <c r="C143" i="76"/>
  <c r="B143" i="76" s="1"/>
  <c r="U142" i="76"/>
  <c r="S142" i="76"/>
  <c r="R142" i="76"/>
  <c r="P142" i="76"/>
  <c r="N142" i="76"/>
  <c r="M142" i="76"/>
  <c r="K142" i="76"/>
  <c r="J142" i="76"/>
  <c r="I142" i="76"/>
  <c r="H142" i="76"/>
  <c r="G142" i="76"/>
  <c r="F142" i="76"/>
  <c r="E142" i="76"/>
  <c r="D142" i="76"/>
  <c r="C142" i="76"/>
  <c r="B142" i="76" s="1"/>
  <c r="U141" i="76"/>
  <c r="S141" i="76"/>
  <c r="R141" i="76"/>
  <c r="P141" i="76"/>
  <c r="N141" i="76"/>
  <c r="M141" i="76"/>
  <c r="K141" i="76"/>
  <c r="J141" i="76"/>
  <c r="I141" i="76"/>
  <c r="H141" i="76"/>
  <c r="G141" i="76"/>
  <c r="F141" i="76"/>
  <c r="E141" i="76"/>
  <c r="D141" i="76"/>
  <c r="C141" i="76"/>
  <c r="B141" i="76" s="1"/>
  <c r="U140" i="76"/>
  <c r="S140" i="76"/>
  <c r="R140" i="76"/>
  <c r="P140" i="76"/>
  <c r="N140" i="76"/>
  <c r="M140" i="76"/>
  <c r="K140" i="76"/>
  <c r="J140" i="76"/>
  <c r="I140" i="76"/>
  <c r="H140" i="76"/>
  <c r="G140" i="76"/>
  <c r="F140" i="76"/>
  <c r="E140" i="76"/>
  <c r="D140" i="76"/>
  <c r="C140" i="76"/>
  <c r="B140" i="76" s="1"/>
  <c r="U139" i="76"/>
  <c r="S139" i="76"/>
  <c r="R139" i="76"/>
  <c r="P139" i="76"/>
  <c r="N139" i="76"/>
  <c r="M139" i="76"/>
  <c r="K139" i="76"/>
  <c r="J139" i="76"/>
  <c r="I139" i="76"/>
  <c r="H139" i="76"/>
  <c r="G139" i="76"/>
  <c r="F139" i="76"/>
  <c r="E139" i="76"/>
  <c r="D139" i="76"/>
  <c r="C139" i="76"/>
  <c r="B139" i="76" s="1"/>
  <c r="U138" i="76"/>
  <c r="S138" i="76"/>
  <c r="R138" i="76"/>
  <c r="P138" i="76"/>
  <c r="N138" i="76"/>
  <c r="M138" i="76"/>
  <c r="K138" i="76"/>
  <c r="J138" i="76"/>
  <c r="I138" i="76"/>
  <c r="H138" i="76"/>
  <c r="G138" i="76"/>
  <c r="F138" i="76"/>
  <c r="E138" i="76"/>
  <c r="D138" i="76"/>
  <c r="C138" i="76"/>
  <c r="B138" i="76" s="1"/>
  <c r="U137" i="76"/>
  <c r="S137" i="76"/>
  <c r="R137" i="76"/>
  <c r="P137" i="76"/>
  <c r="N137" i="76"/>
  <c r="M137" i="76"/>
  <c r="K137" i="76"/>
  <c r="J137" i="76"/>
  <c r="I137" i="76"/>
  <c r="H137" i="76"/>
  <c r="G137" i="76"/>
  <c r="F137" i="76"/>
  <c r="E137" i="76"/>
  <c r="D137" i="76"/>
  <c r="C137" i="76"/>
  <c r="B137" i="76" s="1"/>
  <c r="U136" i="76"/>
  <c r="S136" i="76"/>
  <c r="R136" i="76"/>
  <c r="P136" i="76"/>
  <c r="N136" i="76"/>
  <c r="M136" i="76"/>
  <c r="K136" i="76"/>
  <c r="J136" i="76"/>
  <c r="I136" i="76"/>
  <c r="H136" i="76"/>
  <c r="G136" i="76"/>
  <c r="F136" i="76"/>
  <c r="E136" i="76"/>
  <c r="D136" i="76"/>
  <c r="C136" i="76"/>
  <c r="B136" i="76" s="1"/>
  <c r="U135" i="76"/>
  <c r="S135" i="76"/>
  <c r="R135" i="76"/>
  <c r="P135" i="76"/>
  <c r="N135" i="76"/>
  <c r="M135" i="76"/>
  <c r="K135" i="76"/>
  <c r="J135" i="76"/>
  <c r="I135" i="76"/>
  <c r="H135" i="76"/>
  <c r="G135" i="76"/>
  <c r="F135" i="76"/>
  <c r="E135" i="76"/>
  <c r="D135" i="76"/>
  <c r="C135" i="76"/>
  <c r="B135" i="76" s="1"/>
  <c r="U134" i="76"/>
  <c r="S134" i="76"/>
  <c r="R134" i="76"/>
  <c r="P134" i="76"/>
  <c r="N134" i="76"/>
  <c r="M134" i="76"/>
  <c r="K134" i="76"/>
  <c r="J134" i="76"/>
  <c r="I134" i="76"/>
  <c r="H134" i="76"/>
  <c r="G134" i="76"/>
  <c r="F134" i="76"/>
  <c r="E134" i="76"/>
  <c r="D134" i="76"/>
  <c r="C134" i="76"/>
  <c r="B134" i="76" s="1"/>
  <c r="U133" i="76"/>
  <c r="S133" i="76"/>
  <c r="R133" i="76"/>
  <c r="P133" i="76"/>
  <c r="N133" i="76"/>
  <c r="M133" i="76"/>
  <c r="K133" i="76"/>
  <c r="J133" i="76"/>
  <c r="I133" i="76"/>
  <c r="H133" i="76"/>
  <c r="G133" i="76"/>
  <c r="F133" i="76"/>
  <c r="E133" i="76"/>
  <c r="D133" i="76"/>
  <c r="C133" i="76"/>
  <c r="B133" i="76" s="1"/>
  <c r="U132" i="76"/>
  <c r="S132" i="76"/>
  <c r="R132" i="76"/>
  <c r="P132" i="76"/>
  <c r="N132" i="76"/>
  <c r="M132" i="76"/>
  <c r="K132" i="76"/>
  <c r="J132" i="76"/>
  <c r="I132" i="76"/>
  <c r="H132" i="76"/>
  <c r="G132" i="76"/>
  <c r="F132" i="76"/>
  <c r="E132" i="76"/>
  <c r="D132" i="76"/>
  <c r="C132" i="76"/>
  <c r="B132" i="76" s="1"/>
  <c r="U131" i="76"/>
  <c r="S131" i="76"/>
  <c r="R131" i="76"/>
  <c r="P131" i="76"/>
  <c r="N131" i="76"/>
  <c r="M131" i="76"/>
  <c r="K131" i="76"/>
  <c r="J131" i="76"/>
  <c r="I131" i="76"/>
  <c r="H131" i="76"/>
  <c r="G131" i="76"/>
  <c r="F131" i="76"/>
  <c r="E131" i="76"/>
  <c r="D131" i="76"/>
  <c r="C131" i="76"/>
  <c r="B131" i="76" s="1"/>
  <c r="U130" i="76"/>
  <c r="S130" i="76"/>
  <c r="R130" i="76"/>
  <c r="P130" i="76"/>
  <c r="N130" i="76"/>
  <c r="M130" i="76"/>
  <c r="K130" i="76"/>
  <c r="J130" i="76"/>
  <c r="I130" i="76"/>
  <c r="H130" i="76"/>
  <c r="G130" i="76"/>
  <c r="F130" i="76"/>
  <c r="E130" i="76"/>
  <c r="D130" i="76"/>
  <c r="C130" i="76"/>
  <c r="B130" i="76" s="1"/>
  <c r="U129" i="76"/>
  <c r="S129" i="76"/>
  <c r="R129" i="76"/>
  <c r="P129" i="76"/>
  <c r="N129" i="76"/>
  <c r="M129" i="76"/>
  <c r="K129" i="76"/>
  <c r="J129" i="76"/>
  <c r="I129" i="76"/>
  <c r="H129" i="76"/>
  <c r="G129" i="76"/>
  <c r="F129" i="76"/>
  <c r="E129" i="76"/>
  <c r="D129" i="76"/>
  <c r="C129" i="76"/>
  <c r="B129" i="76" s="1"/>
  <c r="U128" i="76"/>
  <c r="S128" i="76"/>
  <c r="R128" i="76"/>
  <c r="P128" i="76"/>
  <c r="N128" i="76"/>
  <c r="M128" i="76"/>
  <c r="K128" i="76"/>
  <c r="J128" i="76"/>
  <c r="I128" i="76"/>
  <c r="H128" i="76"/>
  <c r="G128" i="76"/>
  <c r="F128" i="76"/>
  <c r="E128" i="76"/>
  <c r="D128" i="76"/>
  <c r="C128" i="76"/>
  <c r="B128" i="76" s="1"/>
  <c r="U127" i="76"/>
  <c r="S127" i="76"/>
  <c r="R127" i="76"/>
  <c r="P127" i="76"/>
  <c r="N127" i="76"/>
  <c r="M127" i="76"/>
  <c r="K127" i="76"/>
  <c r="J127" i="76"/>
  <c r="I127" i="76"/>
  <c r="H127" i="76"/>
  <c r="G127" i="76"/>
  <c r="F127" i="76"/>
  <c r="E127" i="76"/>
  <c r="D127" i="76"/>
  <c r="C127" i="76"/>
  <c r="B127" i="76" s="1"/>
  <c r="U126" i="76"/>
  <c r="S126" i="76"/>
  <c r="R126" i="76"/>
  <c r="P126" i="76"/>
  <c r="N126" i="76"/>
  <c r="M126" i="76"/>
  <c r="K126" i="76"/>
  <c r="J126" i="76"/>
  <c r="I126" i="76"/>
  <c r="H126" i="76"/>
  <c r="G126" i="76"/>
  <c r="F126" i="76"/>
  <c r="E126" i="76"/>
  <c r="D126" i="76"/>
  <c r="C126" i="76"/>
  <c r="B126" i="76" s="1"/>
  <c r="U125" i="76"/>
  <c r="S125" i="76"/>
  <c r="R125" i="76"/>
  <c r="P125" i="76"/>
  <c r="N125" i="76"/>
  <c r="M125" i="76"/>
  <c r="K125" i="76"/>
  <c r="J125" i="76"/>
  <c r="I125" i="76"/>
  <c r="H125" i="76"/>
  <c r="G125" i="76"/>
  <c r="F125" i="76"/>
  <c r="E125" i="76"/>
  <c r="D125" i="76"/>
  <c r="C125" i="76"/>
  <c r="B125" i="76" s="1"/>
  <c r="U124" i="76"/>
  <c r="S124" i="76"/>
  <c r="R124" i="76"/>
  <c r="P124" i="76"/>
  <c r="N124" i="76"/>
  <c r="M124" i="76"/>
  <c r="K124" i="76"/>
  <c r="J124" i="76"/>
  <c r="I124" i="76"/>
  <c r="H124" i="76"/>
  <c r="G124" i="76"/>
  <c r="F124" i="76"/>
  <c r="E124" i="76"/>
  <c r="D124" i="76"/>
  <c r="C124" i="76"/>
  <c r="B124" i="76" s="1"/>
  <c r="U123" i="76"/>
  <c r="S123" i="76"/>
  <c r="R123" i="76"/>
  <c r="P123" i="76"/>
  <c r="N123" i="76"/>
  <c r="M123" i="76"/>
  <c r="K123" i="76"/>
  <c r="J123" i="76"/>
  <c r="I123" i="76"/>
  <c r="H123" i="76"/>
  <c r="G123" i="76"/>
  <c r="F123" i="76"/>
  <c r="E123" i="76"/>
  <c r="D123" i="76"/>
  <c r="C123" i="76"/>
  <c r="B123" i="76" s="1"/>
  <c r="U122" i="76"/>
  <c r="S122" i="76"/>
  <c r="R122" i="76"/>
  <c r="P122" i="76"/>
  <c r="N122" i="76"/>
  <c r="M122" i="76"/>
  <c r="K122" i="76"/>
  <c r="J122" i="76"/>
  <c r="I122" i="76"/>
  <c r="H122" i="76"/>
  <c r="G122" i="76"/>
  <c r="F122" i="76"/>
  <c r="E122" i="76"/>
  <c r="D122" i="76"/>
  <c r="C122" i="76"/>
  <c r="B122" i="76" s="1"/>
  <c r="U121" i="76"/>
  <c r="S121" i="76"/>
  <c r="R121" i="76"/>
  <c r="P121" i="76"/>
  <c r="N121" i="76"/>
  <c r="M121" i="76"/>
  <c r="K121" i="76"/>
  <c r="J121" i="76"/>
  <c r="I121" i="76"/>
  <c r="H121" i="76"/>
  <c r="G121" i="76"/>
  <c r="F121" i="76"/>
  <c r="E121" i="76"/>
  <c r="D121" i="76"/>
  <c r="C121" i="76"/>
  <c r="B121" i="76" s="1"/>
  <c r="U120" i="76"/>
  <c r="S120" i="76"/>
  <c r="R120" i="76"/>
  <c r="P120" i="76"/>
  <c r="N120" i="76"/>
  <c r="M120" i="76"/>
  <c r="K120" i="76"/>
  <c r="J120" i="76"/>
  <c r="I120" i="76"/>
  <c r="H120" i="76"/>
  <c r="G120" i="76"/>
  <c r="F120" i="76"/>
  <c r="E120" i="76"/>
  <c r="D120" i="76"/>
  <c r="C120" i="76"/>
  <c r="B120" i="76" s="1"/>
  <c r="U119" i="76"/>
  <c r="S119" i="76"/>
  <c r="R119" i="76"/>
  <c r="P119" i="76"/>
  <c r="N119" i="76"/>
  <c r="M119" i="76"/>
  <c r="K119" i="76"/>
  <c r="J119" i="76"/>
  <c r="I119" i="76"/>
  <c r="H119" i="76"/>
  <c r="G119" i="76"/>
  <c r="F119" i="76"/>
  <c r="E119" i="76"/>
  <c r="D119" i="76"/>
  <c r="C119" i="76"/>
  <c r="B119" i="76" s="1"/>
  <c r="U118" i="76"/>
  <c r="S118" i="76"/>
  <c r="R118" i="76"/>
  <c r="P118" i="76"/>
  <c r="N118" i="76"/>
  <c r="M118" i="76"/>
  <c r="K118" i="76"/>
  <c r="J118" i="76"/>
  <c r="I118" i="76"/>
  <c r="H118" i="76"/>
  <c r="G118" i="76"/>
  <c r="F118" i="76"/>
  <c r="E118" i="76"/>
  <c r="D118" i="76"/>
  <c r="C118" i="76"/>
  <c r="B118" i="76" s="1"/>
  <c r="U117" i="76"/>
  <c r="S117" i="76"/>
  <c r="R117" i="76"/>
  <c r="P117" i="76"/>
  <c r="N117" i="76"/>
  <c r="M117" i="76"/>
  <c r="K117" i="76"/>
  <c r="J117" i="76"/>
  <c r="I117" i="76"/>
  <c r="H117" i="76"/>
  <c r="G117" i="76"/>
  <c r="F117" i="76"/>
  <c r="E117" i="76"/>
  <c r="D117" i="76"/>
  <c r="C117" i="76"/>
  <c r="B117" i="76" s="1"/>
  <c r="U116" i="76"/>
  <c r="S116" i="76"/>
  <c r="R116" i="76"/>
  <c r="P116" i="76"/>
  <c r="N116" i="76"/>
  <c r="M116" i="76"/>
  <c r="K116" i="76"/>
  <c r="J116" i="76"/>
  <c r="I116" i="76"/>
  <c r="H116" i="76"/>
  <c r="G116" i="76"/>
  <c r="F116" i="76"/>
  <c r="E116" i="76"/>
  <c r="D116" i="76"/>
  <c r="C116" i="76"/>
  <c r="B116" i="76" s="1"/>
  <c r="U115" i="76"/>
  <c r="S115" i="76"/>
  <c r="R115" i="76"/>
  <c r="P115" i="76"/>
  <c r="N115" i="76"/>
  <c r="M115" i="76"/>
  <c r="K115" i="76"/>
  <c r="J115" i="76"/>
  <c r="I115" i="76"/>
  <c r="H115" i="76"/>
  <c r="G115" i="76"/>
  <c r="F115" i="76"/>
  <c r="E115" i="76"/>
  <c r="D115" i="76"/>
  <c r="C115" i="76"/>
  <c r="B115" i="76" s="1"/>
  <c r="U114" i="76"/>
  <c r="S114" i="76"/>
  <c r="R114" i="76"/>
  <c r="P114" i="76"/>
  <c r="N114" i="76"/>
  <c r="M114" i="76"/>
  <c r="K114" i="76"/>
  <c r="J114" i="76"/>
  <c r="I114" i="76"/>
  <c r="H114" i="76"/>
  <c r="G114" i="76"/>
  <c r="F114" i="76"/>
  <c r="E114" i="76"/>
  <c r="D114" i="76"/>
  <c r="C114" i="76"/>
  <c r="B114" i="76" s="1"/>
  <c r="U113" i="76"/>
  <c r="S113" i="76"/>
  <c r="R113" i="76"/>
  <c r="P113" i="76"/>
  <c r="N113" i="76"/>
  <c r="M113" i="76"/>
  <c r="K113" i="76"/>
  <c r="J113" i="76"/>
  <c r="I113" i="76"/>
  <c r="H113" i="76"/>
  <c r="G113" i="76"/>
  <c r="F113" i="76"/>
  <c r="E113" i="76"/>
  <c r="D113" i="76"/>
  <c r="C113" i="76"/>
  <c r="B113" i="76" s="1"/>
  <c r="U112" i="76"/>
  <c r="S112" i="76"/>
  <c r="R112" i="76"/>
  <c r="P112" i="76"/>
  <c r="N112" i="76"/>
  <c r="M112" i="76"/>
  <c r="K112" i="76"/>
  <c r="J112" i="76"/>
  <c r="I112" i="76"/>
  <c r="H112" i="76"/>
  <c r="G112" i="76"/>
  <c r="F112" i="76"/>
  <c r="E112" i="76"/>
  <c r="D112" i="76"/>
  <c r="C112" i="76"/>
  <c r="B112" i="76" s="1"/>
  <c r="U111" i="76"/>
  <c r="S111" i="76"/>
  <c r="R111" i="76"/>
  <c r="P111" i="76"/>
  <c r="N111" i="76"/>
  <c r="M111" i="76"/>
  <c r="K111" i="76"/>
  <c r="J111" i="76"/>
  <c r="I111" i="76"/>
  <c r="H111" i="76"/>
  <c r="G111" i="76"/>
  <c r="F111" i="76"/>
  <c r="E111" i="76"/>
  <c r="D111" i="76"/>
  <c r="C111" i="76"/>
  <c r="B111" i="76" s="1"/>
  <c r="U110" i="76"/>
  <c r="S110" i="76"/>
  <c r="R110" i="76"/>
  <c r="P110" i="76"/>
  <c r="N110" i="76"/>
  <c r="M110" i="76"/>
  <c r="K110" i="76"/>
  <c r="J110" i="76"/>
  <c r="I110" i="76"/>
  <c r="H110" i="76"/>
  <c r="G110" i="76"/>
  <c r="F110" i="76"/>
  <c r="E110" i="76"/>
  <c r="D110" i="76"/>
  <c r="C110" i="76"/>
  <c r="B110" i="76" s="1"/>
  <c r="U109" i="76"/>
  <c r="S109" i="76"/>
  <c r="R109" i="76"/>
  <c r="P109" i="76"/>
  <c r="N109" i="76"/>
  <c r="M109" i="76"/>
  <c r="K109" i="76"/>
  <c r="J109" i="76"/>
  <c r="I109" i="76"/>
  <c r="H109" i="76"/>
  <c r="G109" i="76"/>
  <c r="F109" i="76"/>
  <c r="E109" i="76"/>
  <c r="D109" i="76"/>
  <c r="C109" i="76"/>
  <c r="B109" i="76" s="1"/>
  <c r="U108" i="76"/>
  <c r="S108" i="76"/>
  <c r="R108" i="76"/>
  <c r="P108" i="76"/>
  <c r="N108" i="76"/>
  <c r="M108" i="76"/>
  <c r="K108" i="76"/>
  <c r="J108" i="76"/>
  <c r="I108" i="76"/>
  <c r="H108" i="76"/>
  <c r="G108" i="76"/>
  <c r="F108" i="76"/>
  <c r="E108" i="76"/>
  <c r="D108" i="76"/>
  <c r="C108" i="76"/>
  <c r="B108" i="76" s="1"/>
  <c r="U107" i="76"/>
  <c r="S107" i="76"/>
  <c r="R107" i="76"/>
  <c r="P107" i="76"/>
  <c r="N107" i="76"/>
  <c r="M107" i="76"/>
  <c r="K107" i="76"/>
  <c r="J107" i="76"/>
  <c r="I107" i="76"/>
  <c r="H107" i="76"/>
  <c r="G107" i="76"/>
  <c r="F107" i="76"/>
  <c r="E107" i="76"/>
  <c r="D107" i="76"/>
  <c r="C107" i="76"/>
  <c r="B107" i="76" s="1"/>
  <c r="U106" i="76"/>
  <c r="S106" i="76"/>
  <c r="R106" i="76"/>
  <c r="P106" i="76"/>
  <c r="N106" i="76"/>
  <c r="M106" i="76"/>
  <c r="K106" i="76"/>
  <c r="J106" i="76"/>
  <c r="I106" i="76"/>
  <c r="H106" i="76"/>
  <c r="G106" i="76"/>
  <c r="F106" i="76"/>
  <c r="E106" i="76"/>
  <c r="D106" i="76"/>
  <c r="C106" i="76"/>
  <c r="B106" i="76" s="1"/>
  <c r="U105" i="76"/>
  <c r="S105" i="76"/>
  <c r="R105" i="76"/>
  <c r="P105" i="76"/>
  <c r="N105" i="76"/>
  <c r="M105" i="76"/>
  <c r="K105" i="76"/>
  <c r="J105" i="76"/>
  <c r="I105" i="76"/>
  <c r="H105" i="76"/>
  <c r="G105" i="76"/>
  <c r="F105" i="76"/>
  <c r="E105" i="76"/>
  <c r="D105" i="76"/>
  <c r="C105" i="76"/>
  <c r="B105" i="76" s="1"/>
  <c r="U104" i="76"/>
  <c r="S104" i="76"/>
  <c r="R104" i="76"/>
  <c r="P104" i="76"/>
  <c r="N104" i="76"/>
  <c r="M104" i="76"/>
  <c r="K104" i="76"/>
  <c r="J104" i="76"/>
  <c r="I104" i="76"/>
  <c r="H104" i="76"/>
  <c r="G104" i="76"/>
  <c r="F104" i="76"/>
  <c r="E104" i="76"/>
  <c r="D104" i="76"/>
  <c r="C104" i="76"/>
  <c r="B104" i="76" s="1"/>
  <c r="U103" i="76"/>
  <c r="S103" i="76"/>
  <c r="R103" i="76"/>
  <c r="P103" i="76"/>
  <c r="N103" i="76"/>
  <c r="M103" i="76"/>
  <c r="K103" i="76"/>
  <c r="J103" i="76"/>
  <c r="I103" i="76"/>
  <c r="H103" i="76"/>
  <c r="G103" i="76"/>
  <c r="F103" i="76"/>
  <c r="E103" i="76"/>
  <c r="D103" i="76"/>
  <c r="C103" i="76"/>
  <c r="B103" i="76" s="1"/>
  <c r="U102" i="76"/>
  <c r="S102" i="76"/>
  <c r="R102" i="76"/>
  <c r="P102" i="76"/>
  <c r="N102" i="76"/>
  <c r="M102" i="76"/>
  <c r="K102" i="76"/>
  <c r="J102" i="76"/>
  <c r="I102" i="76"/>
  <c r="H102" i="76"/>
  <c r="G102" i="76"/>
  <c r="F102" i="76"/>
  <c r="E102" i="76"/>
  <c r="D102" i="76"/>
  <c r="C102" i="76"/>
  <c r="B102" i="76" s="1"/>
  <c r="U101" i="76"/>
  <c r="S101" i="76"/>
  <c r="R101" i="76"/>
  <c r="P101" i="76"/>
  <c r="N101" i="76"/>
  <c r="M101" i="76"/>
  <c r="K101" i="76"/>
  <c r="J101" i="76"/>
  <c r="I101" i="76"/>
  <c r="H101" i="76"/>
  <c r="G101" i="76"/>
  <c r="F101" i="76"/>
  <c r="E101" i="76"/>
  <c r="D101" i="76"/>
  <c r="C101" i="76"/>
  <c r="B101" i="76" s="1"/>
  <c r="U100" i="76"/>
  <c r="S100" i="76"/>
  <c r="R100" i="76"/>
  <c r="P100" i="76"/>
  <c r="N100" i="76"/>
  <c r="M100" i="76"/>
  <c r="K100" i="76"/>
  <c r="J100" i="76"/>
  <c r="I100" i="76"/>
  <c r="H100" i="76"/>
  <c r="G100" i="76"/>
  <c r="F100" i="76"/>
  <c r="E100" i="76"/>
  <c r="D100" i="76"/>
  <c r="C100" i="76"/>
  <c r="B100" i="76" s="1"/>
  <c r="U99" i="76"/>
  <c r="S99" i="76"/>
  <c r="R99" i="76"/>
  <c r="P99" i="76"/>
  <c r="N99" i="76"/>
  <c r="M99" i="76"/>
  <c r="K99" i="76"/>
  <c r="J99" i="76"/>
  <c r="I99" i="76"/>
  <c r="H99" i="76"/>
  <c r="G99" i="76"/>
  <c r="F99" i="76"/>
  <c r="E99" i="76"/>
  <c r="D99" i="76"/>
  <c r="C99" i="76"/>
  <c r="B99" i="76" s="1"/>
  <c r="U98" i="76"/>
  <c r="S98" i="76"/>
  <c r="R98" i="76"/>
  <c r="P98" i="76"/>
  <c r="N98" i="76"/>
  <c r="M98" i="76"/>
  <c r="K98" i="76"/>
  <c r="J98" i="76"/>
  <c r="I98" i="76"/>
  <c r="H98" i="76"/>
  <c r="G98" i="76"/>
  <c r="F98" i="76"/>
  <c r="E98" i="76"/>
  <c r="D98" i="76"/>
  <c r="C98" i="76"/>
  <c r="B98" i="76" s="1"/>
  <c r="U97" i="76"/>
  <c r="S97" i="76"/>
  <c r="R97" i="76"/>
  <c r="P97" i="76"/>
  <c r="N97" i="76"/>
  <c r="M97" i="76"/>
  <c r="K97" i="76"/>
  <c r="J97" i="76"/>
  <c r="I97" i="76"/>
  <c r="H97" i="76"/>
  <c r="G97" i="76"/>
  <c r="F97" i="76"/>
  <c r="E97" i="76"/>
  <c r="D97" i="76"/>
  <c r="C97" i="76"/>
  <c r="B97" i="76" s="1"/>
  <c r="U96" i="76"/>
  <c r="S96" i="76"/>
  <c r="R96" i="76"/>
  <c r="P96" i="76"/>
  <c r="N96" i="76"/>
  <c r="M96" i="76"/>
  <c r="K96" i="76"/>
  <c r="J96" i="76"/>
  <c r="I96" i="76"/>
  <c r="H96" i="76"/>
  <c r="G96" i="76"/>
  <c r="F96" i="76"/>
  <c r="E96" i="76"/>
  <c r="D96" i="76"/>
  <c r="C96" i="76"/>
  <c r="B96" i="76" s="1"/>
  <c r="U95" i="76"/>
  <c r="S95" i="76"/>
  <c r="R95" i="76"/>
  <c r="P95" i="76"/>
  <c r="N95" i="76"/>
  <c r="M95" i="76"/>
  <c r="K95" i="76"/>
  <c r="J95" i="76"/>
  <c r="I95" i="76"/>
  <c r="H95" i="76"/>
  <c r="G95" i="76"/>
  <c r="F95" i="76"/>
  <c r="E95" i="76"/>
  <c r="D95" i="76"/>
  <c r="C95" i="76"/>
  <c r="B95" i="76" s="1"/>
  <c r="U94" i="76"/>
  <c r="S94" i="76"/>
  <c r="R94" i="76"/>
  <c r="P94" i="76"/>
  <c r="N94" i="76"/>
  <c r="M94" i="76"/>
  <c r="K94" i="76"/>
  <c r="J94" i="76"/>
  <c r="I94" i="76"/>
  <c r="H94" i="76"/>
  <c r="G94" i="76"/>
  <c r="F94" i="76"/>
  <c r="E94" i="76"/>
  <c r="D94" i="76"/>
  <c r="C94" i="76"/>
  <c r="B94" i="76" s="1"/>
  <c r="U93" i="76"/>
  <c r="S93" i="76"/>
  <c r="R93" i="76"/>
  <c r="P93" i="76"/>
  <c r="N93" i="76"/>
  <c r="M93" i="76"/>
  <c r="K93" i="76"/>
  <c r="J93" i="76"/>
  <c r="I93" i="76"/>
  <c r="H93" i="76"/>
  <c r="G93" i="76"/>
  <c r="F93" i="76"/>
  <c r="E93" i="76"/>
  <c r="D93" i="76"/>
  <c r="C93" i="76"/>
  <c r="B93" i="76" s="1"/>
  <c r="U92" i="76"/>
  <c r="S92" i="76"/>
  <c r="R92" i="76"/>
  <c r="P92" i="76"/>
  <c r="N92" i="76"/>
  <c r="M92" i="76"/>
  <c r="K92" i="76"/>
  <c r="J92" i="76"/>
  <c r="I92" i="76"/>
  <c r="H92" i="76"/>
  <c r="G92" i="76"/>
  <c r="F92" i="76"/>
  <c r="E92" i="76"/>
  <c r="D92" i="76"/>
  <c r="C92" i="76"/>
  <c r="B92" i="76" s="1"/>
  <c r="U91" i="76"/>
  <c r="S91" i="76"/>
  <c r="R91" i="76"/>
  <c r="P91" i="76"/>
  <c r="N91" i="76"/>
  <c r="M91" i="76"/>
  <c r="K91" i="76"/>
  <c r="J91" i="76"/>
  <c r="I91" i="76"/>
  <c r="H91" i="76"/>
  <c r="G91" i="76"/>
  <c r="F91" i="76"/>
  <c r="E91" i="76"/>
  <c r="D91" i="76"/>
  <c r="C91" i="76"/>
  <c r="B91" i="76" s="1"/>
  <c r="U90" i="76"/>
  <c r="S90" i="76"/>
  <c r="R90" i="76"/>
  <c r="P90" i="76"/>
  <c r="N90" i="76"/>
  <c r="M90" i="76"/>
  <c r="K90" i="76"/>
  <c r="J90" i="76"/>
  <c r="I90" i="76"/>
  <c r="H90" i="76"/>
  <c r="G90" i="76"/>
  <c r="F90" i="76"/>
  <c r="E90" i="76"/>
  <c r="D90" i="76"/>
  <c r="C90" i="76"/>
  <c r="B90" i="76" s="1"/>
  <c r="U89" i="76"/>
  <c r="S89" i="76"/>
  <c r="R89" i="76"/>
  <c r="P89" i="76"/>
  <c r="N89" i="76"/>
  <c r="M89" i="76"/>
  <c r="K89" i="76"/>
  <c r="J89" i="76"/>
  <c r="I89" i="76"/>
  <c r="H89" i="76"/>
  <c r="G89" i="76"/>
  <c r="F89" i="76"/>
  <c r="E89" i="76"/>
  <c r="D89" i="76"/>
  <c r="C89" i="76"/>
  <c r="B89" i="76" s="1"/>
  <c r="U88" i="76"/>
  <c r="S88" i="76"/>
  <c r="R88" i="76"/>
  <c r="P88" i="76"/>
  <c r="N88" i="76"/>
  <c r="M88" i="76"/>
  <c r="K88" i="76"/>
  <c r="J88" i="76"/>
  <c r="I88" i="76"/>
  <c r="H88" i="76"/>
  <c r="G88" i="76"/>
  <c r="F88" i="76"/>
  <c r="E88" i="76"/>
  <c r="D88" i="76"/>
  <c r="C88" i="76"/>
  <c r="B88" i="76" s="1"/>
  <c r="U87" i="76"/>
  <c r="S87" i="76"/>
  <c r="R87" i="76"/>
  <c r="P87" i="76"/>
  <c r="N87" i="76"/>
  <c r="M87" i="76"/>
  <c r="K87" i="76"/>
  <c r="J87" i="76"/>
  <c r="I87" i="76"/>
  <c r="H87" i="76"/>
  <c r="G87" i="76"/>
  <c r="F87" i="76"/>
  <c r="E87" i="76"/>
  <c r="D87" i="76"/>
  <c r="C87" i="76"/>
  <c r="B87" i="76" s="1"/>
  <c r="U86" i="76"/>
  <c r="S86" i="76"/>
  <c r="R86" i="76"/>
  <c r="P86" i="76"/>
  <c r="N86" i="76"/>
  <c r="M86" i="76"/>
  <c r="K86" i="76"/>
  <c r="J86" i="76"/>
  <c r="I86" i="76"/>
  <c r="H86" i="76"/>
  <c r="G86" i="76"/>
  <c r="F86" i="76"/>
  <c r="E86" i="76"/>
  <c r="D86" i="76"/>
  <c r="C86" i="76"/>
  <c r="B86" i="76" s="1"/>
  <c r="U85" i="76"/>
  <c r="S85" i="76"/>
  <c r="R85" i="76"/>
  <c r="P85" i="76"/>
  <c r="N85" i="76"/>
  <c r="M85" i="76"/>
  <c r="K85" i="76"/>
  <c r="J85" i="76"/>
  <c r="I85" i="76"/>
  <c r="H85" i="76"/>
  <c r="G85" i="76"/>
  <c r="F85" i="76"/>
  <c r="E85" i="76"/>
  <c r="D85" i="76"/>
  <c r="C85" i="76"/>
  <c r="B85" i="76" s="1"/>
  <c r="U84" i="76"/>
  <c r="S84" i="76"/>
  <c r="R84" i="76"/>
  <c r="P84" i="76"/>
  <c r="N84" i="76"/>
  <c r="M84" i="76"/>
  <c r="K84" i="76"/>
  <c r="J84" i="76"/>
  <c r="I84" i="76"/>
  <c r="H84" i="76"/>
  <c r="G84" i="76"/>
  <c r="F84" i="76"/>
  <c r="E84" i="76"/>
  <c r="D84" i="76"/>
  <c r="C84" i="76"/>
  <c r="B84" i="76" s="1"/>
  <c r="U83" i="76"/>
  <c r="S83" i="76"/>
  <c r="R83" i="76"/>
  <c r="P83" i="76"/>
  <c r="N83" i="76"/>
  <c r="M83" i="76"/>
  <c r="K83" i="76"/>
  <c r="J83" i="76"/>
  <c r="I83" i="76"/>
  <c r="H83" i="76"/>
  <c r="G83" i="76"/>
  <c r="F83" i="76"/>
  <c r="E83" i="76"/>
  <c r="D83" i="76"/>
  <c r="C83" i="76"/>
  <c r="B83" i="76" s="1"/>
  <c r="U82" i="76"/>
  <c r="S82" i="76"/>
  <c r="R82" i="76"/>
  <c r="P82" i="76"/>
  <c r="N82" i="76"/>
  <c r="M82" i="76"/>
  <c r="K82" i="76"/>
  <c r="J82" i="76"/>
  <c r="I82" i="76"/>
  <c r="H82" i="76"/>
  <c r="G82" i="76"/>
  <c r="F82" i="76"/>
  <c r="E82" i="76"/>
  <c r="D82" i="76"/>
  <c r="C82" i="76"/>
  <c r="B82" i="76" s="1"/>
  <c r="U81" i="76"/>
  <c r="S81" i="76"/>
  <c r="R81" i="76"/>
  <c r="P81" i="76"/>
  <c r="N81" i="76"/>
  <c r="M81" i="76"/>
  <c r="K81" i="76"/>
  <c r="J81" i="76"/>
  <c r="I81" i="76"/>
  <c r="H81" i="76"/>
  <c r="G81" i="76"/>
  <c r="F81" i="76"/>
  <c r="E81" i="76"/>
  <c r="D81" i="76"/>
  <c r="C81" i="76"/>
  <c r="B81" i="76" s="1"/>
  <c r="U80" i="76"/>
  <c r="S80" i="76"/>
  <c r="R80" i="76"/>
  <c r="P80" i="76"/>
  <c r="N80" i="76"/>
  <c r="M80" i="76"/>
  <c r="K80" i="76"/>
  <c r="J80" i="76"/>
  <c r="I80" i="76"/>
  <c r="H80" i="76"/>
  <c r="G80" i="76"/>
  <c r="F80" i="76"/>
  <c r="E80" i="76"/>
  <c r="D80" i="76"/>
  <c r="C80" i="76"/>
  <c r="B80" i="76" s="1"/>
  <c r="U79" i="76"/>
  <c r="S79" i="76"/>
  <c r="R79" i="76"/>
  <c r="P79" i="76"/>
  <c r="N79" i="76"/>
  <c r="M79" i="76"/>
  <c r="K79" i="76"/>
  <c r="J79" i="76"/>
  <c r="I79" i="76"/>
  <c r="H79" i="76"/>
  <c r="G79" i="76"/>
  <c r="F79" i="76"/>
  <c r="E79" i="76"/>
  <c r="D79" i="76"/>
  <c r="C79" i="76"/>
  <c r="B79" i="76" s="1"/>
  <c r="U78" i="76"/>
  <c r="S78" i="76"/>
  <c r="R78" i="76"/>
  <c r="P78" i="76"/>
  <c r="N78" i="76"/>
  <c r="M78" i="76"/>
  <c r="K78" i="76"/>
  <c r="J78" i="76"/>
  <c r="I78" i="76"/>
  <c r="H78" i="76"/>
  <c r="G78" i="76"/>
  <c r="F78" i="76"/>
  <c r="E78" i="76"/>
  <c r="D78" i="76"/>
  <c r="C78" i="76"/>
  <c r="B78" i="76" s="1"/>
  <c r="U77" i="76"/>
  <c r="S77" i="76"/>
  <c r="R77" i="76"/>
  <c r="P77" i="76"/>
  <c r="N77" i="76"/>
  <c r="M77" i="76"/>
  <c r="K77" i="76"/>
  <c r="J77" i="76"/>
  <c r="I77" i="76"/>
  <c r="H77" i="76"/>
  <c r="G77" i="76"/>
  <c r="F77" i="76"/>
  <c r="E77" i="76"/>
  <c r="D77" i="76"/>
  <c r="C77" i="76"/>
  <c r="B77" i="76" s="1"/>
  <c r="U76" i="76"/>
  <c r="S76" i="76"/>
  <c r="R76" i="76"/>
  <c r="P76" i="76"/>
  <c r="N76" i="76"/>
  <c r="M76" i="76"/>
  <c r="K76" i="76"/>
  <c r="J76" i="76"/>
  <c r="I76" i="76"/>
  <c r="H76" i="76"/>
  <c r="G76" i="76"/>
  <c r="F76" i="76"/>
  <c r="E76" i="76"/>
  <c r="D76" i="76"/>
  <c r="C76" i="76"/>
  <c r="B76" i="76" s="1"/>
  <c r="U75" i="76"/>
  <c r="S75" i="76"/>
  <c r="R75" i="76"/>
  <c r="P75" i="76"/>
  <c r="N75" i="76"/>
  <c r="M75" i="76"/>
  <c r="K75" i="76"/>
  <c r="J75" i="76"/>
  <c r="I75" i="76"/>
  <c r="H75" i="76"/>
  <c r="G75" i="76"/>
  <c r="F75" i="76"/>
  <c r="E75" i="76"/>
  <c r="D75" i="76"/>
  <c r="C75" i="76"/>
  <c r="B75" i="76" s="1"/>
  <c r="U74" i="76"/>
  <c r="S74" i="76"/>
  <c r="R74" i="76"/>
  <c r="P74" i="76"/>
  <c r="N74" i="76"/>
  <c r="M74" i="76"/>
  <c r="K74" i="76"/>
  <c r="J74" i="76"/>
  <c r="I74" i="76"/>
  <c r="H74" i="76"/>
  <c r="G74" i="76"/>
  <c r="F74" i="76"/>
  <c r="E74" i="76"/>
  <c r="D74" i="76"/>
  <c r="C74" i="76"/>
  <c r="B74" i="76" s="1"/>
  <c r="U73" i="76"/>
  <c r="S73" i="76"/>
  <c r="R73" i="76"/>
  <c r="P73" i="76"/>
  <c r="N73" i="76"/>
  <c r="M73" i="76"/>
  <c r="K73" i="76"/>
  <c r="J73" i="76"/>
  <c r="I73" i="76"/>
  <c r="H73" i="76"/>
  <c r="G73" i="76"/>
  <c r="F73" i="76"/>
  <c r="E73" i="76"/>
  <c r="D73" i="76"/>
  <c r="C73" i="76"/>
  <c r="B73" i="76" s="1"/>
  <c r="U72" i="76"/>
  <c r="S72" i="76"/>
  <c r="R72" i="76"/>
  <c r="P72" i="76"/>
  <c r="N72" i="76"/>
  <c r="M72" i="76"/>
  <c r="K72" i="76"/>
  <c r="J72" i="76"/>
  <c r="I72" i="76"/>
  <c r="H72" i="76"/>
  <c r="G72" i="76"/>
  <c r="F72" i="76"/>
  <c r="E72" i="76"/>
  <c r="D72" i="76"/>
  <c r="C72" i="76"/>
  <c r="B72" i="76" s="1"/>
  <c r="U71" i="76"/>
  <c r="S71" i="76"/>
  <c r="R71" i="76"/>
  <c r="P71" i="76"/>
  <c r="N71" i="76"/>
  <c r="M71" i="76"/>
  <c r="K71" i="76"/>
  <c r="J71" i="76"/>
  <c r="I71" i="76"/>
  <c r="H71" i="76"/>
  <c r="G71" i="76"/>
  <c r="F71" i="76"/>
  <c r="E71" i="76"/>
  <c r="D71" i="76"/>
  <c r="C71" i="76"/>
  <c r="B71" i="76" s="1"/>
  <c r="U70" i="76"/>
  <c r="S70" i="76"/>
  <c r="R70" i="76"/>
  <c r="P70" i="76"/>
  <c r="N70" i="76"/>
  <c r="M70" i="76"/>
  <c r="K70" i="76"/>
  <c r="J70" i="76"/>
  <c r="I70" i="76"/>
  <c r="H70" i="76"/>
  <c r="G70" i="76"/>
  <c r="F70" i="76"/>
  <c r="E70" i="76"/>
  <c r="D70" i="76"/>
  <c r="C70" i="76"/>
  <c r="B70" i="76" s="1"/>
  <c r="U69" i="76"/>
  <c r="S69" i="76"/>
  <c r="R69" i="76"/>
  <c r="P69" i="76"/>
  <c r="N69" i="76"/>
  <c r="M69" i="76"/>
  <c r="K69" i="76"/>
  <c r="J69" i="76"/>
  <c r="I69" i="76"/>
  <c r="H69" i="76"/>
  <c r="G69" i="76"/>
  <c r="F69" i="76"/>
  <c r="E69" i="76"/>
  <c r="D69" i="76"/>
  <c r="C69" i="76"/>
  <c r="B69" i="76" s="1"/>
  <c r="U68" i="76"/>
  <c r="S68" i="76"/>
  <c r="R68" i="76"/>
  <c r="P68" i="76"/>
  <c r="N68" i="76"/>
  <c r="M68" i="76"/>
  <c r="K68" i="76"/>
  <c r="J68" i="76"/>
  <c r="I68" i="76"/>
  <c r="H68" i="76"/>
  <c r="G68" i="76"/>
  <c r="F68" i="76"/>
  <c r="E68" i="76"/>
  <c r="D68" i="76"/>
  <c r="C68" i="76"/>
  <c r="B68" i="76" s="1"/>
  <c r="U67" i="76"/>
  <c r="S67" i="76"/>
  <c r="R67" i="76"/>
  <c r="P67" i="76"/>
  <c r="N67" i="76"/>
  <c r="M67" i="76"/>
  <c r="K67" i="76"/>
  <c r="J67" i="76"/>
  <c r="I67" i="76"/>
  <c r="H67" i="76"/>
  <c r="G67" i="76"/>
  <c r="F67" i="76"/>
  <c r="E67" i="76"/>
  <c r="D67" i="76"/>
  <c r="C67" i="76"/>
  <c r="B67" i="76" s="1"/>
  <c r="U66" i="76"/>
  <c r="S66" i="76"/>
  <c r="R66" i="76"/>
  <c r="P66" i="76"/>
  <c r="N66" i="76"/>
  <c r="M66" i="76"/>
  <c r="K66" i="76"/>
  <c r="J66" i="76"/>
  <c r="I66" i="76"/>
  <c r="H66" i="76"/>
  <c r="G66" i="76"/>
  <c r="F66" i="76"/>
  <c r="E66" i="76"/>
  <c r="D66" i="76"/>
  <c r="C66" i="76"/>
  <c r="B66" i="76" s="1"/>
  <c r="U65" i="76"/>
  <c r="S65" i="76"/>
  <c r="R65" i="76"/>
  <c r="P65" i="76"/>
  <c r="N65" i="76"/>
  <c r="M65" i="76"/>
  <c r="K65" i="76"/>
  <c r="J65" i="76"/>
  <c r="I65" i="76"/>
  <c r="H65" i="76"/>
  <c r="G65" i="76"/>
  <c r="F65" i="76"/>
  <c r="E65" i="76"/>
  <c r="D65" i="76"/>
  <c r="C65" i="76"/>
  <c r="B65" i="76" s="1"/>
  <c r="U64" i="76"/>
  <c r="S64" i="76"/>
  <c r="R64" i="76"/>
  <c r="P64" i="76"/>
  <c r="N64" i="76"/>
  <c r="M64" i="76"/>
  <c r="K64" i="76"/>
  <c r="J64" i="76"/>
  <c r="I64" i="76"/>
  <c r="H64" i="76"/>
  <c r="G64" i="76"/>
  <c r="F64" i="76"/>
  <c r="E64" i="76"/>
  <c r="D64" i="76"/>
  <c r="C64" i="76"/>
  <c r="B64" i="76" s="1"/>
  <c r="U63" i="76"/>
  <c r="S63" i="76"/>
  <c r="R63" i="76"/>
  <c r="P63" i="76"/>
  <c r="N63" i="76"/>
  <c r="M63" i="76"/>
  <c r="K63" i="76"/>
  <c r="J63" i="76"/>
  <c r="I63" i="76"/>
  <c r="H63" i="76"/>
  <c r="G63" i="76"/>
  <c r="F63" i="76"/>
  <c r="E63" i="76"/>
  <c r="D63" i="76"/>
  <c r="C63" i="76"/>
  <c r="B63" i="76" s="1"/>
  <c r="U62" i="76"/>
  <c r="S62" i="76"/>
  <c r="R62" i="76"/>
  <c r="P62" i="76"/>
  <c r="N62" i="76"/>
  <c r="M62" i="76"/>
  <c r="K62" i="76"/>
  <c r="J62" i="76"/>
  <c r="I62" i="76"/>
  <c r="H62" i="76"/>
  <c r="G62" i="76"/>
  <c r="F62" i="76"/>
  <c r="E62" i="76"/>
  <c r="D62" i="76"/>
  <c r="C62" i="76"/>
  <c r="B62" i="76" s="1"/>
  <c r="U61" i="76"/>
  <c r="S61" i="76"/>
  <c r="R61" i="76"/>
  <c r="P61" i="76"/>
  <c r="N61" i="76"/>
  <c r="M61" i="76"/>
  <c r="K61" i="76"/>
  <c r="J61" i="76"/>
  <c r="I61" i="76"/>
  <c r="H61" i="76"/>
  <c r="G61" i="76"/>
  <c r="F61" i="76"/>
  <c r="E61" i="76"/>
  <c r="D61" i="76"/>
  <c r="C61" i="76"/>
  <c r="B61" i="76" s="1"/>
  <c r="U60" i="76"/>
  <c r="S60" i="76"/>
  <c r="R60" i="76"/>
  <c r="P60" i="76"/>
  <c r="N60" i="76"/>
  <c r="M60" i="76"/>
  <c r="K60" i="76"/>
  <c r="J60" i="76"/>
  <c r="I60" i="76"/>
  <c r="H60" i="76"/>
  <c r="G60" i="76"/>
  <c r="F60" i="76"/>
  <c r="E60" i="76"/>
  <c r="D60" i="76"/>
  <c r="C60" i="76"/>
  <c r="B60" i="76" s="1"/>
  <c r="U59" i="76"/>
  <c r="S59" i="76"/>
  <c r="R59" i="76"/>
  <c r="P59" i="76"/>
  <c r="N59" i="76"/>
  <c r="M59" i="76"/>
  <c r="K59" i="76"/>
  <c r="J59" i="76"/>
  <c r="I59" i="76"/>
  <c r="H59" i="76"/>
  <c r="G59" i="76"/>
  <c r="F59" i="76"/>
  <c r="E59" i="76"/>
  <c r="D59" i="76"/>
  <c r="C59" i="76"/>
  <c r="B59" i="76" s="1"/>
  <c r="U58" i="76"/>
  <c r="S58" i="76"/>
  <c r="R58" i="76"/>
  <c r="P58" i="76"/>
  <c r="N58" i="76"/>
  <c r="M58" i="76"/>
  <c r="K58" i="76"/>
  <c r="J58" i="76"/>
  <c r="I58" i="76"/>
  <c r="H58" i="76"/>
  <c r="G58" i="76"/>
  <c r="F58" i="76"/>
  <c r="E58" i="76"/>
  <c r="D58" i="76"/>
  <c r="C58" i="76"/>
  <c r="B58" i="76" s="1"/>
  <c r="U57" i="76"/>
  <c r="S57" i="76"/>
  <c r="R57" i="76"/>
  <c r="P57" i="76"/>
  <c r="N57" i="76"/>
  <c r="M57" i="76"/>
  <c r="K57" i="76"/>
  <c r="J57" i="76"/>
  <c r="I57" i="76"/>
  <c r="H57" i="76"/>
  <c r="G57" i="76"/>
  <c r="F57" i="76"/>
  <c r="E57" i="76"/>
  <c r="D57" i="76"/>
  <c r="C57" i="76"/>
  <c r="B57" i="76" s="1"/>
  <c r="U56" i="76"/>
  <c r="S56" i="76"/>
  <c r="R56" i="76"/>
  <c r="P56" i="76"/>
  <c r="N56" i="76"/>
  <c r="M56" i="76"/>
  <c r="K56" i="76"/>
  <c r="J56" i="76"/>
  <c r="I56" i="76"/>
  <c r="H56" i="76"/>
  <c r="G56" i="76"/>
  <c r="F56" i="76"/>
  <c r="E56" i="76"/>
  <c r="D56" i="76"/>
  <c r="C56" i="76"/>
  <c r="B56" i="76" s="1"/>
  <c r="U55" i="76"/>
  <c r="S55" i="76"/>
  <c r="R55" i="76"/>
  <c r="P55" i="76"/>
  <c r="N55" i="76"/>
  <c r="M55" i="76"/>
  <c r="K55" i="76"/>
  <c r="J55" i="76"/>
  <c r="I55" i="76"/>
  <c r="H55" i="76"/>
  <c r="G55" i="76"/>
  <c r="F55" i="76"/>
  <c r="E55" i="76"/>
  <c r="D55" i="76"/>
  <c r="C55" i="76"/>
  <c r="B55" i="76" s="1"/>
  <c r="U54" i="76"/>
  <c r="S54" i="76"/>
  <c r="R54" i="76"/>
  <c r="P54" i="76"/>
  <c r="N54" i="76"/>
  <c r="M54" i="76"/>
  <c r="K54" i="76"/>
  <c r="J54" i="76"/>
  <c r="I54" i="76"/>
  <c r="H54" i="76"/>
  <c r="G54" i="76"/>
  <c r="F54" i="76"/>
  <c r="E54" i="76"/>
  <c r="D54" i="76"/>
  <c r="C54" i="76"/>
  <c r="B54" i="76" s="1"/>
  <c r="U53" i="76"/>
  <c r="S53" i="76"/>
  <c r="R53" i="76"/>
  <c r="P53" i="76"/>
  <c r="N53" i="76"/>
  <c r="M53" i="76"/>
  <c r="K53" i="76"/>
  <c r="J53" i="76"/>
  <c r="I53" i="76"/>
  <c r="H53" i="76"/>
  <c r="G53" i="76"/>
  <c r="F53" i="76"/>
  <c r="E53" i="76"/>
  <c r="D53" i="76"/>
  <c r="C53" i="76"/>
  <c r="B53" i="76" s="1"/>
  <c r="U52" i="76"/>
  <c r="S52" i="76"/>
  <c r="R52" i="76"/>
  <c r="P52" i="76"/>
  <c r="N52" i="76"/>
  <c r="M52" i="76"/>
  <c r="K52" i="76"/>
  <c r="J52" i="76"/>
  <c r="I52" i="76"/>
  <c r="H52" i="76"/>
  <c r="G52" i="76"/>
  <c r="F52" i="76"/>
  <c r="E52" i="76"/>
  <c r="D52" i="76"/>
  <c r="C52" i="76"/>
  <c r="B52" i="76" s="1"/>
  <c r="U51" i="76"/>
  <c r="S51" i="76"/>
  <c r="R51" i="76"/>
  <c r="P51" i="76"/>
  <c r="N51" i="76"/>
  <c r="M51" i="76"/>
  <c r="K51" i="76"/>
  <c r="J51" i="76"/>
  <c r="I51" i="76"/>
  <c r="H51" i="76"/>
  <c r="G51" i="76"/>
  <c r="F51" i="76"/>
  <c r="E51" i="76"/>
  <c r="D51" i="76"/>
  <c r="C51" i="76"/>
  <c r="B51" i="76" s="1"/>
  <c r="U50" i="76"/>
  <c r="S50" i="76"/>
  <c r="R50" i="76"/>
  <c r="P50" i="76"/>
  <c r="N50" i="76"/>
  <c r="M50" i="76"/>
  <c r="K50" i="76"/>
  <c r="J50" i="76"/>
  <c r="I50" i="76"/>
  <c r="H50" i="76"/>
  <c r="G50" i="76"/>
  <c r="F50" i="76"/>
  <c r="E50" i="76"/>
  <c r="D50" i="76"/>
  <c r="C50" i="76"/>
  <c r="B50" i="76" s="1"/>
  <c r="U49" i="76"/>
  <c r="S49" i="76"/>
  <c r="R49" i="76"/>
  <c r="P49" i="76"/>
  <c r="N49" i="76"/>
  <c r="M49" i="76"/>
  <c r="K49" i="76"/>
  <c r="J49" i="76"/>
  <c r="I49" i="76"/>
  <c r="H49" i="76"/>
  <c r="G49" i="76"/>
  <c r="F49" i="76"/>
  <c r="E49" i="76"/>
  <c r="D49" i="76"/>
  <c r="C49" i="76"/>
  <c r="B49" i="76" s="1"/>
  <c r="U48" i="76"/>
  <c r="S48" i="76"/>
  <c r="R48" i="76"/>
  <c r="P48" i="76"/>
  <c r="N48" i="76"/>
  <c r="M48" i="76"/>
  <c r="K48" i="76"/>
  <c r="J48" i="76"/>
  <c r="I48" i="76"/>
  <c r="H48" i="76"/>
  <c r="G48" i="76"/>
  <c r="F48" i="76"/>
  <c r="E48" i="76"/>
  <c r="D48" i="76"/>
  <c r="C48" i="76"/>
  <c r="B48" i="76" s="1"/>
  <c r="U47" i="76"/>
  <c r="S47" i="76"/>
  <c r="R47" i="76"/>
  <c r="P47" i="76"/>
  <c r="N47" i="76"/>
  <c r="M47" i="76"/>
  <c r="K47" i="76"/>
  <c r="J47" i="76"/>
  <c r="I47" i="76"/>
  <c r="H47" i="76"/>
  <c r="G47" i="76"/>
  <c r="F47" i="76"/>
  <c r="E47" i="76"/>
  <c r="D47" i="76"/>
  <c r="C47" i="76"/>
  <c r="B47" i="76" s="1"/>
  <c r="U46" i="76"/>
  <c r="S46" i="76"/>
  <c r="R46" i="76"/>
  <c r="P46" i="76"/>
  <c r="N46" i="76"/>
  <c r="M46" i="76"/>
  <c r="K46" i="76"/>
  <c r="J46" i="76"/>
  <c r="I46" i="76"/>
  <c r="H46" i="76"/>
  <c r="G46" i="76"/>
  <c r="F46" i="76"/>
  <c r="E46" i="76"/>
  <c r="D46" i="76"/>
  <c r="C46" i="76"/>
  <c r="B46" i="76" s="1"/>
  <c r="U45" i="76"/>
  <c r="S45" i="76"/>
  <c r="R45" i="76"/>
  <c r="P45" i="76"/>
  <c r="N45" i="76"/>
  <c r="M45" i="76"/>
  <c r="K45" i="76"/>
  <c r="J45" i="76"/>
  <c r="I45" i="76"/>
  <c r="H45" i="76"/>
  <c r="G45" i="76"/>
  <c r="F45" i="76"/>
  <c r="E45" i="76"/>
  <c r="D45" i="76"/>
  <c r="C45" i="76"/>
  <c r="B45" i="76" s="1"/>
  <c r="U44" i="76"/>
  <c r="S44" i="76"/>
  <c r="R44" i="76"/>
  <c r="P44" i="76"/>
  <c r="N44" i="76"/>
  <c r="M44" i="76"/>
  <c r="K44" i="76"/>
  <c r="J44" i="76"/>
  <c r="I44" i="76"/>
  <c r="H44" i="76"/>
  <c r="G44" i="76"/>
  <c r="F44" i="76"/>
  <c r="E44" i="76"/>
  <c r="D44" i="76"/>
  <c r="C44" i="76"/>
  <c r="B44" i="76" s="1"/>
  <c r="U43" i="76"/>
  <c r="S43" i="76"/>
  <c r="R43" i="76"/>
  <c r="P43" i="76"/>
  <c r="N43" i="76"/>
  <c r="M43" i="76"/>
  <c r="K43" i="76"/>
  <c r="J43" i="76"/>
  <c r="I43" i="76"/>
  <c r="H43" i="76"/>
  <c r="G43" i="76"/>
  <c r="F43" i="76"/>
  <c r="E43" i="76"/>
  <c r="D43" i="76"/>
  <c r="C43" i="76"/>
  <c r="B43" i="76" s="1"/>
  <c r="U42" i="76"/>
  <c r="S42" i="76"/>
  <c r="R42" i="76"/>
  <c r="P42" i="76"/>
  <c r="N42" i="76"/>
  <c r="M42" i="76"/>
  <c r="K42" i="76"/>
  <c r="J42" i="76"/>
  <c r="I42" i="76"/>
  <c r="H42" i="76"/>
  <c r="G42" i="76"/>
  <c r="F42" i="76"/>
  <c r="E42" i="76"/>
  <c r="D42" i="76"/>
  <c r="C42" i="76"/>
  <c r="B42" i="76" s="1"/>
  <c r="U41" i="76"/>
  <c r="S41" i="76"/>
  <c r="R41" i="76"/>
  <c r="P41" i="76"/>
  <c r="N41" i="76"/>
  <c r="M41" i="76"/>
  <c r="K41" i="76"/>
  <c r="J41" i="76"/>
  <c r="I41" i="76"/>
  <c r="H41" i="76"/>
  <c r="G41" i="76"/>
  <c r="F41" i="76"/>
  <c r="E41" i="76"/>
  <c r="D41" i="76"/>
  <c r="C41" i="76"/>
  <c r="B41" i="76" s="1"/>
  <c r="U40" i="76"/>
  <c r="S40" i="76"/>
  <c r="R40" i="76"/>
  <c r="P40" i="76"/>
  <c r="N40" i="76"/>
  <c r="M40" i="76"/>
  <c r="K40" i="76"/>
  <c r="J40" i="76"/>
  <c r="I40" i="76"/>
  <c r="H40" i="76"/>
  <c r="G40" i="76"/>
  <c r="F40" i="76"/>
  <c r="E40" i="76"/>
  <c r="D40" i="76"/>
  <c r="C40" i="76"/>
  <c r="B40" i="76" s="1"/>
  <c r="U39" i="76"/>
  <c r="S39" i="76"/>
  <c r="R39" i="76"/>
  <c r="P39" i="76"/>
  <c r="N39" i="76"/>
  <c r="M39" i="76"/>
  <c r="K39" i="76"/>
  <c r="J39" i="76"/>
  <c r="I39" i="76"/>
  <c r="H39" i="76"/>
  <c r="G39" i="76"/>
  <c r="F39" i="76"/>
  <c r="E39" i="76"/>
  <c r="D39" i="76"/>
  <c r="C39" i="76"/>
  <c r="B39" i="76" s="1"/>
  <c r="U38" i="76"/>
  <c r="S38" i="76"/>
  <c r="R38" i="76"/>
  <c r="P38" i="76"/>
  <c r="N38" i="76"/>
  <c r="M38" i="76"/>
  <c r="K38" i="76"/>
  <c r="J38" i="76"/>
  <c r="I38" i="76"/>
  <c r="H38" i="76"/>
  <c r="G38" i="76"/>
  <c r="F38" i="76"/>
  <c r="E38" i="76"/>
  <c r="D38" i="76"/>
  <c r="C38" i="76"/>
  <c r="B38" i="76" s="1"/>
  <c r="U37" i="76"/>
  <c r="S37" i="76"/>
  <c r="R37" i="76"/>
  <c r="P37" i="76"/>
  <c r="N37" i="76"/>
  <c r="M37" i="76"/>
  <c r="K37" i="76"/>
  <c r="J37" i="76"/>
  <c r="I37" i="76"/>
  <c r="H37" i="76"/>
  <c r="G37" i="76"/>
  <c r="F37" i="76"/>
  <c r="E37" i="76"/>
  <c r="D37" i="76"/>
  <c r="C37" i="76"/>
  <c r="B37" i="76" s="1"/>
  <c r="U36" i="76"/>
  <c r="S36" i="76"/>
  <c r="R36" i="76"/>
  <c r="P36" i="76"/>
  <c r="N36" i="76"/>
  <c r="M36" i="76"/>
  <c r="K36" i="76"/>
  <c r="J36" i="76"/>
  <c r="I36" i="76"/>
  <c r="H36" i="76"/>
  <c r="G36" i="76"/>
  <c r="F36" i="76"/>
  <c r="E36" i="76"/>
  <c r="D36" i="76"/>
  <c r="C36" i="76"/>
  <c r="B36" i="76" s="1"/>
  <c r="U35" i="76"/>
  <c r="S35" i="76"/>
  <c r="R35" i="76"/>
  <c r="P35" i="76"/>
  <c r="N35" i="76"/>
  <c r="M35" i="76"/>
  <c r="K35" i="76"/>
  <c r="J35" i="76"/>
  <c r="I35" i="76"/>
  <c r="H35" i="76"/>
  <c r="G35" i="76"/>
  <c r="F35" i="76"/>
  <c r="E35" i="76"/>
  <c r="D35" i="76"/>
  <c r="C35" i="76"/>
  <c r="B35" i="76" s="1"/>
  <c r="U34" i="76"/>
  <c r="S34" i="76"/>
  <c r="R34" i="76"/>
  <c r="P34" i="76"/>
  <c r="N34" i="76"/>
  <c r="M34" i="76"/>
  <c r="K34" i="76"/>
  <c r="J34" i="76"/>
  <c r="I34" i="76"/>
  <c r="H34" i="76"/>
  <c r="G34" i="76"/>
  <c r="F34" i="76"/>
  <c r="E34" i="76"/>
  <c r="D34" i="76"/>
  <c r="C34" i="76"/>
  <c r="B34" i="76" s="1"/>
  <c r="U33" i="76"/>
  <c r="S33" i="76"/>
  <c r="R33" i="76"/>
  <c r="P33" i="76"/>
  <c r="N33" i="76"/>
  <c r="M33" i="76"/>
  <c r="K33" i="76"/>
  <c r="J33" i="76"/>
  <c r="I33" i="76"/>
  <c r="H33" i="76"/>
  <c r="G33" i="76"/>
  <c r="F33" i="76"/>
  <c r="E33" i="76"/>
  <c r="D33" i="76"/>
  <c r="C33" i="76"/>
  <c r="B33" i="76" s="1"/>
  <c r="U32" i="76"/>
  <c r="S32" i="76"/>
  <c r="R32" i="76"/>
  <c r="P32" i="76"/>
  <c r="N32" i="76"/>
  <c r="M32" i="76"/>
  <c r="K32" i="76"/>
  <c r="J32" i="76"/>
  <c r="I32" i="76"/>
  <c r="H32" i="76"/>
  <c r="G32" i="76"/>
  <c r="F32" i="76"/>
  <c r="E32" i="76"/>
  <c r="D32" i="76"/>
  <c r="C32" i="76"/>
  <c r="B32" i="76" s="1"/>
  <c r="U31" i="76"/>
  <c r="S31" i="76"/>
  <c r="R31" i="76"/>
  <c r="P31" i="76"/>
  <c r="N31" i="76"/>
  <c r="M31" i="76"/>
  <c r="K31" i="76"/>
  <c r="J31" i="76"/>
  <c r="I31" i="76"/>
  <c r="H31" i="76"/>
  <c r="G31" i="76"/>
  <c r="F31" i="76"/>
  <c r="E31" i="76"/>
  <c r="D31" i="76"/>
  <c r="C31" i="76"/>
  <c r="B31" i="76" s="1"/>
  <c r="U30" i="76"/>
  <c r="S30" i="76"/>
  <c r="R30" i="76"/>
  <c r="P30" i="76"/>
  <c r="N30" i="76"/>
  <c r="M30" i="76"/>
  <c r="K30" i="76"/>
  <c r="J30" i="76"/>
  <c r="I30" i="76"/>
  <c r="H30" i="76"/>
  <c r="G30" i="76"/>
  <c r="F30" i="76"/>
  <c r="E30" i="76"/>
  <c r="D30" i="76"/>
  <c r="C30" i="76"/>
  <c r="B30" i="76" s="1"/>
  <c r="U29" i="76"/>
  <c r="S29" i="76"/>
  <c r="R29" i="76"/>
  <c r="P29" i="76"/>
  <c r="N29" i="76"/>
  <c r="M29" i="76"/>
  <c r="K29" i="76"/>
  <c r="J29" i="76"/>
  <c r="I29" i="76"/>
  <c r="H29" i="76"/>
  <c r="G29" i="76"/>
  <c r="F29" i="76"/>
  <c r="E29" i="76"/>
  <c r="D29" i="76"/>
  <c r="C29" i="76"/>
  <c r="B29" i="76" s="1"/>
  <c r="U28" i="76"/>
  <c r="S28" i="76"/>
  <c r="R28" i="76"/>
  <c r="P28" i="76"/>
  <c r="N28" i="76"/>
  <c r="M28" i="76"/>
  <c r="K28" i="76"/>
  <c r="J28" i="76"/>
  <c r="I28" i="76"/>
  <c r="H28" i="76"/>
  <c r="G28" i="76"/>
  <c r="F28" i="76"/>
  <c r="E28" i="76"/>
  <c r="D28" i="76"/>
  <c r="C28" i="76"/>
  <c r="B28" i="76" s="1"/>
  <c r="U27" i="76"/>
  <c r="S27" i="76"/>
  <c r="R27" i="76"/>
  <c r="P27" i="76"/>
  <c r="N27" i="76"/>
  <c r="M27" i="76"/>
  <c r="K27" i="76"/>
  <c r="J27" i="76"/>
  <c r="I27" i="76"/>
  <c r="H27" i="76"/>
  <c r="G27" i="76"/>
  <c r="F27" i="76"/>
  <c r="E27" i="76"/>
  <c r="D27" i="76"/>
  <c r="C27" i="76"/>
  <c r="B27" i="76" s="1"/>
  <c r="U26" i="76"/>
  <c r="S26" i="76"/>
  <c r="R26" i="76"/>
  <c r="P26" i="76"/>
  <c r="N26" i="76"/>
  <c r="M26" i="76"/>
  <c r="K26" i="76"/>
  <c r="J26" i="76"/>
  <c r="I26" i="76"/>
  <c r="H26" i="76"/>
  <c r="G26" i="76"/>
  <c r="F26" i="76"/>
  <c r="E26" i="76"/>
  <c r="D26" i="76"/>
  <c r="C26" i="76"/>
  <c r="B26" i="76" s="1"/>
  <c r="U25" i="76"/>
  <c r="S25" i="76"/>
  <c r="R25" i="76"/>
  <c r="P25" i="76"/>
  <c r="N25" i="76"/>
  <c r="M25" i="76"/>
  <c r="K25" i="76"/>
  <c r="J25" i="76"/>
  <c r="I25" i="76"/>
  <c r="H25" i="76"/>
  <c r="G25" i="76"/>
  <c r="F25" i="76"/>
  <c r="E25" i="76"/>
  <c r="D25" i="76"/>
  <c r="C25" i="76"/>
  <c r="B25" i="76" s="1"/>
  <c r="U24" i="76"/>
  <c r="S24" i="76"/>
  <c r="R24" i="76"/>
  <c r="P24" i="76"/>
  <c r="N24" i="76"/>
  <c r="M24" i="76"/>
  <c r="K24" i="76"/>
  <c r="J24" i="76"/>
  <c r="I24" i="76"/>
  <c r="H24" i="76"/>
  <c r="G24" i="76"/>
  <c r="F24" i="76"/>
  <c r="E24" i="76"/>
  <c r="D24" i="76"/>
  <c r="C24" i="76"/>
  <c r="B24" i="76" s="1"/>
  <c r="U23" i="76"/>
  <c r="S23" i="76"/>
  <c r="R23" i="76"/>
  <c r="P23" i="76"/>
  <c r="N23" i="76"/>
  <c r="M23" i="76"/>
  <c r="K23" i="76"/>
  <c r="J23" i="76"/>
  <c r="I23" i="76"/>
  <c r="H23" i="76"/>
  <c r="G23" i="76"/>
  <c r="F23" i="76"/>
  <c r="E23" i="76"/>
  <c r="D23" i="76"/>
  <c r="C23" i="76"/>
  <c r="B23" i="76" s="1"/>
  <c r="U22" i="76"/>
  <c r="S22" i="76"/>
  <c r="R22" i="76"/>
  <c r="P22" i="76"/>
  <c r="N22" i="76"/>
  <c r="M22" i="76"/>
  <c r="K22" i="76"/>
  <c r="J22" i="76"/>
  <c r="I22" i="76"/>
  <c r="H22" i="76"/>
  <c r="G22" i="76"/>
  <c r="F22" i="76"/>
  <c r="E22" i="76"/>
  <c r="D22" i="76"/>
  <c r="C22" i="76"/>
  <c r="B22" i="76" s="1"/>
  <c r="U21" i="76"/>
  <c r="S21" i="76"/>
  <c r="R21" i="76"/>
  <c r="P21" i="76"/>
  <c r="N21" i="76"/>
  <c r="M21" i="76"/>
  <c r="K21" i="76"/>
  <c r="J21" i="76"/>
  <c r="I21" i="76"/>
  <c r="H21" i="76"/>
  <c r="G21" i="76"/>
  <c r="F21" i="76"/>
  <c r="E21" i="76"/>
  <c r="D21" i="76"/>
  <c r="C21" i="76"/>
  <c r="B21" i="76" s="1"/>
  <c r="U20" i="76"/>
  <c r="S20" i="76"/>
  <c r="R20" i="76"/>
  <c r="P20" i="76"/>
  <c r="N20" i="76"/>
  <c r="M20" i="76"/>
  <c r="K20" i="76"/>
  <c r="J20" i="76"/>
  <c r="I20" i="76"/>
  <c r="H20" i="76"/>
  <c r="G20" i="76"/>
  <c r="F20" i="76"/>
  <c r="E20" i="76"/>
  <c r="D20" i="76"/>
  <c r="C20" i="76"/>
  <c r="B20" i="76" s="1"/>
  <c r="U19" i="76"/>
  <c r="S19" i="76"/>
  <c r="R19" i="76"/>
  <c r="P19" i="76"/>
  <c r="N19" i="76"/>
  <c r="M19" i="76"/>
  <c r="K19" i="76"/>
  <c r="J19" i="76"/>
  <c r="I19" i="76"/>
  <c r="H19" i="76"/>
  <c r="G19" i="76"/>
  <c r="F19" i="76"/>
  <c r="E19" i="76"/>
  <c r="D19" i="76"/>
  <c r="C19" i="76"/>
  <c r="B19" i="76" s="1"/>
  <c r="U18" i="76"/>
  <c r="S18" i="76"/>
  <c r="R18" i="76"/>
  <c r="P18" i="76"/>
  <c r="N18" i="76"/>
  <c r="M18" i="76"/>
  <c r="K18" i="76"/>
  <c r="J18" i="76"/>
  <c r="I18" i="76"/>
  <c r="H18" i="76"/>
  <c r="G18" i="76"/>
  <c r="F18" i="76"/>
  <c r="E18" i="76"/>
  <c r="D18" i="76"/>
  <c r="C18" i="76"/>
  <c r="B18" i="76" s="1"/>
  <c r="U17" i="76"/>
  <c r="S17" i="76"/>
  <c r="R17" i="76"/>
  <c r="P17" i="76"/>
  <c r="N17" i="76"/>
  <c r="M17" i="76"/>
  <c r="K17" i="76"/>
  <c r="J17" i="76"/>
  <c r="I17" i="76"/>
  <c r="H17" i="76"/>
  <c r="G17" i="76"/>
  <c r="F17" i="76"/>
  <c r="E17" i="76"/>
  <c r="D17" i="76"/>
  <c r="C17" i="76"/>
  <c r="B17" i="76" s="1"/>
  <c r="U16" i="76"/>
  <c r="S16" i="76"/>
  <c r="R16" i="76"/>
  <c r="P16" i="76"/>
  <c r="N16" i="76"/>
  <c r="M16" i="76"/>
  <c r="K16" i="76"/>
  <c r="J16" i="76"/>
  <c r="I16" i="76"/>
  <c r="H16" i="76"/>
  <c r="G16" i="76"/>
  <c r="F16" i="76"/>
  <c r="E16" i="76"/>
  <c r="D16" i="76"/>
  <c r="C16" i="76"/>
  <c r="B16" i="76" s="1"/>
  <c r="U15" i="76"/>
  <c r="S15" i="76"/>
  <c r="R15" i="76"/>
  <c r="P15" i="76"/>
  <c r="N15" i="76"/>
  <c r="M15" i="76"/>
  <c r="K15" i="76"/>
  <c r="J15" i="76"/>
  <c r="I15" i="76"/>
  <c r="H15" i="76"/>
  <c r="G15" i="76"/>
  <c r="F15" i="76"/>
  <c r="E15" i="76"/>
  <c r="D15" i="76"/>
  <c r="C15" i="76"/>
  <c r="B15" i="76" s="1"/>
  <c r="U14" i="76"/>
  <c r="S14" i="76"/>
  <c r="R14" i="76"/>
  <c r="P14" i="76"/>
  <c r="N14" i="76"/>
  <c r="M14" i="76"/>
  <c r="K14" i="76"/>
  <c r="J14" i="76"/>
  <c r="I14" i="76"/>
  <c r="H14" i="76"/>
  <c r="G14" i="76"/>
  <c r="F14" i="76"/>
  <c r="E14" i="76"/>
  <c r="D14" i="76"/>
  <c r="C14" i="76"/>
  <c r="B14" i="76" s="1"/>
  <c r="U13" i="76"/>
  <c r="S13" i="76"/>
  <c r="R13" i="76"/>
  <c r="P13" i="76"/>
  <c r="N13" i="76"/>
  <c r="M13" i="76"/>
  <c r="K13" i="76"/>
  <c r="J13" i="76"/>
  <c r="I13" i="76"/>
  <c r="H13" i="76"/>
  <c r="G13" i="76"/>
  <c r="F13" i="76"/>
  <c r="E13" i="76"/>
  <c r="D13" i="76"/>
  <c r="C13" i="76"/>
  <c r="B13" i="76" s="1"/>
  <c r="U12" i="76"/>
  <c r="S12" i="76"/>
  <c r="R12" i="76"/>
  <c r="P12" i="76"/>
  <c r="N12" i="76"/>
  <c r="M12" i="76"/>
  <c r="K12" i="76"/>
  <c r="J12" i="76"/>
  <c r="I12" i="76"/>
  <c r="H12" i="76"/>
  <c r="G12" i="76"/>
  <c r="F12" i="76"/>
  <c r="E12" i="76"/>
  <c r="D12" i="76"/>
  <c r="C12" i="76"/>
  <c r="B12" i="76" s="1"/>
  <c r="U11" i="76"/>
  <c r="S11" i="76"/>
  <c r="R11" i="76"/>
  <c r="P11" i="76"/>
  <c r="N11" i="76"/>
  <c r="M11" i="76"/>
  <c r="K11" i="76"/>
  <c r="J11" i="76"/>
  <c r="I11" i="76"/>
  <c r="H11" i="76"/>
  <c r="G11" i="76"/>
  <c r="F11" i="76"/>
  <c r="E11" i="76"/>
  <c r="D11" i="76"/>
  <c r="C11" i="76"/>
  <c r="B11" i="76" s="1"/>
  <c r="U10" i="76"/>
  <c r="S10" i="76"/>
  <c r="R10" i="76"/>
  <c r="P10" i="76"/>
  <c r="N10" i="76"/>
  <c r="M10" i="76"/>
  <c r="K10" i="76"/>
  <c r="J10" i="76"/>
  <c r="I10" i="76"/>
  <c r="H10" i="76"/>
  <c r="G10" i="76"/>
  <c r="F10" i="76"/>
  <c r="E10" i="76"/>
  <c r="D10" i="76"/>
  <c r="C10" i="76"/>
  <c r="B10" i="76" s="1"/>
  <c r="U9" i="76"/>
  <c r="S9" i="76"/>
  <c r="R9" i="76"/>
  <c r="P9" i="76"/>
  <c r="N9" i="76"/>
  <c r="M9" i="76"/>
  <c r="K9" i="76"/>
  <c r="J9" i="76"/>
  <c r="I9" i="76"/>
  <c r="H9" i="76"/>
  <c r="G9" i="76"/>
  <c r="F9" i="76"/>
  <c r="E9" i="76"/>
  <c r="D9" i="76"/>
  <c r="C9" i="76"/>
  <c r="B9" i="76" s="1"/>
  <c r="U8" i="76"/>
  <c r="S8" i="76"/>
  <c r="R8" i="76"/>
  <c r="P8" i="76"/>
  <c r="N8" i="76"/>
  <c r="M8" i="76"/>
  <c r="K8" i="76"/>
  <c r="J8" i="76"/>
  <c r="I8" i="76"/>
  <c r="H8" i="76"/>
  <c r="G8" i="76"/>
  <c r="F8" i="76"/>
  <c r="E8" i="76"/>
  <c r="D8" i="76"/>
  <c r="C8" i="76"/>
  <c r="B8" i="76" s="1"/>
  <c r="U7" i="76"/>
  <c r="S7" i="76"/>
  <c r="R7" i="76"/>
  <c r="P7" i="76"/>
  <c r="N7" i="76"/>
  <c r="M7" i="76"/>
  <c r="K7" i="76"/>
  <c r="J7" i="76"/>
  <c r="I7" i="76"/>
  <c r="H7" i="76"/>
  <c r="G7" i="76"/>
  <c r="F7" i="76"/>
  <c r="E7" i="76"/>
  <c r="D7" i="76"/>
  <c r="C7" i="76"/>
  <c r="B7" i="76" s="1"/>
  <c r="U6" i="76"/>
  <c r="S6" i="76"/>
  <c r="R6" i="76"/>
  <c r="P6" i="76"/>
  <c r="N6" i="76"/>
  <c r="M6" i="76"/>
  <c r="K6" i="76"/>
  <c r="J6" i="76"/>
  <c r="I6" i="76"/>
  <c r="H6" i="76"/>
  <c r="G6" i="76"/>
  <c r="F6" i="76"/>
  <c r="E6" i="76"/>
  <c r="D6" i="76"/>
  <c r="C6" i="76"/>
  <c r="B6" i="76" s="1"/>
  <c r="U5" i="76"/>
  <c r="S5" i="76"/>
  <c r="R5" i="76"/>
  <c r="P5" i="76"/>
  <c r="N5" i="76"/>
  <c r="M5" i="76"/>
  <c r="K5" i="76"/>
  <c r="J5" i="76"/>
  <c r="I5" i="76"/>
  <c r="H5" i="76"/>
  <c r="G5" i="76"/>
  <c r="F5" i="76"/>
  <c r="E5" i="76"/>
  <c r="D5" i="76"/>
  <c r="C5" i="76"/>
  <c r="B5" i="76" s="1"/>
  <c r="U4" i="76"/>
  <c r="S4" i="76"/>
  <c r="R4" i="76"/>
  <c r="P4" i="76"/>
  <c r="N4" i="76"/>
  <c r="M4" i="76"/>
  <c r="K4" i="76"/>
  <c r="J4" i="76"/>
  <c r="I4" i="76"/>
  <c r="H4" i="76"/>
  <c r="G4" i="76"/>
  <c r="F4" i="76"/>
  <c r="E4" i="76"/>
  <c r="D4" i="76"/>
  <c r="C4" i="76"/>
  <c r="B4" i="76" s="1"/>
  <c r="U3" i="76"/>
  <c r="S3" i="76"/>
  <c r="R3" i="76"/>
  <c r="P3" i="76"/>
  <c r="N3" i="76"/>
  <c r="M3" i="76"/>
  <c r="K3" i="76"/>
  <c r="J3" i="76"/>
  <c r="I3" i="76"/>
  <c r="H3" i="76"/>
  <c r="G3" i="76"/>
  <c r="E3" i="76"/>
  <c r="D3" i="76"/>
  <c r="C3" i="76"/>
  <c r="B3" i="76" s="1"/>
  <c r="U2" i="76"/>
  <c r="S2" i="76"/>
  <c r="R2" i="76"/>
  <c r="P2" i="76"/>
  <c r="N2" i="76"/>
  <c r="M2" i="76"/>
  <c r="K2" i="76"/>
  <c r="J2" i="76"/>
  <c r="I2" i="76"/>
  <c r="H2" i="76"/>
  <c r="G2" i="76"/>
  <c r="F2" i="76"/>
  <c r="E2" i="76"/>
  <c r="D2" i="76"/>
  <c r="C2" i="76"/>
  <c r="Q372" i="56" l="1"/>
  <c r="L376" i="70" s="1"/>
  <c r="Q410" i="56"/>
  <c r="L408" i="70" s="1"/>
  <c r="Q409" i="56"/>
  <c r="L407" i="70" s="1"/>
  <c r="AD294" i="49"/>
  <c r="AD293" i="49"/>
  <c r="AD331" i="49"/>
  <c r="AD330" i="49"/>
  <c r="Q373" i="56"/>
  <c r="L377" i="70" s="1"/>
  <c r="A139" i="56"/>
  <c r="B2" i="76"/>
  <c r="O101" i="77" s="1" a="1"/>
  <c r="O101" i="77" s="1"/>
  <c r="H101" i="77" l="1"/>
  <c r="I101" i="77"/>
  <c r="K101" i="77"/>
  <c r="J101" i="77"/>
  <c r="N101" i="77"/>
  <c r="M101" i="77"/>
  <c r="A140" i="56"/>
  <c r="O185" i="77" a="1"/>
  <c r="O185" i="77" s="1"/>
  <c r="O153" i="77" a="1"/>
  <c r="O153" i="77" s="1"/>
  <c r="O137" i="77" a="1"/>
  <c r="O137" i="77" s="1"/>
  <c r="O200" i="77" a="1"/>
  <c r="O200" i="77" s="1"/>
  <c r="O168" i="77" a="1"/>
  <c r="O168" i="77" s="1"/>
  <c r="O120" i="77" a="1"/>
  <c r="O120" i="77" s="1"/>
  <c r="O104" i="77" a="1"/>
  <c r="O104" i="77" s="1"/>
  <c r="O119" i="77" a="1"/>
  <c r="O119" i="77" s="1"/>
  <c r="O118" i="77" a="1"/>
  <c r="O118" i="77" s="1"/>
  <c r="O10" i="77" a="1"/>
  <c r="O10" i="77" s="1"/>
  <c r="O28" i="77" a="1"/>
  <c r="O28" i="77" s="1"/>
  <c r="O14" i="77" a="1"/>
  <c r="O14" i="77" s="1"/>
  <c r="O47" i="77" a="1"/>
  <c r="O47" i="77" s="1"/>
  <c r="O96" i="77" a="1"/>
  <c r="O96" i="77" s="1"/>
  <c r="O145" i="77" a="1"/>
  <c r="O145" i="77" s="1"/>
  <c r="O178" i="77" a="1"/>
  <c r="O178" i="77" s="1"/>
  <c r="O203" i="77" a="1"/>
  <c r="O203" i="77" s="1"/>
  <c r="O37" i="77" a="1"/>
  <c r="O37" i="77" s="1"/>
  <c r="O54" i="77" a="1"/>
  <c r="O54" i="77" s="1"/>
  <c r="O55" i="77" a="1"/>
  <c r="O55" i="77" s="1"/>
  <c r="O26" i="77" a="1"/>
  <c r="O26" i="77" s="1"/>
  <c r="O44" i="77" a="1"/>
  <c r="O44" i="77" s="1"/>
  <c r="O30" i="77" a="1"/>
  <c r="O30" i="77" s="1"/>
  <c r="O63" i="77" a="1"/>
  <c r="O63" i="77" s="1"/>
  <c r="O112" i="77" a="1"/>
  <c r="O112" i="77" s="1"/>
  <c r="O161" i="77" a="1"/>
  <c r="O161" i="77" s="1"/>
  <c r="O194" i="77" a="1"/>
  <c r="O194" i="77" s="1"/>
  <c r="O20" i="77" a="1"/>
  <c r="O20" i="77" s="1"/>
  <c r="O53" i="77" a="1"/>
  <c r="O53" i="77" s="1"/>
  <c r="O70" i="77" a="1"/>
  <c r="O70" i="77" s="1"/>
  <c r="O71" i="77" a="1"/>
  <c r="O71" i="77" s="1"/>
  <c r="O11" i="77" a="1"/>
  <c r="O11" i="77" s="1"/>
  <c r="O60" i="77" a="1"/>
  <c r="O60" i="77" s="1"/>
  <c r="O46" i="77" a="1"/>
  <c r="O46" i="77" s="1"/>
  <c r="O79" i="77" a="1"/>
  <c r="O79" i="77" s="1"/>
  <c r="O128" i="77" a="1"/>
  <c r="O128" i="77" s="1"/>
  <c r="O177" i="77" a="1"/>
  <c r="O177" i="77" s="1"/>
  <c r="O61" i="77" a="1"/>
  <c r="O61" i="77" s="1"/>
  <c r="O36" i="77" a="1"/>
  <c r="O36" i="77" s="1"/>
  <c r="O69" i="77" a="1"/>
  <c r="O69" i="77" s="1"/>
  <c r="O86" i="77" a="1"/>
  <c r="O86" i="77" s="1"/>
  <c r="O87" i="77" a="1"/>
  <c r="O87" i="77" s="1"/>
  <c r="O136" i="77" a="1"/>
  <c r="O136" i="77" s="1"/>
  <c r="O169" i="77" a="1"/>
  <c r="O169" i="77" s="1"/>
  <c r="O27" i="77" a="1"/>
  <c r="O27" i="77" s="1"/>
  <c r="O76" i="77" a="1"/>
  <c r="O76" i="77" s="1"/>
  <c r="O62" i="77" a="1"/>
  <c r="O62" i="77" s="1"/>
  <c r="O95" i="77" a="1"/>
  <c r="O95" i="77" s="1"/>
  <c r="O144" i="77" a="1"/>
  <c r="O144" i="77" s="1"/>
  <c r="O193" i="77" a="1"/>
  <c r="O193" i="77" s="1"/>
  <c r="O19" i="77" a="1"/>
  <c r="O19" i="77" s="1"/>
  <c r="O52" i="77" a="1"/>
  <c r="O52" i="77" s="1"/>
  <c r="O85" i="77" a="1"/>
  <c r="O85" i="77" s="1"/>
  <c r="O102" i="77" a="1"/>
  <c r="O102" i="77" s="1"/>
  <c r="O103" i="77" a="1"/>
  <c r="O103" i="77" s="1"/>
  <c r="O152" i="77" a="1"/>
  <c r="O152" i="77" s="1"/>
  <c r="O43" i="77" a="1"/>
  <c r="O43" i="77" s="1"/>
  <c r="O92" i="77" a="1"/>
  <c r="O92" i="77" s="1"/>
  <c r="O59" i="77" a="1"/>
  <c r="O59" i="77" s="1"/>
  <c r="O108" i="77" a="1"/>
  <c r="O108" i="77" s="1"/>
  <c r="O94" i="77" a="1"/>
  <c r="O94" i="77" s="1"/>
  <c r="O127" i="77" a="1"/>
  <c r="O127" i="77" s="1"/>
  <c r="O176" i="77" a="1"/>
  <c r="O176" i="77" s="1"/>
  <c r="O109" i="77" a="1"/>
  <c r="O109" i="77" s="1"/>
  <c r="O51" i="77" a="1"/>
  <c r="O51" i="77" s="1"/>
  <c r="O84" i="77" a="1"/>
  <c r="O84" i="77" s="1"/>
  <c r="O117" i="77" a="1"/>
  <c r="O117" i="77" s="1"/>
  <c r="O134" i="77" a="1"/>
  <c r="O134" i="77" s="1"/>
  <c r="O135" i="77" a="1"/>
  <c r="O135" i="77" s="1"/>
  <c r="O184" i="77" a="1"/>
  <c r="O184" i="77" s="1"/>
  <c r="O75" i="77" a="1"/>
  <c r="O75" i="77" s="1"/>
  <c r="O124" i="77" a="1"/>
  <c r="O124" i="77" s="1"/>
  <c r="O110" i="77" a="1"/>
  <c r="O110" i="77" s="1"/>
  <c r="O143" i="77" a="1"/>
  <c r="O143" i="77" s="1"/>
  <c r="O192" i="77" a="1"/>
  <c r="O192" i="77" s="1"/>
  <c r="O18" i="77" a="1"/>
  <c r="O18" i="77" s="1"/>
  <c r="O67" i="77" a="1"/>
  <c r="O67" i="77" s="1"/>
  <c r="O100" i="77" a="1"/>
  <c r="O100" i="77" s="1"/>
  <c r="O133" i="77" a="1"/>
  <c r="O133" i="77" s="1"/>
  <c r="O150" i="77" a="1"/>
  <c r="O150" i="77" s="1"/>
  <c r="O151" i="77" a="1"/>
  <c r="O151" i="77" s="1"/>
  <c r="O91" i="77" a="1"/>
  <c r="O91" i="77" s="1"/>
  <c r="O140" i="77" a="1"/>
  <c r="O140" i="77" s="1"/>
  <c r="O126" i="77" a="1"/>
  <c r="O126" i="77" s="1"/>
  <c r="O159" i="77" a="1"/>
  <c r="O159" i="77" s="1"/>
  <c r="O93" i="77" a="1"/>
  <c r="O93" i="77" s="1"/>
  <c r="O34" i="77" a="1"/>
  <c r="O34" i="77" s="1"/>
  <c r="O83" i="77" a="1"/>
  <c r="O83" i="77" s="1"/>
  <c r="O116" i="77" a="1"/>
  <c r="O116" i="77" s="1"/>
  <c r="O149" i="77" a="1"/>
  <c r="O149" i="77" s="1"/>
  <c r="O166" i="77" a="1"/>
  <c r="O166" i="77" s="1"/>
  <c r="O167" i="77" a="1"/>
  <c r="O167" i="77" s="1"/>
  <c r="O138" i="77" a="1"/>
  <c r="O138" i="77" s="1"/>
  <c r="O107" i="77" a="1"/>
  <c r="O107" i="77" s="1"/>
  <c r="O156" i="77" a="1"/>
  <c r="O156" i="77" s="1"/>
  <c r="O142" i="77" a="1"/>
  <c r="O142" i="77" s="1"/>
  <c r="O175" i="77" a="1"/>
  <c r="O175" i="77" s="1"/>
  <c r="O17" i="77" a="1"/>
  <c r="O17" i="77" s="1"/>
  <c r="O50" i="77" a="1"/>
  <c r="O50" i="77" s="1"/>
  <c r="O99" i="77" a="1"/>
  <c r="O99" i="77" s="1"/>
  <c r="O132" i="77" a="1"/>
  <c r="O132" i="77" s="1"/>
  <c r="O165" i="77" a="1"/>
  <c r="O165" i="77" s="1"/>
  <c r="O182" i="77" a="1"/>
  <c r="O182" i="77" s="1"/>
  <c r="O199" i="77" a="1"/>
  <c r="O199" i="77" s="1"/>
  <c r="O125" i="77" a="1"/>
  <c r="O125" i="77" s="1"/>
  <c r="O123" i="77" a="1"/>
  <c r="O123" i="77" s="1"/>
  <c r="O172" i="77" a="1"/>
  <c r="O172" i="77" s="1"/>
  <c r="O158" i="77" a="1"/>
  <c r="O158" i="77" s="1"/>
  <c r="O191" i="77" a="1"/>
  <c r="O191" i="77" s="1"/>
  <c r="O33" i="77" a="1"/>
  <c r="O33" i="77" s="1"/>
  <c r="O66" i="77" a="1"/>
  <c r="O66" i="77" s="1"/>
  <c r="O115" i="77" a="1"/>
  <c r="O115" i="77" s="1"/>
  <c r="O148" i="77" a="1"/>
  <c r="O148" i="77" s="1"/>
  <c r="O181" i="77" a="1"/>
  <c r="O181" i="77" s="1"/>
  <c r="O198" i="77" a="1"/>
  <c r="O198" i="77" s="1"/>
  <c r="O122" i="77" a="1"/>
  <c r="O122" i="77" s="1"/>
  <c r="O25" i="77" a="1"/>
  <c r="O25" i="77" s="1"/>
  <c r="O41" i="77" a="1"/>
  <c r="O41" i="77" s="1"/>
  <c r="O139" i="77" a="1"/>
  <c r="O139" i="77" s="1"/>
  <c r="O188" i="77" a="1"/>
  <c r="O188" i="77" s="1"/>
  <c r="O174" i="77" a="1"/>
  <c r="O174" i="77" s="1"/>
  <c r="O208" i="77" a="1"/>
  <c r="O208" i="77" s="1"/>
  <c r="O49" i="77" a="1"/>
  <c r="O49" i="77" s="1"/>
  <c r="O82" i="77" a="1"/>
  <c r="O82" i="77" s="1"/>
  <c r="O131" i="77" a="1"/>
  <c r="O131" i="77" s="1"/>
  <c r="O164" i="77" a="1"/>
  <c r="O164" i="77" s="1"/>
  <c r="O197" i="77" a="1"/>
  <c r="O197" i="77" s="1"/>
  <c r="O183" i="77" a="1"/>
  <c r="O183" i="77" s="1"/>
  <c r="O77" i="77" a="1"/>
  <c r="O77" i="77" s="1"/>
  <c r="O155" i="77" a="1"/>
  <c r="O155" i="77" s="1"/>
  <c r="O204" i="77" a="1"/>
  <c r="O204" i="77" s="1"/>
  <c r="O190" i="77" a="1"/>
  <c r="O190" i="77" s="1"/>
  <c r="O16" i="77" a="1"/>
  <c r="O16" i="77" s="1"/>
  <c r="O65" i="77" a="1"/>
  <c r="O65" i="77" s="1"/>
  <c r="O98" i="77" a="1"/>
  <c r="O98" i="77" s="1"/>
  <c r="O147" i="77" a="1"/>
  <c r="O147" i="77" s="1"/>
  <c r="O180" i="77" a="1"/>
  <c r="O180" i="77" s="1"/>
  <c r="O90" i="77" a="1"/>
  <c r="O90" i="77" s="1"/>
  <c r="O58" i="77" a="1"/>
  <c r="O58" i="77" s="1"/>
  <c r="O24" i="77" a="1"/>
  <c r="O24" i="77" s="1"/>
  <c r="O57" i="77" a="1"/>
  <c r="O57" i="77" s="1"/>
  <c r="O171" i="77" a="1"/>
  <c r="O171" i="77" s="1"/>
  <c r="O45" i="77" a="1"/>
  <c r="O45" i="77" s="1"/>
  <c r="O206" i="77" a="1"/>
  <c r="O206" i="77" s="1"/>
  <c r="O32" i="77" a="1"/>
  <c r="O32" i="77" s="1"/>
  <c r="O81" i="77" a="1"/>
  <c r="O81" i="77" s="1"/>
  <c r="O114" i="77" a="1"/>
  <c r="O114" i="77" s="1"/>
  <c r="O163" i="77" a="1"/>
  <c r="O163" i="77" s="1"/>
  <c r="O196" i="77" a="1"/>
  <c r="O196" i="77" s="1"/>
  <c r="O186" i="77" a="1"/>
  <c r="O186" i="77" s="1"/>
  <c r="O170" i="77" a="1"/>
  <c r="O170" i="77" s="1"/>
  <c r="O40" i="77" a="1"/>
  <c r="O40" i="77" s="1"/>
  <c r="O73" i="77" a="1"/>
  <c r="O73" i="77" s="1"/>
  <c r="O187" i="77" a="1"/>
  <c r="O187" i="77" s="1"/>
  <c r="O189" i="77" a="1"/>
  <c r="O189" i="77" s="1"/>
  <c r="O207" i="77" a="1"/>
  <c r="O207" i="77" s="1"/>
  <c r="O48" i="77" a="1"/>
  <c r="O48" i="77" s="1"/>
  <c r="O97" i="77" a="1"/>
  <c r="O97" i="77" s="1"/>
  <c r="O130" i="77" a="1"/>
  <c r="O130" i="77" s="1"/>
  <c r="O179" i="77" a="1"/>
  <c r="O179" i="77" s="1"/>
  <c r="O74" i="77" a="1"/>
  <c r="O74" i="77" s="1"/>
  <c r="O205" i="77" a="1"/>
  <c r="O205" i="77" s="1"/>
  <c r="O173" i="77" a="1"/>
  <c r="O173" i="77" s="1"/>
  <c r="O56" i="77" a="1"/>
  <c r="O56" i="77" s="1"/>
  <c r="O89" i="77" a="1"/>
  <c r="O89" i="77" s="1"/>
  <c r="O157" i="77" a="1"/>
  <c r="O157" i="77" s="1"/>
  <c r="O13" i="77" a="1"/>
  <c r="O13" i="77" s="1"/>
  <c r="O15" i="77" a="1"/>
  <c r="O15" i="77" s="1"/>
  <c r="O64" i="77" a="1"/>
  <c r="O64" i="77" s="1"/>
  <c r="O113" i="77" a="1"/>
  <c r="O113" i="77" s="1"/>
  <c r="O146" i="77" a="1"/>
  <c r="O146" i="77" s="1"/>
  <c r="O195" i="77" a="1"/>
  <c r="O195" i="77" s="1"/>
  <c r="O202" i="77" a="1"/>
  <c r="O202" i="77" s="1"/>
  <c r="O22" i="77" a="1"/>
  <c r="O22" i="77" s="1"/>
  <c r="O23" i="77" a="1"/>
  <c r="O23" i="77" s="1"/>
  <c r="O72" i="77" a="1"/>
  <c r="O72" i="77" s="1"/>
  <c r="O105" i="77" a="1"/>
  <c r="O105" i="77" s="1"/>
  <c r="O12" i="77" a="1"/>
  <c r="O12" i="77" s="1"/>
  <c r="O29" i="77" a="1"/>
  <c r="O29" i="77" s="1"/>
  <c r="O31" i="77" a="1"/>
  <c r="O31" i="77" s="1"/>
  <c r="O80" i="77" a="1"/>
  <c r="O80" i="77" s="1"/>
  <c r="O129" i="77" a="1"/>
  <c r="O129" i="77" s="1"/>
  <c r="O162" i="77" a="1"/>
  <c r="O162" i="77" s="1"/>
  <c r="O106" i="77" a="1"/>
  <c r="O106" i="77" s="1"/>
  <c r="O21" i="77" a="1"/>
  <c r="O21" i="77" s="1"/>
  <c r="O38" i="77" a="1"/>
  <c r="O38" i="77" s="1"/>
  <c r="O39" i="77" a="1"/>
  <c r="O39" i="77" s="1"/>
  <c r="O88" i="77" a="1"/>
  <c r="O88" i="77" s="1"/>
  <c r="O121" i="77" a="1"/>
  <c r="O121" i="77" s="1"/>
  <c r="O68" i="77" a="1"/>
  <c r="O68" i="77" s="1"/>
  <c r="O35" i="77" a="1"/>
  <c r="O35" i="77" s="1"/>
  <c r="O141" i="77" a="1"/>
  <c r="O141" i="77" s="1"/>
  <c r="O9" i="77" a="1"/>
  <c r="O9" i="77" s="1"/>
  <c r="O154" i="77" a="1"/>
  <c r="O154" i="77" s="1"/>
  <c r="O160" i="77" a="1"/>
  <c r="O160" i="77" s="1"/>
  <c r="O42" i="77" a="1"/>
  <c r="O42" i="77" s="1"/>
  <c r="O111" i="77" a="1"/>
  <c r="O111" i="77" s="1"/>
  <c r="O201" i="77" a="1"/>
  <c r="O201" i="77" s="1"/>
  <c r="O78" i="77" a="1"/>
  <c r="O78" i="77" s="1"/>
  <c r="H1361" i="56"/>
  <c r="H1360" i="56"/>
  <c r="H1359" i="56"/>
  <c r="H1358" i="56"/>
  <c r="H1357" i="56"/>
  <c r="H1356" i="56"/>
  <c r="H1323" i="56"/>
  <c r="H1322" i="56"/>
  <c r="H1321" i="56"/>
  <c r="H1320" i="56"/>
  <c r="H1319" i="56"/>
  <c r="H1318" i="56"/>
  <c r="H1285" i="56"/>
  <c r="H1284" i="56"/>
  <c r="H1283" i="56"/>
  <c r="H1282" i="56"/>
  <c r="H1281" i="56"/>
  <c r="H1280" i="56"/>
  <c r="H1247" i="56"/>
  <c r="H1246" i="56"/>
  <c r="H1245" i="56"/>
  <c r="H1244" i="56"/>
  <c r="H1243" i="56"/>
  <c r="H1242" i="56"/>
  <c r="H1209" i="56"/>
  <c r="H1208" i="56"/>
  <c r="H1207" i="56"/>
  <c r="H1206" i="56"/>
  <c r="H1205" i="56"/>
  <c r="H1204" i="56"/>
  <c r="H1171" i="56"/>
  <c r="H1170" i="56"/>
  <c r="H1169" i="56"/>
  <c r="H1168" i="56"/>
  <c r="H1167" i="56"/>
  <c r="H1166" i="56"/>
  <c r="H1133" i="56"/>
  <c r="H1132" i="56"/>
  <c r="H1131" i="56"/>
  <c r="H1130" i="56"/>
  <c r="H1129" i="56"/>
  <c r="H1128" i="56"/>
  <c r="H1095" i="56"/>
  <c r="H1094" i="56"/>
  <c r="H1093" i="56"/>
  <c r="H1092" i="56"/>
  <c r="H1091" i="56"/>
  <c r="H1090" i="56"/>
  <c r="H1057" i="56"/>
  <c r="H1056" i="56"/>
  <c r="H1055" i="56"/>
  <c r="H1054" i="56"/>
  <c r="H1053" i="56"/>
  <c r="H1052" i="56"/>
  <c r="H1019" i="56"/>
  <c r="H1018" i="56"/>
  <c r="H1017" i="56"/>
  <c r="H1016" i="56"/>
  <c r="H1015" i="56"/>
  <c r="H1014" i="56"/>
  <c r="H981" i="56"/>
  <c r="H980" i="56"/>
  <c r="H979" i="56"/>
  <c r="H978" i="56"/>
  <c r="H977" i="56"/>
  <c r="H976" i="56"/>
  <c r="H943" i="56"/>
  <c r="H942" i="56"/>
  <c r="H941" i="56"/>
  <c r="H940" i="56"/>
  <c r="H939" i="56"/>
  <c r="H938" i="56"/>
  <c r="H905" i="56"/>
  <c r="H904" i="56"/>
  <c r="H903" i="56"/>
  <c r="H902" i="56"/>
  <c r="H901" i="56"/>
  <c r="H900" i="56"/>
  <c r="H867" i="56"/>
  <c r="H866" i="56"/>
  <c r="H865" i="56"/>
  <c r="H864" i="56"/>
  <c r="H863" i="56"/>
  <c r="H862" i="56"/>
  <c r="H791" i="56"/>
  <c r="H790" i="56"/>
  <c r="H789" i="56"/>
  <c r="H788" i="56"/>
  <c r="H787" i="56"/>
  <c r="H786" i="56"/>
  <c r="H753" i="56"/>
  <c r="H752" i="56"/>
  <c r="H751" i="56"/>
  <c r="H750" i="56"/>
  <c r="H749" i="56"/>
  <c r="H748" i="56"/>
  <c r="H715" i="56"/>
  <c r="H714" i="56"/>
  <c r="H713" i="56"/>
  <c r="H712" i="56"/>
  <c r="H711" i="56"/>
  <c r="H710" i="56"/>
  <c r="H639" i="56"/>
  <c r="H638" i="56"/>
  <c r="H637" i="56"/>
  <c r="H636" i="56"/>
  <c r="H635" i="56"/>
  <c r="H634" i="56"/>
  <c r="H601" i="56"/>
  <c r="H600" i="56"/>
  <c r="H599" i="56"/>
  <c r="H598" i="56"/>
  <c r="H597" i="56"/>
  <c r="H596" i="56"/>
  <c r="H563" i="56"/>
  <c r="H562" i="56"/>
  <c r="H561" i="56"/>
  <c r="H560" i="56"/>
  <c r="H559" i="56"/>
  <c r="H558" i="56"/>
  <c r="H525" i="56"/>
  <c r="H524" i="56"/>
  <c r="H523" i="56"/>
  <c r="H522" i="56"/>
  <c r="H521" i="56"/>
  <c r="H520" i="56"/>
  <c r="H487" i="56"/>
  <c r="H486" i="56"/>
  <c r="H485" i="56"/>
  <c r="H484" i="56"/>
  <c r="H483" i="56"/>
  <c r="H482" i="56"/>
  <c r="H449" i="56"/>
  <c r="H448" i="56"/>
  <c r="H447" i="56"/>
  <c r="H446" i="56"/>
  <c r="H445" i="56"/>
  <c r="H444" i="56"/>
  <c r="H411" i="56"/>
  <c r="H410" i="56"/>
  <c r="H409" i="56"/>
  <c r="H408" i="56"/>
  <c r="H407" i="56"/>
  <c r="H406" i="56"/>
  <c r="H373" i="56"/>
  <c r="H372" i="56"/>
  <c r="H371" i="56"/>
  <c r="H370" i="56"/>
  <c r="H369" i="56"/>
  <c r="H368" i="56"/>
  <c r="H297" i="56"/>
  <c r="H296" i="56"/>
  <c r="H295" i="56"/>
  <c r="H294" i="56"/>
  <c r="H293" i="56"/>
  <c r="H292" i="56"/>
  <c r="H335" i="56"/>
  <c r="H334" i="56"/>
  <c r="H333" i="56"/>
  <c r="H332" i="56"/>
  <c r="H331" i="56"/>
  <c r="H330" i="56"/>
  <c r="H76" i="56"/>
  <c r="H77" i="56"/>
  <c r="H78" i="56"/>
  <c r="H79" i="56"/>
  <c r="H80" i="56"/>
  <c r="H81" i="56"/>
  <c r="H82" i="56"/>
  <c r="H83" i="56"/>
  <c r="H84" i="56"/>
  <c r="H85" i="56"/>
  <c r="H86" i="56"/>
  <c r="H87" i="56"/>
  <c r="H88" i="56"/>
  <c r="H89" i="56"/>
  <c r="H90" i="56"/>
  <c r="H91" i="56"/>
  <c r="H92" i="56"/>
  <c r="H93" i="56"/>
  <c r="H94" i="56"/>
  <c r="H95" i="56"/>
  <c r="H96" i="56"/>
  <c r="H97" i="56"/>
  <c r="H98" i="56"/>
  <c r="H99" i="56"/>
  <c r="H100" i="56"/>
  <c r="H101" i="56"/>
  <c r="H102" i="56"/>
  <c r="H103" i="56"/>
  <c r="H75" i="56"/>
  <c r="N21" i="77" l="1"/>
  <c r="H21" i="77"/>
  <c r="I21" i="77"/>
  <c r="K21" i="77"/>
  <c r="M21" i="77"/>
  <c r="J21" i="77"/>
  <c r="N64" i="77"/>
  <c r="K64" i="77"/>
  <c r="M64" i="77"/>
  <c r="J64" i="77"/>
  <c r="H64" i="77"/>
  <c r="I64" i="77"/>
  <c r="N73" i="77"/>
  <c r="K73" i="77"/>
  <c r="J73" i="77"/>
  <c r="H73" i="77"/>
  <c r="M73" i="77"/>
  <c r="I73" i="77"/>
  <c r="I180" i="77"/>
  <c r="H180" i="77"/>
  <c r="K180" i="77"/>
  <c r="M180" i="77"/>
  <c r="N180" i="77"/>
  <c r="J180" i="77"/>
  <c r="N174" i="77"/>
  <c r="M174" i="77"/>
  <c r="I174" i="77"/>
  <c r="J174" i="77"/>
  <c r="H174" i="77"/>
  <c r="K174" i="77"/>
  <c r="I125" i="77"/>
  <c r="N125" i="77"/>
  <c r="H125" i="77"/>
  <c r="J125" i="77"/>
  <c r="K125" i="77"/>
  <c r="M125" i="77"/>
  <c r="I116" i="77"/>
  <c r="J116" i="77"/>
  <c r="M116" i="77"/>
  <c r="K116" i="77"/>
  <c r="N116" i="77"/>
  <c r="H116" i="77"/>
  <c r="N110" i="77"/>
  <c r="M110" i="77"/>
  <c r="K110" i="77"/>
  <c r="J110" i="77"/>
  <c r="I110" i="77"/>
  <c r="H110" i="77"/>
  <c r="K43" i="77"/>
  <c r="J43" i="77"/>
  <c r="H43" i="77"/>
  <c r="I43" i="77"/>
  <c r="N43" i="77"/>
  <c r="M43" i="77"/>
  <c r="N86" i="77"/>
  <c r="K86" i="77"/>
  <c r="H86" i="77"/>
  <c r="M86" i="77"/>
  <c r="J86" i="77"/>
  <c r="I86" i="77"/>
  <c r="N112" i="77"/>
  <c r="K112" i="77"/>
  <c r="M112" i="77"/>
  <c r="J112" i="77"/>
  <c r="H112" i="77"/>
  <c r="I112" i="77"/>
  <c r="N118" i="77"/>
  <c r="K118" i="77"/>
  <c r="M118" i="77"/>
  <c r="J118" i="77"/>
  <c r="H118" i="77"/>
  <c r="I118" i="77"/>
  <c r="J130" i="77"/>
  <c r="I130" i="77"/>
  <c r="N130" i="77"/>
  <c r="K130" i="77"/>
  <c r="M130" i="77"/>
  <c r="H130" i="77"/>
  <c r="I106" i="77"/>
  <c r="N106" i="77"/>
  <c r="J106" i="77"/>
  <c r="H106" i="77"/>
  <c r="M106" i="77"/>
  <c r="K106" i="77"/>
  <c r="J15" i="77"/>
  <c r="K15" i="77"/>
  <c r="N15" i="77"/>
  <c r="I15" i="77"/>
  <c r="H15" i="77"/>
  <c r="M15" i="77"/>
  <c r="M40" i="77"/>
  <c r="N40" i="77"/>
  <c r="K40" i="77"/>
  <c r="I40" i="77"/>
  <c r="H40" i="77"/>
  <c r="J40" i="77"/>
  <c r="K147" i="77"/>
  <c r="I147" i="77"/>
  <c r="M147" i="77"/>
  <c r="H147" i="77"/>
  <c r="N147" i="77"/>
  <c r="J147" i="77"/>
  <c r="J188" i="77"/>
  <c r="H188" i="77"/>
  <c r="M188" i="77"/>
  <c r="N188" i="77"/>
  <c r="K188" i="77"/>
  <c r="I188" i="77"/>
  <c r="M199" i="77"/>
  <c r="J199" i="77"/>
  <c r="H199" i="77"/>
  <c r="K199" i="77"/>
  <c r="N199" i="77"/>
  <c r="I199" i="77"/>
  <c r="M83" i="77"/>
  <c r="N83" i="77"/>
  <c r="K83" i="77"/>
  <c r="J83" i="77"/>
  <c r="I83" i="77"/>
  <c r="H83" i="77"/>
  <c r="J124" i="77"/>
  <c r="H124" i="77"/>
  <c r="K124" i="77"/>
  <c r="N124" i="77"/>
  <c r="M124" i="77"/>
  <c r="I124" i="77"/>
  <c r="M152" i="77"/>
  <c r="N152" i="77"/>
  <c r="K152" i="77"/>
  <c r="I152" i="77"/>
  <c r="J152" i="77"/>
  <c r="H152" i="77"/>
  <c r="N69" i="77"/>
  <c r="J69" i="77"/>
  <c r="M69" i="77"/>
  <c r="I69" i="77"/>
  <c r="K69" i="77"/>
  <c r="H69" i="77"/>
  <c r="K63" i="77"/>
  <c r="M63" i="77"/>
  <c r="H63" i="77"/>
  <c r="I63" i="77"/>
  <c r="J63" i="77"/>
  <c r="N63" i="77"/>
  <c r="N119" i="77"/>
  <c r="K119" i="77"/>
  <c r="M119" i="77"/>
  <c r="J119" i="77"/>
  <c r="I119" i="77"/>
  <c r="H119" i="77"/>
  <c r="N23" i="77"/>
  <c r="I23" i="77"/>
  <c r="J23" i="77"/>
  <c r="H23" i="77"/>
  <c r="K23" i="77"/>
  <c r="M23" i="77"/>
  <c r="M78" i="77"/>
  <c r="I78" i="77"/>
  <c r="N78" i="77"/>
  <c r="J78" i="77"/>
  <c r="H78" i="77"/>
  <c r="K78" i="77"/>
  <c r="J162" i="77"/>
  <c r="I162" i="77"/>
  <c r="N162" i="77"/>
  <c r="K162" i="77"/>
  <c r="M162" i="77"/>
  <c r="H162" i="77"/>
  <c r="M13" i="77"/>
  <c r="N13" i="77"/>
  <c r="K13" i="77"/>
  <c r="H13" i="77"/>
  <c r="I13" i="77"/>
  <c r="J13" i="77"/>
  <c r="I170" i="77"/>
  <c r="N170" i="77"/>
  <c r="J170" i="77"/>
  <c r="M170" i="77"/>
  <c r="H170" i="77"/>
  <c r="K170" i="77"/>
  <c r="J98" i="77"/>
  <c r="I98" i="77"/>
  <c r="N98" i="77"/>
  <c r="K98" i="77"/>
  <c r="M98" i="77"/>
  <c r="H98" i="77"/>
  <c r="J139" i="77"/>
  <c r="N139" i="77"/>
  <c r="M139" i="77"/>
  <c r="I139" i="77"/>
  <c r="K139" i="77"/>
  <c r="H139" i="77"/>
  <c r="N182" i="77"/>
  <c r="K182" i="77"/>
  <c r="H182" i="77"/>
  <c r="J182" i="77"/>
  <c r="I182" i="77"/>
  <c r="M182" i="77"/>
  <c r="J34" i="77"/>
  <c r="H34" i="77"/>
  <c r="I34" i="77"/>
  <c r="N34" i="77"/>
  <c r="K34" i="77"/>
  <c r="M34" i="77"/>
  <c r="K75" i="77"/>
  <c r="M75" i="77"/>
  <c r="J75" i="77"/>
  <c r="N75" i="77"/>
  <c r="H75" i="77"/>
  <c r="I75" i="77"/>
  <c r="N103" i="77"/>
  <c r="J103" i="77"/>
  <c r="I103" i="77"/>
  <c r="H103" i="77"/>
  <c r="K103" i="77"/>
  <c r="M103" i="77"/>
  <c r="I36" i="77"/>
  <c r="M36" i="77"/>
  <c r="N36" i="77"/>
  <c r="K36" i="77"/>
  <c r="H36" i="77"/>
  <c r="J36" i="77"/>
  <c r="M30" i="77"/>
  <c r="K30" i="77"/>
  <c r="H30" i="77"/>
  <c r="J30" i="77"/>
  <c r="I30" i="77"/>
  <c r="N30" i="77"/>
  <c r="M104" i="77"/>
  <c r="N104" i="77"/>
  <c r="K104" i="77"/>
  <c r="I104" i="77"/>
  <c r="H104" i="77"/>
  <c r="J104" i="77"/>
  <c r="M129" i="77"/>
  <c r="I129" i="77"/>
  <c r="H129" i="77"/>
  <c r="K129" i="77"/>
  <c r="N129" i="77"/>
  <c r="J129" i="77"/>
  <c r="K157" i="77"/>
  <c r="J157" i="77"/>
  <c r="H157" i="77"/>
  <c r="M157" i="77"/>
  <c r="N157" i="77"/>
  <c r="I157" i="77"/>
  <c r="I186" i="77"/>
  <c r="N186" i="77"/>
  <c r="J186" i="77"/>
  <c r="M186" i="77"/>
  <c r="H186" i="77"/>
  <c r="K186" i="77"/>
  <c r="M65" i="77"/>
  <c r="I65" i="77"/>
  <c r="K65" i="77"/>
  <c r="H65" i="77"/>
  <c r="N65" i="77"/>
  <c r="J65" i="77"/>
  <c r="N41" i="77"/>
  <c r="K41" i="77"/>
  <c r="J41" i="77"/>
  <c r="H41" i="77"/>
  <c r="M41" i="77"/>
  <c r="I41" i="77"/>
  <c r="K165" i="77"/>
  <c r="N165" i="77"/>
  <c r="M165" i="77"/>
  <c r="J165" i="77"/>
  <c r="I165" i="77"/>
  <c r="H165" i="77"/>
  <c r="N93" i="77"/>
  <c r="I93" i="77"/>
  <c r="J93" i="77"/>
  <c r="H93" i="77"/>
  <c r="M93" i="77"/>
  <c r="K93" i="77"/>
  <c r="M184" i="77"/>
  <c r="N184" i="77"/>
  <c r="K184" i="77"/>
  <c r="I184" i="77"/>
  <c r="J184" i="77"/>
  <c r="H184" i="77"/>
  <c r="N102" i="77"/>
  <c r="K102" i="77"/>
  <c r="I102" i="77"/>
  <c r="H102" i="77"/>
  <c r="M102" i="77"/>
  <c r="J102" i="77"/>
  <c r="J61" i="77"/>
  <c r="N61" i="77"/>
  <c r="I61" i="77"/>
  <c r="K61" i="77"/>
  <c r="M61" i="77"/>
  <c r="H61" i="77"/>
  <c r="J44" i="77"/>
  <c r="H44" i="77"/>
  <c r="I44" i="77"/>
  <c r="K44" i="77"/>
  <c r="N44" i="77"/>
  <c r="M44" i="77"/>
  <c r="M120" i="77"/>
  <c r="N120" i="77"/>
  <c r="K120" i="77"/>
  <c r="I120" i="77"/>
  <c r="H120" i="77"/>
  <c r="J120" i="77"/>
  <c r="N201" i="77"/>
  <c r="K201" i="77"/>
  <c r="J201" i="77"/>
  <c r="H201" i="77"/>
  <c r="I201" i="77"/>
  <c r="M201" i="77"/>
  <c r="N80" i="77"/>
  <c r="K80" i="77"/>
  <c r="M80" i="77"/>
  <c r="J80" i="77"/>
  <c r="H80" i="77"/>
  <c r="I80" i="77"/>
  <c r="N89" i="77"/>
  <c r="K89" i="77"/>
  <c r="J89" i="77"/>
  <c r="H89" i="77"/>
  <c r="M89" i="77"/>
  <c r="I89" i="77"/>
  <c r="I196" i="77"/>
  <c r="N196" i="77"/>
  <c r="K196" i="77"/>
  <c r="J196" i="77"/>
  <c r="H196" i="77"/>
  <c r="M196" i="77"/>
  <c r="N16" i="77"/>
  <c r="K16" i="77"/>
  <c r="M16" i="77"/>
  <c r="J16" i="77"/>
  <c r="H16" i="77"/>
  <c r="I16" i="77"/>
  <c r="N25" i="77"/>
  <c r="K25" i="77"/>
  <c r="J25" i="77"/>
  <c r="H25" i="77"/>
  <c r="M25" i="77"/>
  <c r="I25" i="77"/>
  <c r="I132" i="77"/>
  <c r="J132" i="77"/>
  <c r="K132" i="77"/>
  <c r="N132" i="77"/>
  <c r="H132" i="77"/>
  <c r="M132" i="77"/>
  <c r="I159" i="77"/>
  <c r="K159" i="77"/>
  <c r="M159" i="77"/>
  <c r="J159" i="77"/>
  <c r="H159" i="77"/>
  <c r="N159" i="77"/>
  <c r="K135" i="77"/>
  <c r="N135" i="77"/>
  <c r="I135" i="77"/>
  <c r="H135" i="77"/>
  <c r="J135" i="77"/>
  <c r="M135" i="77"/>
  <c r="J85" i="77"/>
  <c r="K85" i="77"/>
  <c r="I85" i="77"/>
  <c r="H85" i="77"/>
  <c r="N85" i="77"/>
  <c r="M85" i="77"/>
  <c r="M177" i="77"/>
  <c r="I177" i="77"/>
  <c r="J177" i="77"/>
  <c r="N177" i="77"/>
  <c r="K177" i="77"/>
  <c r="H177" i="77"/>
  <c r="I26" i="77"/>
  <c r="H26" i="77"/>
  <c r="J26" i="77"/>
  <c r="M26" i="77"/>
  <c r="N26" i="77"/>
  <c r="K26" i="77"/>
  <c r="M168" i="77"/>
  <c r="N168" i="77"/>
  <c r="K168" i="77"/>
  <c r="I168" i="77"/>
  <c r="J168" i="77"/>
  <c r="H168" i="77"/>
  <c r="I42" i="77"/>
  <c r="J42" i="77"/>
  <c r="H42" i="77"/>
  <c r="M42" i="77"/>
  <c r="K42" i="77"/>
  <c r="N42" i="77"/>
  <c r="I31" i="77"/>
  <c r="N31" i="77"/>
  <c r="K31" i="77"/>
  <c r="H31" i="77"/>
  <c r="J31" i="77"/>
  <c r="M31" i="77"/>
  <c r="M56" i="77"/>
  <c r="N56" i="77"/>
  <c r="K56" i="77"/>
  <c r="I56" i="77"/>
  <c r="J56" i="77"/>
  <c r="H56" i="77"/>
  <c r="I163" i="77"/>
  <c r="J163" i="77"/>
  <c r="N163" i="77"/>
  <c r="M163" i="77"/>
  <c r="K163" i="77"/>
  <c r="H163" i="77"/>
  <c r="N190" i="77"/>
  <c r="M190" i="77"/>
  <c r="K190" i="77"/>
  <c r="H190" i="77"/>
  <c r="I190" i="77"/>
  <c r="J190" i="77"/>
  <c r="I122" i="77"/>
  <c r="N122" i="77"/>
  <c r="J122" i="77"/>
  <c r="M122" i="77"/>
  <c r="K122" i="77"/>
  <c r="H122" i="77"/>
  <c r="M99" i="77"/>
  <c r="J99" i="77"/>
  <c r="H99" i="77"/>
  <c r="I99" i="77"/>
  <c r="K99" i="77"/>
  <c r="N99" i="77"/>
  <c r="N126" i="77"/>
  <c r="M126" i="77"/>
  <c r="I126" i="77"/>
  <c r="H126" i="77"/>
  <c r="J126" i="77"/>
  <c r="K126" i="77"/>
  <c r="N134" i="77"/>
  <c r="K134" i="77"/>
  <c r="I134" i="77"/>
  <c r="M134" i="77"/>
  <c r="J134" i="77"/>
  <c r="H134" i="77"/>
  <c r="I52" i="77"/>
  <c r="M52" i="77"/>
  <c r="J52" i="77"/>
  <c r="N52" i="77"/>
  <c r="K52" i="77"/>
  <c r="H52" i="77"/>
  <c r="N128" i="77"/>
  <c r="K128" i="77"/>
  <c r="M128" i="77"/>
  <c r="J128" i="77"/>
  <c r="H128" i="77"/>
  <c r="I128" i="77"/>
  <c r="H55" i="77"/>
  <c r="I55" i="77"/>
  <c r="N55" i="77"/>
  <c r="J55" i="77"/>
  <c r="K55" i="77"/>
  <c r="M55" i="77"/>
  <c r="M200" i="77"/>
  <c r="N200" i="77"/>
  <c r="K200" i="77"/>
  <c r="I200" i="77"/>
  <c r="H200" i="77"/>
  <c r="J200" i="77"/>
  <c r="N111" i="77"/>
  <c r="K111" i="77"/>
  <c r="H111" i="77"/>
  <c r="J111" i="77"/>
  <c r="I111" i="77"/>
  <c r="M111" i="77"/>
  <c r="N160" i="77"/>
  <c r="K160" i="77"/>
  <c r="M160" i="77"/>
  <c r="J160" i="77"/>
  <c r="H160" i="77"/>
  <c r="I160" i="77"/>
  <c r="J29" i="77"/>
  <c r="H29" i="77"/>
  <c r="K29" i="77"/>
  <c r="I29" i="77"/>
  <c r="M29" i="77"/>
  <c r="N29" i="77"/>
  <c r="H173" i="77"/>
  <c r="I173" i="77"/>
  <c r="N173" i="77"/>
  <c r="J173" i="77"/>
  <c r="K173" i="77"/>
  <c r="M173" i="77"/>
  <c r="J114" i="77"/>
  <c r="I114" i="77"/>
  <c r="N114" i="77"/>
  <c r="K114" i="77"/>
  <c r="H114" i="77"/>
  <c r="M114" i="77"/>
  <c r="J204" i="77"/>
  <c r="K204" i="77"/>
  <c r="N204" i="77"/>
  <c r="I204" i="77"/>
  <c r="M204" i="77"/>
  <c r="H204" i="77"/>
  <c r="N198" i="77"/>
  <c r="K198" i="77"/>
  <c r="M198" i="77"/>
  <c r="I198" i="77"/>
  <c r="J198" i="77"/>
  <c r="H198" i="77"/>
  <c r="J50" i="77"/>
  <c r="H50" i="77"/>
  <c r="I50" i="77"/>
  <c r="N50" i="77"/>
  <c r="K50" i="77"/>
  <c r="M50" i="77"/>
  <c r="J140" i="77"/>
  <c r="H140" i="77"/>
  <c r="I140" i="77"/>
  <c r="N140" i="77"/>
  <c r="M140" i="77"/>
  <c r="K140" i="77"/>
  <c r="I117" i="77"/>
  <c r="J117" i="77"/>
  <c r="M117" i="77"/>
  <c r="N117" i="77"/>
  <c r="H117" i="77"/>
  <c r="K117" i="77"/>
  <c r="K19" i="77"/>
  <c r="H19" i="77"/>
  <c r="N19" i="77"/>
  <c r="M19" i="77"/>
  <c r="J19" i="77"/>
  <c r="I19" i="77"/>
  <c r="H79" i="77"/>
  <c r="N79" i="77"/>
  <c r="M79" i="77"/>
  <c r="I79" i="77"/>
  <c r="K79" i="77"/>
  <c r="J79" i="77"/>
  <c r="N54" i="77"/>
  <c r="K54" i="77"/>
  <c r="H54" i="77"/>
  <c r="M54" i="77"/>
  <c r="J54" i="77"/>
  <c r="I54" i="77"/>
  <c r="N137" i="77"/>
  <c r="K137" i="77"/>
  <c r="J137" i="77"/>
  <c r="H137" i="77"/>
  <c r="I137" i="77"/>
  <c r="M137" i="77"/>
  <c r="N35" i="77"/>
  <c r="I35" i="77"/>
  <c r="J35" i="77"/>
  <c r="M35" i="77"/>
  <c r="H35" i="77"/>
  <c r="K35" i="77"/>
  <c r="I154" i="77"/>
  <c r="N154" i="77"/>
  <c r="J154" i="77"/>
  <c r="M154" i="77"/>
  <c r="K154" i="77"/>
  <c r="H154" i="77"/>
  <c r="J12" i="77"/>
  <c r="H12" i="77"/>
  <c r="M12" i="77"/>
  <c r="N12" i="77"/>
  <c r="I12" i="77"/>
  <c r="K12" i="77"/>
  <c r="N205" i="77"/>
  <c r="K205" i="77"/>
  <c r="I205" i="77"/>
  <c r="M205" i="77"/>
  <c r="J205" i="77"/>
  <c r="H205" i="77"/>
  <c r="M81" i="77"/>
  <c r="I81" i="77"/>
  <c r="N81" i="77"/>
  <c r="J81" i="77"/>
  <c r="K81" i="77"/>
  <c r="H81" i="77"/>
  <c r="J155" i="77"/>
  <c r="I155" i="77"/>
  <c r="N155" i="77"/>
  <c r="M155" i="77"/>
  <c r="K155" i="77"/>
  <c r="H155" i="77"/>
  <c r="K181" i="77"/>
  <c r="N181" i="77"/>
  <c r="J181" i="77"/>
  <c r="I181" i="77"/>
  <c r="M181" i="77"/>
  <c r="H181" i="77"/>
  <c r="M17" i="77"/>
  <c r="I17" i="77"/>
  <c r="K17" i="77"/>
  <c r="N17" i="77"/>
  <c r="H17" i="77"/>
  <c r="J17" i="77"/>
  <c r="I91" i="77"/>
  <c r="N91" i="77"/>
  <c r="K91" i="77"/>
  <c r="M91" i="77"/>
  <c r="J91" i="77"/>
  <c r="H91" i="77"/>
  <c r="I84" i="77"/>
  <c r="M84" i="77"/>
  <c r="J84" i="77"/>
  <c r="N84" i="77"/>
  <c r="H84" i="77"/>
  <c r="K84" i="77"/>
  <c r="M193" i="77"/>
  <c r="I193" i="77"/>
  <c r="N193" i="77"/>
  <c r="H193" i="77"/>
  <c r="K193" i="77"/>
  <c r="J193" i="77"/>
  <c r="M46" i="77"/>
  <c r="N46" i="77"/>
  <c r="I46" i="77"/>
  <c r="J46" i="77"/>
  <c r="K46" i="77"/>
  <c r="H46" i="77"/>
  <c r="M37" i="77"/>
  <c r="J37" i="77"/>
  <c r="N37" i="77"/>
  <c r="H37" i="77"/>
  <c r="I37" i="77"/>
  <c r="K37" i="77"/>
  <c r="N153" i="77"/>
  <c r="K153" i="77"/>
  <c r="J153" i="77"/>
  <c r="H153" i="77"/>
  <c r="M153" i="77"/>
  <c r="I153" i="77"/>
  <c r="N9" i="77"/>
  <c r="K9" i="77"/>
  <c r="I9" i="77"/>
  <c r="J9" i="77"/>
  <c r="H9" i="77"/>
  <c r="M9" i="77"/>
  <c r="N105" i="77"/>
  <c r="K105" i="77"/>
  <c r="J105" i="77"/>
  <c r="H105" i="77"/>
  <c r="M105" i="77"/>
  <c r="I105" i="77"/>
  <c r="I74" i="77"/>
  <c r="J74" i="77"/>
  <c r="H74" i="77"/>
  <c r="M74" i="77"/>
  <c r="K74" i="77"/>
  <c r="N74" i="77"/>
  <c r="N32" i="77"/>
  <c r="K32" i="77"/>
  <c r="M32" i="77"/>
  <c r="J32" i="77"/>
  <c r="H32" i="77"/>
  <c r="I32" i="77"/>
  <c r="K77" i="77"/>
  <c r="H77" i="77"/>
  <c r="N77" i="77"/>
  <c r="M77" i="77"/>
  <c r="J77" i="77"/>
  <c r="I77" i="77"/>
  <c r="I148" i="77"/>
  <c r="N148" i="77"/>
  <c r="H148" i="77"/>
  <c r="K148" i="77"/>
  <c r="M148" i="77"/>
  <c r="J148" i="77"/>
  <c r="M175" i="77"/>
  <c r="K175" i="77"/>
  <c r="N175" i="77"/>
  <c r="I175" i="77"/>
  <c r="H175" i="77"/>
  <c r="J175" i="77"/>
  <c r="M151" i="77"/>
  <c r="I151" i="77"/>
  <c r="N151" i="77"/>
  <c r="J151" i="77"/>
  <c r="K151" i="77"/>
  <c r="H151" i="77"/>
  <c r="K51" i="77"/>
  <c r="M51" i="77"/>
  <c r="H51" i="77"/>
  <c r="N51" i="77"/>
  <c r="J51" i="77"/>
  <c r="I51" i="77"/>
  <c r="N144" i="77"/>
  <c r="K144" i="77"/>
  <c r="M144" i="77"/>
  <c r="J144" i="77"/>
  <c r="H144" i="77"/>
  <c r="I144" i="77"/>
  <c r="J60" i="77"/>
  <c r="H60" i="77"/>
  <c r="M60" i="77"/>
  <c r="N60" i="77"/>
  <c r="K60" i="77"/>
  <c r="I60" i="77"/>
  <c r="K203" i="77"/>
  <c r="M203" i="77"/>
  <c r="N203" i="77"/>
  <c r="J203" i="77"/>
  <c r="I203" i="77"/>
  <c r="H203" i="77"/>
  <c r="N185" i="77"/>
  <c r="K185" i="77"/>
  <c r="J185" i="77"/>
  <c r="H185" i="77"/>
  <c r="M185" i="77"/>
  <c r="I185" i="77"/>
  <c r="H141" i="77"/>
  <c r="J141" i="77"/>
  <c r="M141" i="77"/>
  <c r="N141" i="77"/>
  <c r="K141" i="77"/>
  <c r="I141" i="77"/>
  <c r="M72" i="77"/>
  <c r="N72" i="77"/>
  <c r="K72" i="77"/>
  <c r="I72" i="77"/>
  <c r="J72" i="77"/>
  <c r="H72" i="77"/>
  <c r="N179" i="77"/>
  <c r="J179" i="77"/>
  <c r="K179" i="77"/>
  <c r="M179" i="77"/>
  <c r="I179" i="77"/>
  <c r="H179" i="77"/>
  <c r="N206" i="77"/>
  <c r="M206" i="77"/>
  <c r="H206" i="77"/>
  <c r="I206" i="77"/>
  <c r="J206" i="77"/>
  <c r="K206" i="77"/>
  <c r="I183" i="77"/>
  <c r="H183" i="77"/>
  <c r="N183" i="77"/>
  <c r="K183" i="77"/>
  <c r="M183" i="77"/>
  <c r="J183" i="77"/>
  <c r="K115" i="77"/>
  <c r="M115" i="77"/>
  <c r="J115" i="77"/>
  <c r="N115" i="77"/>
  <c r="I115" i="77"/>
  <c r="H115" i="77"/>
  <c r="N142" i="77"/>
  <c r="M142" i="77"/>
  <c r="K142" i="77"/>
  <c r="J142" i="77"/>
  <c r="I142" i="77"/>
  <c r="H142" i="77"/>
  <c r="N150" i="77"/>
  <c r="K150" i="77"/>
  <c r="H150" i="77"/>
  <c r="J150" i="77"/>
  <c r="M150" i="77"/>
  <c r="I150" i="77"/>
  <c r="J109" i="77"/>
  <c r="H109" i="77"/>
  <c r="N109" i="77"/>
  <c r="K109" i="77"/>
  <c r="M109" i="77"/>
  <c r="I109" i="77"/>
  <c r="K95" i="77"/>
  <c r="M95" i="77"/>
  <c r="J95" i="77"/>
  <c r="N95" i="77"/>
  <c r="H95" i="77"/>
  <c r="I95" i="77"/>
  <c r="N11" i="77"/>
  <c r="J11" i="77"/>
  <c r="H11" i="77"/>
  <c r="I11" i="77"/>
  <c r="M11" i="77"/>
  <c r="K11" i="77"/>
  <c r="J178" i="77"/>
  <c r="I178" i="77"/>
  <c r="N178" i="77"/>
  <c r="K178" i="77"/>
  <c r="M178" i="77"/>
  <c r="H178" i="77"/>
  <c r="M145" i="77"/>
  <c r="I145" i="77"/>
  <c r="J145" i="77"/>
  <c r="K145" i="77"/>
  <c r="H145" i="77"/>
  <c r="N145" i="77"/>
  <c r="J156" i="77"/>
  <c r="H156" i="77"/>
  <c r="K156" i="77"/>
  <c r="M156" i="77"/>
  <c r="N156" i="77"/>
  <c r="I156" i="77"/>
  <c r="I68" i="77"/>
  <c r="N68" i="77"/>
  <c r="H68" i="77"/>
  <c r="J68" i="77"/>
  <c r="M68" i="77"/>
  <c r="K68" i="77"/>
  <c r="N22" i="77"/>
  <c r="K22" i="77"/>
  <c r="J22" i="77"/>
  <c r="M22" i="77"/>
  <c r="H22" i="77"/>
  <c r="I22" i="77"/>
  <c r="M97" i="77"/>
  <c r="I97" i="77"/>
  <c r="K97" i="77"/>
  <c r="N97" i="77"/>
  <c r="H97" i="77"/>
  <c r="J97" i="77"/>
  <c r="K171" i="77"/>
  <c r="M171" i="77"/>
  <c r="J171" i="77"/>
  <c r="H171" i="77"/>
  <c r="N171" i="77"/>
  <c r="I171" i="77"/>
  <c r="I164" i="77"/>
  <c r="J164" i="77"/>
  <c r="N164" i="77"/>
  <c r="M164" i="77"/>
  <c r="H164" i="77"/>
  <c r="K164" i="77"/>
  <c r="M33" i="77"/>
  <c r="I33" i="77"/>
  <c r="H33" i="77"/>
  <c r="N33" i="77"/>
  <c r="K33" i="77"/>
  <c r="J33" i="77"/>
  <c r="M107" i="77"/>
  <c r="J107" i="77"/>
  <c r="N107" i="77"/>
  <c r="K107" i="77"/>
  <c r="I107" i="77"/>
  <c r="H107" i="77"/>
  <c r="I100" i="77"/>
  <c r="H100" i="77"/>
  <c r="K100" i="77"/>
  <c r="J100" i="77"/>
  <c r="N100" i="77"/>
  <c r="M100" i="77"/>
  <c r="I127" i="77"/>
  <c r="J127" i="77"/>
  <c r="H127" i="77"/>
  <c r="N127" i="77"/>
  <c r="K127" i="77"/>
  <c r="M127" i="77"/>
  <c r="J76" i="77"/>
  <c r="H76" i="77"/>
  <c r="K76" i="77"/>
  <c r="N76" i="77"/>
  <c r="M76" i="77"/>
  <c r="I76" i="77"/>
  <c r="N70" i="77"/>
  <c r="K70" i="77"/>
  <c r="I70" i="77"/>
  <c r="J70" i="77"/>
  <c r="H70" i="77"/>
  <c r="M70" i="77"/>
  <c r="N96" i="77"/>
  <c r="K96" i="77"/>
  <c r="M96" i="77"/>
  <c r="J96" i="77"/>
  <c r="H96" i="77"/>
  <c r="I96" i="77"/>
  <c r="J197" i="77"/>
  <c r="H197" i="77"/>
  <c r="K197" i="77"/>
  <c r="I197" i="77"/>
  <c r="N197" i="77"/>
  <c r="M197" i="77"/>
  <c r="M62" i="77"/>
  <c r="J62" i="77"/>
  <c r="K62" i="77"/>
  <c r="H62" i="77"/>
  <c r="I62" i="77"/>
  <c r="N62" i="77"/>
  <c r="I202" i="77"/>
  <c r="N202" i="77"/>
  <c r="J202" i="77"/>
  <c r="M202" i="77"/>
  <c r="H202" i="77"/>
  <c r="K202" i="77"/>
  <c r="N48" i="77"/>
  <c r="K48" i="77"/>
  <c r="M48" i="77"/>
  <c r="J48" i="77"/>
  <c r="H48" i="77"/>
  <c r="I48" i="77"/>
  <c r="N57" i="77"/>
  <c r="K57" i="77"/>
  <c r="J57" i="77"/>
  <c r="H57" i="77"/>
  <c r="M57" i="77"/>
  <c r="I57" i="77"/>
  <c r="M131" i="77"/>
  <c r="J131" i="77"/>
  <c r="H131" i="77"/>
  <c r="I131" i="77"/>
  <c r="N131" i="77"/>
  <c r="K131" i="77"/>
  <c r="M191" i="77"/>
  <c r="N191" i="77"/>
  <c r="J191" i="77"/>
  <c r="K191" i="77"/>
  <c r="I191" i="77"/>
  <c r="H191" i="77"/>
  <c r="I138" i="77"/>
  <c r="N138" i="77"/>
  <c r="J138" i="77"/>
  <c r="M138" i="77"/>
  <c r="H138" i="77"/>
  <c r="K138" i="77"/>
  <c r="I67" i="77"/>
  <c r="J67" i="77"/>
  <c r="H67" i="77"/>
  <c r="N67" i="77"/>
  <c r="K67" i="77"/>
  <c r="M67" i="77"/>
  <c r="N94" i="77"/>
  <c r="M94" i="77"/>
  <c r="J94" i="77"/>
  <c r="I94" i="77"/>
  <c r="K94" i="77"/>
  <c r="H94" i="77"/>
  <c r="K27" i="77"/>
  <c r="M27" i="77"/>
  <c r="N27" i="77"/>
  <c r="J27" i="77"/>
  <c r="I27" i="77"/>
  <c r="H27" i="77"/>
  <c r="K53" i="77"/>
  <c r="H53" i="77"/>
  <c r="N53" i="77"/>
  <c r="M53" i="77"/>
  <c r="I53" i="77"/>
  <c r="J53" i="77"/>
  <c r="J47" i="77"/>
  <c r="H47" i="77"/>
  <c r="N47" i="77"/>
  <c r="M47" i="77"/>
  <c r="K47" i="77"/>
  <c r="I47" i="77"/>
  <c r="K133" i="77"/>
  <c r="N133" i="77"/>
  <c r="H133" i="77"/>
  <c r="M133" i="77"/>
  <c r="I133" i="77"/>
  <c r="J133" i="77"/>
  <c r="N121" i="77"/>
  <c r="K121" i="77"/>
  <c r="J121" i="77"/>
  <c r="H121" i="77"/>
  <c r="M121" i="77"/>
  <c r="I121" i="77"/>
  <c r="I195" i="77"/>
  <c r="N195" i="77"/>
  <c r="J195" i="77"/>
  <c r="K195" i="77"/>
  <c r="H195" i="77"/>
  <c r="M195" i="77"/>
  <c r="N207" i="77"/>
  <c r="M207" i="77"/>
  <c r="I207" i="77"/>
  <c r="K207" i="77"/>
  <c r="J207" i="77"/>
  <c r="H207" i="77"/>
  <c r="M24" i="77"/>
  <c r="N24" i="77"/>
  <c r="K24" i="77"/>
  <c r="I24" i="77"/>
  <c r="J24" i="77"/>
  <c r="H24" i="77"/>
  <c r="J82" i="77"/>
  <c r="I82" i="77"/>
  <c r="N82" i="77"/>
  <c r="K82" i="77"/>
  <c r="M82" i="77"/>
  <c r="H82" i="77"/>
  <c r="N158" i="77"/>
  <c r="M158" i="77"/>
  <c r="K158" i="77"/>
  <c r="H158" i="77"/>
  <c r="J158" i="77"/>
  <c r="I158" i="77"/>
  <c r="K167" i="77"/>
  <c r="N167" i="77"/>
  <c r="M167" i="77"/>
  <c r="H167" i="77"/>
  <c r="J167" i="77"/>
  <c r="I167" i="77"/>
  <c r="J18" i="77"/>
  <c r="H18" i="77"/>
  <c r="I18" i="77"/>
  <c r="N18" i="77"/>
  <c r="K18" i="77"/>
  <c r="M18" i="77"/>
  <c r="J108" i="77"/>
  <c r="H108" i="77"/>
  <c r="N108" i="77"/>
  <c r="I108" i="77"/>
  <c r="K108" i="77"/>
  <c r="M108" i="77"/>
  <c r="N169" i="77"/>
  <c r="K169" i="77"/>
  <c r="J169" i="77"/>
  <c r="H169" i="77"/>
  <c r="M169" i="77"/>
  <c r="I169" i="77"/>
  <c r="I20" i="77"/>
  <c r="N20" i="77"/>
  <c r="K20" i="77"/>
  <c r="M20" i="77"/>
  <c r="H20" i="77"/>
  <c r="J20" i="77"/>
  <c r="M14" i="77"/>
  <c r="J14" i="77"/>
  <c r="N14" i="77"/>
  <c r="I14" i="77"/>
  <c r="K14" i="77"/>
  <c r="H14" i="77"/>
  <c r="N45" i="77"/>
  <c r="H45" i="77"/>
  <c r="M45" i="77"/>
  <c r="J45" i="77"/>
  <c r="K45" i="77"/>
  <c r="I45" i="77"/>
  <c r="N176" i="77"/>
  <c r="K176" i="77"/>
  <c r="M176" i="77"/>
  <c r="J176" i="77"/>
  <c r="H176" i="77"/>
  <c r="I176" i="77"/>
  <c r="M88" i="77"/>
  <c r="N88" i="77"/>
  <c r="K88" i="77"/>
  <c r="I88" i="77"/>
  <c r="H88" i="77"/>
  <c r="J88" i="77"/>
  <c r="J146" i="77"/>
  <c r="I146" i="77"/>
  <c r="N146" i="77"/>
  <c r="K146" i="77"/>
  <c r="M146" i="77"/>
  <c r="H146" i="77"/>
  <c r="K189" i="77"/>
  <c r="M189" i="77"/>
  <c r="J189" i="77"/>
  <c r="N189" i="77"/>
  <c r="H189" i="77"/>
  <c r="I189" i="77"/>
  <c r="I58" i="77"/>
  <c r="H58" i="77"/>
  <c r="J58" i="77"/>
  <c r="M58" i="77"/>
  <c r="N58" i="77"/>
  <c r="K58" i="77"/>
  <c r="M49" i="77"/>
  <c r="I49" i="77"/>
  <c r="K49" i="77"/>
  <c r="J49" i="77"/>
  <c r="N49" i="77"/>
  <c r="H49" i="77"/>
  <c r="J172" i="77"/>
  <c r="H172" i="77"/>
  <c r="I172" i="77"/>
  <c r="M172" i="77"/>
  <c r="N172" i="77"/>
  <c r="K172" i="77"/>
  <c r="N166" i="77"/>
  <c r="K166" i="77"/>
  <c r="M166" i="77"/>
  <c r="I166" i="77"/>
  <c r="J166" i="77"/>
  <c r="H166" i="77"/>
  <c r="N192" i="77"/>
  <c r="K192" i="77"/>
  <c r="M192" i="77"/>
  <c r="J192" i="77"/>
  <c r="H192" i="77"/>
  <c r="I192" i="77"/>
  <c r="M59" i="77"/>
  <c r="N59" i="77"/>
  <c r="I59" i="77"/>
  <c r="K59" i="77"/>
  <c r="J59" i="77"/>
  <c r="H59" i="77"/>
  <c r="M136" i="77"/>
  <c r="N136" i="77"/>
  <c r="K136" i="77"/>
  <c r="I136" i="77"/>
  <c r="H136" i="77"/>
  <c r="J136" i="77"/>
  <c r="J194" i="77"/>
  <c r="I194" i="77"/>
  <c r="N194" i="77"/>
  <c r="K194" i="77"/>
  <c r="H194" i="77"/>
  <c r="M194" i="77"/>
  <c r="J28" i="77"/>
  <c r="H28" i="77"/>
  <c r="K28" i="77"/>
  <c r="M28" i="77"/>
  <c r="N28" i="77"/>
  <c r="I28" i="77"/>
  <c r="J66" i="77"/>
  <c r="H66" i="77"/>
  <c r="I66" i="77"/>
  <c r="N66" i="77"/>
  <c r="K66" i="77"/>
  <c r="M66" i="77"/>
  <c r="M71" i="77"/>
  <c r="J71" i="77"/>
  <c r="N71" i="77"/>
  <c r="K71" i="77"/>
  <c r="H71" i="77"/>
  <c r="I71" i="77"/>
  <c r="K39" i="77"/>
  <c r="M39" i="77"/>
  <c r="J39" i="77"/>
  <c r="I39" i="77"/>
  <c r="H39" i="77"/>
  <c r="N39" i="77"/>
  <c r="N38" i="77"/>
  <c r="K38" i="77"/>
  <c r="J38" i="77"/>
  <c r="I38" i="77"/>
  <c r="M38" i="77"/>
  <c r="H38" i="77"/>
  <c r="M113" i="77"/>
  <c r="I113" i="77"/>
  <c r="K113" i="77"/>
  <c r="J113" i="77"/>
  <c r="N113" i="77"/>
  <c r="H113" i="77"/>
  <c r="I187" i="77"/>
  <c r="H187" i="77"/>
  <c r="J187" i="77"/>
  <c r="M187" i="77"/>
  <c r="N187" i="77"/>
  <c r="K187" i="77"/>
  <c r="I90" i="77"/>
  <c r="H90" i="77"/>
  <c r="J90" i="77"/>
  <c r="M90" i="77"/>
  <c r="K90" i="77"/>
  <c r="N90" i="77"/>
  <c r="N208" i="77"/>
  <c r="K208" i="77"/>
  <c r="M208" i="77"/>
  <c r="J208" i="77"/>
  <c r="H208" i="77"/>
  <c r="I208" i="77"/>
  <c r="N123" i="77"/>
  <c r="M123" i="77"/>
  <c r="J123" i="77"/>
  <c r="K123" i="77"/>
  <c r="I123" i="77"/>
  <c r="H123" i="77"/>
  <c r="N149" i="77"/>
  <c r="I149" i="77"/>
  <c r="J149" i="77"/>
  <c r="K149" i="77"/>
  <c r="M149" i="77"/>
  <c r="H149" i="77"/>
  <c r="K143" i="77"/>
  <c r="M143" i="77"/>
  <c r="N143" i="77"/>
  <c r="I143" i="77"/>
  <c r="H143" i="77"/>
  <c r="J143" i="77"/>
  <c r="J92" i="77"/>
  <c r="H92" i="77"/>
  <c r="N92" i="77"/>
  <c r="M92" i="77"/>
  <c r="K92" i="77"/>
  <c r="I92" i="77"/>
  <c r="K87" i="77"/>
  <c r="I87" i="77"/>
  <c r="H87" i="77"/>
  <c r="J87" i="77"/>
  <c r="N87" i="77"/>
  <c r="M87" i="77"/>
  <c r="M161" i="77"/>
  <c r="I161" i="77"/>
  <c r="H161" i="77"/>
  <c r="N161" i="77"/>
  <c r="J161" i="77"/>
  <c r="K161" i="77"/>
  <c r="I10" i="77"/>
  <c r="J10" i="77"/>
  <c r="H10" i="77"/>
  <c r="M10" i="77"/>
  <c r="N10" i="77"/>
  <c r="K10" i="77"/>
  <c r="A141" i="56"/>
  <c r="V1287" i="49"/>
  <c r="V1286" i="49"/>
  <c r="V1285" i="49"/>
  <c r="V1284" i="49"/>
  <c r="V1283" i="49"/>
  <c r="V1282" i="49"/>
  <c r="V1281" i="49"/>
  <c r="V1280" i="49"/>
  <c r="V1279" i="49"/>
  <c r="V1278" i="49"/>
  <c r="V1277" i="49"/>
  <c r="V1274" i="49"/>
  <c r="V1273" i="49"/>
  <c r="V1272" i="49"/>
  <c r="V1271" i="49"/>
  <c r="V1270" i="49"/>
  <c r="V1269" i="49"/>
  <c r="V1249" i="49"/>
  <c r="V1248" i="49"/>
  <c r="V1247" i="49"/>
  <c r="V1246" i="49"/>
  <c r="V1245" i="49"/>
  <c r="V1244" i="49"/>
  <c r="V1243" i="49"/>
  <c r="V1242" i="49"/>
  <c r="V1241" i="49"/>
  <c r="V1240" i="49"/>
  <c r="V1239" i="49"/>
  <c r="V1236" i="49"/>
  <c r="V1235" i="49"/>
  <c r="V1234" i="49"/>
  <c r="V1233" i="49"/>
  <c r="V1232" i="49"/>
  <c r="V1231" i="49"/>
  <c r="V1211" i="49"/>
  <c r="V1210" i="49"/>
  <c r="V1209" i="49"/>
  <c r="V1208" i="49"/>
  <c r="V1207" i="49"/>
  <c r="V1206" i="49"/>
  <c r="V1205" i="49"/>
  <c r="V1204" i="49"/>
  <c r="V1203" i="49"/>
  <c r="V1202" i="49"/>
  <c r="V1201" i="49"/>
  <c r="V1198" i="49"/>
  <c r="V1197" i="49"/>
  <c r="V1196" i="49"/>
  <c r="V1195" i="49"/>
  <c r="V1194" i="49"/>
  <c r="V1193" i="49"/>
  <c r="V1173" i="49"/>
  <c r="V1172" i="49"/>
  <c r="V1171" i="49"/>
  <c r="V1170" i="49"/>
  <c r="V1169" i="49"/>
  <c r="V1168" i="49"/>
  <c r="V1167" i="49"/>
  <c r="V1166" i="49"/>
  <c r="V1165" i="49"/>
  <c r="V1164" i="49"/>
  <c r="V1163" i="49"/>
  <c r="V1160" i="49"/>
  <c r="V1159" i="49"/>
  <c r="V1158" i="49"/>
  <c r="V1157" i="49"/>
  <c r="V1156" i="49"/>
  <c r="V1155" i="49"/>
  <c r="V1135" i="49"/>
  <c r="V1134" i="49"/>
  <c r="V1133" i="49"/>
  <c r="V1132" i="49"/>
  <c r="V1131" i="49"/>
  <c r="V1130" i="49"/>
  <c r="V1129" i="49"/>
  <c r="V1128" i="49"/>
  <c r="V1127" i="49"/>
  <c r="V1126" i="49"/>
  <c r="V1125" i="49"/>
  <c r="V1122" i="49"/>
  <c r="V1121" i="49"/>
  <c r="V1120" i="49"/>
  <c r="V1119" i="49"/>
  <c r="V1118" i="49"/>
  <c r="V1117" i="49"/>
  <c r="V1097" i="49"/>
  <c r="V1096" i="49"/>
  <c r="V1095" i="49"/>
  <c r="V1094" i="49"/>
  <c r="V1093" i="49"/>
  <c r="V1092" i="49"/>
  <c r="V1091" i="49"/>
  <c r="V1090" i="49"/>
  <c r="V1089" i="49"/>
  <c r="V1088" i="49"/>
  <c r="V1087" i="49"/>
  <c r="V1084" i="49"/>
  <c r="V1083" i="49"/>
  <c r="V1082" i="49"/>
  <c r="V1081" i="49"/>
  <c r="V1080" i="49"/>
  <c r="V1079" i="49"/>
  <c r="V1059" i="49"/>
  <c r="V1058" i="49"/>
  <c r="V1057" i="49"/>
  <c r="V1056" i="49"/>
  <c r="V1055" i="49"/>
  <c r="V1054" i="49"/>
  <c r="V1053" i="49"/>
  <c r="V1052" i="49"/>
  <c r="V1051" i="49"/>
  <c r="V1050" i="49"/>
  <c r="V1049" i="49"/>
  <c r="V1046" i="49"/>
  <c r="V1045" i="49"/>
  <c r="V1044" i="49"/>
  <c r="V1043" i="49"/>
  <c r="V1042" i="49"/>
  <c r="V1041" i="49"/>
  <c r="V1021" i="49"/>
  <c r="V1020" i="49"/>
  <c r="V1019" i="49"/>
  <c r="V1018" i="49"/>
  <c r="V1017" i="49"/>
  <c r="V1016" i="49"/>
  <c r="V1015" i="49"/>
  <c r="V1014" i="49"/>
  <c r="V1013" i="49"/>
  <c r="V1012" i="49"/>
  <c r="V1011" i="49"/>
  <c r="V1008" i="49"/>
  <c r="V1007" i="49"/>
  <c r="V1006" i="49"/>
  <c r="V1005" i="49"/>
  <c r="V1004" i="49"/>
  <c r="V1003" i="49"/>
  <c r="V983" i="49"/>
  <c r="V982" i="49"/>
  <c r="V981" i="49"/>
  <c r="V980" i="49"/>
  <c r="V979" i="49"/>
  <c r="V978" i="49"/>
  <c r="V977" i="49"/>
  <c r="V976" i="49"/>
  <c r="V975" i="49"/>
  <c r="V974" i="49"/>
  <c r="V973" i="49"/>
  <c r="V970" i="49"/>
  <c r="V969" i="49"/>
  <c r="V968" i="49"/>
  <c r="V967" i="49"/>
  <c r="V966" i="49"/>
  <c r="V965" i="49"/>
  <c r="V945" i="49"/>
  <c r="V944" i="49"/>
  <c r="V943" i="49"/>
  <c r="V942" i="49"/>
  <c r="V941" i="49"/>
  <c r="V940" i="49"/>
  <c r="V939" i="49"/>
  <c r="V938" i="49"/>
  <c r="V937" i="49"/>
  <c r="V936" i="49"/>
  <c r="V935" i="49"/>
  <c r="V932" i="49"/>
  <c r="V931" i="49"/>
  <c r="V930" i="49"/>
  <c r="V929" i="49"/>
  <c r="V928" i="49"/>
  <c r="V927" i="49"/>
  <c r="V907" i="49"/>
  <c r="V906" i="49"/>
  <c r="V905" i="49"/>
  <c r="V904" i="49"/>
  <c r="V903" i="49"/>
  <c r="V902" i="49"/>
  <c r="V901" i="49"/>
  <c r="V900" i="49"/>
  <c r="V899" i="49"/>
  <c r="V898" i="49"/>
  <c r="V897" i="49"/>
  <c r="V894" i="49"/>
  <c r="V893" i="49"/>
  <c r="V892" i="49"/>
  <c r="V891" i="49"/>
  <c r="V890" i="49"/>
  <c r="V889" i="49"/>
  <c r="V869" i="49"/>
  <c r="V868" i="49"/>
  <c r="V867" i="49"/>
  <c r="V866" i="49"/>
  <c r="V865" i="49"/>
  <c r="V864" i="49"/>
  <c r="V863" i="49"/>
  <c r="V862" i="49"/>
  <c r="V861" i="49"/>
  <c r="V860" i="49"/>
  <c r="V859" i="49"/>
  <c r="V856" i="49"/>
  <c r="V855" i="49"/>
  <c r="V854" i="49"/>
  <c r="V853" i="49"/>
  <c r="V852" i="49"/>
  <c r="V851" i="49"/>
  <c r="V831" i="49"/>
  <c r="V830" i="49"/>
  <c r="V829" i="49"/>
  <c r="V828" i="49"/>
  <c r="V827" i="49"/>
  <c r="V826" i="49"/>
  <c r="V825" i="49"/>
  <c r="V824" i="49"/>
  <c r="V823" i="49"/>
  <c r="V822" i="49"/>
  <c r="V821" i="49"/>
  <c r="V818" i="49"/>
  <c r="V817" i="49"/>
  <c r="V816" i="49"/>
  <c r="V815" i="49"/>
  <c r="V814" i="49"/>
  <c r="V813" i="49"/>
  <c r="V793" i="49"/>
  <c r="V792" i="49"/>
  <c r="V791" i="49"/>
  <c r="V790" i="49"/>
  <c r="V789" i="49"/>
  <c r="V788" i="49"/>
  <c r="V787" i="49"/>
  <c r="V786" i="49"/>
  <c r="V785" i="49"/>
  <c r="V784" i="49"/>
  <c r="V783" i="49"/>
  <c r="V780" i="49"/>
  <c r="V779" i="49"/>
  <c r="V778" i="49"/>
  <c r="V777" i="49"/>
  <c r="V776" i="49"/>
  <c r="V775" i="49"/>
  <c r="V755" i="49"/>
  <c r="V754" i="49"/>
  <c r="V753" i="49"/>
  <c r="V752" i="49"/>
  <c r="V751" i="49"/>
  <c r="V750" i="49"/>
  <c r="V749" i="49"/>
  <c r="V748" i="49"/>
  <c r="V747" i="49"/>
  <c r="V746" i="49"/>
  <c r="V745" i="49"/>
  <c r="V742" i="49"/>
  <c r="V741" i="49"/>
  <c r="V740" i="49"/>
  <c r="V739" i="49"/>
  <c r="V738" i="49"/>
  <c r="V737" i="49"/>
  <c r="V717" i="49"/>
  <c r="V716" i="49"/>
  <c r="V715" i="49"/>
  <c r="V714" i="49"/>
  <c r="V713" i="49"/>
  <c r="V712" i="49"/>
  <c r="V711" i="49"/>
  <c r="V710" i="49"/>
  <c r="V709" i="49"/>
  <c r="V708" i="49"/>
  <c r="V707" i="49"/>
  <c r="V704" i="49"/>
  <c r="V703" i="49"/>
  <c r="V702" i="49"/>
  <c r="V701" i="49"/>
  <c r="V700" i="49"/>
  <c r="V699" i="49"/>
  <c r="V679" i="49"/>
  <c r="V678" i="49"/>
  <c r="V677" i="49"/>
  <c r="V676" i="49"/>
  <c r="V675" i="49"/>
  <c r="V674" i="49"/>
  <c r="V673" i="49"/>
  <c r="V672" i="49"/>
  <c r="V671" i="49"/>
  <c r="V670" i="49"/>
  <c r="V669" i="49"/>
  <c r="V666" i="49"/>
  <c r="V665" i="49"/>
  <c r="V664" i="49"/>
  <c r="V663" i="49"/>
  <c r="V662" i="49"/>
  <c r="V661" i="49"/>
  <c r="V641" i="49"/>
  <c r="V640" i="49"/>
  <c r="V639" i="49"/>
  <c r="V638" i="49"/>
  <c r="V637" i="49"/>
  <c r="V636" i="49"/>
  <c r="V635" i="49"/>
  <c r="V634" i="49"/>
  <c r="V633" i="49"/>
  <c r="V632" i="49"/>
  <c r="V631" i="49"/>
  <c r="V628" i="49"/>
  <c r="V627" i="49"/>
  <c r="V626" i="49"/>
  <c r="V625" i="49"/>
  <c r="V624" i="49"/>
  <c r="V623" i="49"/>
  <c r="V603" i="49"/>
  <c r="V602" i="49"/>
  <c r="V601" i="49"/>
  <c r="V600" i="49"/>
  <c r="V599" i="49"/>
  <c r="V598" i="49"/>
  <c r="V597" i="49"/>
  <c r="V596" i="49"/>
  <c r="V595" i="49"/>
  <c r="V594" i="49"/>
  <c r="V593" i="49"/>
  <c r="V590" i="49"/>
  <c r="V589" i="49"/>
  <c r="V588" i="49"/>
  <c r="V587" i="49"/>
  <c r="V586" i="49"/>
  <c r="V585" i="49"/>
  <c r="V565" i="49"/>
  <c r="V564" i="49"/>
  <c r="V563" i="49"/>
  <c r="V562" i="49"/>
  <c r="V561" i="49"/>
  <c r="V560" i="49"/>
  <c r="V559" i="49"/>
  <c r="V558" i="49"/>
  <c r="V557" i="49"/>
  <c r="V556" i="49"/>
  <c r="V555" i="49"/>
  <c r="V552" i="49"/>
  <c r="V551" i="49"/>
  <c r="V550" i="49"/>
  <c r="V549" i="49"/>
  <c r="V548" i="49"/>
  <c r="V547" i="49"/>
  <c r="V527" i="49"/>
  <c r="V526" i="49"/>
  <c r="V525" i="49"/>
  <c r="V524" i="49"/>
  <c r="V523" i="49"/>
  <c r="V522" i="49"/>
  <c r="V521" i="49"/>
  <c r="V520" i="49"/>
  <c r="V519" i="49"/>
  <c r="V518" i="49"/>
  <c r="V517" i="49"/>
  <c r="V514" i="49"/>
  <c r="V513" i="49"/>
  <c r="V512" i="49"/>
  <c r="V511" i="49"/>
  <c r="V510" i="49"/>
  <c r="V509" i="49"/>
  <c r="V489" i="49"/>
  <c r="V488" i="49"/>
  <c r="V487" i="49"/>
  <c r="V486" i="49"/>
  <c r="V485" i="49"/>
  <c r="V484" i="49"/>
  <c r="V483" i="49"/>
  <c r="V482" i="49"/>
  <c r="V481" i="49"/>
  <c r="V480" i="49"/>
  <c r="V479" i="49"/>
  <c r="V476" i="49"/>
  <c r="V475" i="49"/>
  <c r="V474" i="49"/>
  <c r="V473" i="49"/>
  <c r="V472" i="49"/>
  <c r="V471" i="49"/>
  <c r="V451" i="49"/>
  <c r="V450" i="49"/>
  <c r="V449" i="49"/>
  <c r="V448" i="49"/>
  <c r="V447" i="49"/>
  <c r="V446" i="49"/>
  <c r="V445" i="49"/>
  <c r="V444" i="49"/>
  <c r="V443" i="49"/>
  <c r="V442" i="49"/>
  <c r="V441" i="49"/>
  <c r="V438" i="49"/>
  <c r="V437" i="49"/>
  <c r="V436" i="49"/>
  <c r="V435" i="49"/>
  <c r="V434" i="49"/>
  <c r="V433" i="49"/>
  <c r="V413" i="49"/>
  <c r="V412" i="49"/>
  <c r="V411" i="49"/>
  <c r="V410" i="49"/>
  <c r="V409" i="49"/>
  <c r="V408" i="49"/>
  <c r="V407" i="49"/>
  <c r="V406" i="49"/>
  <c r="V405" i="49"/>
  <c r="V404" i="49"/>
  <c r="V403" i="49"/>
  <c r="V375" i="49"/>
  <c r="V374" i="49"/>
  <c r="V373" i="49"/>
  <c r="V372" i="49"/>
  <c r="V371" i="49"/>
  <c r="V370" i="49"/>
  <c r="V369" i="49"/>
  <c r="V368" i="49"/>
  <c r="V367" i="49"/>
  <c r="V366" i="49"/>
  <c r="V365" i="49"/>
  <c r="V337" i="49"/>
  <c r="V336" i="49"/>
  <c r="V335" i="49"/>
  <c r="V334" i="49"/>
  <c r="V333" i="49"/>
  <c r="V332" i="49"/>
  <c r="V329" i="49"/>
  <c r="V328" i="49"/>
  <c r="V327" i="49"/>
  <c r="V299" i="49"/>
  <c r="V298" i="49"/>
  <c r="V297" i="49"/>
  <c r="V296" i="49"/>
  <c r="V295" i="49"/>
  <c r="V292" i="49"/>
  <c r="V291" i="49"/>
  <c r="V290" i="49"/>
  <c r="V289" i="49"/>
  <c r="V261" i="49"/>
  <c r="V260" i="49"/>
  <c r="V259" i="49"/>
  <c r="V258" i="49"/>
  <c r="V257" i="49"/>
  <c r="V256" i="49"/>
  <c r="V255" i="49"/>
  <c r="V254" i="49"/>
  <c r="V253" i="49"/>
  <c r="V252" i="49"/>
  <c r="V251" i="49"/>
  <c r="V248" i="49"/>
  <c r="V247" i="49"/>
  <c r="V246" i="49"/>
  <c r="V245" i="49"/>
  <c r="V244" i="49"/>
  <c r="V243" i="49"/>
  <c r="V210" i="49"/>
  <c r="V209" i="49"/>
  <c r="V208" i="49"/>
  <c r="V207" i="49"/>
  <c r="V206" i="49"/>
  <c r="V205" i="49"/>
  <c r="V223" i="49"/>
  <c r="V222" i="49"/>
  <c r="V221" i="49"/>
  <c r="V220" i="49"/>
  <c r="V219" i="49"/>
  <c r="V218" i="49"/>
  <c r="V217" i="49"/>
  <c r="V216" i="49"/>
  <c r="V215" i="49"/>
  <c r="V214" i="49"/>
  <c r="V213" i="49"/>
  <c r="V192" i="49"/>
  <c r="V191" i="49"/>
  <c r="V190" i="49"/>
  <c r="V189" i="49"/>
  <c r="V188" i="49"/>
  <c r="V187" i="49"/>
  <c r="V186" i="49"/>
  <c r="V185" i="49"/>
  <c r="V184" i="49"/>
  <c r="V183" i="49"/>
  <c r="V182" i="49"/>
  <c r="V181" i="49"/>
  <c r="V180" i="49"/>
  <c r="V179" i="49"/>
  <c r="V178" i="49"/>
  <c r="V177" i="49"/>
  <c r="V176" i="49"/>
  <c r="V175" i="49"/>
  <c r="V174" i="49"/>
  <c r="V173" i="49"/>
  <c r="V172" i="49"/>
  <c r="V171" i="49"/>
  <c r="V170" i="49"/>
  <c r="V169" i="49"/>
  <c r="V168" i="49"/>
  <c r="V167" i="49"/>
  <c r="V166" i="49"/>
  <c r="V165" i="49"/>
  <c r="V164" i="49"/>
  <c r="V163" i="49"/>
  <c r="V162" i="49"/>
  <c r="V161" i="49"/>
  <c r="V160" i="49"/>
  <c r="V159" i="49"/>
  <c r="V158" i="49"/>
  <c r="V157" i="49"/>
  <c r="V156" i="49"/>
  <c r="V155" i="49"/>
  <c r="V154" i="49"/>
  <c r="V153" i="49"/>
  <c r="V152" i="49"/>
  <c r="V151" i="49"/>
  <c r="V150" i="49"/>
  <c r="V149" i="49"/>
  <c r="V148" i="49"/>
  <c r="V147" i="49"/>
  <c r="V146" i="49"/>
  <c r="V145" i="49"/>
  <c r="V144" i="49"/>
  <c r="V143" i="49"/>
  <c r="V142" i="49"/>
  <c r="V141" i="49"/>
  <c r="V140" i="49"/>
  <c r="V139" i="49"/>
  <c r="V138" i="49"/>
  <c r="V137" i="49"/>
  <c r="V136" i="49"/>
  <c r="V135" i="49"/>
  <c r="V134" i="49"/>
  <c r="V133" i="49"/>
  <c r="V132" i="49"/>
  <c r="V131" i="49"/>
  <c r="V130" i="49"/>
  <c r="V129" i="49"/>
  <c r="V128" i="49"/>
  <c r="V127" i="49"/>
  <c r="V126" i="49"/>
  <c r="V125" i="49"/>
  <c r="V124" i="49"/>
  <c r="V123" i="49"/>
  <c r="V122" i="49"/>
  <c r="V121" i="49"/>
  <c r="V120" i="49"/>
  <c r="V119" i="49"/>
  <c r="V118" i="49"/>
  <c r="V117" i="49"/>
  <c r="V116" i="49"/>
  <c r="V115" i="49"/>
  <c r="V114" i="49"/>
  <c r="V113" i="49"/>
  <c r="V112" i="49"/>
  <c r="V111" i="49"/>
  <c r="V110" i="49"/>
  <c r="V109" i="49"/>
  <c r="V108" i="49"/>
  <c r="V107" i="49"/>
  <c r="V106" i="49"/>
  <c r="V105" i="49"/>
  <c r="V104" i="49"/>
  <c r="V103" i="49"/>
  <c r="V102" i="49"/>
  <c r="V101" i="49"/>
  <c r="V100" i="49"/>
  <c r="V99" i="49"/>
  <c r="V98" i="49"/>
  <c r="V97" i="49"/>
  <c r="V96" i="49"/>
  <c r="V95" i="49"/>
  <c r="V94" i="49"/>
  <c r="V93" i="49"/>
  <c r="V92" i="49"/>
  <c r="V91" i="49"/>
  <c r="V90" i="49"/>
  <c r="V89" i="49"/>
  <c r="V88" i="49"/>
  <c r="V87" i="49"/>
  <c r="V86" i="49"/>
  <c r="V85" i="49"/>
  <c r="V84" i="49"/>
  <c r="V83" i="49"/>
  <c r="V82" i="49"/>
  <c r="V81" i="49"/>
  <c r="V80" i="49"/>
  <c r="V79" i="49"/>
  <c r="V78" i="49"/>
  <c r="V77" i="49"/>
  <c r="V76" i="49"/>
  <c r="V75" i="49"/>
  <c r="V74" i="49"/>
  <c r="V73" i="49"/>
  <c r="V72" i="49"/>
  <c r="S72" i="49" s="1"/>
  <c r="AA72" i="49" s="1"/>
  <c r="V71" i="49"/>
  <c r="S71" i="49" s="1"/>
  <c r="AA71" i="49" s="1"/>
  <c r="V70" i="49"/>
  <c r="S70" i="49" s="1"/>
  <c r="AA70" i="49" s="1"/>
  <c r="V69" i="49"/>
  <c r="S69" i="49" s="1"/>
  <c r="AA69" i="49" s="1"/>
  <c r="V68" i="49"/>
  <c r="S68" i="49" s="1"/>
  <c r="AA68" i="49" s="1"/>
  <c r="V67" i="49"/>
  <c r="S67" i="49" s="1"/>
  <c r="AA67" i="49" s="1"/>
  <c r="V66" i="49"/>
  <c r="S66" i="49" s="1"/>
  <c r="AA66" i="49" s="1"/>
  <c r="V65" i="49"/>
  <c r="S65" i="49" s="1"/>
  <c r="AA65" i="49" s="1"/>
  <c r="V64" i="49"/>
  <c r="S64" i="49" s="1"/>
  <c r="AA64" i="49" s="1"/>
  <c r="V63" i="49"/>
  <c r="S63" i="49" s="1"/>
  <c r="AA63" i="49" s="1"/>
  <c r="V62" i="49"/>
  <c r="S62" i="49" s="1"/>
  <c r="AA62" i="49" s="1"/>
  <c r="V61" i="49"/>
  <c r="S61" i="49" s="1"/>
  <c r="AA61" i="49" s="1"/>
  <c r="V60" i="49"/>
  <c r="S60" i="49" s="1"/>
  <c r="AA60" i="49" s="1"/>
  <c r="V59" i="49"/>
  <c r="S59" i="49" s="1"/>
  <c r="AA59" i="49" s="1"/>
  <c r="V58" i="49"/>
  <c r="S58" i="49" s="1"/>
  <c r="AA58" i="49" s="1"/>
  <c r="V57" i="49"/>
  <c r="S57" i="49" s="1"/>
  <c r="AA57" i="49" s="1"/>
  <c r="V56" i="49"/>
  <c r="S56" i="49" s="1"/>
  <c r="AA56" i="49" s="1"/>
  <c r="V55" i="49"/>
  <c r="S55" i="49" s="1"/>
  <c r="AA55" i="49" s="1"/>
  <c r="V54" i="49"/>
  <c r="S54" i="49" s="1"/>
  <c r="AA54" i="49" s="1"/>
  <c r="V53" i="49"/>
  <c r="S53" i="49" s="1"/>
  <c r="AA53" i="49" s="1"/>
  <c r="V52" i="49"/>
  <c r="S52" i="49" s="1"/>
  <c r="AA52" i="49" s="1"/>
  <c r="V51" i="49"/>
  <c r="S51" i="49" s="1"/>
  <c r="AA51" i="49" s="1"/>
  <c r="V50" i="49"/>
  <c r="S50" i="49" s="1"/>
  <c r="AA50" i="49" s="1"/>
  <c r="V49" i="49"/>
  <c r="S49" i="49" s="1"/>
  <c r="AA49" i="49" s="1"/>
  <c r="V48" i="49"/>
  <c r="S48" i="49" s="1"/>
  <c r="AA48" i="49" s="1"/>
  <c r="V47" i="49"/>
  <c r="S47" i="49" s="1"/>
  <c r="AA47" i="49" s="1"/>
  <c r="V46" i="49"/>
  <c r="S46" i="49" s="1"/>
  <c r="AA46" i="49" s="1"/>
  <c r="V45" i="49"/>
  <c r="S45" i="49" s="1"/>
  <c r="AA45" i="49" s="1"/>
  <c r="V44" i="49"/>
  <c r="S44" i="49" s="1"/>
  <c r="AA44" i="49" s="1"/>
  <c r="V43" i="49"/>
  <c r="S43" i="49" s="1"/>
  <c r="V40" i="49"/>
  <c r="V39" i="49"/>
  <c r="V38" i="49"/>
  <c r="V37" i="49"/>
  <c r="V36" i="49"/>
  <c r="V35" i="49"/>
  <c r="V34" i="49"/>
  <c r="V33" i="49"/>
  <c r="V32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E7" i="59"/>
  <c r="E8" i="59"/>
  <c r="E9" i="59"/>
  <c r="E10" i="59"/>
  <c r="E11" i="59"/>
  <c r="E12" i="59"/>
  <c r="E13" i="59"/>
  <c r="E14" i="59"/>
  <c r="E15" i="59"/>
  <c r="E16" i="59"/>
  <c r="E17" i="59"/>
  <c r="E18" i="59"/>
  <c r="E19" i="59"/>
  <c r="E20" i="59"/>
  <c r="E21" i="59"/>
  <c r="E22" i="59"/>
  <c r="E23" i="59"/>
  <c r="E24" i="59"/>
  <c r="E25" i="59"/>
  <c r="E26" i="59"/>
  <c r="E27" i="59"/>
  <c r="E28" i="59"/>
  <c r="E29" i="59"/>
  <c r="E30" i="59"/>
  <c r="E31" i="59"/>
  <c r="E32" i="59"/>
  <c r="E33" i="59"/>
  <c r="E34" i="59"/>
  <c r="E35" i="59"/>
  <c r="E36" i="59"/>
  <c r="E37" i="59"/>
  <c r="E38" i="59"/>
  <c r="E39" i="59"/>
  <c r="E40" i="59"/>
  <c r="E41" i="59"/>
  <c r="E42" i="59"/>
  <c r="E43" i="59"/>
  <c r="E44" i="59"/>
  <c r="E45" i="59"/>
  <c r="E46" i="59"/>
  <c r="E47" i="59"/>
  <c r="E48" i="59"/>
  <c r="E49" i="59"/>
  <c r="E50" i="59"/>
  <c r="E51" i="59"/>
  <c r="E52" i="59"/>
  <c r="E53" i="59"/>
  <c r="E54" i="59"/>
  <c r="E55" i="59"/>
  <c r="E56" i="59"/>
  <c r="E57" i="59"/>
  <c r="E58" i="59"/>
  <c r="E59" i="59"/>
  <c r="E60" i="59"/>
  <c r="E6" i="59"/>
  <c r="E4" i="59"/>
  <c r="E3" i="59"/>
  <c r="V12" i="49"/>
  <c r="AA43" i="49" l="1"/>
  <c r="AF43" i="49"/>
  <c r="AE43" i="49"/>
  <c r="S78" i="49"/>
  <c r="AA78" i="49" s="1"/>
  <c r="S94" i="49"/>
  <c r="AA94" i="49" s="1"/>
  <c r="S110" i="49"/>
  <c r="AA110" i="49" s="1"/>
  <c r="S126" i="49"/>
  <c r="AA126" i="49" s="1"/>
  <c r="S142" i="49"/>
  <c r="AA142" i="49" s="1"/>
  <c r="S158" i="49"/>
  <c r="AA158" i="49" s="1"/>
  <c r="S174" i="49"/>
  <c r="AA174" i="49" s="1"/>
  <c r="S190" i="49"/>
  <c r="AA190" i="49" s="1"/>
  <c r="S257" i="49"/>
  <c r="AA257" i="49" s="1"/>
  <c r="S329" i="49"/>
  <c r="AA329" i="49" s="1"/>
  <c r="S374" i="49"/>
  <c r="AA374" i="49" s="1"/>
  <c r="S565" i="49"/>
  <c r="AA565" i="49" s="1"/>
  <c r="S602" i="49"/>
  <c r="AA602" i="49" s="1"/>
  <c r="S639" i="49"/>
  <c r="AA639" i="49" s="1"/>
  <c r="S676" i="49"/>
  <c r="AA676" i="49" s="1"/>
  <c r="S713" i="49"/>
  <c r="AA713" i="49" s="1"/>
  <c r="S750" i="49"/>
  <c r="AA750" i="49" s="1"/>
  <c r="S787" i="49"/>
  <c r="AA787" i="49" s="1"/>
  <c r="S824" i="49"/>
  <c r="AA824" i="49" s="1"/>
  <c r="S861" i="49"/>
  <c r="AA861" i="49" s="1"/>
  <c r="S898" i="49"/>
  <c r="AA898" i="49" s="1"/>
  <c r="S935" i="49"/>
  <c r="AA935" i="49" s="1"/>
  <c r="S1173" i="49"/>
  <c r="AA1173" i="49" s="1"/>
  <c r="S1210" i="49"/>
  <c r="AA1210" i="49" s="1"/>
  <c r="S1247" i="49"/>
  <c r="AA1247" i="49" s="1"/>
  <c r="S1284" i="49"/>
  <c r="AA1284" i="49" s="1"/>
  <c r="S157" i="49"/>
  <c r="AA157" i="49" s="1"/>
  <c r="S564" i="49"/>
  <c r="AA564" i="49" s="1"/>
  <c r="S1209" i="49"/>
  <c r="AA1209" i="49" s="1"/>
  <c r="S79" i="49"/>
  <c r="AA79" i="49" s="1"/>
  <c r="S80" i="49"/>
  <c r="AA80" i="49" s="1"/>
  <c r="S128" i="49"/>
  <c r="AA128" i="49" s="1"/>
  <c r="S176" i="49"/>
  <c r="AA176" i="49" s="1"/>
  <c r="S259" i="49"/>
  <c r="AA259" i="49" s="1"/>
  <c r="S715" i="49"/>
  <c r="AA715" i="49" s="1"/>
  <c r="S863" i="49"/>
  <c r="AA863" i="49" s="1"/>
  <c r="S974" i="49"/>
  <c r="AA974" i="49" s="1"/>
  <c r="S1249" i="49"/>
  <c r="AA1249" i="49" s="1"/>
  <c r="S256" i="49"/>
  <c r="AA256" i="49" s="1"/>
  <c r="S175" i="49"/>
  <c r="AA175" i="49" s="1"/>
  <c r="S862" i="49"/>
  <c r="AA862" i="49" s="1"/>
  <c r="S96" i="49"/>
  <c r="AA96" i="49" s="1"/>
  <c r="S112" i="49"/>
  <c r="AA112" i="49" s="1"/>
  <c r="S144" i="49"/>
  <c r="AA144" i="49" s="1"/>
  <c r="S160" i="49"/>
  <c r="AA160" i="49" s="1"/>
  <c r="S192" i="49"/>
  <c r="AA192" i="49" s="1"/>
  <c r="S333" i="49"/>
  <c r="AA333" i="49" s="1"/>
  <c r="S641" i="49"/>
  <c r="AA641" i="49" s="1"/>
  <c r="S678" i="49"/>
  <c r="AA678" i="49" s="1"/>
  <c r="S752" i="49"/>
  <c r="AA752" i="49" s="1"/>
  <c r="S789" i="49"/>
  <c r="AA789" i="49" s="1"/>
  <c r="S826" i="49"/>
  <c r="AA826" i="49" s="1"/>
  <c r="S900" i="49"/>
  <c r="AA900" i="49" s="1"/>
  <c r="S937" i="49"/>
  <c r="AA937" i="49" s="1"/>
  <c r="S1011" i="49"/>
  <c r="AA1011" i="49" s="1"/>
  <c r="S1286" i="49"/>
  <c r="AA1286" i="49" s="1"/>
  <c r="S81" i="49"/>
  <c r="AA81" i="49" s="1"/>
  <c r="S97" i="49"/>
  <c r="AA97" i="49" s="1"/>
  <c r="S113" i="49"/>
  <c r="AA113" i="49" s="1"/>
  <c r="S129" i="49"/>
  <c r="AA129" i="49" s="1"/>
  <c r="S145" i="49"/>
  <c r="AA145" i="49" s="1"/>
  <c r="S161" i="49"/>
  <c r="AA161" i="49" s="1"/>
  <c r="S177" i="49"/>
  <c r="AA177" i="49" s="1"/>
  <c r="S213" i="49"/>
  <c r="AA213" i="49" s="1"/>
  <c r="S260" i="49"/>
  <c r="AA260" i="49" s="1"/>
  <c r="S334" i="49"/>
  <c r="AA334" i="49" s="1"/>
  <c r="S404" i="49"/>
  <c r="AA404" i="49" s="1"/>
  <c r="S441" i="49"/>
  <c r="AA441" i="49" s="1"/>
  <c r="S679" i="49"/>
  <c r="AA679" i="49" s="1"/>
  <c r="S716" i="49"/>
  <c r="AA716" i="49" s="1"/>
  <c r="S753" i="49"/>
  <c r="AA753" i="49" s="1"/>
  <c r="S790" i="49"/>
  <c r="AA790" i="49" s="1"/>
  <c r="S827" i="49"/>
  <c r="AA827" i="49" s="1"/>
  <c r="S864" i="49"/>
  <c r="AA864" i="49" s="1"/>
  <c r="S901" i="49"/>
  <c r="AA901" i="49" s="1"/>
  <c r="S938" i="49"/>
  <c r="AA938" i="49" s="1"/>
  <c r="S975" i="49"/>
  <c r="AA975" i="49" s="1"/>
  <c r="S1012" i="49"/>
  <c r="AA1012" i="49" s="1"/>
  <c r="S1049" i="49"/>
  <c r="AA1049" i="49" s="1"/>
  <c r="S1287" i="49"/>
  <c r="AA1287" i="49" s="1"/>
  <c r="S159" i="49"/>
  <c r="AA159" i="49" s="1"/>
  <c r="S640" i="49"/>
  <c r="AA640" i="49" s="1"/>
  <c r="S403" i="49"/>
  <c r="AA403" i="49" s="1"/>
  <c r="S82" i="49"/>
  <c r="S98" i="49"/>
  <c r="AA98" i="49" s="1"/>
  <c r="S114" i="49"/>
  <c r="AA114" i="49" s="1"/>
  <c r="S130" i="49"/>
  <c r="AA130" i="49" s="1"/>
  <c r="S146" i="49"/>
  <c r="AA146" i="49" s="1"/>
  <c r="S162" i="49"/>
  <c r="AA162" i="49" s="1"/>
  <c r="S178" i="49"/>
  <c r="AA178" i="49" s="1"/>
  <c r="S214" i="49"/>
  <c r="AA214" i="49" s="1"/>
  <c r="S261" i="49"/>
  <c r="AA261" i="49" s="1"/>
  <c r="S335" i="49"/>
  <c r="AA335" i="49" s="1"/>
  <c r="S405" i="49"/>
  <c r="AA405" i="49" s="1"/>
  <c r="S442" i="49"/>
  <c r="AA442" i="49" s="1"/>
  <c r="S479" i="49"/>
  <c r="AA479" i="49" s="1"/>
  <c r="S717" i="49"/>
  <c r="AA717" i="49" s="1"/>
  <c r="S754" i="49"/>
  <c r="AA754" i="49" s="1"/>
  <c r="S791" i="49"/>
  <c r="AA791" i="49" s="1"/>
  <c r="S828" i="49"/>
  <c r="AA828" i="49" s="1"/>
  <c r="S865" i="49"/>
  <c r="AA865" i="49" s="1"/>
  <c r="S902" i="49"/>
  <c r="AA902" i="49" s="1"/>
  <c r="S939" i="49"/>
  <c r="AA939" i="49" s="1"/>
  <c r="S976" i="49"/>
  <c r="AA976" i="49" s="1"/>
  <c r="S1013" i="49"/>
  <c r="AA1013" i="49" s="1"/>
  <c r="S1050" i="49"/>
  <c r="AA1050" i="49" s="1"/>
  <c r="S1087" i="49"/>
  <c r="AA1087" i="49" s="1"/>
  <c r="S127" i="49"/>
  <c r="AA127" i="49" s="1"/>
  <c r="S125" i="49"/>
  <c r="AA125" i="49" s="1"/>
  <c r="S173" i="49"/>
  <c r="AA173" i="49" s="1"/>
  <c r="S373" i="49"/>
  <c r="AA373" i="49" s="1"/>
  <c r="S601" i="49"/>
  <c r="AA601" i="49" s="1"/>
  <c r="S823" i="49"/>
  <c r="AA823" i="49" s="1"/>
  <c r="S897" i="49"/>
  <c r="AA897" i="49" s="1"/>
  <c r="S1135" i="49"/>
  <c r="AA1135" i="49" s="1"/>
  <c r="S1246" i="49"/>
  <c r="AA1246" i="49" s="1"/>
  <c r="S375" i="49"/>
  <c r="AA375" i="49" s="1"/>
  <c r="S179" i="49"/>
  <c r="AA179" i="49" s="1"/>
  <c r="S517" i="49"/>
  <c r="AA517" i="49" s="1"/>
  <c r="S903" i="49"/>
  <c r="AA903" i="49" s="1"/>
  <c r="S1014" i="49"/>
  <c r="AA1014" i="49" s="1"/>
  <c r="S1088" i="49"/>
  <c r="AA1088" i="49" s="1"/>
  <c r="S84" i="49"/>
  <c r="AA84" i="49" s="1"/>
  <c r="S100" i="49"/>
  <c r="AA100" i="49" s="1"/>
  <c r="S116" i="49"/>
  <c r="AA116" i="49" s="1"/>
  <c r="S132" i="49"/>
  <c r="AA132" i="49" s="1"/>
  <c r="S148" i="49"/>
  <c r="AA148" i="49" s="1"/>
  <c r="S164" i="49"/>
  <c r="AA164" i="49" s="1"/>
  <c r="S180" i="49"/>
  <c r="AA180" i="49" s="1"/>
  <c r="S216" i="49"/>
  <c r="AA216" i="49" s="1"/>
  <c r="S290" i="49"/>
  <c r="AA290" i="49" s="1"/>
  <c r="S337" i="49"/>
  <c r="AA337" i="49" s="1"/>
  <c r="S407" i="49"/>
  <c r="AA407" i="49" s="1"/>
  <c r="S444" i="49"/>
  <c r="AA444" i="49" s="1"/>
  <c r="S481" i="49"/>
  <c r="AA481" i="49" s="1"/>
  <c r="S518" i="49"/>
  <c r="AA518" i="49" s="1"/>
  <c r="S555" i="49"/>
  <c r="AA555" i="49" s="1"/>
  <c r="S793" i="49"/>
  <c r="AA793" i="49" s="1"/>
  <c r="S830" i="49"/>
  <c r="AA830" i="49" s="1"/>
  <c r="S867" i="49"/>
  <c r="AA867" i="49" s="1"/>
  <c r="S904" i="49"/>
  <c r="AA904" i="49" s="1"/>
  <c r="S941" i="49"/>
  <c r="AA941" i="49" s="1"/>
  <c r="S978" i="49"/>
  <c r="AA978" i="49" s="1"/>
  <c r="S1015" i="49"/>
  <c r="AA1015" i="49" s="1"/>
  <c r="S1052" i="49"/>
  <c r="AA1052" i="49" s="1"/>
  <c r="S1089" i="49"/>
  <c r="AA1089" i="49" s="1"/>
  <c r="S1126" i="49"/>
  <c r="AA1126" i="49" s="1"/>
  <c r="S1163" i="49"/>
  <c r="AA1163" i="49" s="1"/>
  <c r="S328" i="49"/>
  <c r="AA328" i="49" s="1"/>
  <c r="S85" i="49"/>
  <c r="AA85" i="49" s="1"/>
  <c r="S101" i="49"/>
  <c r="AA101" i="49" s="1"/>
  <c r="S117" i="49"/>
  <c r="AA117" i="49" s="1"/>
  <c r="S133" i="49"/>
  <c r="AA133" i="49" s="1"/>
  <c r="S149" i="49"/>
  <c r="AA149" i="49" s="1"/>
  <c r="S165" i="49"/>
  <c r="AA165" i="49" s="1"/>
  <c r="S181" i="49"/>
  <c r="AA181" i="49" s="1"/>
  <c r="S217" i="49"/>
  <c r="AA217" i="49" s="1"/>
  <c r="S291" i="49"/>
  <c r="AA291" i="49" s="1"/>
  <c r="S365" i="49"/>
  <c r="AA365" i="49" s="1"/>
  <c r="S408" i="49"/>
  <c r="AA408" i="49" s="1"/>
  <c r="S445" i="49"/>
  <c r="AA445" i="49" s="1"/>
  <c r="S482" i="49"/>
  <c r="AA482" i="49" s="1"/>
  <c r="S519" i="49"/>
  <c r="AA519" i="49" s="1"/>
  <c r="S556" i="49"/>
  <c r="S593" i="49"/>
  <c r="AA593" i="49" s="1"/>
  <c r="S831" i="49"/>
  <c r="AA831" i="49" s="1"/>
  <c r="S868" i="49"/>
  <c r="AA868" i="49" s="1"/>
  <c r="S905" i="49"/>
  <c r="AA905" i="49" s="1"/>
  <c r="S942" i="49"/>
  <c r="AA942" i="49" s="1"/>
  <c r="S979" i="49"/>
  <c r="AA979" i="49" s="1"/>
  <c r="S1016" i="49"/>
  <c r="AA1016" i="49" s="1"/>
  <c r="S1053" i="49"/>
  <c r="AA1053" i="49" s="1"/>
  <c r="S1090" i="49"/>
  <c r="AA1090" i="49" s="1"/>
  <c r="S1127" i="49"/>
  <c r="AA1127" i="49" s="1"/>
  <c r="S1164" i="49"/>
  <c r="AA1164" i="49" s="1"/>
  <c r="S1201" i="49"/>
  <c r="AA1201" i="49" s="1"/>
  <c r="S638" i="49"/>
  <c r="AA638" i="49" s="1"/>
  <c r="S95" i="49"/>
  <c r="AA95" i="49" s="1"/>
  <c r="S825" i="49"/>
  <c r="AA825" i="49" s="1"/>
  <c r="S99" i="49"/>
  <c r="AA99" i="49" s="1"/>
  <c r="S147" i="49"/>
  <c r="AA147" i="49" s="1"/>
  <c r="S289" i="49"/>
  <c r="AA289" i="49" s="1"/>
  <c r="S480" i="49"/>
  <c r="AA480" i="49" s="1"/>
  <c r="S829" i="49"/>
  <c r="AA829" i="49" s="1"/>
  <c r="S1125" i="49"/>
  <c r="AA1125" i="49" s="1"/>
  <c r="S102" i="49"/>
  <c r="AA102" i="49" s="1"/>
  <c r="S150" i="49"/>
  <c r="AA150" i="49" s="1"/>
  <c r="S409" i="49"/>
  <c r="AA409" i="49" s="1"/>
  <c r="S557" i="49"/>
  <c r="AA557" i="49" s="1"/>
  <c r="S906" i="49"/>
  <c r="AA906" i="49" s="1"/>
  <c r="S980" i="49"/>
  <c r="AA980" i="49" s="1"/>
  <c r="S1091" i="49"/>
  <c r="AA1091" i="49" s="1"/>
  <c r="S1128" i="49"/>
  <c r="AA1128" i="49" s="1"/>
  <c r="S1165" i="49"/>
  <c r="AA1165" i="49" s="1"/>
  <c r="S1239" i="49"/>
  <c r="AA1239" i="49" s="1"/>
  <c r="S109" i="49"/>
  <c r="AA109" i="49" s="1"/>
  <c r="S786" i="49"/>
  <c r="AA786" i="49" s="1"/>
  <c r="S111" i="49"/>
  <c r="AA111" i="49" s="1"/>
  <c r="S258" i="49"/>
  <c r="AA258" i="49" s="1"/>
  <c r="S751" i="49"/>
  <c r="AA751" i="49" s="1"/>
  <c r="S973" i="49"/>
  <c r="AA973" i="49" s="1"/>
  <c r="S1285" i="49"/>
  <c r="AA1285" i="49" s="1"/>
  <c r="S86" i="49"/>
  <c r="AA86" i="49" s="1"/>
  <c r="S118" i="49"/>
  <c r="AA118" i="49" s="1"/>
  <c r="S166" i="49"/>
  <c r="AA166" i="49" s="1"/>
  <c r="S218" i="49"/>
  <c r="AA218" i="49" s="1"/>
  <c r="S292" i="49"/>
  <c r="AA292" i="49" s="1"/>
  <c r="S446" i="49"/>
  <c r="AA446" i="49" s="1"/>
  <c r="S520" i="49"/>
  <c r="AA520" i="49" s="1"/>
  <c r="S594" i="49"/>
  <c r="AA594" i="49" s="1"/>
  <c r="S869" i="49"/>
  <c r="AA869" i="49" s="1"/>
  <c r="S1054" i="49"/>
  <c r="AA1054" i="49" s="1"/>
  <c r="S87" i="49"/>
  <c r="AA87" i="49" s="1"/>
  <c r="S103" i="49"/>
  <c r="AA103" i="49" s="1"/>
  <c r="S119" i="49"/>
  <c r="AA119" i="49" s="1"/>
  <c r="S135" i="49"/>
  <c r="AA135" i="49" s="1"/>
  <c r="S151" i="49"/>
  <c r="AA151" i="49" s="1"/>
  <c r="S167" i="49"/>
  <c r="AA167" i="49" s="1"/>
  <c r="S183" i="49"/>
  <c r="AA183" i="49" s="1"/>
  <c r="S219" i="49"/>
  <c r="AA219" i="49" s="1"/>
  <c r="S295" i="49"/>
  <c r="AA295" i="49" s="1"/>
  <c r="S367" i="49"/>
  <c r="AA367" i="49" s="1"/>
  <c r="S410" i="49"/>
  <c r="AA410" i="49" s="1"/>
  <c r="S447" i="49"/>
  <c r="AA447" i="49" s="1"/>
  <c r="S484" i="49"/>
  <c r="AA484" i="49" s="1"/>
  <c r="S521" i="49"/>
  <c r="AA521" i="49" s="1"/>
  <c r="S558" i="49"/>
  <c r="AA558" i="49" s="1"/>
  <c r="S595" i="49"/>
  <c r="AA595" i="49" s="1"/>
  <c r="S632" i="49"/>
  <c r="AA632" i="49" s="1"/>
  <c r="S669" i="49"/>
  <c r="AA669" i="49" s="1"/>
  <c r="S907" i="49"/>
  <c r="AA907" i="49" s="1"/>
  <c r="S944" i="49"/>
  <c r="AA944" i="49" s="1"/>
  <c r="S981" i="49"/>
  <c r="AA981" i="49" s="1"/>
  <c r="S1018" i="49"/>
  <c r="AA1018" i="49" s="1"/>
  <c r="S1055" i="49"/>
  <c r="AA1055" i="49" s="1"/>
  <c r="S1092" i="49"/>
  <c r="AA1092" i="49" s="1"/>
  <c r="S1129" i="49"/>
  <c r="AA1129" i="49" s="1"/>
  <c r="S1166" i="49"/>
  <c r="AA1166" i="49" s="1"/>
  <c r="S1203" i="49"/>
  <c r="AA1203" i="49" s="1"/>
  <c r="S1240" i="49"/>
  <c r="AA1240" i="49" s="1"/>
  <c r="S1277" i="49"/>
  <c r="AA1277" i="49" s="1"/>
  <c r="S603" i="49"/>
  <c r="AA603" i="49" s="1"/>
  <c r="S899" i="49"/>
  <c r="AA899" i="49" s="1"/>
  <c r="S1211" i="49"/>
  <c r="AA1211" i="49" s="1"/>
  <c r="S83" i="49"/>
  <c r="AA83" i="49" s="1"/>
  <c r="S163" i="49"/>
  <c r="AA163" i="49" s="1"/>
  <c r="S406" i="49"/>
  <c r="AA406" i="49" s="1"/>
  <c r="S792" i="49"/>
  <c r="AA792" i="49" s="1"/>
  <c r="S940" i="49"/>
  <c r="AA940" i="49" s="1"/>
  <c r="S1051" i="49"/>
  <c r="AA1051" i="49" s="1"/>
  <c r="S134" i="49"/>
  <c r="AA134" i="49" s="1"/>
  <c r="S182" i="49"/>
  <c r="AA182" i="49" s="1"/>
  <c r="S366" i="49"/>
  <c r="AA366" i="49" s="1"/>
  <c r="S483" i="49"/>
  <c r="AA483" i="49" s="1"/>
  <c r="S631" i="49"/>
  <c r="AA631" i="49" s="1"/>
  <c r="S943" i="49"/>
  <c r="AA943" i="49" s="1"/>
  <c r="S1017" i="49"/>
  <c r="AA1017" i="49" s="1"/>
  <c r="S1202" i="49"/>
  <c r="AA1202" i="49" s="1"/>
  <c r="S88" i="49"/>
  <c r="AA88" i="49" s="1"/>
  <c r="S104" i="49"/>
  <c r="AA104" i="49" s="1"/>
  <c r="S120" i="49"/>
  <c r="AA120" i="49" s="1"/>
  <c r="S136" i="49"/>
  <c r="AA136" i="49" s="1"/>
  <c r="S152" i="49"/>
  <c r="AA152" i="49" s="1"/>
  <c r="S168" i="49"/>
  <c r="AA168" i="49" s="1"/>
  <c r="S184" i="49"/>
  <c r="AA184" i="49" s="1"/>
  <c r="S220" i="49"/>
  <c r="AA220" i="49" s="1"/>
  <c r="S251" i="49"/>
  <c r="AA251" i="49" s="1"/>
  <c r="S296" i="49"/>
  <c r="AA296" i="49" s="1"/>
  <c r="S368" i="49"/>
  <c r="AA368" i="49" s="1"/>
  <c r="S411" i="49"/>
  <c r="AA411" i="49" s="1"/>
  <c r="S448" i="49"/>
  <c r="AA448" i="49" s="1"/>
  <c r="S485" i="49"/>
  <c r="AA485" i="49" s="1"/>
  <c r="S522" i="49"/>
  <c r="AA522" i="49" s="1"/>
  <c r="S559" i="49"/>
  <c r="AA559" i="49" s="1"/>
  <c r="S596" i="49"/>
  <c r="AA596" i="49" s="1"/>
  <c r="S633" i="49"/>
  <c r="AA633" i="49" s="1"/>
  <c r="S670" i="49"/>
  <c r="AA670" i="49" s="1"/>
  <c r="S707" i="49"/>
  <c r="AA707" i="49" s="1"/>
  <c r="S945" i="49"/>
  <c r="AA945" i="49" s="1"/>
  <c r="S982" i="49"/>
  <c r="AA982" i="49" s="1"/>
  <c r="S1019" i="49"/>
  <c r="AA1019" i="49" s="1"/>
  <c r="S1056" i="49"/>
  <c r="AA1056" i="49" s="1"/>
  <c r="S1093" i="49"/>
  <c r="AA1093" i="49" s="1"/>
  <c r="S1130" i="49"/>
  <c r="AA1130" i="49" s="1"/>
  <c r="S1167" i="49"/>
  <c r="AA1167" i="49" s="1"/>
  <c r="S1204" i="49"/>
  <c r="AA1204" i="49" s="1"/>
  <c r="S1241" i="49"/>
  <c r="AA1241" i="49" s="1"/>
  <c r="S1278" i="49"/>
  <c r="AA1278" i="49" s="1"/>
  <c r="S675" i="49"/>
  <c r="AA675" i="49" s="1"/>
  <c r="S332" i="49"/>
  <c r="AA332" i="49" s="1"/>
  <c r="S788" i="49"/>
  <c r="AA788" i="49" s="1"/>
  <c r="S131" i="49"/>
  <c r="AA131" i="49" s="1"/>
  <c r="S215" i="49"/>
  <c r="AA215" i="49" s="1"/>
  <c r="S443" i="49"/>
  <c r="AA443" i="49" s="1"/>
  <c r="S755" i="49"/>
  <c r="AA755" i="49" s="1"/>
  <c r="S977" i="49"/>
  <c r="AA977" i="49" s="1"/>
  <c r="S105" i="49"/>
  <c r="AA105" i="49" s="1"/>
  <c r="S221" i="49"/>
  <c r="AA221" i="49" s="1"/>
  <c r="S486" i="49"/>
  <c r="AA486" i="49" s="1"/>
  <c r="S708" i="49"/>
  <c r="AA708" i="49" s="1"/>
  <c r="S983" i="49"/>
  <c r="AA983" i="49" s="1"/>
  <c r="S1094" i="49"/>
  <c r="AA1094" i="49" s="1"/>
  <c r="S1131" i="49"/>
  <c r="AA1131" i="49" s="1"/>
  <c r="S1168" i="49"/>
  <c r="AA1168" i="49" s="1"/>
  <c r="S191" i="49"/>
  <c r="AA191" i="49" s="1"/>
  <c r="S677" i="49"/>
  <c r="AA677" i="49" s="1"/>
  <c r="S115" i="49"/>
  <c r="AA115" i="49" s="1"/>
  <c r="S336" i="49"/>
  <c r="AA336" i="49" s="1"/>
  <c r="S866" i="49"/>
  <c r="AA866" i="49" s="1"/>
  <c r="S121" i="49"/>
  <c r="AA121" i="49" s="1"/>
  <c r="S185" i="49"/>
  <c r="AA185" i="49" s="1"/>
  <c r="S369" i="49"/>
  <c r="AA369" i="49" s="1"/>
  <c r="S523" i="49"/>
  <c r="AA523" i="49" s="1"/>
  <c r="S634" i="49"/>
  <c r="AA634" i="49" s="1"/>
  <c r="S1279" i="49"/>
  <c r="AA1279" i="49" s="1"/>
  <c r="S74" i="49"/>
  <c r="AA74" i="49" s="1"/>
  <c r="S90" i="49"/>
  <c r="AA90" i="49" s="1"/>
  <c r="S106" i="49"/>
  <c r="AA106" i="49" s="1"/>
  <c r="S122" i="49"/>
  <c r="AA122" i="49" s="1"/>
  <c r="S138" i="49"/>
  <c r="AA138" i="49" s="1"/>
  <c r="S154" i="49"/>
  <c r="AA154" i="49" s="1"/>
  <c r="S170" i="49"/>
  <c r="AA170" i="49" s="1"/>
  <c r="S186" i="49"/>
  <c r="AA186" i="49" s="1"/>
  <c r="S222" i="49"/>
  <c r="S253" i="49"/>
  <c r="AA253" i="49" s="1"/>
  <c r="S298" i="49"/>
  <c r="AA298" i="49" s="1"/>
  <c r="S370" i="49"/>
  <c r="AA370" i="49" s="1"/>
  <c r="S413" i="49"/>
  <c r="AA413" i="49" s="1"/>
  <c r="S450" i="49"/>
  <c r="AA450" i="49" s="1"/>
  <c r="S487" i="49"/>
  <c r="AA487" i="49" s="1"/>
  <c r="S524" i="49"/>
  <c r="AA524" i="49" s="1"/>
  <c r="S561" i="49"/>
  <c r="AA561" i="49" s="1"/>
  <c r="S598" i="49"/>
  <c r="AA598" i="49" s="1"/>
  <c r="S635" i="49"/>
  <c r="AA635" i="49" s="1"/>
  <c r="S672" i="49"/>
  <c r="AA672" i="49" s="1"/>
  <c r="S709" i="49"/>
  <c r="AA709" i="49" s="1"/>
  <c r="S746" i="49"/>
  <c r="AA746" i="49" s="1"/>
  <c r="S783" i="49"/>
  <c r="AA783" i="49" s="1"/>
  <c r="S1021" i="49"/>
  <c r="AA1021" i="49" s="1"/>
  <c r="S1058" i="49"/>
  <c r="AA1058" i="49" s="1"/>
  <c r="S1095" i="49"/>
  <c r="AA1095" i="49" s="1"/>
  <c r="S1132" i="49"/>
  <c r="AA1132" i="49" s="1"/>
  <c r="S1169" i="49"/>
  <c r="AA1169" i="49" s="1"/>
  <c r="S1206" i="49"/>
  <c r="AA1206" i="49" s="1"/>
  <c r="S1243" i="49"/>
  <c r="AA1243" i="49" s="1"/>
  <c r="S1280" i="49"/>
  <c r="AA1280" i="49" s="1"/>
  <c r="S93" i="49"/>
  <c r="AA93" i="49" s="1"/>
  <c r="S749" i="49"/>
  <c r="AA749" i="49" s="1"/>
  <c r="S143" i="49"/>
  <c r="AA143" i="49" s="1"/>
  <c r="S714" i="49"/>
  <c r="AA714" i="49" s="1"/>
  <c r="S936" i="49"/>
  <c r="AA936" i="49" s="1"/>
  <c r="S1248" i="49"/>
  <c r="AA1248" i="49" s="1"/>
  <c r="S73" i="49"/>
  <c r="AA73" i="49" s="1"/>
  <c r="S137" i="49"/>
  <c r="AA137" i="49" s="1"/>
  <c r="S153" i="49"/>
  <c r="AA153" i="49" s="1"/>
  <c r="S252" i="49"/>
  <c r="AA252" i="49" s="1"/>
  <c r="S412" i="49"/>
  <c r="AA412" i="49" s="1"/>
  <c r="S560" i="49"/>
  <c r="AA560" i="49" s="1"/>
  <c r="S671" i="49"/>
  <c r="AA671" i="49" s="1"/>
  <c r="S1020" i="49"/>
  <c r="AA1020" i="49" s="1"/>
  <c r="S1242" i="49"/>
  <c r="AA1242" i="49" s="1"/>
  <c r="S75" i="49"/>
  <c r="AA75" i="49" s="1"/>
  <c r="S91" i="49"/>
  <c r="AA91" i="49" s="1"/>
  <c r="S107" i="49"/>
  <c r="AA107" i="49" s="1"/>
  <c r="S123" i="49"/>
  <c r="AA123" i="49" s="1"/>
  <c r="S139" i="49"/>
  <c r="AA139" i="49" s="1"/>
  <c r="S155" i="49"/>
  <c r="AA155" i="49" s="1"/>
  <c r="S171" i="49"/>
  <c r="AA171" i="49" s="1"/>
  <c r="S187" i="49"/>
  <c r="AA187" i="49" s="1"/>
  <c r="S223" i="49"/>
  <c r="AA223" i="49" s="1"/>
  <c r="S254" i="49"/>
  <c r="AA254" i="49" s="1"/>
  <c r="S299" i="49"/>
  <c r="AA299" i="49" s="1"/>
  <c r="S371" i="49"/>
  <c r="AA371" i="49" s="1"/>
  <c r="S451" i="49"/>
  <c r="AA451" i="49" s="1"/>
  <c r="S488" i="49"/>
  <c r="AA488" i="49" s="1"/>
  <c r="S525" i="49"/>
  <c r="AA525" i="49" s="1"/>
  <c r="S562" i="49"/>
  <c r="AA562" i="49" s="1"/>
  <c r="S599" i="49"/>
  <c r="AA599" i="49" s="1"/>
  <c r="S636" i="49"/>
  <c r="AA636" i="49" s="1"/>
  <c r="S673" i="49"/>
  <c r="AA673" i="49" s="1"/>
  <c r="S710" i="49"/>
  <c r="AA710" i="49" s="1"/>
  <c r="S747" i="49"/>
  <c r="AA747" i="49" s="1"/>
  <c r="S784" i="49"/>
  <c r="AA784" i="49" s="1"/>
  <c r="S821" i="49"/>
  <c r="AA821" i="49" s="1"/>
  <c r="S1059" i="49"/>
  <c r="AA1059" i="49" s="1"/>
  <c r="S1096" i="49"/>
  <c r="AA1096" i="49" s="1"/>
  <c r="S1133" i="49"/>
  <c r="AA1133" i="49" s="1"/>
  <c r="S1170" i="49"/>
  <c r="AA1170" i="49" s="1"/>
  <c r="S1207" i="49"/>
  <c r="AA1207" i="49" s="1"/>
  <c r="S1244" i="49"/>
  <c r="AA1244" i="49" s="1"/>
  <c r="S1281" i="49"/>
  <c r="AA1281" i="49" s="1"/>
  <c r="S77" i="49"/>
  <c r="AA77" i="49" s="1"/>
  <c r="S141" i="49"/>
  <c r="AA141" i="49" s="1"/>
  <c r="S189" i="49"/>
  <c r="AA189" i="49" s="1"/>
  <c r="S527" i="49"/>
  <c r="AA527" i="49" s="1"/>
  <c r="S712" i="49"/>
  <c r="AA712" i="49" s="1"/>
  <c r="S860" i="49"/>
  <c r="AA860" i="49" s="1"/>
  <c r="S1172" i="49"/>
  <c r="AA1172" i="49" s="1"/>
  <c r="S1283" i="49"/>
  <c r="AA1283" i="49" s="1"/>
  <c r="S89" i="49"/>
  <c r="AA89" i="49" s="1"/>
  <c r="S169" i="49"/>
  <c r="AA169" i="49" s="1"/>
  <c r="S297" i="49"/>
  <c r="AA297" i="49" s="1"/>
  <c r="S449" i="49"/>
  <c r="AA449" i="49" s="1"/>
  <c r="S597" i="49"/>
  <c r="AA597" i="49" s="1"/>
  <c r="S745" i="49"/>
  <c r="AA745" i="49" s="1"/>
  <c r="S1057" i="49"/>
  <c r="AA1057" i="49" s="1"/>
  <c r="S1205" i="49"/>
  <c r="AA1205" i="49" s="1"/>
  <c r="S76" i="49"/>
  <c r="AA76" i="49" s="1"/>
  <c r="S92" i="49"/>
  <c r="AA92" i="49" s="1"/>
  <c r="S108" i="49"/>
  <c r="AA108" i="49" s="1"/>
  <c r="S124" i="49"/>
  <c r="AA124" i="49" s="1"/>
  <c r="S140" i="49"/>
  <c r="AA140" i="49" s="1"/>
  <c r="S156" i="49"/>
  <c r="AA156" i="49" s="1"/>
  <c r="S172" i="49"/>
  <c r="AA172" i="49" s="1"/>
  <c r="S188" i="49"/>
  <c r="AA188" i="49" s="1"/>
  <c r="S255" i="49"/>
  <c r="AA255" i="49" s="1"/>
  <c r="S327" i="49"/>
  <c r="AA327" i="49" s="1"/>
  <c r="S372" i="49"/>
  <c r="AA372" i="49" s="1"/>
  <c r="S489" i="49"/>
  <c r="AA489" i="49" s="1"/>
  <c r="S526" i="49"/>
  <c r="AA526" i="49" s="1"/>
  <c r="S563" i="49"/>
  <c r="AA563" i="49" s="1"/>
  <c r="S600" i="49"/>
  <c r="AA600" i="49" s="1"/>
  <c r="S637" i="49"/>
  <c r="AA637" i="49" s="1"/>
  <c r="S674" i="49"/>
  <c r="AA674" i="49" s="1"/>
  <c r="S711" i="49"/>
  <c r="AA711" i="49" s="1"/>
  <c r="S748" i="49"/>
  <c r="AA748" i="49" s="1"/>
  <c r="S785" i="49"/>
  <c r="AA785" i="49" s="1"/>
  <c r="S822" i="49"/>
  <c r="AA822" i="49" s="1"/>
  <c r="S859" i="49"/>
  <c r="AA859" i="49" s="1"/>
  <c r="S1097" i="49"/>
  <c r="AA1097" i="49" s="1"/>
  <c r="S1134" i="49"/>
  <c r="AA1134" i="49" s="1"/>
  <c r="S1171" i="49"/>
  <c r="AA1171" i="49" s="1"/>
  <c r="S1208" i="49"/>
  <c r="AA1208" i="49" s="1"/>
  <c r="S1245" i="49"/>
  <c r="AA1245" i="49" s="1"/>
  <c r="S1282" i="49"/>
  <c r="AA1282" i="49" s="1"/>
  <c r="AD43" i="49"/>
  <c r="AD51" i="49"/>
  <c r="AD58" i="49"/>
  <c r="AD45" i="49"/>
  <c r="AD49" i="49"/>
  <c r="AD65" i="49"/>
  <c r="AD44" i="49"/>
  <c r="AD50" i="49"/>
  <c r="AD66" i="49"/>
  <c r="AD67" i="49"/>
  <c r="AD53" i="49"/>
  <c r="AD54" i="49"/>
  <c r="AD70" i="49"/>
  <c r="AD55" i="49"/>
  <c r="AD71" i="49"/>
  <c r="AD56" i="49"/>
  <c r="AD72" i="49"/>
  <c r="AD69" i="49"/>
  <c r="AD57" i="49"/>
  <c r="AD68" i="49"/>
  <c r="AD59" i="49"/>
  <c r="AD60" i="49"/>
  <c r="AD61" i="49"/>
  <c r="AD52" i="49"/>
  <c r="AD62" i="49"/>
  <c r="AD47" i="49"/>
  <c r="AD46" i="49"/>
  <c r="AD63" i="49"/>
  <c r="AD48" i="49"/>
  <c r="AD64" i="49"/>
  <c r="A142" i="56"/>
  <c r="AF48" i="49"/>
  <c r="AE48" i="49"/>
  <c r="AF64" i="49"/>
  <c r="AE64" i="49"/>
  <c r="AE259" i="49"/>
  <c r="AF259" i="49"/>
  <c r="AF333" i="49"/>
  <c r="AE333" i="49"/>
  <c r="AF403" i="49"/>
  <c r="AE403" i="49"/>
  <c r="AF641" i="49"/>
  <c r="AE641" i="49"/>
  <c r="AF678" i="49"/>
  <c r="AE678" i="49"/>
  <c r="AF715" i="49"/>
  <c r="AE715" i="49"/>
  <c r="AF752" i="49"/>
  <c r="AE752" i="49"/>
  <c r="AF789" i="49"/>
  <c r="AE789" i="49"/>
  <c r="AF826" i="49"/>
  <c r="AE826" i="49"/>
  <c r="AF863" i="49"/>
  <c r="AE863" i="49"/>
  <c r="AF900" i="49"/>
  <c r="AE900" i="49"/>
  <c r="AF937" i="49"/>
  <c r="AE937" i="49"/>
  <c r="AF974" i="49"/>
  <c r="AE974" i="49"/>
  <c r="AF1011" i="49"/>
  <c r="AE1011" i="49"/>
  <c r="AF1249" i="49"/>
  <c r="AE1249" i="49"/>
  <c r="AF1286" i="49"/>
  <c r="AE1286" i="49"/>
  <c r="AF66" i="49"/>
  <c r="AE66" i="49"/>
  <c r="AF214" i="49"/>
  <c r="AE214" i="49"/>
  <c r="AE261" i="49"/>
  <c r="AF261" i="49"/>
  <c r="AF335" i="49"/>
  <c r="AE335" i="49"/>
  <c r="AF405" i="49"/>
  <c r="AE405" i="49"/>
  <c r="AF442" i="49"/>
  <c r="AE442" i="49"/>
  <c r="AF479" i="49"/>
  <c r="AE479" i="49"/>
  <c r="AF717" i="49"/>
  <c r="AE717" i="49"/>
  <c r="AF754" i="49"/>
  <c r="AE754" i="49"/>
  <c r="AF791" i="49"/>
  <c r="AE791" i="49"/>
  <c r="AF828" i="49"/>
  <c r="AE828" i="49"/>
  <c r="AF865" i="49"/>
  <c r="AE865" i="49"/>
  <c r="AF902" i="49"/>
  <c r="AE902" i="49"/>
  <c r="AF939" i="49"/>
  <c r="AE939" i="49"/>
  <c r="AF976" i="49"/>
  <c r="AE976" i="49"/>
  <c r="AF1013" i="49"/>
  <c r="AE1013" i="49"/>
  <c r="AF1050" i="49"/>
  <c r="AE1050" i="49"/>
  <c r="AF1087" i="49"/>
  <c r="AE1087" i="49"/>
  <c r="AF215" i="49"/>
  <c r="AE215" i="49"/>
  <c r="AF289" i="49"/>
  <c r="AE289" i="49"/>
  <c r="AF336" i="49"/>
  <c r="AE336" i="49"/>
  <c r="AF406" i="49"/>
  <c r="AE406" i="49"/>
  <c r="AF443" i="49"/>
  <c r="AE443" i="49"/>
  <c r="AF480" i="49"/>
  <c r="AE480" i="49"/>
  <c r="AF517" i="49"/>
  <c r="AE517" i="49"/>
  <c r="AF755" i="49"/>
  <c r="AE755" i="49"/>
  <c r="AF792" i="49"/>
  <c r="AE792" i="49"/>
  <c r="AF829" i="49"/>
  <c r="AE829" i="49"/>
  <c r="AF866" i="49"/>
  <c r="AE866" i="49"/>
  <c r="AF903" i="49"/>
  <c r="AE903" i="49"/>
  <c r="AF940" i="49"/>
  <c r="AE940" i="49"/>
  <c r="AF977" i="49"/>
  <c r="AE977" i="49"/>
  <c r="AF1014" i="49"/>
  <c r="AE1014" i="49"/>
  <c r="AF1051" i="49"/>
  <c r="AE1051" i="49"/>
  <c r="AF1088" i="49"/>
  <c r="AE1088" i="49"/>
  <c r="AF1125" i="49"/>
  <c r="AE1125" i="49"/>
  <c r="AF67" i="49"/>
  <c r="AE67" i="49"/>
  <c r="AF52" i="49"/>
  <c r="AE52" i="49"/>
  <c r="AF68" i="49"/>
  <c r="AE68" i="49"/>
  <c r="AF216" i="49"/>
  <c r="AE216" i="49"/>
  <c r="AF290" i="49"/>
  <c r="AE290" i="49"/>
  <c r="AF337" i="49"/>
  <c r="AE337" i="49"/>
  <c r="AF407" i="49"/>
  <c r="AE407" i="49"/>
  <c r="AF444" i="49"/>
  <c r="AE444" i="49"/>
  <c r="AF481" i="49"/>
  <c r="AE481" i="49"/>
  <c r="AF518" i="49"/>
  <c r="AE518" i="49"/>
  <c r="AF555" i="49"/>
  <c r="AE555" i="49"/>
  <c r="AF793" i="49"/>
  <c r="AE793" i="49"/>
  <c r="AF830" i="49"/>
  <c r="AE830" i="49"/>
  <c r="AF867" i="49"/>
  <c r="AE867" i="49"/>
  <c r="AF904" i="49"/>
  <c r="AE904" i="49"/>
  <c r="AF941" i="49"/>
  <c r="AE941" i="49"/>
  <c r="AF978" i="49"/>
  <c r="AE978" i="49"/>
  <c r="AF1015" i="49"/>
  <c r="AE1015" i="49"/>
  <c r="AF1052" i="49"/>
  <c r="AE1052" i="49"/>
  <c r="AF1089" i="49"/>
  <c r="AE1089" i="49"/>
  <c r="AF1126" i="49"/>
  <c r="AE1126" i="49"/>
  <c r="AF1163" i="49"/>
  <c r="AE1163" i="49"/>
  <c r="AF53" i="49"/>
  <c r="AE53" i="49"/>
  <c r="AF69" i="49"/>
  <c r="AE69" i="49"/>
  <c r="AF217" i="49"/>
  <c r="AE217" i="49"/>
  <c r="AF291" i="49"/>
  <c r="AE291" i="49"/>
  <c r="AF365" i="49"/>
  <c r="AE365" i="49"/>
  <c r="AF408" i="49"/>
  <c r="AE408" i="49"/>
  <c r="AF445" i="49"/>
  <c r="AE445" i="49"/>
  <c r="AF482" i="49"/>
  <c r="AE482" i="49"/>
  <c r="AF519" i="49"/>
  <c r="AE519" i="49"/>
  <c r="AF556" i="49"/>
  <c r="AE556" i="49"/>
  <c r="AF593" i="49"/>
  <c r="AE593" i="49"/>
  <c r="AF831" i="49"/>
  <c r="AE831" i="49"/>
  <c r="AF868" i="49"/>
  <c r="AE868" i="49"/>
  <c r="AF905" i="49"/>
  <c r="AE905" i="49"/>
  <c r="AF942" i="49"/>
  <c r="AE942" i="49"/>
  <c r="AF979" i="49"/>
  <c r="AE979" i="49"/>
  <c r="AF1016" i="49"/>
  <c r="AE1016" i="49"/>
  <c r="AF1053" i="49"/>
  <c r="AE1053" i="49"/>
  <c r="AF1090" i="49"/>
  <c r="AE1090" i="49"/>
  <c r="AF1127" i="49"/>
  <c r="AE1127" i="49"/>
  <c r="AF1164" i="49"/>
  <c r="AE1164" i="49"/>
  <c r="AF1201" i="49"/>
  <c r="AE1201" i="49"/>
  <c r="AF51" i="49"/>
  <c r="AE51" i="49"/>
  <c r="AF54" i="49"/>
  <c r="AE54" i="49"/>
  <c r="AF70" i="49"/>
  <c r="AE70" i="49"/>
  <c r="AF218" i="49"/>
  <c r="AE218" i="49"/>
  <c r="AF292" i="49"/>
  <c r="AE292" i="49"/>
  <c r="AF409" i="49"/>
  <c r="AE409" i="49"/>
  <c r="AF446" i="49"/>
  <c r="AE446" i="49"/>
  <c r="AF483" i="49"/>
  <c r="AE483" i="49"/>
  <c r="AF520" i="49"/>
  <c r="AE520" i="49"/>
  <c r="AF557" i="49"/>
  <c r="AE557" i="49"/>
  <c r="AF594" i="49"/>
  <c r="AE594" i="49"/>
  <c r="AF631" i="49"/>
  <c r="AE631" i="49"/>
  <c r="AF869" i="49"/>
  <c r="AE869" i="49"/>
  <c r="AF906" i="49"/>
  <c r="AE906" i="49"/>
  <c r="AF943" i="49"/>
  <c r="AE943" i="49"/>
  <c r="AF980" i="49"/>
  <c r="AE980" i="49"/>
  <c r="AF1017" i="49"/>
  <c r="AE1017" i="49"/>
  <c r="AF1054" i="49"/>
  <c r="AE1054" i="49"/>
  <c r="AF1091" i="49"/>
  <c r="AE1091" i="49"/>
  <c r="AF1128" i="49"/>
  <c r="AE1128" i="49"/>
  <c r="AF1165" i="49"/>
  <c r="AE1165" i="49"/>
  <c r="AF1202" i="49"/>
  <c r="AE1202" i="49"/>
  <c r="AF1239" i="49"/>
  <c r="AE1239" i="49"/>
  <c r="AF55" i="49"/>
  <c r="AE55" i="49"/>
  <c r="AF71" i="49"/>
  <c r="AE71" i="49"/>
  <c r="AF219" i="49"/>
  <c r="AE219" i="49"/>
  <c r="AF295" i="49"/>
  <c r="AE295" i="49"/>
  <c r="AF367" i="49"/>
  <c r="AE367" i="49"/>
  <c r="AF410" i="49"/>
  <c r="AE410" i="49"/>
  <c r="AF447" i="49"/>
  <c r="AE447" i="49"/>
  <c r="AF484" i="49"/>
  <c r="AE484" i="49"/>
  <c r="AF521" i="49"/>
  <c r="AE521" i="49"/>
  <c r="AF558" i="49"/>
  <c r="AE558" i="49"/>
  <c r="AF595" i="49"/>
  <c r="AE595" i="49"/>
  <c r="AF632" i="49"/>
  <c r="AE632" i="49"/>
  <c r="AF669" i="49"/>
  <c r="AE669" i="49"/>
  <c r="AF907" i="49"/>
  <c r="AE907" i="49"/>
  <c r="AF944" i="49"/>
  <c r="AE944" i="49"/>
  <c r="AF981" i="49"/>
  <c r="AE981" i="49"/>
  <c r="AF1018" i="49"/>
  <c r="AE1018" i="49"/>
  <c r="AF1055" i="49"/>
  <c r="AE1055" i="49"/>
  <c r="AF1092" i="49"/>
  <c r="AE1092" i="49"/>
  <c r="AF1129" i="49"/>
  <c r="AE1129" i="49"/>
  <c r="AF1166" i="49"/>
  <c r="AE1166" i="49"/>
  <c r="AF1203" i="49"/>
  <c r="AE1203" i="49"/>
  <c r="AF1240" i="49"/>
  <c r="AE1240" i="49"/>
  <c r="AF1277" i="49"/>
  <c r="AE1277" i="49"/>
  <c r="AF56" i="49"/>
  <c r="AE56" i="49"/>
  <c r="AF72" i="49"/>
  <c r="AE72" i="49"/>
  <c r="AF220" i="49"/>
  <c r="AE220" i="49"/>
  <c r="AF251" i="49"/>
  <c r="AE251" i="49"/>
  <c r="AF296" i="49"/>
  <c r="AE296" i="49"/>
  <c r="AF368" i="49"/>
  <c r="AE368" i="49"/>
  <c r="AF411" i="49"/>
  <c r="AE411" i="49"/>
  <c r="AF448" i="49"/>
  <c r="AE448" i="49"/>
  <c r="AF485" i="49"/>
  <c r="AE485" i="49"/>
  <c r="AF522" i="49"/>
  <c r="AE522" i="49"/>
  <c r="AF559" i="49"/>
  <c r="AE559" i="49"/>
  <c r="AF596" i="49"/>
  <c r="AE596" i="49"/>
  <c r="AF633" i="49"/>
  <c r="AE633" i="49"/>
  <c r="AF670" i="49"/>
  <c r="AE670" i="49"/>
  <c r="AF707" i="49"/>
  <c r="AE707" i="49"/>
  <c r="AF945" i="49"/>
  <c r="AE945" i="49"/>
  <c r="AF982" i="49"/>
  <c r="AE982" i="49"/>
  <c r="AF1019" i="49"/>
  <c r="AE1019" i="49"/>
  <c r="AF1056" i="49"/>
  <c r="AE1056" i="49"/>
  <c r="AF1093" i="49"/>
  <c r="AE1093" i="49"/>
  <c r="AF1130" i="49"/>
  <c r="AE1130" i="49"/>
  <c r="AF1167" i="49"/>
  <c r="AE1167" i="49"/>
  <c r="AF1204" i="49"/>
  <c r="AE1204" i="49"/>
  <c r="AF1241" i="49"/>
  <c r="AE1241" i="49"/>
  <c r="AF1278" i="49"/>
  <c r="AE1278" i="49"/>
  <c r="AE260" i="49"/>
  <c r="AF260" i="49"/>
  <c r="AF221" i="49"/>
  <c r="AE221" i="49"/>
  <c r="AE252" i="49"/>
  <c r="AF252" i="49"/>
  <c r="AF297" i="49"/>
  <c r="AE297" i="49"/>
  <c r="AF369" i="49"/>
  <c r="AE369" i="49"/>
  <c r="AF412" i="49"/>
  <c r="AE412" i="49"/>
  <c r="AF449" i="49"/>
  <c r="AE449" i="49"/>
  <c r="AF486" i="49"/>
  <c r="AE486" i="49"/>
  <c r="AF523" i="49"/>
  <c r="AE523" i="49"/>
  <c r="AF560" i="49"/>
  <c r="AE560" i="49"/>
  <c r="AF597" i="49"/>
  <c r="AE597" i="49"/>
  <c r="AF634" i="49"/>
  <c r="AE634" i="49"/>
  <c r="AF671" i="49"/>
  <c r="AE671" i="49"/>
  <c r="AF708" i="49"/>
  <c r="AE708" i="49"/>
  <c r="AF745" i="49"/>
  <c r="AE745" i="49"/>
  <c r="AF983" i="49"/>
  <c r="AE983" i="49"/>
  <c r="AF1020" i="49"/>
  <c r="AE1020" i="49"/>
  <c r="AF1057" i="49"/>
  <c r="AE1057" i="49"/>
  <c r="AF1094" i="49"/>
  <c r="AE1094" i="49"/>
  <c r="AF1131" i="49"/>
  <c r="AE1131" i="49"/>
  <c r="AF1168" i="49"/>
  <c r="AE1168" i="49"/>
  <c r="AF1205" i="49"/>
  <c r="AE1205" i="49"/>
  <c r="AF1242" i="49"/>
  <c r="AE1242" i="49"/>
  <c r="AF1279" i="49"/>
  <c r="AE1279" i="49"/>
  <c r="AF213" i="49"/>
  <c r="AE213" i="49"/>
  <c r="AF404" i="49"/>
  <c r="AE404" i="49"/>
  <c r="AF753" i="49"/>
  <c r="AE753" i="49"/>
  <c r="AF864" i="49"/>
  <c r="AE864" i="49"/>
  <c r="AF938" i="49"/>
  <c r="AE938" i="49"/>
  <c r="AF1049" i="49"/>
  <c r="AE1049" i="49"/>
  <c r="AF1287" i="49"/>
  <c r="AE1287" i="49"/>
  <c r="AF57" i="49"/>
  <c r="AE57" i="49"/>
  <c r="AF58" i="49"/>
  <c r="AE58" i="49"/>
  <c r="AF222" i="49"/>
  <c r="AE222" i="49"/>
  <c r="AE253" i="49"/>
  <c r="AF253" i="49"/>
  <c r="AF298" i="49"/>
  <c r="AE298" i="49"/>
  <c r="AF370" i="49"/>
  <c r="AE370" i="49"/>
  <c r="AF413" i="49"/>
  <c r="AE413" i="49"/>
  <c r="AF450" i="49"/>
  <c r="AE450" i="49"/>
  <c r="AF487" i="49"/>
  <c r="AE487" i="49"/>
  <c r="AF524" i="49"/>
  <c r="AE524" i="49"/>
  <c r="AF561" i="49"/>
  <c r="AE561" i="49"/>
  <c r="AF598" i="49"/>
  <c r="AE598" i="49"/>
  <c r="AF635" i="49"/>
  <c r="AE635" i="49"/>
  <c r="AF672" i="49"/>
  <c r="AE672" i="49"/>
  <c r="AF709" i="49"/>
  <c r="AE709" i="49"/>
  <c r="AF746" i="49"/>
  <c r="AE746" i="49"/>
  <c r="AF783" i="49"/>
  <c r="AE783" i="49"/>
  <c r="AF1021" i="49"/>
  <c r="AE1021" i="49"/>
  <c r="AF1058" i="49"/>
  <c r="AE1058" i="49"/>
  <c r="AF1095" i="49"/>
  <c r="AE1095" i="49"/>
  <c r="AF1132" i="49"/>
  <c r="AE1132" i="49"/>
  <c r="AF1169" i="49"/>
  <c r="AE1169" i="49"/>
  <c r="AF1206" i="49"/>
  <c r="AE1206" i="49"/>
  <c r="AF1243" i="49"/>
  <c r="AE1243" i="49"/>
  <c r="AF1280" i="49"/>
  <c r="AE1280" i="49"/>
  <c r="AF65" i="49"/>
  <c r="AE65" i="49"/>
  <c r="AF334" i="49"/>
  <c r="AE334" i="49"/>
  <c r="AF716" i="49"/>
  <c r="AE716" i="49"/>
  <c r="AF827" i="49"/>
  <c r="AE827" i="49"/>
  <c r="AF975" i="49"/>
  <c r="AE975" i="49"/>
  <c r="AF59" i="49"/>
  <c r="AE59" i="49"/>
  <c r="AF223" i="49"/>
  <c r="AE223" i="49"/>
  <c r="AE254" i="49"/>
  <c r="AF254" i="49"/>
  <c r="AF299" i="49"/>
  <c r="AE299" i="49"/>
  <c r="AF371" i="49"/>
  <c r="AE371" i="49"/>
  <c r="AF451" i="49"/>
  <c r="AE451" i="49"/>
  <c r="AF488" i="49"/>
  <c r="AE488" i="49"/>
  <c r="AF525" i="49"/>
  <c r="AE525" i="49"/>
  <c r="AF562" i="49"/>
  <c r="AE562" i="49"/>
  <c r="AF599" i="49"/>
  <c r="AE599" i="49"/>
  <c r="AF636" i="49"/>
  <c r="AE636" i="49"/>
  <c r="AF673" i="49"/>
  <c r="AE673" i="49"/>
  <c r="AF710" i="49"/>
  <c r="AE710" i="49"/>
  <c r="AF747" i="49"/>
  <c r="AE747" i="49"/>
  <c r="AF784" i="49"/>
  <c r="AE784" i="49"/>
  <c r="AF821" i="49"/>
  <c r="AE821" i="49"/>
  <c r="AF1059" i="49"/>
  <c r="AE1059" i="49"/>
  <c r="AF1096" i="49"/>
  <c r="AE1096" i="49"/>
  <c r="AF1133" i="49"/>
  <c r="AE1133" i="49"/>
  <c r="AF1170" i="49"/>
  <c r="AE1170" i="49"/>
  <c r="AF1207" i="49"/>
  <c r="AE1207" i="49"/>
  <c r="AF1244" i="49"/>
  <c r="AE1244" i="49"/>
  <c r="AF1281" i="49"/>
  <c r="AE1281" i="49"/>
  <c r="AF45" i="49"/>
  <c r="AE45" i="49"/>
  <c r="AF49" i="49"/>
  <c r="AE49" i="49"/>
  <c r="AF441" i="49"/>
  <c r="AE441" i="49"/>
  <c r="AF679" i="49"/>
  <c r="AE679" i="49"/>
  <c r="AF790" i="49"/>
  <c r="AE790" i="49"/>
  <c r="AF901" i="49"/>
  <c r="AE901" i="49"/>
  <c r="AF1012" i="49"/>
  <c r="AE1012" i="49"/>
  <c r="AF44" i="49"/>
  <c r="AE44" i="49"/>
  <c r="AF60" i="49"/>
  <c r="AE60" i="49"/>
  <c r="AE255" i="49"/>
  <c r="AF255" i="49"/>
  <c r="AF327" i="49"/>
  <c r="AE327" i="49"/>
  <c r="AF372" i="49"/>
  <c r="AE372" i="49"/>
  <c r="AF489" i="49"/>
  <c r="AE489" i="49"/>
  <c r="AF526" i="49"/>
  <c r="AE526" i="49"/>
  <c r="AF563" i="49"/>
  <c r="AE563" i="49"/>
  <c r="AF600" i="49"/>
  <c r="AE600" i="49"/>
  <c r="AF637" i="49"/>
  <c r="AE637" i="49"/>
  <c r="AF674" i="49"/>
  <c r="AE674" i="49"/>
  <c r="AF711" i="49"/>
  <c r="AE711" i="49"/>
  <c r="AF748" i="49"/>
  <c r="AE748" i="49"/>
  <c r="AF785" i="49"/>
  <c r="AE785" i="49"/>
  <c r="AF822" i="49"/>
  <c r="AE822" i="49"/>
  <c r="AF859" i="49"/>
  <c r="AE859" i="49"/>
  <c r="AF1097" i="49"/>
  <c r="AE1097" i="49"/>
  <c r="AF1134" i="49"/>
  <c r="AE1134" i="49"/>
  <c r="AF1171" i="49"/>
  <c r="AE1171" i="49"/>
  <c r="AF1208" i="49"/>
  <c r="AE1208" i="49"/>
  <c r="AF1245" i="49"/>
  <c r="AE1245" i="49"/>
  <c r="AF1282" i="49"/>
  <c r="AE1282" i="49"/>
  <c r="AF61" i="49"/>
  <c r="AE61" i="49"/>
  <c r="AE256" i="49"/>
  <c r="AF256" i="49"/>
  <c r="AF373" i="49"/>
  <c r="AE373" i="49"/>
  <c r="AF527" i="49"/>
  <c r="AE527" i="49"/>
  <c r="AF601" i="49"/>
  <c r="AE601" i="49"/>
  <c r="AF675" i="49"/>
  <c r="AE675" i="49"/>
  <c r="AF749" i="49"/>
  <c r="AE749" i="49"/>
  <c r="AF823" i="49"/>
  <c r="AE823" i="49"/>
  <c r="AF897" i="49"/>
  <c r="AE897" i="49"/>
  <c r="AF1172" i="49"/>
  <c r="AE1172" i="49"/>
  <c r="AF1209" i="49"/>
  <c r="AE1209" i="49"/>
  <c r="AF1246" i="49"/>
  <c r="AE1246" i="49"/>
  <c r="AF46" i="49"/>
  <c r="AE46" i="49"/>
  <c r="AF62" i="49"/>
  <c r="AE62" i="49"/>
  <c r="AE257" i="49"/>
  <c r="AF257" i="49"/>
  <c r="AF329" i="49"/>
  <c r="AE329" i="49"/>
  <c r="AF374" i="49"/>
  <c r="AE374" i="49"/>
  <c r="AF565" i="49"/>
  <c r="AE565" i="49"/>
  <c r="AF602" i="49"/>
  <c r="AE602" i="49"/>
  <c r="AF639" i="49"/>
  <c r="AE639" i="49"/>
  <c r="AF676" i="49"/>
  <c r="AE676" i="49"/>
  <c r="AF713" i="49"/>
  <c r="AE713" i="49"/>
  <c r="AF750" i="49"/>
  <c r="AE750" i="49"/>
  <c r="AF787" i="49"/>
  <c r="AE787" i="49"/>
  <c r="AF824" i="49"/>
  <c r="AE824" i="49"/>
  <c r="AF861" i="49"/>
  <c r="AE861" i="49"/>
  <c r="AF898" i="49"/>
  <c r="AE898" i="49"/>
  <c r="AF935" i="49"/>
  <c r="AE935" i="49"/>
  <c r="AF1173" i="49"/>
  <c r="AE1173" i="49"/>
  <c r="AF1210" i="49"/>
  <c r="AE1210" i="49"/>
  <c r="AF1247" i="49"/>
  <c r="AE1247" i="49"/>
  <c r="AF1284" i="49"/>
  <c r="AE1284" i="49"/>
  <c r="AF328" i="49"/>
  <c r="AE328" i="49"/>
  <c r="AF564" i="49"/>
  <c r="AE564" i="49"/>
  <c r="AF638" i="49"/>
  <c r="AE638" i="49"/>
  <c r="AF712" i="49"/>
  <c r="AE712" i="49"/>
  <c r="AF786" i="49"/>
  <c r="AE786" i="49"/>
  <c r="AF860" i="49"/>
  <c r="AE860" i="49"/>
  <c r="AF1135" i="49"/>
  <c r="AE1135" i="49"/>
  <c r="AF1283" i="49"/>
  <c r="AE1283" i="49"/>
  <c r="AF47" i="49"/>
  <c r="AE47" i="49"/>
  <c r="AF63" i="49"/>
  <c r="AE63" i="49"/>
  <c r="AE258" i="49"/>
  <c r="AF258" i="49"/>
  <c r="AF332" i="49"/>
  <c r="AE332" i="49"/>
  <c r="AF375" i="49"/>
  <c r="AE375" i="49"/>
  <c r="AF603" i="49"/>
  <c r="AE603" i="49"/>
  <c r="AF640" i="49"/>
  <c r="AE640" i="49"/>
  <c r="AF677" i="49"/>
  <c r="AE677" i="49"/>
  <c r="AF714" i="49"/>
  <c r="AE714" i="49"/>
  <c r="AF751" i="49"/>
  <c r="AE751" i="49"/>
  <c r="AF788" i="49"/>
  <c r="AE788" i="49"/>
  <c r="AF825" i="49"/>
  <c r="AE825" i="49"/>
  <c r="AF862" i="49"/>
  <c r="AE862" i="49"/>
  <c r="AF899" i="49"/>
  <c r="AE899" i="49"/>
  <c r="AF936" i="49"/>
  <c r="AE936" i="49"/>
  <c r="AF973" i="49"/>
  <c r="AE973" i="49"/>
  <c r="AF1211" i="49"/>
  <c r="AE1211" i="49"/>
  <c r="AF1248" i="49"/>
  <c r="AE1248" i="49"/>
  <c r="AF1285" i="49"/>
  <c r="AE1285" i="49"/>
  <c r="AF132" i="49"/>
  <c r="AE132" i="49"/>
  <c r="AE87" i="49"/>
  <c r="AF87" i="49"/>
  <c r="AF103" i="49"/>
  <c r="AE103" i="49"/>
  <c r="AF119" i="49"/>
  <c r="AE119" i="49"/>
  <c r="AF135" i="49"/>
  <c r="AE135" i="49"/>
  <c r="AF151" i="49"/>
  <c r="AE151" i="49"/>
  <c r="AF167" i="49"/>
  <c r="AE167" i="49"/>
  <c r="AF183" i="49"/>
  <c r="AE183" i="49"/>
  <c r="AF88" i="49"/>
  <c r="AE88" i="49"/>
  <c r="AF104" i="49"/>
  <c r="AE104" i="49"/>
  <c r="AF120" i="49"/>
  <c r="AE120" i="49"/>
  <c r="AF136" i="49"/>
  <c r="AE136" i="49"/>
  <c r="AF152" i="49"/>
  <c r="AE152" i="49"/>
  <c r="AF168" i="49"/>
  <c r="AE168" i="49"/>
  <c r="AF184" i="49"/>
  <c r="AE184" i="49"/>
  <c r="AF116" i="49"/>
  <c r="AE116" i="49"/>
  <c r="AF73" i="49"/>
  <c r="AE73" i="49"/>
  <c r="AF89" i="49"/>
  <c r="AE89" i="49"/>
  <c r="AF105" i="49"/>
  <c r="AE105" i="49"/>
  <c r="AF121" i="49"/>
  <c r="AE121" i="49"/>
  <c r="AF137" i="49"/>
  <c r="AE137" i="49"/>
  <c r="AF153" i="49"/>
  <c r="AE153" i="49"/>
  <c r="AF169" i="49"/>
  <c r="AE169" i="49"/>
  <c r="AF185" i="49"/>
  <c r="AE185" i="49"/>
  <c r="AF149" i="49"/>
  <c r="AE149" i="49"/>
  <c r="AF150" i="49"/>
  <c r="AE150" i="49"/>
  <c r="AF74" i="49"/>
  <c r="AE74" i="49"/>
  <c r="AE90" i="49"/>
  <c r="AF90" i="49"/>
  <c r="AF106" i="49"/>
  <c r="AE106" i="49"/>
  <c r="AF122" i="49"/>
  <c r="AE122" i="49"/>
  <c r="AF138" i="49"/>
  <c r="AE138" i="49"/>
  <c r="AF154" i="49"/>
  <c r="AE154" i="49"/>
  <c r="AF170" i="49"/>
  <c r="AE170" i="49"/>
  <c r="AF186" i="49"/>
  <c r="AE186" i="49"/>
  <c r="AF148" i="49"/>
  <c r="AE148" i="49"/>
  <c r="AF166" i="49"/>
  <c r="AE166" i="49"/>
  <c r="AF75" i="49"/>
  <c r="AE75" i="49"/>
  <c r="AF91" i="49"/>
  <c r="AE91" i="49"/>
  <c r="AF107" i="49"/>
  <c r="AE107" i="49"/>
  <c r="AF123" i="49"/>
  <c r="AE123" i="49"/>
  <c r="AF139" i="49"/>
  <c r="AE139" i="49"/>
  <c r="AF155" i="49"/>
  <c r="AE155" i="49"/>
  <c r="AF171" i="49"/>
  <c r="AE171" i="49"/>
  <c r="AF187" i="49"/>
  <c r="AE187" i="49"/>
  <c r="AF100" i="49"/>
  <c r="AE100" i="49"/>
  <c r="AF165" i="49"/>
  <c r="AE165" i="49"/>
  <c r="AF118" i="49"/>
  <c r="AE118" i="49"/>
  <c r="AF76" i="49"/>
  <c r="AE76" i="49"/>
  <c r="AF92" i="49"/>
  <c r="AE92" i="49"/>
  <c r="AF108" i="49"/>
  <c r="AE108" i="49"/>
  <c r="AF124" i="49"/>
  <c r="AE124" i="49"/>
  <c r="AF140" i="49"/>
  <c r="AE140" i="49"/>
  <c r="AF156" i="49"/>
  <c r="AE156" i="49"/>
  <c r="AF172" i="49"/>
  <c r="AE172" i="49"/>
  <c r="AF188" i="49"/>
  <c r="AE188" i="49"/>
  <c r="AF102" i="49"/>
  <c r="AE102" i="49"/>
  <c r="AF77" i="49"/>
  <c r="AE77" i="49"/>
  <c r="AF93" i="49"/>
  <c r="AE93" i="49"/>
  <c r="AF109" i="49"/>
  <c r="AE109" i="49"/>
  <c r="AF125" i="49"/>
  <c r="AE125" i="49"/>
  <c r="AF141" i="49"/>
  <c r="AE141" i="49"/>
  <c r="AF157" i="49"/>
  <c r="AE157" i="49"/>
  <c r="AF173" i="49"/>
  <c r="AE173" i="49"/>
  <c r="AF189" i="49"/>
  <c r="AE189" i="49"/>
  <c r="AF101" i="49"/>
  <c r="AE101" i="49"/>
  <c r="AF134" i="49"/>
  <c r="AE134" i="49"/>
  <c r="AE78" i="49"/>
  <c r="AF78" i="49"/>
  <c r="AF94" i="49"/>
  <c r="AE94" i="49"/>
  <c r="AF110" i="49"/>
  <c r="AE110" i="49"/>
  <c r="AF126" i="49"/>
  <c r="AE126" i="49"/>
  <c r="AF142" i="49"/>
  <c r="AE142" i="49"/>
  <c r="AF158" i="49"/>
  <c r="AE158" i="49"/>
  <c r="AF174" i="49"/>
  <c r="AE174" i="49"/>
  <c r="AF190" i="49"/>
  <c r="AE190" i="49"/>
  <c r="AF86" i="49"/>
  <c r="AE86" i="49"/>
  <c r="AF182" i="49"/>
  <c r="AE182" i="49"/>
  <c r="AF79" i="49"/>
  <c r="AE79" i="49"/>
  <c r="AE95" i="49"/>
  <c r="AF95" i="49"/>
  <c r="AE111" i="49"/>
  <c r="AF111" i="49"/>
  <c r="AE127" i="49"/>
  <c r="AF127" i="49"/>
  <c r="AF143" i="49"/>
  <c r="AE143" i="49"/>
  <c r="AF159" i="49"/>
  <c r="AE159" i="49"/>
  <c r="AF175" i="49"/>
  <c r="AE175" i="49"/>
  <c r="AF191" i="49"/>
  <c r="AE191" i="49"/>
  <c r="AF85" i="49"/>
  <c r="AE85" i="49"/>
  <c r="AE160" i="49"/>
  <c r="AF160" i="49"/>
  <c r="AF84" i="49"/>
  <c r="AE84" i="49"/>
  <c r="AF117" i="49"/>
  <c r="AE117" i="49"/>
  <c r="AF96" i="49"/>
  <c r="AE96" i="49"/>
  <c r="AF128" i="49"/>
  <c r="AE128" i="49"/>
  <c r="AF176" i="49"/>
  <c r="AE176" i="49"/>
  <c r="AF81" i="49"/>
  <c r="AE81" i="49"/>
  <c r="AF97" i="49"/>
  <c r="AE97" i="49"/>
  <c r="AF113" i="49"/>
  <c r="AE113" i="49"/>
  <c r="AF129" i="49"/>
  <c r="AE129" i="49"/>
  <c r="AF145" i="49"/>
  <c r="AE145" i="49"/>
  <c r="AF161" i="49"/>
  <c r="AE161" i="49"/>
  <c r="AF177" i="49"/>
  <c r="AE177" i="49"/>
  <c r="AF180" i="49"/>
  <c r="AE180" i="49"/>
  <c r="AF181" i="49"/>
  <c r="AE181" i="49"/>
  <c r="AF112" i="49"/>
  <c r="AE112" i="49"/>
  <c r="AF192" i="49"/>
  <c r="AE192" i="49"/>
  <c r="AE82" i="49"/>
  <c r="AF82" i="49"/>
  <c r="AF98" i="49"/>
  <c r="AE98" i="49"/>
  <c r="AF114" i="49"/>
  <c r="AE114" i="49"/>
  <c r="AF130" i="49"/>
  <c r="AE130" i="49"/>
  <c r="AF146" i="49"/>
  <c r="AE146" i="49"/>
  <c r="AF162" i="49"/>
  <c r="AE162" i="49"/>
  <c r="AF178" i="49"/>
  <c r="AE178" i="49"/>
  <c r="AF164" i="49"/>
  <c r="AE164" i="49"/>
  <c r="AF80" i="49"/>
  <c r="AE80" i="49"/>
  <c r="AF144" i="49"/>
  <c r="AE144" i="49"/>
  <c r="AF83" i="49"/>
  <c r="AE83" i="49"/>
  <c r="AF99" i="49"/>
  <c r="AE99" i="49"/>
  <c r="AF115" i="49"/>
  <c r="AE115" i="49"/>
  <c r="AF131" i="49"/>
  <c r="AE131" i="49"/>
  <c r="AF147" i="49"/>
  <c r="AE147" i="49"/>
  <c r="AF163" i="49"/>
  <c r="AE163" i="49"/>
  <c r="AF179" i="49"/>
  <c r="AE179" i="49"/>
  <c r="AF133" i="49"/>
  <c r="AE133" i="49"/>
  <c r="O420" i="76"/>
  <c r="O13" i="76"/>
  <c r="O29" i="76"/>
  <c r="O45" i="76"/>
  <c r="O61" i="76"/>
  <c r="O77" i="76"/>
  <c r="O93" i="76"/>
  <c r="O109" i="76"/>
  <c r="O125" i="76"/>
  <c r="O141" i="76"/>
  <c r="O157" i="76"/>
  <c r="O177" i="76"/>
  <c r="O193" i="76"/>
  <c r="O209" i="76"/>
  <c r="O219" i="76"/>
  <c r="O229" i="76"/>
  <c r="O305" i="76"/>
  <c r="O315" i="76"/>
  <c r="O325" i="76"/>
  <c r="O335" i="76"/>
  <c r="O345" i="76"/>
  <c r="O355" i="76"/>
  <c r="O365" i="76"/>
  <c r="O375" i="76"/>
  <c r="O385" i="76"/>
  <c r="O395" i="76"/>
  <c r="O405" i="76"/>
  <c r="O450" i="76"/>
  <c r="O14" i="76"/>
  <c r="O30" i="76"/>
  <c r="O46" i="76"/>
  <c r="O62" i="76"/>
  <c r="O78" i="76"/>
  <c r="O94" i="76"/>
  <c r="O110" i="76"/>
  <c r="O126" i="76"/>
  <c r="O142" i="76"/>
  <c r="O158" i="76"/>
  <c r="L178" i="76"/>
  <c r="O178" i="76"/>
  <c r="O194" i="76"/>
  <c r="O210" i="76"/>
  <c r="O220" i="76"/>
  <c r="O230" i="76"/>
  <c r="O240" i="76"/>
  <c r="O316" i="76"/>
  <c r="O326" i="76"/>
  <c r="O336" i="76"/>
  <c r="O346" i="76"/>
  <c r="O356" i="76"/>
  <c r="O366" i="76"/>
  <c r="O376" i="76"/>
  <c r="O386" i="76"/>
  <c r="O396" i="76"/>
  <c r="O406" i="76"/>
  <c r="O416" i="76"/>
  <c r="O440" i="76"/>
  <c r="O15" i="76"/>
  <c r="O31" i="76"/>
  <c r="O47" i="76"/>
  <c r="O63" i="76"/>
  <c r="O79" i="76"/>
  <c r="O95" i="76"/>
  <c r="O111" i="76"/>
  <c r="O127" i="76"/>
  <c r="O143" i="76"/>
  <c r="O159" i="76"/>
  <c r="O163" i="76"/>
  <c r="L179" i="76"/>
  <c r="O179" i="76"/>
  <c r="O195" i="76"/>
  <c r="O211" i="76"/>
  <c r="O221" i="76"/>
  <c r="O231" i="76"/>
  <c r="O241" i="76"/>
  <c r="O251" i="76"/>
  <c r="O327" i="76"/>
  <c r="O337" i="76"/>
  <c r="O347" i="76"/>
  <c r="O357" i="76"/>
  <c r="O367" i="76"/>
  <c r="O377" i="76"/>
  <c r="O387" i="76"/>
  <c r="O397" i="76"/>
  <c r="O407" i="76"/>
  <c r="O417" i="76"/>
  <c r="O427" i="76"/>
  <c r="O50" i="76"/>
  <c r="O166" i="76"/>
  <c r="O254" i="76"/>
  <c r="O16" i="76"/>
  <c r="O32" i="76"/>
  <c r="O48" i="76"/>
  <c r="O64" i="76"/>
  <c r="O80" i="76"/>
  <c r="O96" i="76"/>
  <c r="O112" i="76"/>
  <c r="O128" i="76"/>
  <c r="O144" i="76"/>
  <c r="O160" i="76"/>
  <c r="O164" i="76"/>
  <c r="O180" i="76"/>
  <c r="O196" i="76"/>
  <c r="O212" i="76"/>
  <c r="O222" i="76"/>
  <c r="O232" i="76"/>
  <c r="O242" i="76"/>
  <c r="O252" i="76"/>
  <c r="O262" i="76"/>
  <c r="O338" i="76"/>
  <c r="O348" i="76"/>
  <c r="O358" i="76"/>
  <c r="O368" i="76"/>
  <c r="O378" i="76"/>
  <c r="O388" i="76"/>
  <c r="O398" i="76"/>
  <c r="O408" i="76"/>
  <c r="O418" i="76"/>
  <c r="O428" i="76"/>
  <c r="O438" i="76"/>
  <c r="O18" i="76"/>
  <c r="O224" i="76"/>
  <c r="O17" i="76"/>
  <c r="O33" i="76"/>
  <c r="O49" i="76"/>
  <c r="O65" i="76"/>
  <c r="O81" i="76"/>
  <c r="O97" i="76"/>
  <c r="O113" i="76"/>
  <c r="O129" i="76"/>
  <c r="O145" i="76"/>
  <c r="O161" i="76"/>
  <c r="O165" i="76"/>
  <c r="O181" i="76"/>
  <c r="O197" i="76"/>
  <c r="O213" i="76"/>
  <c r="O223" i="76"/>
  <c r="O233" i="76"/>
  <c r="O243" i="76"/>
  <c r="O253" i="76"/>
  <c r="O263" i="76"/>
  <c r="O273" i="76"/>
  <c r="O349" i="76"/>
  <c r="O359" i="76"/>
  <c r="O369" i="76"/>
  <c r="O379" i="76"/>
  <c r="O389" i="76"/>
  <c r="O399" i="76"/>
  <c r="O409" i="76"/>
  <c r="O419" i="76"/>
  <c r="O429" i="76"/>
  <c r="O439" i="76"/>
  <c r="O449" i="76"/>
  <c r="O460" i="76"/>
  <c r="O198" i="76"/>
  <c r="O360" i="76"/>
  <c r="Q76" i="56"/>
  <c r="L141" i="70" s="1"/>
  <c r="O3" i="76"/>
  <c r="O19" i="76"/>
  <c r="O35" i="76"/>
  <c r="O51" i="76"/>
  <c r="O67" i="76"/>
  <c r="O83" i="76"/>
  <c r="O99" i="76"/>
  <c r="O115" i="76"/>
  <c r="O131" i="76"/>
  <c r="O147" i="76"/>
  <c r="O167" i="76"/>
  <c r="O183" i="76"/>
  <c r="O199" i="76"/>
  <c r="O215" i="76"/>
  <c r="O225" i="76"/>
  <c r="O235" i="76"/>
  <c r="O245" i="76"/>
  <c r="O255" i="76"/>
  <c r="O265" i="76"/>
  <c r="O275" i="76"/>
  <c r="O285" i="76"/>
  <c r="O295" i="76"/>
  <c r="O371" i="76"/>
  <c r="O381" i="76"/>
  <c r="O391" i="76"/>
  <c r="O401" i="76"/>
  <c r="O411" i="76"/>
  <c r="O421" i="76"/>
  <c r="O431" i="76"/>
  <c r="O441" i="76"/>
  <c r="O451" i="76"/>
  <c r="O461" i="76"/>
  <c r="O162" i="76"/>
  <c r="O4" i="76"/>
  <c r="O20" i="76"/>
  <c r="O36" i="76"/>
  <c r="O52" i="76"/>
  <c r="O68" i="76"/>
  <c r="O84" i="76"/>
  <c r="O100" i="76"/>
  <c r="O116" i="76"/>
  <c r="O132" i="76"/>
  <c r="O148" i="76"/>
  <c r="O168" i="76"/>
  <c r="O184" i="76"/>
  <c r="O200" i="76"/>
  <c r="O216" i="76"/>
  <c r="O226" i="76"/>
  <c r="O236" i="76"/>
  <c r="O246" i="76"/>
  <c r="O256" i="76"/>
  <c r="O266" i="76"/>
  <c r="O276" i="76"/>
  <c r="O286" i="76"/>
  <c r="O296" i="76"/>
  <c r="O306" i="76"/>
  <c r="O382" i="76"/>
  <c r="O392" i="76"/>
  <c r="O402" i="76"/>
  <c r="O412" i="76"/>
  <c r="O422" i="76"/>
  <c r="O432" i="76"/>
  <c r="O442" i="76"/>
  <c r="O452" i="76"/>
  <c r="O462" i="76"/>
  <c r="O98" i="76"/>
  <c r="O214" i="76"/>
  <c r="O244" i="76"/>
  <c r="O274" i="76"/>
  <c r="O370" i="76"/>
  <c r="O5" i="76"/>
  <c r="O21" i="76"/>
  <c r="O37" i="76"/>
  <c r="O53" i="76"/>
  <c r="O69" i="76"/>
  <c r="O85" i="76"/>
  <c r="O101" i="76"/>
  <c r="O117" i="76"/>
  <c r="O133" i="76"/>
  <c r="O149" i="76"/>
  <c r="O169" i="76"/>
  <c r="O185" i="76"/>
  <c r="O201" i="76"/>
  <c r="O217" i="76"/>
  <c r="O227" i="76"/>
  <c r="O237" i="76"/>
  <c r="O247" i="76"/>
  <c r="O257" i="76"/>
  <c r="O267" i="76"/>
  <c r="O277" i="76"/>
  <c r="O287" i="76"/>
  <c r="O297" i="76"/>
  <c r="O307" i="76"/>
  <c r="O317" i="76"/>
  <c r="O393" i="76"/>
  <c r="O403" i="76"/>
  <c r="O413" i="76"/>
  <c r="O423" i="76"/>
  <c r="O433" i="76"/>
  <c r="O443" i="76"/>
  <c r="O453" i="76"/>
  <c r="O463" i="76"/>
  <c r="O130" i="76"/>
  <c r="O380" i="76"/>
  <c r="O6" i="76"/>
  <c r="O22" i="76"/>
  <c r="O38" i="76"/>
  <c r="O54" i="76"/>
  <c r="O70" i="76"/>
  <c r="O86" i="76"/>
  <c r="O102" i="76"/>
  <c r="O118" i="76"/>
  <c r="O134" i="76"/>
  <c r="O150" i="76"/>
  <c r="O170" i="76"/>
  <c r="O186" i="76"/>
  <c r="O202" i="76"/>
  <c r="O228" i="76"/>
  <c r="O238" i="76"/>
  <c r="O248" i="76"/>
  <c r="O258" i="76"/>
  <c r="O268" i="76"/>
  <c r="O278" i="76"/>
  <c r="O288" i="76"/>
  <c r="O298" i="76"/>
  <c r="O308" i="76"/>
  <c r="O318" i="76"/>
  <c r="O328" i="76"/>
  <c r="O404" i="76"/>
  <c r="O414" i="76"/>
  <c r="O424" i="76"/>
  <c r="O434" i="76"/>
  <c r="O444" i="76"/>
  <c r="O454" i="76"/>
  <c r="O464" i="76"/>
  <c r="O2" i="76"/>
  <c r="O182" i="76"/>
  <c r="O7" i="76"/>
  <c r="O23" i="76"/>
  <c r="O39" i="76"/>
  <c r="O55" i="76"/>
  <c r="O71" i="76"/>
  <c r="O87" i="76"/>
  <c r="O103" i="76"/>
  <c r="O119" i="76"/>
  <c r="O135" i="76"/>
  <c r="O151" i="76"/>
  <c r="O171" i="76"/>
  <c r="O187" i="76"/>
  <c r="O203" i="76"/>
  <c r="O239" i="76"/>
  <c r="O249" i="76"/>
  <c r="O259" i="76"/>
  <c r="O269" i="76"/>
  <c r="O279" i="76"/>
  <c r="O289" i="76"/>
  <c r="O299" i="76"/>
  <c r="O309" i="76"/>
  <c r="O319" i="76"/>
  <c r="O329" i="76"/>
  <c r="O339" i="76"/>
  <c r="O415" i="76"/>
  <c r="O425" i="76"/>
  <c r="O435" i="76"/>
  <c r="O445" i="76"/>
  <c r="O455" i="76"/>
  <c r="O465" i="76"/>
  <c r="O114" i="76"/>
  <c r="O8" i="76"/>
  <c r="O24" i="76"/>
  <c r="O40" i="76"/>
  <c r="O56" i="76"/>
  <c r="O72" i="76"/>
  <c r="O88" i="76"/>
  <c r="O104" i="76"/>
  <c r="O120" i="76"/>
  <c r="O136" i="76"/>
  <c r="O152" i="76"/>
  <c r="O172" i="76"/>
  <c r="L188" i="76"/>
  <c r="O188" i="76"/>
  <c r="O204" i="76"/>
  <c r="O250" i="76"/>
  <c r="O260" i="76"/>
  <c r="O270" i="76"/>
  <c r="O280" i="76"/>
  <c r="O290" i="76"/>
  <c r="O300" i="76"/>
  <c r="O310" i="76"/>
  <c r="O320" i="76"/>
  <c r="O330" i="76"/>
  <c r="O340" i="76"/>
  <c r="O350" i="76"/>
  <c r="O426" i="76"/>
  <c r="O436" i="76"/>
  <c r="O446" i="76"/>
  <c r="O456" i="76"/>
  <c r="O466" i="76"/>
  <c r="O34" i="76"/>
  <c r="O146" i="76"/>
  <c r="O234" i="76"/>
  <c r="O264" i="76"/>
  <c r="O284" i="76"/>
  <c r="O400" i="76"/>
  <c r="Q82" i="56"/>
  <c r="L147" i="70" s="1"/>
  <c r="O9" i="76"/>
  <c r="O25" i="76"/>
  <c r="O41" i="76"/>
  <c r="O57" i="76"/>
  <c r="O73" i="76"/>
  <c r="O89" i="76"/>
  <c r="O105" i="76"/>
  <c r="O121" i="76"/>
  <c r="O137" i="76"/>
  <c r="O153" i="76"/>
  <c r="O173" i="76"/>
  <c r="L189" i="76"/>
  <c r="O189" i="76"/>
  <c r="O205" i="76"/>
  <c r="O261" i="76"/>
  <c r="O271" i="76"/>
  <c r="O281" i="76"/>
  <c r="O291" i="76"/>
  <c r="O301" i="76"/>
  <c r="O311" i="76"/>
  <c r="O321" i="76"/>
  <c r="O331" i="76"/>
  <c r="O341" i="76"/>
  <c r="O351" i="76"/>
  <c r="O361" i="76"/>
  <c r="O437" i="76"/>
  <c r="O447" i="76"/>
  <c r="O457" i="76"/>
  <c r="O467" i="76"/>
  <c r="O66" i="76"/>
  <c r="O410" i="76"/>
  <c r="O10" i="76"/>
  <c r="O26" i="76"/>
  <c r="O42" i="76"/>
  <c r="O58" i="76"/>
  <c r="O74" i="76"/>
  <c r="O90" i="76"/>
  <c r="O106" i="76"/>
  <c r="O122" i="76"/>
  <c r="O138" i="76"/>
  <c r="O154" i="76"/>
  <c r="O174" i="76"/>
  <c r="O190" i="76"/>
  <c r="O206" i="76"/>
  <c r="O272" i="76"/>
  <c r="O282" i="76"/>
  <c r="O292" i="76"/>
  <c r="O302" i="76"/>
  <c r="O312" i="76"/>
  <c r="O322" i="76"/>
  <c r="O332" i="76"/>
  <c r="O342" i="76"/>
  <c r="O352" i="76"/>
  <c r="O362" i="76"/>
  <c r="O372" i="76"/>
  <c r="O448" i="76"/>
  <c r="O458" i="76"/>
  <c r="O468" i="76"/>
  <c r="O82" i="76"/>
  <c r="O390" i="76"/>
  <c r="O11" i="76"/>
  <c r="O27" i="76"/>
  <c r="O43" i="76"/>
  <c r="O59" i="76"/>
  <c r="O75" i="76"/>
  <c r="O91" i="76"/>
  <c r="O107" i="76"/>
  <c r="O123" i="76"/>
  <c r="O139" i="76"/>
  <c r="O155" i="76"/>
  <c r="O175" i="76"/>
  <c r="O191" i="76"/>
  <c r="O207" i="76"/>
  <c r="O283" i="76"/>
  <c r="O293" i="76"/>
  <c r="O303" i="76"/>
  <c r="O313" i="76"/>
  <c r="O323" i="76"/>
  <c r="O333" i="76"/>
  <c r="O343" i="76"/>
  <c r="O353" i="76"/>
  <c r="O363" i="76"/>
  <c r="O373" i="76"/>
  <c r="O383" i="76"/>
  <c r="O459" i="76"/>
  <c r="O469" i="76"/>
  <c r="O430" i="76"/>
  <c r="O12" i="76"/>
  <c r="O28" i="76"/>
  <c r="O44" i="76"/>
  <c r="O60" i="76"/>
  <c r="O76" i="76"/>
  <c r="O92" i="76"/>
  <c r="O108" i="76"/>
  <c r="O124" i="76"/>
  <c r="O140" i="76"/>
  <c r="O156" i="76"/>
  <c r="O176" i="76"/>
  <c r="O192" i="76"/>
  <c r="O208" i="76"/>
  <c r="O218" i="76"/>
  <c r="O294" i="76"/>
  <c r="O304" i="76"/>
  <c r="O314" i="76"/>
  <c r="O324" i="76"/>
  <c r="O334" i="76"/>
  <c r="O344" i="76"/>
  <c r="O354" i="76"/>
  <c r="O364" i="76"/>
  <c r="O374" i="76"/>
  <c r="O384" i="76"/>
  <c r="O394" i="76"/>
  <c r="O470" i="76"/>
  <c r="AF1274" i="49"/>
  <c r="AF1273" i="49"/>
  <c r="AF1272" i="49"/>
  <c r="AF1271" i="49"/>
  <c r="AF1270" i="49"/>
  <c r="AF1269" i="49"/>
  <c r="AF1236" i="49"/>
  <c r="AF1235" i="49"/>
  <c r="AF1234" i="49"/>
  <c r="AF1233" i="49"/>
  <c r="AF1232" i="49"/>
  <c r="AF1231" i="49"/>
  <c r="AF1198" i="49"/>
  <c r="AF1197" i="49"/>
  <c r="AF1196" i="49"/>
  <c r="AF1195" i="49"/>
  <c r="AF1194" i="49"/>
  <c r="AF1193" i="49"/>
  <c r="AF1160" i="49"/>
  <c r="AF1159" i="49"/>
  <c r="AF1158" i="49"/>
  <c r="AF1157" i="49"/>
  <c r="AF1156" i="49"/>
  <c r="AF1155" i="49"/>
  <c r="AF1122" i="49"/>
  <c r="AF1121" i="49"/>
  <c r="AF1120" i="49"/>
  <c r="AF1119" i="49"/>
  <c r="AF1118" i="49"/>
  <c r="AF1117" i="49"/>
  <c r="AF1084" i="49"/>
  <c r="AF1083" i="49"/>
  <c r="AF1082" i="49"/>
  <c r="AF1081" i="49"/>
  <c r="AF1080" i="49"/>
  <c r="AF1079" i="49"/>
  <c r="AF1046" i="49"/>
  <c r="AF1045" i="49"/>
  <c r="AF1044" i="49"/>
  <c r="AF1043" i="49"/>
  <c r="AF1042" i="49"/>
  <c r="AF1041" i="49"/>
  <c r="AF1008" i="49"/>
  <c r="AF1007" i="49"/>
  <c r="AF1006" i="49"/>
  <c r="AF1005" i="49"/>
  <c r="AF1004" i="49"/>
  <c r="AF1003" i="49"/>
  <c r="AF970" i="49"/>
  <c r="AF969" i="49"/>
  <c r="AF968" i="49"/>
  <c r="AF967" i="49"/>
  <c r="AF966" i="49"/>
  <c r="AF965" i="49"/>
  <c r="AF932" i="49"/>
  <c r="AF931" i="49"/>
  <c r="AF930" i="49"/>
  <c r="AF929" i="49"/>
  <c r="AF928" i="49"/>
  <c r="AF927" i="49"/>
  <c r="AF894" i="49"/>
  <c r="AF893" i="49"/>
  <c r="AF892" i="49"/>
  <c r="AF891" i="49"/>
  <c r="AF890" i="49"/>
  <c r="AF889" i="49"/>
  <c r="AF856" i="49"/>
  <c r="AF855" i="49"/>
  <c r="AF854" i="49"/>
  <c r="AF853" i="49"/>
  <c r="AF852" i="49"/>
  <c r="AF851" i="49"/>
  <c r="AF818" i="49"/>
  <c r="AF817" i="49"/>
  <c r="AF816" i="49"/>
  <c r="AF815" i="49"/>
  <c r="AF814" i="49"/>
  <c r="AF813" i="49"/>
  <c r="AF780" i="49"/>
  <c r="AF779" i="49"/>
  <c r="AF778" i="49"/>
  <c r="AF777" i="49"/>
  <c r="AF776" i="49"/>
  <c r="AF775" i="49"/>
  <c r="AF742" i="49"/>
  <c r="AF741" i="49"/>
  <c r="AF740" i="49"/>
  <c r="AF739" i="49"/>
  <c r="AF738" i="49"/>
  <c r="AF737" i="49"/>
  <c r="AF704" i="49"/>
  <c r="AF703" i="49"/>
  <c r="AF702" i="49"/>
  <c r="AF701" i="49"/>
  <c r="AF700" i="49"/>
  <c r="AF699" i="49"/>
  <c r="AF666" i="49"/>
  <c r="AF665" i="49"/>
  <c r="AF664" i="49"/>
  <c r="AF663" i="49"/>
  <c r="AF662" i="49"/>
  <c r="AF661" i="49"/>
  <c r="AF628" i="49"/>
  <c r="AF627" i="49"/>
  <c r="AF626" i="49"/>
  <c r="AF625" i="49"/>
  <c r="AF624" i="49"/>
  <c r="AF623" i="49"/>
  <c r="AF590" i="49"/>
  <c r="AF589" i="49"/>
  <c r="AF588" i="49"/>
  <c r="AF587" i="49"/>
  <c r="AF586" i="49"/>
  <c r="AF585" i="49"/>
  <c r="AF552" i="49"/>
  <c r="AF551" i="49"/>
  <c r="AF550" i="49"/>
  <c r="AF549" i="49"/>
  <c r="AF548" i="49"/>
  <c r="AF547" i="49"/>
  <c r="AF514" i="49"/>
  <c r="AF513" i="49"/>
  <c r="AF512" i="49"/>
  <c r="AF511" i="49"/>
  <c r="AF510" i="49"/>
  <c r="AF509" i="49"/>
  <c r="AF476" i="49"/>
  <c r="AF475" i="49"/>
  <c r="AF474" i="49"/>
  <c r="AF473" i="49"/>
  <c r="AF472" i="49"/>
  <c r="AF471" i="49"/>
  <c r="AF438" i="49"/>
  <c r="AF437" i="49"/>
  <c r="AF436" i="49"/>
  <c r="AF435" i="49"/>
  <c r="AF434" i="49"/>
  <c r="AF433" i="49"/>
  <c r="AF400" i="49"/>
  <c r="AF399" i="49"/>
  <c r="AF398" i="49"/>
  <c r="AF397" i="49"/>
  <c r="AF396" i="49"/>
  <c r="AF395" i="49"/>
  <c r="AF362" i="49"/>
  <c r="AF361" i="49"/>
  <c r="AF360" i="49"/>
  <c r="AF359" i="49"/>
  <c r="AF358" i="49"/>
  <c r="AF357" i="49"/>
  <c r="AF324" i="49"/>
  <c r="AF323" i="49"/>
  <c r="AF322" i="49"/>
  <c r="AF321" i="49"/>
  <c r="AF320" i="49"/>
  <c r="AF319" i="49"/>
  <c r="AF286" i="49"/>
  <c r="AF285" i="49"/>
  <c r="AF284" i="49"/>
  <c r="AF283" i="49"/>
  <c r="AF282" i="49"/>
  <c r="AF281" i="49"/>
  <c r="AF248" i="49"/>
  <c r="AF247" i="49"/>
  <c r="AF246" i="49"/>
  <c r="AF245" i="49"/>
  <c r="AF244" i="49"/>
  <c r="AF243" i="49"/>
  <c r="AF210" i="49"/>
  <c r="AF209" i="49"/>
  <c r="AF208" i="49"/>
  <c r="AF207" i="49"/>
  <c r="AF206" i="49"/>
  <c r="AF205" i="49"/>
  <c r="AF40" i="49"/>
  <c r="AF39" i="49"/>
  <c r="AF38" i="49"/>
  <c r="AF37" i="49"/>
  <c r="AF36" i="49"/>
  <c r="AF35" i="49"/>
  <c r="AF34" i="49"/>
  <c r="AF33" i="49"/>
  <c r="AF32" i="49"/>
  <c r="AF31" i="49"/>
  <c r="AF30" i="49"/>
  <c r="AF29" i="49"/>
  <c r="AF28" i="49"/>
  <c r="AF27" i="49"/>
  <c r="AF26" i="49"/>
  <c r="AF25" i="49"/>
  <c r="AF24" i="49"/>
  <c r="AF23" i="49"/>
  <c r="AF22" i="49"/>
  <c r="AF21" i="49"/>
  <c r="AF20" i="49"/>
  <c r="AF19" i="49"/>
  <c r="AF18" i="49"/>
  <c r="AF17" i="49"/>
  <c r="AF16" i="49"/>
  <c r="AF15" i="49"/>
  <c r="AF14" i="49"/>
  <c r="AF13" i="49"/>
  <c r="Q520" i="56" l="1"/>
  <c r="L500" i="70" s="1"/>
  <c r="AE366" i="49"/>
  <c r="AF366" i="49"/>
  <c r="AA222" i="49"/>
  <c r="AD222" i="49" s="1"/>
  <c r="AA556" i="49"/>
  <c r="AD556" i="49" s="1"/>
  <c r="AA82" i="49"/>
  <c r="AD82" i="49" s="1"/>
  <c r="AD1287" i="49"/>
  <c r="AD859" i="49"/>
  <c r="AD860" i="49"/>
  <c r="AD710" i="49"/>
  <c r="AD598" i="49"/>
  <c r="AD1094" i="49"/>
  <c r="AD1204" i="49"/>
  <c r="AD411" i="49"/>
  <c r="AD483" i="49"/>
  <c r="AD1166" i="49"/>
  <c r="AD367" i="49"/>
  <c r="AD218" i="49"/>
  <c r="AD906" i="49"/>
  <c r="AD1127" i="49"/>
  <c r="AD365" i="49"/>
  <c r="AD978" i="49"/>
  <c r="AD373" i="49"/>
  <c r="AD442" i="49"/>
  <c r="AD1049" i="49"/>
  <c r="AD333" i="49"/>
  <c r="AD676" i="49"/>
  <c r="AD635" i="49"/>
  <c r="AD822" i="49"/>
  <c r="AD712" i="49"/>
  <c r="AD673" i="49"/>
  <c r="AD749" i="49"/>
  <c r="AD561" i="49"/>
  <c r="AD983" i="49"/>
  <c r="AD1167" i="49"/>
  <c r="AD368" i="49"/>
  <c r="AD366" i="49"/>
  <c r="AD1129" i="49"/>
  <c r="AD295" i="49"/>
  <c r="AD557" i="49"/>
  <c r="AD1090" i="49"/>
  <c r="AD291" i="49"/>
  <c r="AD941" i="49"/>
  <c r="AD405" i="49"/>
  <c r="AD1012" i="49"/>
  <c r="AD639" i="49"/>
  <c r="AD448" i="49"/>
  <c r="AD785" i="49"/>
  <c r="AD527" i="49"/>
  <c r="AD636" i="49"/>
  <c r="AD524" i="49"/>
  <c r="AD708" i="49"/>
  <c r="AD1130" i="49"/>
  <c r="AD296" i="49"/>
  <c r="AD1092" i="49"/>
  <c r="AD219" i="49"/>
  <c r="AD409" i="49"/>
  <c r="AD1053" i="49"/>
  <c r="AD217" i="49"/>
  <c r="AD904" i="49"/>
  <c r="AD335" i="49"/>
  <c r="AD975" i="49"/>
  <c r="AD1209" i="49"/>
  <c r="AD602" i="49"/>
  <c r="AD1097" i="49"/>
  <c r="AD713" i="49"/>
  <c r="AD748" i="49"/>
  <c r="AD599" i="49"/>
  <c r="AD1280" i="49"/>
  <c r="AD487" i="49"/>
  <c r="AD1279" i="49"/>
  <c r="AD486" i="49"/>
  <c r="AD1093" i="49"/>
  <c r="AD251" i="49"/>
  <c r="AD1055" i="49"/>
  <c r="AD1016" i="49"/>
  <c r="AD867" i="49"/>
  <c r="AD261" i="49"/>
  <c r="AD938" i="49"/>
  <c r="AD564" i="49"/>
  <c r="AD565" i="49"/>
  <c r="AD641" i="49"/>
  <c r="AD711" i="49"/>
  <c r="AD562" i="49"/>
  <c r="AD1242" i="49"/>
  <c r="AD1243" i="49"/>
  <c r="AD450" i="49"/>
  <c r="AD634" i="49"/>
  <c r="AD221" i="49"/>
  <c r="AD1056" i="49"/>
  <c r="AD220" i="49"/>
  <c r="AD1051" i="49"/>
  <c r="AD1018" i="49"/>
  <c r="AD1285" i="49"/>
  <c r="AD979" i="49"/>
  <c r="AD830" i="49"/>
  <c r="AD1087" i="49"/>
  <c r="AD214" i="49"/>
  <c r="AD901" i="49"/>
  <c r="AD374" i="49"/>
  <c r="AD213" i="49"/>
  <c r="AD674" i="49"/>
  <c r="AD525" i="49"/>
  <c r="AD1020" i="49"/>
  <c r="AD1206" i="49"/>
  <c r="AD413" i="49"/>
  <c r="AD523" i="49"/>
  <c r="AD1019" i="49"/>
  <c r="AD940" i="49"/>
  <c r="AD981" i="49"/>
  <c r="AD973" i="49"/>
  <c r="AD1125" i="49"/>
  <c r="AD942" i="49"/>
  <c r="AD793" i="49"/>
  <c r="AD1088" i="49"/>
  <c r="AD1050" i="49"/>
  <c r="AD864" i="49"/>
  <c r="AD1284" i="49"/>
  <c r="AD329" i="49"/>
  <c r="AD1131" i="49"/>
  <c r="AD479" i="49"/>
  <c r="AD637" i="49"/>
  <c r="AD1205" i="49"/>
  <c r="AD1281" i="49"/>
  <c r="AD488" i="49"/>
  <c r="AD671" i="49"/>
  <c r="AD1169" i="49"/>
  <c r="AD370" i="49"/>
  <c r="AD369" i="49"/>
  <c r="AD977" i="49"/>
  <c r="AD982" i="49"/>
  <c r="AD792" i="49"/>
  <c r="AD944" i="49"/>
  <c r="AD751" i="49"/>
  <c r="AD829" i="49"/>
  <c r="AD905" i="49"/>
  <c r="AD555" i="49"/>
  <c r="AD1014" i="49"/>
  <c r="AD1013" i="49"/>
  <c r="AD827" i="49"/>
  <c r="AD862" i="49"/>
  <c r="AD1247" i="49"/>
  <c r="AD257" i="49"/>
  <c r="AD601" i="49"/>
  <c r="AD600" i="49"/>
  <c r="AD1057" i="49"/>
  <c r="AD1244" i="49"/>
  <c r="AD451" i="49"/>
  <c r="AD560" i="49"/>
  <c r="AD1132" i="49"/>
  <c r="AD298" i="49"/>
  <c r="AD755" i="49"/>
  <c r="AD945" i="49"/>
  <c r="AD406" i="49"/>
  <c r="AD907" i="49"/>
  <c r="AD258" i="49"/>
  <c r="AD480" i="49"/>
  <c r="AD868" i="49"/>
  <c r="AD518" i="49"/>
  <c r="AD903" i="49"/>
  <c r="AD976" i="49"/>
  <c r="AD790" i="49"/>
  <c r="AD1286" i="49"/>
  <c r="AD1210" i="49"/>
  <c r="AD1203" i="49"/>
  <c r="AD563" i="49"/>
  <c r="AD745" i="49"/>
  <c r="AD1207" i="49"/>
  <c r="AD371" i="49"/>
  <c r="AD412" i="49"/>
  <c r="AD1095" i="49"/>
  <c r="AD253" i="49"/>
  <c r="AD443" i="49"/>
  <c r="AD707" i="49"/>
  <c r="AD669" i="49"/>
  <c r="AD289" i="49"/>
  <c r="AD831" i="49"/>
  <c r="AD481" i="49"/>
  <c r="AD517" i="49"/>
  <c r="AD939" i="49"/>
  <c r="AD753" i="49"/>
  <c r="AD1011" i="49"/>
  <c r="AD256" i="49"/>
  <c r="AD1173" i="49"/>
  <c r="AD1172" i="49"/>
  <c r="AD1241" i="49"/>
  <c r="AD1164" i="49"/>
  <c r="AD526" i="49"/>
  <c r="AD597" i="49"/>
  <c r="AD1170" i="49"/>
  <c r="AD299" i="49"/>
  <c r="AD252" i="49"/>
  <c r="AD1058" i="49"/>
  <c r="AD866" i="49"/>
  <c r="AD215" i="49"/>
  <c r="AD670" i="49"/>
  <c r="AD632" i="49"/>
  <c r="AD786" i="49"/>
  <c r="AD593" i="49"/>
  <c r="AD444" i="49"/>
  <c r="AD902" i="49"/>
  <c r="AD716" i="49"/>
  <c r="AD937" i="49"/>
  <c r="AD1249" i="49"/>
  <c r="AD935" i="49"/>
  <c r="AD631" i="49"/>
  <c r="AD1015" i="49"/>
  <c r="AD1282" i="49"/>
  <c r="AD489" i="49"/>
  <c r="AD449" i="49"/>
  <c r="AD1133" i="49"/>
  <c r="AD254" i="49"/>
  <c r="AD1021" i="49"/>
  <c r="AD336" i="49"/>
  <c r="AD633" i="49"/>
  <c r="AD1211" i="49"/>
  <c r="AD595" i="49"/>
  <c r="AD1054" i="49"/>
  <c r="AD328" i="49"/>
  <c r="AD407" i="49"/>
  <c r="AD375" i="49"/>
  <c r="AD865" i="49"/>
  <c r="AD679" i="49"/>
  <c r="AD900" i="49"/>
  <c r="AD974" i="49"/>
  <c r="AD898" i="49"/>
  <c r="AD714" i="49"/>
  <c r="AD408" i="49"/>
  <c r="AD1245" i="49"/>
  <c r="AD372" i="49"/>
  <c r="AD297" i="49"/>
  <c r="AD1096" i="49"/>
  <c r="AD223" i="49"/>
  <c r="AD783" i="49"/>
  <c r="AD788" i="49"/>
  <c r="AD596" i="49"/>
  <c r="AD899" i="49"/>
  <c r="AD558" i="49"/>
  <c r="AD869" i="49"/>
  <c r="AD1239" i="49"/>
  <c r="AD825" i="49"/>
  <c r="AD1163" i="49"/>
  <c r="AD337" i="49"/>
  <c r="AD1246" i="49"/>
  <c r="AD828" i="49"/>
  <c r="AD441" i="49"/>
  <c r="AD826" i="49"/>
  <c r="AD863" i="49"/>
  <c r="AD861" i="49"/>
  <c r="AD747" i="49"/>
  <c r="AD292" i="49"/>
  <c r="AD1208" i="49"/>
  <c r="AD327" i="49"/>
  <c r="AD1059" i="49"/>
  <c r="AD746" i="49"/>
  <c r="AD677" i="49"/>
  <c r="AD332" i="49"/>
  <c r="AD559" i="49"/>
  <c r="AD1202" i="49"/>
  <c r="AD603" i="49"/>
  <c r="AD521" i="49"/>
  <c r="AD594" i="49"/>
  <c r="AD1165" i="49"/>
  <c r="AD519" i="49"/>
  <c r="AD1126" i="49"/>
  <c r="AD290" i="49"/>
  <c r="AD1135" i="49"/>
  <c r="AD791" i="49"/>
  <c r="AD403" i="49"/>
  <c r="AD404" i="49"/>
  <c r="AD789" i="49"/>
  <c r="AD715" i="49"/>
  <c r="AD824" i="49"/>
  <c r="AD410" i="49"/>
  <c r="AD1171" i="49"/>
  <c r="AD255" i="49"/>
  <c r="AD821" i="49"/>
  <c r="AD1248" i="49"/>
  <c r="AD709" i="49"/>
  <c r="AD675" i="49"/>
  <c r="AD522" i="49"/>
  <c r="AD1017" i="49"/>
  <c r="AD1277" i="49"/>
  <c r="AD484" i="49"/>
  <c r="AD520" i="49"/>
  <c r="AD1128" i="49"/>
  <c r="AD638" i="49"/>
  <c r="AD482" i="49"/>
  <c r="AD1089" i="49"/>
  <c r="AD216" i="49"/>
  <c r="AD897" i="49"/>
  <c r="AD754" i="49"/>
  <c r="AD640" i="49"/>
  <c r="AD334" i="49"/>
  <c r="AD752" i="49"/>
  <c r="AD259" i="49"/>
  <c r="AD787" i="49"/>
  <c r="AD980" i="49"/>
  <c r="AD1134" i="49"/>
  <c r="AD1283" i="49"/>
  <c r="AD784" i="49"/>
  <c r="AD936" i="49"/>
  <c r="AD672" i="49"/>
  <c r="AD1168" i="49"/>
  <c r="AD1278" i="49"/>
  <c r="AD485" i="49"/>
  <c r="AD943" i="49"/>
  <c r="AD1240" i="49"/>
  <c r="AD447" i="49"/>
  <c r="AD446" i="49"/>
  <c r="AD1091" i="49"/>
  <c r="AD1201" i="49"/>
  <c r="AD445" i="49"/>
  <c r="AD1052" i="49"/>
  <c r="AD823" i="49"/>
  <c r="AD717" i="49"/>
  <c r="AD260" i="49"/>
  <c r="AD678" i="49"/>
  <c r="AD750" i="49"/>
  <c r="AD188" i="49"/>
  <c r="AD89" i="49"/>
  <c r="AD171" i="49"/>
  <c r="AD73" i="49"/>
  <c r="AD186" i="49"/>
  <c r="AD131" i="49"/>
  <c r="AD120" i="49"/>
  <c r="AD83" i="49"/>
  <c r="AD103" i="49"/>
  <c r="AD149" i="49"/>
  <c r="AD84" i="49"/>
  <c r="AD161" i="49"/>
  <c r="AD80" i="49"/>
  <c r="AD169" i="49"/>
  <c r="AD172" i="49"/>
  <c r="AD155" i="49"/>
  <c r="AD170" i="49"/>
  <c r="AD115" i="49"/>
  <c r="AD104" i="49"/>
  <c r="AD87" i="49"/>
  <c r="AD111" i="49"/>
  <c r="AD133" i="49"/>
  <c r="AD145" i="49"/>
  <c r="AD192" i="49"/>
  <c r="AD79" i="49"/>
  <c r="AD187" i="49"/>
  <c r="AD156" i="49"/>
  <c r="AD139" i="49"/>
  <c r="AD154" i="49"/>
  <c r="AD88" i="49"/>
  <c r="AD117" i="49"/>
  <c r="AD178" i="49"/>
  <c r="AD129" i="49"/>
  <c r="AD160" i="49"/>
  <c r="AD140" i="49"/>
  <c r="AD123" i="49"/>
  <c r="AD138" i="49"/>
  <c r="AD191" i="49"/>
  <c r="AD109" i="49"/>
  <c r="AD147" i="49"/>
  <c r="AD101" i="49"/>
  <c r="AD162" i="49"/>
  <c r="AD113" i="49"/>
  <c r="AD144" i="49"/>
  <c r="AD124" i="49"/>
  <c r="AD107" i="49"/>
  <c r="AD143" i="49"/>
  <c r="AD122" i="49"/>
  <c r="AD99" i="49"/>
  <c r="AD85" i="49"/>
  <c r="AD146" i="49"/>
  <c r="AD97" i="49"/>
  <c r="AD112" i="49"/>
  <c r="AD157" i="49"/>
  <c r="AD137" i="49"/>
  <c r="AD108" i="49"/>
  <c r="AD91" i="49"/>
  <c r="AD106" i="49"/>
  <c r="AD179" i="49"/>
  <c r="AD130" i="49"/>
  <c r="AD81" i="49"/>
  <c r="AD96" i="49"/>
  <c r="AD136" i="49"/>
  <c r="AD119" i="49"/>
  <c r="AD92" i="49"/>
  <c r="AD189" i="49"/>
  <c r="AD75" i="49"/>
  <c r="AD93" i="49"/>
  <c r="AD90" i="49"/>
  <c r="AD95" i="49"/>
  <c r="AD114" i="49"/>
  <c r="AD76" i="49"/>
  <c r="AD141" i="49"/>
  <c r="AD74" i="49"/>
  <c r="AD98" i="49"/>
  <c r="AD175" i="49"/>
  <c r="AD190" i="49"/>
  <c r="AD77" i="49"/>
  <c r="AD174" i="49"/>
  <c r="AD100" i="49"/>
  <c r="AD182" i="49"/>
  <c r="AD158" i="49"/>
  <c r="AD163" i="49"/>
  <c r="AD127" i="49"/>
  <c r="AD134" i="49"/>
  <c r="AD166" i="49"/>
  <c r="AD180" i="49"/>
  <c r="AD142" i="49"/>
  <c r="AD105" i="49"/>
  <c r="AD183" i="49"/>
  <c r="AD118" i="49"/>
  <c r="AD164" i="49"/>
  <c r="AD126" i="49"/>
  <c r="AD165" i="49"/>
  <c r="AD185" i="49"/>
  <c r="AD184" i="49"/>
  <c r="AD167" i="49"/>
  <c r="AD86" i="49"/>
  <c r="AD148" i="49"/>
  <c r="AD159" i="49"/>
  <c r="AD110" i="49"/>
  <c r="AD128" i="49"/>
  <c r="AD121" i="49"/>
  <c r="AD168" i="49"/>
  <c r="AD151" i="49"/>
  <c r="AD150" i="49"/>
  <c r="AD132" i="49"/>
  <c r="AD173" i="49"/>
  <c r="AD94" i="49"/>
  <c r="AD177" i="49"/>
  <c r="AD153" i="49"/>
  <c r="AD152" i="49"/>
  <c r="AD135" i="49"/>
  <c r="AD102" i="49"/>
  <c r="AD181" i="49"/>
  <c r="AD116" i="49"/>
  <c r="AD125" i="49"/>
  <c r="AD176" i="49"/>
  <c r="AD78" i="49"/>
  <c r="Q75" i="56"/>
  <c r="L140" i="70" s="1"/>
  <c r="L364" i="76"/>
  <c r="Q1017" i="56"/>
  <c r="L919" i="70" s="1"/>
  <c r="L313" i="76"/>
  <c r="Q831" i="56"/>
  <c r="L763" i="70" s="1"/>
  <c r="L352" i="76"/>
  <c r="Q978" i="56"/>
  <c r="L886" i="70" s="1"/>
  <c r="L272" i="76"/>
  <c r="Q682" i="56"/>
  <c r="L638" i="70" s="1"/>
  <c r="L321" i="76"/>
  <c r="Q866" i="56"/>
  <c r="L792" i="70" s="1"/>
  <c r="L340" i="76"/>
  <c r="Q939" i="56"/>
  <c r="L853" i="70" s="1"/>
  <c r="L260" i="76"/>
  <c r="Q643" i="56"/>
  <c r="L605" i="70" s="1"/>
  <c r="L465" i="76"/>
  <c r="Q1361" i="56"/>
  <c r="L1209" i="70" s="1"/>
  <c r="L319" i="76"/>
  <c r="Q864" i="56"/>
  <c r="L790" i="70" s="1"/>
  <c r="L239" i="76"/>
  <c r="Q568" i="56"/>
  <c r="L542" i="70" s="1"/>
  <c r="L464" i="76"/>
  <c r="Q1360" i="56"/>
  <c r="L1208" i="70" s="1"/>
  <c r="L318" i="76"/>
  <c r="Q863" i="56"/>
  <c r="L789" i="70" s="1"/>
  <c r="L238" i="76"/>
  <c r="Q567" i="56"/>
  <c r="L541" i="70" s="1"/>
  <c r="L393" i="76"/>
  <c r="Q1100" i="56"/>
  <c r="L247" i="76"/>
  <c r="Q603" i="56"/>
  <c r="L571" i="70" s="1"/>
  <c r="L442" i="76"/>
  <c r="Q1284" i="56"/>
  <c r="L1144" i="70" s="1"/>
  <c r="L296" i="76"/>
  <c r="Q787" i="56"/>
  <c r="L725" i="70" s="1"/>
  <c r="L216" i="76"/>
  <c r="Q491" i="56"/>
  <c r="L477" i="70" s="1"/>
  <c r="L451" i="76"/>
  <c r="Q1320" i="56"/>
  <c r="L1174" i="70" s="1"/>
  <c r="L371" i="76"/>
  <c r="Q1024" i="56"/>
  <c r="L926" i="70" s="1"/>
  <c r="L225" i="76"/>
  <c r="Q527" i="56"/>
  <c r="L507" i="70" s="1"/>
  <c r="L198" i="76"/>
  <c r="Q446" i="56"/>
  <c r="L438" i="70" s="1"/>
  <c r="L389" i="76"/>
  <c r="Q1096" i="56"/>
  <c r="L986" i="70" s="1"/>
  <c r="L243" i="76"/>
  <c r="Q599" i="56"/>
  <c r="L567" i="70" s="1"/>
  <c r="L388" i="76"/>
  <c r="Q1095" i="56"/>
  <c r="L985" i="70" s="1"/>
  <c r="L242" i="76"/>
  <c r="Q598" i="56"/>
  <c r="L566" i="70" s="1"/>
  <c r="L387" i="76"/>
  <c r="Q1094" i="56"/>
  <c r="L984" i="70" s="1"/>
  <c r="L241" i="76"/>
  <c r="Q597" i="56"/>
  <c r="L565" i="70" s="1"/>
  <c r="L356" i="76"/>
  <c r="Q982" i="56"/>
  <c r="L890" i="70" s="1"/>
  <c r="L210" i="76"/>
  <c r="Q485" i="56"/>
  <c r="L471" i="70" s="1"/>
  <c r="L385" i="76"/>
  <c r="Q1092" i="56"/>
  <c r="L982" i="70" s="1"/>
  <c r="L305" i="76"/>
  <c r="Q796" i="56"/>
  <c r="L734" i="70" s="1"/>
  <c r="L420" i="76"/>
  <c r="Q1208" i="56"/>
  <c r="L1080" i="70" s="1"/>
  <c r="L459" i="76"/>
  <c r="Q1328" i="56"/>
  <c r="L1182" i="70" s="1"/>
  <c r="L467" i="76"/>
  <c r="Q1363" i="56"/>
  <c r="L1211" i="70" s="1"/>
  <c r="L354" i="76"/>
  <c r="Q980" i="56"/>
  <c r="L888" i="70" s="1"/>
  <c r="L208" i="76"/>
  <c r="Q483" i="56"/>
  <c r="L469" i="70" s="1"/>
  <c r="L383" i="76"/>
  <c r="Q1090" i="56"/>
  <c r="L980" i="70" s="1"/>
  <c r="L303" i="76"/>
  <c r="Q794" i="56"/>
  <c r="L732" i="70" s="1"/>
  <c r="L390" i="76"/>
  <c r="Q1097" i="56"/>
  <c r="L987" i="70" s="1"/>
  <c r="L342" i="76"/>
  <c r="Q941" i="56"/>
  <c r="L855" i="70" s="1"/>
  <c r="L457" i="76"/>
  <c r="Q1326" i="56"/>
  <c r="L1180" i="70" s="1"/>
  <c r="L311" i="76"/>
  <c r="Q829" i="56"/>
  <c r="L761" i="70" s="1"/>
  <c r="L173" i="76"/>
  <c r="Q340" i="56"/>
  <c r="L350" i="70" s="1"/>
  <c r="L330" i="76"/>
  <c r="Q902" i="56"/>
  <c r="L822" i="70" s="1"/>
  <c r="L250" i="76"/>
  <c r="Q606" i="56"/>
  <c r="L574" i="70" s="1"/>
  <c r="L455" i="76"/>
  <c r="Q1324" i="56"/>
  <c r="L1178" i="70" s="1"/>
  <c r="L309" i="76"/>
  <c r="Q827" i="56"/>
  <c r="L759" i="70" s="1"/>
  <c r="L203" i="76"/>
  <c r="Q451" i="56"/>
  <c r="L443" i="70" s="1"/>
  <c r="L454" i="76"/>
  <c r="Q1323" i="56"/>
  <c r="L1177" i="70" s="1"/>
  <c r="L308" i="76"/>
  <c r="Q826" i="56"/>
  <c r="L758" i="70" s="1"/>
  <c r="L228" i="76"/>
  <c r="Q530" i="56"/>
  <c r="L510" i="70" s="1"/>
  <c r="L463" i="76"/>
  <c r="Q1359" i="56"/>
  <c r="L1207" i="70" s="1"/>
  <c r="L317" i="76"/>
  <c r="Q862" i="56"/>
  <c r="L788" i="70" s="1"/>
  <c r="L237" i="76"/>
  <c r="Q566" i="56"/>
  <c r="L540" i="70" s="1"/>
  <c r="L370" i="76"/>
  <c r="Q1023" i="56"/>
  <c r="L925" i="70" s="1"/>
  <c r="L432" i="76"/>
  <c r="Q1247" i="56"/>
  <c r="L1113" i="70" s="1"/>
  <c r="L286" i="76"/>
  <c r="Q750" i="56"/>
  <c r="L694" i="70" s="1"/>
  <c r="L200" i="76"/>
  <c r="Q448" i="56"/>
  <c r="L440" i="70" s="1"/>
  <c r="L441" i="76"/>
  <c r="Q1283" i="56"/>
  <c r="L1143" i="70" s="1"/>
  <c r="L295" i="76"/>
  <c r="Q786" i="56"/>
  <c r="L724" i="70" s="1"/>
  <c r="L215" i="76"/>
  <c r="Q490" i="56"/>
  <c r="L476" i="70" s="1"/>
  <c r="L460" i="76"/>
  <c r="Q1356" i="56"/>
  <c r="L1204" i="70" s="1"/>
  <c r="L379" i="76"/>
  <c r="Q1059" i="56"/>
  <c r="L955" i="70" s="1"/>
  <c r="L233" i="76"/>
  <c r="Q562" i="56"/>
  <c r="L536" i="70" s="1"/>
  <c r="L224" i="76"/>
  <c r="Q526" i="56"/>
  <c r="L506" i="70" s="1"/>
  <c r="L378" i="76"/>
  <c r="Q1058" i="56"/>
  <c r="L954" i="70" s="1"/>
  <c r="L232" i="76"/>
  <c r="Q561" i="56"/>
  <c r="L535" i="70" s="1"/>
  <c r="L254" i="76"/>
  <c r="Q637" i="56"/>
  <c r="L599" i="70" s="1"/>
  <c r="L377" i="76"/>
  <c r="Q1057" i="56"/>
  <c r="L953" i="70" s="1"/>
  <c r="L231" i="76"/>
  <c r="Q560" i="56"/>
  <c r="L534" i="70" s="1"/>
  <c r="L440" i="76"/>
  <c r="Q1282" i="56"/>
  <c r="L1142" i="70" s="1"/>
  <c r="L346" i="76"/>
  <c r="Q945" i="56"/>
  <c r="L859" i="70" s="1"/>
  <c r="L194" i="76"/>
  <c r="Q415" i="56"/>
  <c r="L413" i="70" s="1"/>
  <c r="L375" i="76"/>
  <c r="Q1055" i="56"/>
  <c r="L951" i="70" s="1"/>
  <c r="L229" i="76"/>
  <c r="Q558" i="56"/>
  <c r="L532" i="70" s="1"/>
  <c r="L206" i="76"/>
  <c r="Q454" i="56"/>
  <c r="L446" i="70" s="1"/>
  <c r="L344" i="76"/>
  <c r="Q943" i="56"/>
  <c r="L857" i="70" s="1"/>
  <c r="L293" i="76"/>
  <c r="Q757" i="56"/>
  <c r="L701" i="70" s="1"/>
  <c r="L332" i="76"/>
  <c r="Q904" i="56"/>
  <c r="L824" i="70" s="1"/>
  <c r="L447" i="76"/>
  <c r="Q1289" i="56"/>
  <c r="L1149" i="70" s="1"/>
  <c r="L301" i="76"/>
  <c r="Q792" i="56"/>
  <c r="L730" i="70" s="1"/>
  <c r="L153" i="76"/>
  <c r="Q293" i="56"/>
  <c r="L309" i="70" s="1"/>
  <c r="L466" i="76"/>
  <c r="Q1362" i="56"/>
  <c r="L1210" i="70" s="1"/>
  <c r="L204" i="76"/>
  <c r="Q452" i="56"/>
  <c r="L444" i="70" s="1"/>
  <c r="L445" i="76"/>
  <c r="Q1287" i="56"/>
  <c r="L1147" i="70" s="1"/>
  <c r="L299" i="76"/>
  <c r="Q790" i="56"/>
  <c r="L728" i="70" s="1"/>
  <c r="L187" i="76"/>
  <c r="Q408" i="56"/>
  <c r="L406" i="70" s="1"/>
  <c r="L444" i="76"/>
  <c r="Q1286" i="56"/>
  <c r="L1146" i="70" s="1"/>
  <c r="L298" i="76"/>
  <c r="Q789" i="56"/>
  <c r="L727" i="70" s="1"/>
  <c r="L202" i="76"/>
  <c r="Q450" i="56"/>
  <c r="L442" i="70" s="1"/>
  <c r="L453" i="76"/>
  <c r="Q1322" i="56"/>
  <c r="L1176" i="70" s="1"/>
  <c r="L307" i="76"/>
  <c r="Q825" i="56"/>
  <c r="L757" i="70" s="1"/>
  <c r="L227" i="76"/>
  <c r="Q529" i="56"/>
  <c r="L509" i="70" s="1"/>
  <c r="L274" i="76"/>
  <c r="Q711" i="56"/>
  <c r="L661" i="70" s="1"/>
  <c r="L422" i="76"/>
  <c r="Q1210" i="56"/>
  <c r="L1082" i="70" s="1"/>
  <c r="L276" i="76"/>
  <c r="Q713" i="56"/>
  <c r="L663" i="70" s="1"/>
  <c r="L184" i="76"/>
  <c r="Q378" i="56"/>
  <c r="L382" i="70" s="1"/>
  <c r="L431" i="76"/>
  <c r="Q1246" i="56"/>
  <c r="L1112" i="70" s="1"/>
  <c r="L285" i="76"/>
  <c r="Q749" i="56"/>
  <c r="L693" i="70" s="1"/>
  <c r="L199" i="76"/>
  <c r="Q447" i="56"/>
  <c r="L439" i="70" s="1"/>
  <c r="L449" i="76"/>
  <c r="Q1318" i="56"/>
  <c r="L1172" i="70" s="1"/>
  <c r="L369" i="76"/>
  <c r="Q1022" i="56"/>
  <c r="L924" i="70" s="1"/>
  <c r="L223" i="76"/>
  <c r="Q525" i="56"/>
  <c r="L505" i="70" s="1"/>
  <c r="L368" i="76"/>
  <c r="Q1021" i="56"/>
  <c r="L923" i="70" s="1"/>
  <c r="L222" i="76"/>
  <c r="Q524" i="56"/>
  <c r="L504" i="70" s="1"/>
  <c r="L166" i="76"/>
  <c r="Q333" i="56"/>
  <c r="L343" i="70" s="1"/>
  <c r="L367" i="76"/>
  <c r="Q1020" i="56"/>
  <c r="L922" i="70" s="1"/>
  <c r="L221" i="76"/>
  <c r="Q523" i="56"/>
  <c r="L503" i="70" s="1"/>
  <c r="L416" i="76"/>
  <c r="Q1204" i="56"/>
  <c r="L1076" i="70" s="1"/>
  <c r="L336" i="76"/>
  <c r="Q908" i="56"/>
  <c r="L828" i="70" s="1"/>
  <c r="L365" i="76"/>
  <c r="Q1018" i="56"/>
  <c r="L920" i="70" s="1"/>
  <c r="L219" i="76"/>
  <c r="Q521" i="56"/>
  <c r="L501" i="70" s="1"/>
  <c r="L192" i="76"/>
  <c r="Q413" i="56"/>
  <c r="L411" i="70" s="1"/>
  <c r="L373" i="76"/>
  <c r="Q1053" i="56"/>
  <c r="L949" i="70" s="1"/>
  <c r="L190" i="76"/>
  <c r="Q411" i="56"/>
  <c r="L409" i="70" s="1"/>
  <c r="L320" i="76"/>
  <c r="Q865" i="56"/>
  <c r="L791" i="70" s="1"/>
  <c r="L334" i="76"/>
  <c r="Q906" i="56"/>
  <c r="L826" i="70" s="1"/>
  <c r="L176" i="76"/>
  <c r="Q370" i="56"/>
  <c r="L374" i="70" s="1"/>
  <c r="L363" i="76"/>
  <c r="Q1016" i="56"/>
  <c r="L918" i="70" s="1"/>
  <c r="L283" i="76"/>
  <c r="Q720" i="56"/>
  <c r="L670" i="70" s="1"/>
  <c r="L468" i="76"/>
  <c r="Q1364" i="56"/>
  <c r="L1212" i="70" s="1"/>
  <c r="L322" i="76"/>
  <c r="Q867" i="56"/>
  <c r="L793" i="70" s="1"/>
  <c r="L174" i="76"/>
  <c r="Q368" i="56"/>
  <c r="L372" i="70" s="1"/>
  <c r="L437" i="76"/>
  <c r="Q1252" i="56"/>
  <c r="L1118" i="70" s="1"/>
  <c r="L291" i="76"/>
  <c r="Q755" i="56"/>
  <c r="L699" i="70" s="1"/>
  <c r="L456" i="76"/>
  <c r="Q1325" i="56"/>
  <c r="L1179" i="70" s="1"/>
  <c r="L310" i="76"/>
  <c r="Q828" i="56"/>
  <c r="L760" i="70" s="1"/>
  <c r="L435" i="76"/>
  <c r="Q1250" i="56"/>
  <c r="L1116" i="70" s="1"/>
  <c r="L289" i="76"/>
  <c r="Q753" i="56"/>
  <c r="L697" i="70" s="1"/>
  <c r="L171" i="76"/>
  <c r="Q338" i="56"/>
  <c r="L348" i="70" s="1"/>
  <c r="L434" i="76"/>
  <c r="Q1249" i="56"/>
  <c r="L1115" i="70" s="1"/>
  <c r="L288" i="76"/>
  <c r="Q752" i="56"/>
  <c r="L696" i="70" s="1"/>
  <c r="L186" i="76"/>
  <c r="Q407" i="56"/>
  <c r="L405" i="70" s="1"/>
  <c r="L443" i="76"/>
  <c r="Q1285" i="56"/>
  <c r="L1145" i="70" s="1"/>
  <c r="L297" i="76"/>
  <c r="Q788" i="56"/>
  <c r="L726" i="70" s="1"/>
  <c r="L217" i="76"/>
  <c r="Q492" i="56"/>
  <c r="L478" i="70" s="1"/>
  <c r="L244" i="76"/>
  <c r="Q600" i="56"/>
  <c r="L568" i="70" s="1"/>
  <c r="L412" i="76"/>
  <c r="Q1173" i="56"/>
  <c r="L1051" i="70" s="1"/>
  <c r="L266" i="76"/>
  <c r="Q676" i="56"/>
  <c r="L632" i="70" s="1"/>
  <c r="L168" i="76"/>
  <c r="Q335" i="56"/>
  <c r="L345" i="70" s="1"/>
  <c r="L421" i="76"/>
  <c r="Q1209" i="56"/>
  <c r="L1081" i="70" s="1"/>
  <c r="L275" i="76"/>
  <c r="Q712" i="56"/>
  <c r="L662" i="70" s="1"/>
  <c r="L183" i="76"/>
  <c r="Q377" i="56"/>
  <c r="L381" i="70" s="1"/>
  <c r="L439" i="76"/>
  <c r="Q1281" i="56"/>
  <c r="L1141" i="70" s="1"/>
  <c r="L359" i="76"/>
  <c r="Q985" i="56"/>
  <c r="L893" i="70" s="1"/>
  <c r="L213" i="76"/>
  <c r="Q488" i="56"/>
  <c r="L474" i="70" s="1"/>
  <c r="L438" i="76"/>
  <c r="Q1280" i="56"/>
  <c r="L1140" i="70" s="1"/>
  <c r="L358" i="76"/>
  <c r="Q984" i="56"/>
  <c r="L892" i="70" s="1"/>
  <c r="L212" i="76"/>
  <c r="Q487" i="56"/>
  <c r="L473" i="70" s="1"/>
  <c r="L357" i="76"/>
  <c r="Q983" i="56"/>
  <c r="L891" i="70" s="1"/>
  <c r="L211" i="76"/>
  <c r="Q486" i="56"/>
  <c r="L472" i="70" s="1"/>
  <c r="L406" i="76"/>
  <c r="Q1167" i="56"/>
  <c r="L1045" i="70" s="1"/>
  <c r="L326" i="76"/>
  <c r="Q871" i="56"/>
  <c r="L797" i="70" s="1"/>
  <c r="L158" i="76"/>
  <c r="Q298" i="56"/>
  <c r="L314" i="70" s="1"/>
  <c r="L355" i="76"/>
  <c r="Q981" i="56"/>
  <c r="L889" i="70" s="1"/>
  <c r="L209" i="76"/>
  <c r="Q484" i="56"/>
  <c r="L470" i="70" s="1"/>
  <c r="L470" i="76"/>
  <c r="Q1366" i="56"/>
  <c r="L1214" i="70" s="1"/>
  <c r="L324" i="76"/>
  <c r="Q869" i="56"/>
  <c r="L795" i="70" s="1"/>
  <c r="L353" i="76"/>
  <c r="Q979" i="56"/>
  <c r="L887" i="70" s="1"/>
  <c r="L207" i="76"/>
  <c r="Q482" i="56"/>
  <c r="L468" i="70" s="1"/>
  <c r="L458" i="76"/>
  <c r="Q1327" i="56"/>
  <c r="L1181" i="70" s="1"/>
  <c r="L312" i="76"/>
  <c r="Q830" i="56"/>
  <c r="L762" i="70" s="1"/>
  <c r="L154" i="76"/>
  <c r="Q294" i="56"/>
  <c r="L310" i="70" s="1"/>
  <c r="L361" i="76"/>
  <c r="Q1014" i="56"/>
  <c r="L916" i="70" s="1"/>
  <c r="L281" i="76"/>
  <c r="Q718" i="56"/>
  <c r="L668" i="70" s="1"/>
  <c r="L400" i="76"/>
  <c r="Q1134" i="56"/>
  <c r="L1018" i="70" s="1"/>
  <c r="L446" i="76"/>
  <c r="Q1288" i="56"/>
  <c r="L1148" i="70" s="1"/>
  <c r="L300" i="76"/>
  <c r="Q791" i="56"/>
  <c r="L729" i="70" s="1"/>
  <c r="L172" i="76"/>
  <c r="Q339" i="56"/>
  <c r="L349" i="70" s="1"/>
  <c r="L425" i="76"/>
  <c r="Q1213" i="56"/>
  <c r="L1085" i="70" s="1"/>
  <c r="L279" i="76"/>
  <c r="Q716" i="56"/>
  <c r="L666" i="70" s="1"/>
  <c r="L424" i="76"/>
  <c r="Q1212" i="56"/>
  <c r="L1084" i="70" s="1"/>
  <c r="L278" i="76"/>
  <c r="Q715" i="56"/>
  <c r="L665" i="70" s="1"/>
  <c r="L170" i="76"/>
  <c r="Q337" i="56"/>
  <c r="L347" i="70" s="1"/>
  <c r="L433" i="76"/>
  <c r="Q1248" i="56"/>
  <c r="L1114" i="70" s="1"/>
  <c r="L287" i="76"/>
  <c r="Q751" i="56"/>
  <c r="L695" i="70" s="1"/>
  <c r="L201" i="76"/>
  <c r="Q449" i="56"/>
  <c r="L441" i="70" s="1"/>
  <c r="L214" i="76"/>
  <c r="Q489" i="56"/>
  <c r="L475" i="70" s="1"/>
  <c r="L402" i="76"/>
  <c r="Q1136" i="56"/>
  <c r="L1020" i="70" s="1"/>
  <c r="L256" i="76"/>
  <c r="Q639" i="56"/>
  <c r="L601" i="70" s="1"/>
  <c r="L411" i="76"/>
  <c r="Q1172" i="56"/>
  <c r="L1050" i="70" s="1"/>
  <c r="L265" i="76"/>
  <c r="Q675" i="56"/>
  <c r="L631" i="70" s="1"/>
  <c r="L167" i="76"/>
  <c r="Q334" i="56"/>
  <c r="L344" i="70" s="1"/>
  <c r="L429" i="76"/>
  <c r="Q1244" i="56"/>
  <c r="L1110" i="70" s="1"/>
  <c r="L349" i="76"/>
  <c r="Q948" i="56"/>
  <c r="L862" i="70" s="1"/>
  <c r="L197" i="76"/>
  <c r="Q445" i="56"/>
  <c r="L437" i="70" s="1"/>
  <c r="L428" i="76"/>
  <c r="Q1243" i="56"/>
  <c r="L1109" i="70" s="1"/>
  <c r="L348" i="76"/>
  <c r="Q947" i="56"/>
  <c r="L861" i="70" s="1"/>
  <c r="L196" i="76"/>
  <c r="Q444" i="56"/>
  <c r="L436" i="70" s="1"/>
  <c r="L427" i="76"/>
  <c r="Q1242" i="56"/>
  <c r="L1108" i="70" s="1"/>
  <c r="L347" i="76"/>
  <c r="Q946" i="56"/>
  <c r="L860" i="70" s="1"/>
  <c r="L195" i="76"/>
  <c r="Q416" i="56"/>
  <c r="L414" i="70" s="1"/>
  <c r="L396" i="76"/>
  <c r="Q1130" i="56"/>
  <c r="L1014" i="70" s="1"/>
  <c r="L316" i="76"/>
  <c r="Q834" i="56"/>
  <c r="L766" i="70" s="1"/>
  <c r="L345" i="76"/>
  <c r="Q944" i="56"/>
  <c r="L858" i="70" s="1"/>
  <c r="L193" i="76"/>
  <c r="Q414" i="56"/>
  <c r="L412" i="70" s="1"/>
  <c r="L156" i="76"/>
  <c r="Q296" i="56"/>
  <c r="L312" i="70" s="1"/>
  <c r="L314" i="76"/>
  <c r="Q832" i="56"/>
  <c r="L764" i="70" s="1"/>
  <c r="L343" i="76"/>
  <c r="Q942" i="56"/>
  <c r="L856" i="70" s="1"/>
  <c r="L191" i="76"/>
  <c r="Q412" i="56"/>
  <c r="L410" i="70" s="1"/>
  <c r="L448" i="76"/>
  <c r="Q1290" i="56"/>
  <c r="L1150" i="70" s="1"/>
  <c r="L302" i="76"/>
  <c r="Q793" i="56"/>
  <c r="L731" i="70" s="1"/>
  <c r="L351" i="76"/>
  <c r="Q977" i="56"/>
  <c r="L885" i="70" s="1"/>
  <c r="L271" i="76"/>
  <c r="Q681" i="56"/>
  <c r="L637" i="70" s="1"/>
  <c r="L284" i="76"/>
  <c r="Q748" i="56"/>
  <c r="L692" i="70" s="1"/>
  <c r="L436" i="76"/>
  <c r="Q1251" i="56"/>
  <c r="L1117" i="70" s="1"/>
  <c r="L290" i="76"/>
  <c r="Q754" i="56"/>
  <c r="L698" i="70" s="1"/>
  <c r="L152" i="76"/>
  <c r="Q292" i="56"/>
  <c r="L308" i="70" s="1"/>
  <c r="L415" i="76"/>
  <c r="Q1176" i="56"/>
  <c r="L1054" i="70" s="1"/>
  <c r="L269" i="76"/>
  <c r="Q679" i="56"/>
  <c r="L635" i="70" s="1"/>
  <c r="L414" i="76"/>
  <c r="Q1175" i="56"/>
  <c r="L1053" i="70" s="1"/>
  <c r="L268" i="76"/>
  <c r="Q678" i="56"/>
  <c r="L634" i="70" s="1"/>
  <c r="L423" i="76"/>
  <c r="Q1211" i="56"/>
  <c r="L1083" i="70" s="1"/>
  <c r="L277" i="76"/>
  <c r="Q714" i="56"/>
  <c r="L664" i="70" s="1"/>
  <c r="L185" i="76"/>
  <c r="Q406" i="56"/>
  <c r="L404" i="70" s="1"/>
  <c r="L392" i="76"/>
  <c r="Q1099" i="56"/>
  <c r="L989" i="70" s="1"/>
  <c r="L246" i="76"/>
  <c r="Q602" i="56"/>
  <c r="L570" i="70" s="1"/>
  <c r="L401" i="76"/>
  <c r="Q1135" i="56"/>
  <c r="L1019" i="70" s="1"/>
  <c r="L255" i="76"/>
  <c r="Q638" i="56"/>
  <c r="L600" i="70" s="1"/>
  <c r="L419" i="76"/>
  <c r="Q1207" i="56"/>
  <c r="L1079" i="70" s="1"/>
  <c r="L273" i="76"/>
  <c r="Q710" i="56"/>
  <c r="L660" i="70" s="1"/>
  <c r="L181" i="76"/>
  <c r="Q375" i="56"/>
  <c r="L379" i="70" s="1"/>
  <c r="L418" i="76"/>
  <c r="Q1206" i="56"/>
  <c r="L1078" i="70" s="1"/>
  <c r="L338" i="76"/>
  <c r="Q910" i="56"/>
  <c r="L830" i="70" s="1"/>
  <c r="L180" i="76"/>
  <c r="Q374" i="56"/>
  <c r="L378" i="70" s="1"/>
  <c r="L417" i="76"/>
  <c r="Q1205" i="56"/>
  <c r="L1077" i="70" s="1"/>
  <c r="L337" i="76"/>
  <c r="Q909" i="56"/>
  <c r="L829" i="70" s="1"/>
  <c r="L386" i="76"/>
  <c r="Q1093" i="56"/>
  <c r="L983" i="70" s="1"/>
  <c r="L240" i="76"/>
  <c r="Q596" i="56"/>
  <c r="L564" i="70" s="1"/>
  <c r="L450" i="76"/>
  <c r="Q1319" i="56"/>
  <c r="L1173" i="70" s="1"/>
  <c r="L335" i="76"/>
  <c r="Q907" i="56"/>
  <c r="L827" i="70" s="1"/>
  <c r="L177" i="76"/>
  <c r="Q371" i="56"/>
  <c r="L375" i="70" s="1"/>
  <c r="L394" i="76"/>
  <c r="Q1128" i="56"/>
  <c r="L1012" i="70" s="1"/>
  <c r="L384" i="76"/>
  <c r="Q1091" i="56"/>
  <c r="L981" i="70" s="1"/>
  <c r="L333" i="76"/>
  <c r="Q905" i="56"/>
  <c r="L825" i="70" s="1"/>
  <c r="L372" i="76"/>
  <c r="Q1052" i="56"/>
  <c r="L948" i="70" s="1"/>
  <c r="L410" i="76"/>
  <c r="Q1171" i="56"/>
  <c r="L1049" i="70" s="1"/>
  <c r="L341" i="76"/>
  <c r="Q940" i="56"/>
  <c r="L854" i="70" s="1"/>
  <c r="L261" i="76"/>
  <c r="Q644" i="56"/>
  <c r="L606" i="70" s="1"/>
  <c r="L264" i="76"/>
  <c r="Q674" i="56"/>
  <c r="L630" i="70" s="1"/>
  <c r="L426" i="76"/>
  <c r="Q1214" i="56"/>
  <c r="L1086" i="70" s="1"/>
  <c r="L280" i="76"/>
  <c r="Q717" i="56"/>
  <c r="L667" i="70" s="1"/>
  <c r="L339" i="76"/>
  <c r="Q938" i="56"/>
  <c r="L852" i="70" s="1"/>
  <c r="L259" i="76"/>
  <c r="Q642" i="56"/>
  <c r="L604" i="70" s="1"/>
  <c r="L182" i="76"/>
  <c r="Q376" i="56"/>
  <c r="L380" i="70" s="1"/>
  <c r="L404" i="76"/>
  <c r="Q1138" i="56"/>
  <c r="L1022" i="70" s="1"/>
  <c r="L258" i="76"/>
  <c r="Q641" i="56"/>
  <c r="L603" i="70" s="1"/>
  <c r="L413" i="76"/>
  <c r="Q1174" i="56"/>
  <c r="L1052" i="70" s="1"/>
  <c r="L267" i="76"/>
  <c r="Q677" i="56"/>
  <c r="L633" i="70" s="1"/>
  <c r="L169" i="76"/>
  <c r="Q336" i="56"/>
  <c r="L346" i="70" s="1"/>
  <c r="L462" i="76"/>
  <c r="Q1358" i="56"/>
  <c r="L1206" i="70" s="1"/>
  <c r="L382" i="76"/>
  <c r="Q1062" i="56"/>
  <c r="L958" i="70" s="1"/>
  <c r="L236" i="76"/>
  <c r="Q565" i="56"/>
  <c r="L539" i="70" s="1"/>
  <c r="L162" i="76"/>
  <c r="Q302" i="56"/>
  <c r="L318" i="70" s="1"/>
  <c r="L391" i="76"/>
  <c r="Q1098" i="56"/>
  <c r="L988" i="70" s="1"/>
  <c r="L245" i="76"/>
  <c r="Q601" i="56"/>
  <c r="L569" i="70" s="1"/>
  <c r="L409" i="76"/>
  <c r="Q1170" i="56"/>
  <c r="L1048" i="70" s="1"/>
  <c r="L263" i="76"/>
  <c r="Q673" i="56"/>
  <c r="L629" i="70" s="1"/>
  <c r="L165" i="76"/>
  <c r="Q332" i="56"/>
  <c r="L342" i="70" s="1"/>
  <c r="L408" i="76"/>
  <c r="Q1169" i="56"/>
  <c r="L1047" i="70" s="1"/>
  <c r="L262" i="76"/>
  <c r="Q672" i="56"/>
  <c r="L628" i="70" s="1"/>
  <c r="L164" i="76"/>
  <c r="Q331" i="56"/>
  <c r="L341" i="70" s="1"/>
  <c r="L407" i="76"/>
  <c r="Q1168" i="56"/>
  <c r="L1046" i="70" s="1"/>
  <c r="L327" i="76"/>
  <c r="Q872" i="56"/>
  <c r="L798" i="70" s="1"/>
  <c r="L163" i="76"/>
  <c r="Q330" i="56"/>
  <c r="L340" i="70" s="1"/>
  <c r="L376" i="76"/>
  <c r="Q1056" i="56"/>
  <c r="L952" i="70" s="1"/>
  <c r="L230" i="76"/>
  <c r="Q559" i="56"/>
  <c r="L533" i="70" s="1"/>
  <c r="L405" i="76"/>
  <c r="Q1166" i="56"/>
  <c r="L1044" i="70" s="1"/>
  <c r="L325" i="76"/>
  <c r="Q870" i="56"/>
  <c r="L796" i="70" s="1"/>
  <c r="L157" i="76"/>
  <c r="Q297" i="56"/>
  <c r="L313" i="70" s="1"/>
  <c r="L304" i="76"/>
  <c r="Q795" i="56"/>
  <c r="L733" i="70" s="1"/>
  <c r="L430" i="76"/>
  <c r="Q1245" i="56"/>
  <c r="L1111" i="70" s="1"/>
  <c r="L175" i="76"/>
  <c r="Q369" i="56"/>
  <c r="L373" i="70" s="1"/>
  <c r="L292" i="76"/>
  <c r="Q756" i="56"/>
  <c r="L700" i="70" s="1"/>
  <c r="L374" i="76"/>
  <c r="Q1054" i="56"/>
  <c r="L950" i="70" s="1"/>
  <c r="L294" i="76"/>
  <c r="Q758" i="56"/>
  <c r="L702" i="70" s="1"/>
  <c r="L469" i="76"/>
  <c r="Q1365" i="56"/>
  <c r="L1213" i="70" s="1"/>
  <c r="L323" i="76"/>
  <c r="Q868" i="56"/>
  <c r="L794" i="70" s="1"/>
  <c r="L155" i="76"/>
  <c r="Q295" i="56"/>
  <c r="L311" i="70" s="1"/>
  <c r="L362" i="76"/>
  <c r="Q1015" i="56"/>
  <c r="L917" i="70" s="1"/>
  <c r="L282" i="76"/>
  <c r="Q719" i="56"/>
  <c r="L669" i="70" s="1"/>
  <c r="L331" i="76"/>
  <c r="Q903" i="56"/>
  <c r="L823" i="70" s="1"/>
  <c r="L205" i="76"/>
  <c r="Q453" i="56"/>
  <c r="L445" i="70" s="1"/>
  <c r="L234" i="76"/>
  <c r="Q563" i="56"/>
  <c r="L537" i="70" s="1"/>
  <c r="L350" i="76"/>
  <c r="Q976" i="56"/>
  <c r="L884" i="70" s="1"/>
  <c r="L270" i="76"/>
  <c r="Q680" i="56"/>
  <c r="L636" i="70" s="1"/>
  <c r="L329" i="76"/>
  <c r="Q901" i="56"/>
  <c r="L821" i="70" s="1"/>
  <c r="L249" i="76"/>
  <c r="Q605" i="56"/>
  <c r="L573" i="70" s="1"/>
  <c r="L328" i="76"/>
  <c r="Q900" i="56"/>
  <c r="L820" i="70" s="1"/>
  <c r="L248" i="76"/>
  <c r="Q604" i="56"/>
  <c r="L572" i="70" s="1"/>
  <c r="L380" i="76"/>
  <c r="Q1060" i="56"/>
  <c r="L956" i="70" s="1"/>
  <c r="L403" i="76"/>
  <c r="Q1137" i="56"/>
  <c r="L1021" i="70" s="1"/>
  <c r="L257" i="76"/>
  <c r="Q640" i="56"/>
  <c r="L602" i="70" s="1"/>
  <c r="L452" i="76"/>
  <c r="Q1321" i="56"/>
  <c r="L1175" i="70" s="1"/>
  <c r="L306" i="76"/>
  <c r="Q824" i="56"/>
  <c r="L756" i="70" s="1"/>
  <c r="L226" i="76"/>
  <c r="Q528" i="56"/>
  <c r="L508" i="70" s="1"/>
  <c r="L461" i="76"/>
  <c r="Q1357" i="56"/>
  <c r="L1205" i="70" s="1"/>
  <c r="L381" i="76"/>
  <c r="Q1061" i="56"/>
  <c r="L957" i="70" s="1"/>
  <c r="L235" i="76"/>
  <c r="Q564" i="56"/>
  <c r="L538" i="70" s="1"/>
  <c r="L360" i="76"/>
  <c r="Q986" i="56"/>
  <c r="L894" i="70" s="1"/>
  <c r="L399" i="76"/>
  <c r="Q1133" i="56"/>
  <c r="L1017" i="70" s="1"/>
  <c r="L253" i="76"/>
  <c r="Q636" i="56"/>
  <c r="L598" i="70" s="1"/>
  <c r="L161" i="76"/>
  <c r="Q301" i="56"/>
  <c r="L317" i="70" s="1"/>
  <c r="L398" i="76"/>
  <c r="Q1132" i="56"/>
  <c r="L1016" i="70" s="1"/>
  <c r="L252" i="76"/>
  <c r="Q635" i="56"/>
  <c r="L597" i="70" s="1"/>
  <c r="L160" i="76"/>
  <c r="Q300" i="56"/>
  <c r="L316" i="70" s="1"/>
  <c r="L397" i="76"/>
  <c r="Q1131" i="56"/>
  <c r="L1015" i="70" s="1"/>
  <c r="L251" i="76"/>
  <c r="Q634" i="56"/>
  <c r="L596" i="70" s="1"/>
  <c r="L159" i="76"/>
  <c r="Q299" i="56"/>
  <c r="L315" i="70" s="1"/>
  <c r="L366" i="76"/>
  <c r="Q1019" i="56"/>
  <c r="L921" i="70" s="1"/>
  <c r="L220" i="76"/>
  <c r="Q522" i="56"/>
  <c r="L502" i="70" s="1"/>
  <c r="L395" i="76"/>
  <c r="Q1129" i="56"/>
  <c r="L1013" i="70" s="1"/>
  <c r="L315" i="76"/>
  <c r="Q833" i="56"/>
  <c r="L765" i="70" s="1"/>
  <c r="L76" i="76"/>
  <c r="Q149" i="56"/>
  <c r="L214" i="70" s="1"/>
  <c r="L123" i="76"/>
  <c r="Q196" i="56"/>
  <c r="L261" i="70" s="1"/>
  <c r="L74" i="76"/>
  <c r="Q147" i="56"/>
  <c r="L212" i="70" s="1"/>
  <c r="L41" i="76"/>
  <c r="Q114" i="56"/>
  <c r="L179" i="70" s="1"/>
  <c r="L34" i="76"/>
  <c r="Q107" i="56"/>
  <c r="L172" i="70" s="1"/>
  <c r="L88" i="76"/>
  <c r="Q161" i="56"/>
  <c r="L226" i="70" s="1"/>
  <c r="L71" i="76"/>
  <c r="Q144" i="56"/>
  <c r="L209" i="70" s="1"/>
  <c r="L86" i="76"/>
  <c r="Q159" i="56"/>
  <c r="L224" i="70" s="1"/>
  <c r="L117" i="76"/>
  <c r="Q190" i="56"/>
  <c r="L255" i="70" s="1"/>
  <c r="L68" i="76"/>
  <c r="Q141" i="56"/>
  <c r="L206" i="70" s="1"/>
  <c r="L83" i="76"/>
  <c r="Q156" i="56"/>
  <c r="L221" i="70" s="1"/>
  <c r="L129" i="76"/>
  <c r="Q202" i="56"/>
  <c r="L267" i="70" s="1"/>
  <c r="L128" i="76"/>
  <c r="Q201" i="56"/>
  <c r="L266" i="70" s="1"/>
  <c r="L127" i="76"/>
  <c r="Q200" i="56"/>
  <c r="L265" i="70" s="1"/>
  <c r="L62" i="76"/>
  <c r="Q135" i="56"/>
  <c r="L200" i="70" s="1"/>
  <c r="L109" i="76"/>
  <c r="Q182" i="56"/>
  <c r="L247" i="70" s="1"/>
  <c r="L57" i="76"/>
  <c r="Q130" i="56"/>
  <c r="L195" i="70" s="1"/>
  <c r="L99" i="76"/>
  <c r="Q172" i="56"/>
  <c r="L237" i="70" s="1"/>
  <c r="L16" i="76"/>
  <c r="Q89" i="56"/>
  <c r="L154" i="70" s="1"/>
  <c r="L60" i="76"/>
  <c r="Q133" i="56"/>
  <c r="L198" i="70" s="1"/>
  <c r="L107" i="76"/>
  <c r="Q180" i="56"/>
  <c r="L245" i="70" s="1"/>
  <c r="L82" i="76"/>
  <c r="Q155" i="56"/>
  <c r="L220" i="70" s="1"/>
  <c r="L58" i="76"/>
  <c r="Q131" i="56"/>
  <c r="L196" i="70" s="1"/>
  <c r="L25" i="76"/>
  <c r="Q98" i="56"/>
  <c r="L163" i="70" s="1"/>
  <c r="L72" i="76"/>
  <c r="Q145" i="56"/>
  <c r="L210" i="70" s="1"/>
  <c r="L55" i="76"/>
  <c r="Q128" i="56"/>
  <c r="L193" i="70" s="1"/>
  <c r="L70" i="76"/>
  <c r="Q143" i="56"/>
  <c r="L208" i="70" s="1"/>
  <c r="L101" i="76"/>
  <c r="Q174" i="56"/>
  <c r="L239" i="70" s="1"/>
  <c r="L52" i="76"/>
  <c r="Q125" i="56"/>
  <c r="L190" i="70" s="1"/>
  <c r="L67" i="76"/>
  <c r="Q140" i="56"/>
  <c r="L205" i="70" s="1"/>
  <c r="L113" i="76"/>
  <c r="Q186" i="56"/>
  <c r="L251" i="70" s="1"/>
  <c r="L18" i="76"/>
  <c r="Q91" i="56"/>
  <c r="L156" i="70" s="1"/>
  <c r="L112" i="76"/>
  <c r="Q185" i="56"/>
  <c r="L250" i="70" s="1"/>
  <c r="L111" i="76"/>
  <c r="Q184" i="56"/>
  <c r="L249" i="70" s="1"/>
  <c r="L46" i="76"/>
  <c r="Q119" i="56"/>
  <c r="L184" i="70" s="1"/>
  <c r="L93" i="76"/>
  <c r="Q166" i="56"/>
  <c r="L231" i="70" s="1"/>
  <c r="L92" i="76"/>
  <c r="Q165" i="56"/>
  <c r="L230" i="70" s="1"/>
  <c r="L15" i="76"/>
  <c r="Q88" i="56"/>
  <c r="L153" i="70" s="1"/>
  <c r="L104" i="76"/>
  <c r="Q177" i="56"/>
  <c r="L242" i="70" s="1"/>
  <c r="L44" i="76"/>
  <c r="Q117" i="56"/>
  <c r="L182" i="70" s="1"/>
  <c r="L91" i="76"/>
  <c r="Q164" i="56"/>
  <c r="L229" i="70" s="1"/>
  <c r="L42" i="76"/>
  <c r="Q115" i="56"/>
  <c r="L180" i="70" s="1"/>
  <c r="L137" i="76"/>
  <c r="Q210" i="56"/>
  <c r="L275" i="70" s="1"/>
  <c r="L56" i="76"/>
  <c r="Q129" i="56"/>
  <c r="L194" i="70" s="1"/>
  <c r="L39" i="76"/>
  <c r="Q112" i="56"/>
  <c r="L177" i="70" s="1"/>
  <c r="L54" i="76"/>
  <c r="Q127" i="56"/>
  <c r="L192" i="70" s="1"/>
  <c r="L85" i="76"/>
  <c r="Q158" i="56"/>
  <c r="L223" i="70" s="1"/>
  <c r="L36" i="76"/>
  <c r="Q109" i="56"/>
  <c r="L174" i="70" s="1"/>
  <c r="L51" i="76"/>
  <c r="Q124" i="56"/>
  <c r="L189" i="70" s="1"/>
  <c r="L97" i="76"/>
  <c r="Q170" i="56"/>
  <c r="L235" i="70" s="1"/>
  <c r="L96" i="76"/>
  <c r="Q169" i="56"/>
  <c r="L234" i="70" s="1"/>
  <c r="L50" i="76"/>
  <c r="Q123" i="56"/>
  <c r="L188" i="70" s="1"/>
  <c r="L95" i="76"/>
  <c r="Q168" i="56"/>
  <c r="L233" i="70" s="1"/>
  <c r="L30" i="76"/>
  <c r="Q103" i="56"/>
  <c r="L168" i="70" s="1"/>
  <c r="L77" i="76"/>
  <c r="Q150" i="56"/>
  <c r="L215" i="70" s="1"/>
  <c r="L146" i="76"/>
  <c r="Q219" i="56"/>
  <c r="L284" i="70" s="1"/>
  <c r="L133" i="76"/>
  <c r="Q206" i="56"/>
  <c r="L271" i="70" s="1"/>
  <c r="L17" i="76"/>
  <c r="Q90" i="56"/>
  <c r="L155" i="70" s="1"/>
  <c r="L125" i="76"/>
  <c r="Q198" i="56"/>
  <c r="L263" i="70" s="1"/>
  <c r="L143" i="76"/>
  <c r="Q216" i="56"/>
  <c r="L281" i="70" s="1"/>
  <c r="L28" i="76"/>
  <c r="Q101" i="56"/>
  <c r="L166" i="70" s="1"/>
  <c r="L75" i="76"/>
  <c r="Q148" i="56"/>
  <c r="L213" i="70" s="1"/>
  <c r="L26" i="76"/>
  <c r="Q99" i="56"/>
  <c r="L164" i="70" s="1"/>
  <c r="L121" i="76"/>
  <c r="Q194" i="56"/>
  <c r="L259" i="70" s="1"/>
  <c r="L40" i="76"/>
  <c r="Q113" i="56"/>
  <c r="L178" i="70" s="1"/>
  <c r="L151" i="76"/>
  <c r="Q224" i="56"/>
  <c r="L289" i="70" s="1"/>
  <c r="L23" i="76"/>
  <c r="Q96" i="56"/>
  <c r="L161" i="70" s="1"/>
  <c r="L38" i="76"/>
  <c r="Q111" i="56"/>
  <c r="L176" i="70" s="1"/>
  <c r="L69" i="76"/>
  <c r="Q142" i="56"/>
  <c r="L207" i="70" s="1"/>
  <c r="L148" i="76"/>
  <c r="Q221" i="56"/>
  <c r="L286" i="70" s="1"/>
  <c r="L20" i="76"/>
  <c r="Q93" i="56"/>
  <c r="L158" i="70" s="1"/>
  <c r="L35" i="76"/>
  <c r="Q108" i="56"/>
  <c r="L173" i="70" s="1"/>
  <c r="L81" i="76"/>
  <c r="Q154" i="56"/>
  <c r="L219" i="70" s="1"/>
  <c r="L80" i="76"/>
  <c r="Q153" i="56"/>
  <c r="L218" i="70" s="1"/>
  <c r="L79" i="76"/>
  <c r="Q152" i="56"/>
  <c r="L217" i="70" s="1"/>
  <c r="L142" i="76"/>
  <c r="Q215" i="56"/>
  <c r="L280" i="70" s="1"/>
  <c r="L14" i="76"/>
  <c r="Q87" i="56"/>
  <c r="L152" i="70" s="1"/>
  <c r="L61" i="76"/>
  <c r="Q134" i="56"/>
  <c r="L199" i="70" s="1"/>
  <c r="L130" i="76"/>
  <c r="Q203" i="56"/>
  <c r="L268" i="70" s="1"/>
  <c r="L84" i="76"/>
  <c r="Q157" i="56"/>
  <c r="L222" i="70" s="1"/>
  <c r="L140" i="76"/>
  <c r="Q213" i="56"/>
  <c r="L278" i="70" s="1"/>
  <c r="L12" i="76"/>
  <c r="Q85" i="56"/>
  <c r="L150" i="70" s="1"/>
  <c r="L59" i="76"/>
  <c r="Q132" i="56"/>
  <c r="L197" i="70" s="1"/>
  <c r="L138" i="76"/>
  <c r="Q211" i="56"/>
  <c r="L276" i="70" s="1"/>
  <c r="L10" i="76"/>
  <c r="Q83" i="56"/>
  <c r="L148" i="70" s="1"/>
  <c r="L105" i="76"/>
  <c r="Q178" i="56"/>
  <c r="L243" i="70" s="1"/>
  <c r="L24" i="76"/>
  <c r="Q97" i="56"/>
  <c r="L162" i="70" s="1"/>
  <c r="L135" i="76"/>
  <c r="Q208" i="56"/>
  <c r="L273" i="70" s="1"/>
  <c r="L7" i="76"/>
  <c r="Q80" i="56"/>
  <c r="L145" i="70" s="1"/>
  <c r="L150" i="76"/>
  <c r="Q223" i="56"/>
  <c r="L288" i="70" s="1"/>
  <c r="L22" i="76"/>
  <c r="Q95" i="56"/>
  <c r="L160" i="70" s="1"/>
  <c r="L53" i="76"/>
  <c r="Q126" i="56"/>
  <c r="L191" i="70" s="1"/>
  <c r="L98" i="76"/>
  <c r="Q171" i="56"/>
  <c r="L236" i="70" s="1"/>
  <c r="L132" i="76"/>
  <c r="Q205" i="56"/>
  <c r="L270" i="70" s="1"/>
  <c r="L4" i="76"/>
  <c r="Q77" i="56"/>
  <c r="L142" i="70" s="1"/>
  <c r="L147" i="76"/>
  <c r="Q220" i="56"/>
  <c r="L285" i="70" s="1"/>
  <c r="L19" i="76"/>
  <c r="Q92" i="56"/>
  <c r="L157" i="70" s="1"/>
  <c r="L65" i="76"/>
  <c r="Q138" i="56"/>
  <c r="L203" i="70" s="1"/>
  <c r="L64" i="76"/>
  <c r="Q137" i="56"/>
  <c r="L202" i="70" s="1"/>
  <c r="L63" i="76"/>
  <c r="Q136" i="56"/>
  <c r="L201" i="70" s="1"/>
  <c r="L126" i="76"/>
  <c r="Q199" i="56"/>
  <c r="L264" i="70" s="1"/>
  <c r="L45" i="76"/>
  <c r="Q118" i="56"/>
  <c r="L183" i="70" s="1"/>
  <c r="L90" i="76"/>
  <c r="Q163" i="56"/>
  <c r="L228" i="70" s="1"/>
  <c r="L144" i="76"/>
  <c r="Q217" i="56"/>
  <c r="L282" i="70" s="1"/>
  <c r="L102" i="76"/>
  <c r="Q175" i="56"/>
  <c r="L240" i="70" s="1"/>
  <c r="L124" i="76"/>
  <c r="Q197" i="56"/>
  <c r="L262" i="70" s="1"/>
  <c r="L43" i="76"/>
  <c r="Q116" i="56"/>
  <c r="L181" i="70" s="1"/>
  <c r="L122" i="76"/>
  <c r="Q195" i="56"/>
  <c r="L260" i="70" s="1"/>
  <c r="L89" i="76"/>
  <c r="Q162" i="56"/>
  <c r="L227" i="70" s="1"/>
  <c r="L136" i="76"/>
  <c r="Q209" i="56"/>
  <c r="L274" i="70" s="1"/>
  <c r="L8" i="76"/>
  <c r="Q81" i="56"/>
  <c r="L146" i="70" s="1"/>
  <c r="L119" i="76"/>
  <c r="Q192" i="56"/>
  <c r="L257" i="70" s="1"/>
  <c r="L134" i="76"/>
  <c r="Q207" i="56"/>
  <c r="L272" i="70" s="1"/>
  <c r="L6" i="76"/>
  <c r="Q79" i="56"/>
  <c r="L144" i="70" s="1"/>
  <c r="L37" i="76"/>
  <c r="Q110" i="56"/>
  <c r="L175" i="70" s="1"/>
  <c r="L116" i="76"/>
  <c r="Q189" i="56"/>
  <c r="L254" i="70" s="1"/>
  <c r="L131" i="76"/>
  <c r="Q204" i="56"/>
  <c r="L269" i="70" s="1"/>
  <c r="L49" i="76"/>
  <c r="Q122" i="56"/>
  <c r="L187" i="70" s="1"/>
  <c r="L48" i="76"/>
  <c r="Q121" i="56"/>
  <c r="L186" i="70" s="1"/>
  <c r="L47" i="76"/>
  <c r="Q120" i="56"/>
  <c r="L185" i="70" s="1"/>
  <c r="L110" i="76"/>
  <c r="Q183" i="56"/>
  <c r="L248" i="70" s="1"/>
  <c r="L29" i="76"/>
  <c r="Q102" i="56"/>
  <c r="L167" i="70" s="1"/>
  <c r="L139" i="76"/>
  <c r="Q212" i="56"/>
  <c r="L277" i="70" s="1"/>
  <c r="L145" i="76"/>
  <c r="Q218" i="56"/>
  <c r="L283" i="70" s="1"/>
  <c r="L78" i="76"/>
  <c r="Q151" i="56"/>
  <c r="L216" i="70" s="1"/>
  <c r="L11" i="76"/>
  <c r="Q84" i="56"/>
  <c r="L149" i="70" s="1"/>
  <c r="L87" i="76"/>
  <c r="Q160" i="56"/>
  <c r="L225" i="70" s="1"/>
  <c r="L108" i="76"/>
  <c r="Q181" i="56"/>
  <c r="L246" i="70" s="1"/>
  <c r="L27" i="76"/>
  <c r="Q100" i="56"/>
  <c r="L165" i="70" s="1"/>
  <c r="L106" i="76"/>
  <c r="Q179" i="56"/>
  <c r="L244" i="70" s="1"/>
  <c r="L66" i="76"/>
  <c r="Q139" i="56"/>
  <c r="L204" i="70" s="1"/>
  <c r="L73" i="76"/>
  <c r="Q146" i="56"/>
  <c r="L211" i="70" s="1"/>
  <c r="L120" i="76"/>
  <c r="Q193" i="56"/>
  <c r="L258" i="70" s="1"/>
  <c r="L114" i="76"/>
  <c r="Q187" i="56"/>
  <c r="L252" i="70" s="1"/>
  <c r="L103" i="76"/>
  <c r="Q176" i="56"/>
  <c r="L241" i="70" s="1"/>
  <c r="L118" i="76"/>
  <c r="Q191" i="56"/>
  <c r="L256" i="70" s="1"/>
  <c r="L149" i="76"/>
  <c r="Q222" i="56"/>
  <c r="L287" i="70" s="1"/>
  <c r="L21" i="76"/>
  <c r="Q94" i="56"/>
  <c r="L159" i="70" s="1"/>
  <c r="L100" i="76"/>
  <c r="Q173" i="56"/>
  <c r="L238" i="70" s="1"/>
  <c r="L115" i="76"/>
  <c r="Q188" i="56"/>
  <c r="L253" i="70" s="1"/>
  <c r="L33" i="76"/>
  <c r="Q106" i="56"/>
  <c r="L171" i="70" s="1"/>
  <c r="L32" i="76"/>
  <c r="Q105" i="56"/>
  <c r="L170" i="70" s="1"/>
  <c r="L31" i="76"/>
  <c r="Q104" i="56"/>
  <c r="L169" i="70" s="1"/>
  <c r="L94" i="76"/>
  <c r="Q167" i="56"/>
  <c r="L232" i="70" s="1"/>
  <c r="L141" i="76"/>
  <c r="Q214" i="56"/>
  <c r="L279" i="70" s="1"/>
  <c r="L13" i="76"/>
  <c r="Q86" i="56"/>
  <c r="L151" i="70" s="1"/>
  <c r="L5" i="76"/>
  <c r="Q78" i="56"/>
  <c r="L143" i="70" s="1"/>
  <c r="A143" i="56"/>
  <c r="L9" i="76"/>
  <c r="AF50" i="49"/>
  <c r="AE50" i="49"/>
  <c r="L3" i="76"/>
  <c r="L2" i="76"/>
  <c r="L218" i="76"/>
  <c r="C8" i="49"/>
  <c r="L290" i="70" l="1"/>
  <c r="L383" i="70"/>
  <c r="L351" i="70"/>
  <c r="L319" i="70"/>
  <c r="A144" i="56"/>
  <c r="A145" i="56" l="1"/>
  <c r="E7" i="72"/>
  <c r="A146" i="56" l="1"/>
  <c r="I42" i="49"/>
  <c r="A147" i="56" l="1"/>
  <c r="F2" i="72"/>
  <c r="A148" i="56" l="1"/>
  <c r="C266" i="56"/>
  <c r="A149" i="56" l="1"/>
  <c r="D7" i="49"/>
  <c r="I1276" i="49"/>
  <c r="I1238" i="49"/>
  <c r="I1200" i="49"/>
  <c r="I1162" i="49"/>
  <c r="I1124" i="49"/>
  <c r="I1086" i="49"/>
  <c r="I1048" i="49"/>
  <c r="I1010" i="49"/>
  <c r="I972" i="49"/>
  <c r="I934" i="49"/>
  <c r="I896" i="49"/>
  <c r="I858" i="49"/>
  <c r="I820" i="49"/>
  <c r="I782" i="49"/>
  <c r="I744" i="49"/>
  <c r="I706" i="49"/>
  <c r="I668" i="49"/>
  <c r="I630" i="49"/>
  <c r="I592" i="49"/>
  <c r="I554" i="49"/>
  <c r="I516" i="49"/>
  <c r="I478" i="49"/>
  <c r="I440" i="49"/>
  <c r="I402" i="49"/>
  <c r="I364" i="49"/>
  <c r="I326" i="49"/>
  <c r="I288" i="49"/>
  <c r="I250" i="49"/>
  <c r="I212" i="49"/>
  <c r="A150" i="56" l="1"/>
  <c r="E9" i="49"/>
  <c r="D29" i="71"/>
  <c r="A151" i="56" l="1"/>
  <c r="G142" i="70"/>
  <c r="M77" i="56"/>
  <c r="H142" i="70" s="1"/>
  <c r="N77" i="56"/>
  <c r="G143" i="70"/>
  <c r="M78" i="56"/>
  <c r="H143" i="70" s="1"/>
  <c r="N78" i="56"/>
  <c r="M79" i="56"/>
  <c r="H144" i="70" s="1"/>
  <c r="N79" i="56"/>
  <c r="L80" i="56"/>
  <c r="M80" i="56"/>
  <c r="H145" i="70" s="1"/>
  <c r="N80" i="56"/>
  <c r="L81" i="56"/>
  <c r="M81" i="56"/>
  <c r="H146" i="70" s="1"/>
  <c r="N81" i="56"/>
  <c r="L82" i="56"/>
  <c r="M82" i="56"/>
  <c r="H147" i="70" s="1"/>
  <c r="N82" i="56"/>
  <c r="L83" i="56"/>
  <c r="M83" i="56"/>
  <c r="H148" i="70" s="1"/>
  <c r="N83" i="56"/>
  <c r="L84" i="56"/>
  <c r="M84" i="56"/>
  <c r="H149" i="70" s="1"/>
  <c r="N84" i="56"/>
  <c r="L85" i="56"/>
  <c r="M85" i="56"/>
  <c r="H150" i="70" s="1"/>
  <c r="N85" i="56"/>
  <c r="L86" i="56"/>
  <c r="M86" i="56"/>
  <c r="H151" i="70" s="1"/>
  <c r="N86" i="56"/>
  <c r="L87" i="56"/>
  <c r="M87" i="56"/>
  <c r="H152" i="70" s="1"/>
  <c r="N87" i="56"/>
  <c r="L88" i="56"/>
  <c r="M88" i="56"/>
  <c r="H153" i="70" s="1"/>
  <c r="N88" i="56"/>
  <c r="L89" i="56"/>
  <c r="M89" i="56"/>
  <c r="H154" i="70" s="1"/>
  <c r="N89" i="56"/>
  <c r="L90" i="56"/>
  <c r="M90" i="56"/>
  <c r="H155" i="70" s="1"/>
  <c r="N90" i="56"/>
  <c r="L91" i="56"/>
  <c r="M91" i="56"/>
  <c r="H156" i="70" s="1"/>
  <c r="N91" i="56"/>
  <c r="L92" i="56"/>
  <c r="M92" i="56"/>
  <c r="H157" i="70" s="1"/>
  <c r="N92" i="56"/>
  <c r="L93" i="56"/>
  <c r="M93" i="56"/>
  <c r="H158" i="70" s="1"/>
  <c r="N93" i="56"/>
  <c r="L94" i="56"/>
  <c r="M94" i="56"/>
  <c r="H159" i="70" s="1"/>
  <c r="N94" i="56"/>
  <c r="L95" i="56"/>
  <c r="M95" i="56"/>
  <c r="H160" i="70" s="1"/>
  <c r="N95" i="56"/>
  <c r="L96" i="56"/>
  <c r="M96" i="56"/>
  <c r="H161" i="70" s="1"/>
  <c r="N96" i="56"/>
  <c r="L97" i="56"/>
  <c r="M97" i="56"/>
  <c r="H162" i="70" s="1"/>
  <c r="N97" i="56"/>
  <c r="L98" i="56"/>
  <c r="M98" i="56"/>
  <c r="H163" i="70" s="1"/>
  <c r="N98" i="56"/>
  <c r="L99" i="56"/>
  <c r="M99" i="56"/>
  <c r="H164" i="70" s="1"/>
  <c r="N99" i="56"/>
  <c r="L100" i="56"/>
  <c r="M100" i="56"/>
  <c r="H165" i="70" s="1"/>
  <c r="N100" i="56"/>
  <c r="L101" i="56"/>
  <c r="M101" i="56"/>
  <c r="H166" i="70" s="1"/>
  <c r="N101" i="56"/>
  <c r="L102" i="56"/>
  <c r="M102" i="56"/>
  <c r="H167" i="70" s="1"/>
  <c r="N102" i="56"/>
  <c r="L103" i="56"/>
  <c r="M103" i="56"/>
  <c r="H168" i="70" s="1"/>
  <c r="N103" i="56"/>
  <c r="L104" i="56"/>
  <c r="M104" i="56"/>
  <c r="H169" i="70" s="1"/>
  <c r="N104" i="56"/>
  <c r="L105" i="56"/>
  <c r="M105" i="56"/>
  <c r="H170" i="70" s="1"/>
  <c r="N105" i="56"/>
  <c r="L106" i="56"/>
  <c r="M106" i="56"/>
  <c r="H171" i="70" s="1"/>
  <c r="N106" i="56"/>
  <c r="L107" i="56"/>
  <c r="M107" i="56"/>
  <c r="H172" i="70" s="1"/>
  <c r="N107" i="56"/>
  <c r="L108" i="56"/>
  <c r="M108" i="56"/>
  <c r="H173" i="70" s="1"/>
  <c r="N108" i="56"/>
  <c r="L109" i="56"/>
  <c r="M109" i="56"/>
  <c r="H174" i="70" s="1"/>
  <c r="N109" i="56"/>
  <c r="L110" i="56"/>
  <c r="M110" i="56"/>
  <c r="H175" i="70" s="1"/>
  <c r="N110" i="56"/>
  <c r="L111" i="56"/>
  <c r="M111" i="56"/>
  <c r="H176" i="70" s="1"/>
  <c r="N111" i="56"/>
  <c r="L112" i="56"/>
  <c r="M112" i="56"/>
  <c r="H177" i="70" s="1"/>
  <c r="N112" i="56"/>
  <c r="L113" i="56"/>
  <c r="M113" i="56"/>
  <c r="H178" i="70" s="1"/>
  <c r="N113" i="56"/>
  <c r="L114" i="56"/>
  <c r="M114" i="56"/>
  <c r="H179" i="70" s="1"/>
  <c r="N114" i="56"/>
  <c r="L115" i="56"/>
  <c r="M115" i="56"/>
  <c r="H180" i="70" s="1"/>
  <c r="N115" i="56"/>
  <c r="L116" i="56"/>
  <c r="M116" i="56"/>
  <c r="H181" i="70" s="1"/>
  <c r="N116" i="56"/>
  <c r="L117" i="56"/>
  <c r="M117" i="56"/>
  <c r="H182" i="70" s="1"/>
  <c r="N117" i="56"/>
  <c r="L118" i="56"/>
  <c r="M118" i="56"/>
  <c r="H183" i="70" s="1"/>
  <c r="N118" i="56"/>
  <c r="L119" i="56"/>
  <c r="M119" i="56"/>
  <c r="H184" i="70" s="1"/>
  <c r="N119" i="56"/>
  <c r="L120" i="56"/>
  <c r="M120" i="56"/>
  <c r="H185" i="70" s="1"/>
  <c r="N120" i="56"/>
  <c r="L121" i="56"/>
  <c r="M121" i="56"/>
  <c r="H186" i="70" s="1"/>
  <c r="N121" i="56"/>
  <c r="L122" i="56"/>
  <c r="M122" i="56"/>
  <c r="H187" i="70" s="1"/>
  <c r="N122" i="56"/>
  <c r="L123" i="56"/>
  <c r="M123" i="56"/>
  <c r="H188" i="70" s="1"/>
  <c r="N123" i="56"/>
  <c r="L124" i="56"/>
  <c r="M124" i="56"/>
  <c r="H189" i="70" s="1"/>
  <c r="N124" i="56"/>
  <c r="L125" i="56"/>
  <c r="M125" i="56"/>
  <c r="H190" i="70" s="1"/>
  <c r="N125" i="56"/>
  <c r="L126" i="56"/>
  <c r="M126" i="56"/>
  <c r="H191" i="70" s="1"/>
  <c r="N126" i="56"/>
  <c r="L127" i="56"/>
  <c r="M127" i="56"/>
  <c r="H192" i="70" s="1"/>
  <c r="N127" i="56"/>
  <c r="L128" i="56"/>
  <c r="M128" i="56"/>
  <c r="H193" i="70" s="1"/>
  <c r="N128" i="56"/>
  <c r="L129" i="56"/>
  <c r="M129" i="56"/>
  <c r="H194" i="70" s="1"/>
  <c r="N129" i="56"/>
  <c r="L130" i="56"/>
  <c r="M130" i="56"/>
  <c r="H195" i="70" s="1"/>
  <c r="N130" i="56"/>
  <c r="L131" i="56"/>
  <c r="M131" i="56"/>
  <c r="H196" i="70" s="1"/>
  <c r="N131" i="56"/>
  <c r="L132" i="56"/>
  <c r="M132" i="56"/>
  <c r="H197" i="70" s="1"/>
  <c r="N132" i="56"/>
  <c r="L133" i="56"/>
  <c r="M133" i="56"/>
  <c r="H198" i="70" s="1"/>
  <c r="N133" i="56"/>
  <c r="L134" i="56"/>
  <c r="M134" i="56"/>
  <c r="H199" i="70" s="1"/>
  <c r="N134" i="56"/>
  <c r="L135" i="56"/>
  <c r="M135" i="56"/>
  <c r="H200" i="70" s="1"/>
  <c r="N135" i="56"/>
  <c r="L136" i="56"/>
  <c r="M136" i="56"/>
  <c r="H201" i="70" s="1"/>
  <c r="N136" i="56"/>
  <c r="L137" i="56"/>
  <c r="M137" i="56"/>
  <c r="H202" i="70" s="1"/>
  <c r="N137" i="56"/>
  <c r="L138" i="56"/>
  <c r="M138" i="56"/>
  <c r="H203" i="70" s="1"/>
  <c r="N138" i="56"/>
  <c r="L139" i="56"/>
  <c r="M139" i="56"/>
  <c r="H204" i="70" s="1"/>
  <c r="N139" i="56"/>
  <c r="L140" i="56"/>
  <c r="M140" i="56"/>
  <c r="H205" i="70" s="1"/>
  <c r="N140" i="56"/>
  <c r="L141" i="56"/>
  <c r="M141" i="56"/>
  <c r="H206" i="70" s="1"/>
  <c r="N141" i="56"/>
  <c r="L142" i="56"/>
  <c r="M142" i="56"/>
  <c r="H207" i="70" s="1"/>
  <c r="N142" i="56"/>
  <c r="L143" i="56"/>
  <c r="M143" i="56"/>
  <c r="H208" i="70" s="1"/>
  <c r="N143" i="56"/>
  <c r="L144" i="56"/>
  <c r="M144" i="56"/>
  <c r="H209" i="70" s="1"/>
  <c r="N144" i="56"/>
  <c r="L145" i="56"/>
  <c r="M145" i="56"/>
  <c r="H210" i="70" s="1"/>
  <c r="N145" i="56"/>
  <c r="L146" i="56"/>
  <c r="M146" i="56"/>
  <c r="H211" i="70" s="1"/>
  <c r="N146" i="56"/>
  <c r="L147" i="56"/>
  <c r="M147" i="56"/>
  <c r="H212" i="70" s="1"/>
  <c r="N147" i="56"/>
  <c r="L148" i="56"/>
  <c r="M148" i="56"/>
  <c r="H213" i="70" s="1"/>
  <c r="N148" i="56"/>
  <c r="L149" i="56"/>
  <c r="M149" i="56"/>
  <c r="H214" i="70" s="1"/>
  <c r="N149" i="56"/>
  <c r="L150" i="56"/>
  <c r="M150" i="56"/>
  <c r="H215" i="70" s="1"/>
  <c r="N150" i="56"/>
  <c r="L151" i="56"/>
  <c r="M151" i="56"/>
  <c r="H216" i="70" s="1"/>
  <c r="N151" i="56"/>
  <c r="L152" i="56"/>
  <c r="M152" i="56"/>
  <c r="H217" i="70" s="1"/>
  <c r="N152" i="56"/>
  <c r="L153" i="56"/>
  <c r="M153" i="56"/>
  <c r="H218" i="70" s="1"/>
  <c r="N153" i="56"/>
  <c r="L154" i="56"/>
  <c r="M154" i="56"/>
  <c r="H219" i="70" s="1"/>
  <c r="N154" i="56"/>
  <c r="L155" i="56"/>
  <c r="M155" i="56"/>
  <c r="H220" i="70" s="1"/>
  <c r="N155" i="56"/>
  <c r="L156" i="56"/>
  <c r="M156" i="56"/>
  <c r="H221" i="70" s="1"/>
  <c r="N156" i="56"/>
  <c r="L157" i="56"/>
  <c r="M157" i="56"/>
  <c r="H222" i="70" s="1"/>
  <c r="N157" i="56"/>
  <c r="L158" i="56"/>
  <c r="M158" i="56"/>
  <c r="H223" i="70" s="1"/>
  <c r="N158" i="56"/>
  <c r="L159" i="56"/>
  <c r="M159" i="56"/>
  <c r="H224" i="70" s="1"/>
  <c r="N159" i="56"/>
  <c r="L160" i="56"/>
  <c r="M160" i="56"/>
  <c r="H225" i="70" s="1"/>
  <c r="N160" i="56"/>
  <c r="L161" i="56"/>
  <c r="M161" i="56"/>
  <c r="H226" i="70" s="1"/>
  <c r="N161" i="56"/>
  <c r="L162" i="56"/>
  <c r="M162" i="56"/>
  <c r="H227" i="70" s="1"/>
  <c r="N162" i="56"/>
  <c r="L163" i="56"/>
  <c r="M163" i="56"/>
  <c r="H228" i="70" s="1"/>
  <c r="N163" i="56"/>
  <c r="L164" i="56"/>
  <c r="M164" i="56"/>
  <c r="H229" i="70" s="1"/>
  <c r="N164" i="56"/>
  <c r="L165" i="56"/>
  <c r="M165" i="56"/>
  <c r="H230" i="70" s="1"/>
  <c r="N165" i="56"/>
  <c r="L166" i="56"/>
  <c r="M166" i="56"/>
  <c r="H231" i="70" s="1"/>
  <c r="N166" i="56"/>
  <c r="L167" i="56"/>
  <c r="M167" i="56"/>
  <c r="H232" i="70" s="1"/>
  <c r="N167" i="56"/>
  <c r="L168" i="56"/>
  <c r="M168" i="56"/>
  <c r="H233" i="70" s="1"/>
  <c r="N168" i="56"/>
  <c r="L169" i="56"/>
  <c r="M169" i="56"/>
  <c r="H234" i="70" s="1"/>
  <c r="N169" i="56"/>
  <c r="L170" i="56"/>
  <c r="M170" i="56"/>
  <c r="H235" i="70" s="1"/>
  <c r="N170" i="56"/>
  <c r="L171" i="56"/>
  <c r="M171" i="56"/>
  <c r="H236" i="70" s="1"/>
  <c r="N171" i="56"/>
  <c r="L172" i="56"/>
  <c r="M172" i="56"/>
  <c r="H237" i="70" s="1"/>
  <c r="N172" i="56"/>
  <c r="L173" i="56"/>
  <c r="M173" i="56"/>
  <c r="H238" i="70" s="1"/>
  <c r="N173" i="56"/>
  <c r="L174" i="56"/>
  <c r="M174" i="56"/>
  <c r="H239" i="70" s="1"/>
  <c r="N174" i="56"/>
  <c r="L175" i="56"/>
  <c r="M175" i="56"/>
  <c r="H240" i="70" s="1"/>
  <c r="N175" i="56"/>
  <c r="L176" i="56"/>
  <c r="M176" i="56"/>
  <c r="H241" i="70" s="1"/>
  <c r="N176" i="56"/>
  <c r="L177" i="56"/>
  <c r="M177" i="56"/>
  <c r="H242" i="70" s="1"/>
  <c r="N177" i="56"/>
  <c r="L178" i="56"/>
  <c r="M178" i="56"/>
  <c r="H243" i="70" s="1"/>
  <c r="N178" i="56"/>
  <c r="L179" i="56"/>
  <c r="M179" i="56"/>
  <c r="H244" i="70" s="1"/>
  <c r="N179" i="56"/>
  <c r="L180" i="56"/>
  <c r="M180" i="56"/>
  <c r="H245" i="70" s="1"/>
  <c r="N180" i="56"/>
  <c r="L181" i="56"/>
  <c r="M181" i="56"/>
  <c r="H246" i="70" s="1"/>
  <c r="N181" i="56"/>
  <c r="L182" i="56"/>
  <c r="M182" i="56"/>
  <c r="H247" i="70" s="1"/>
  <c r="N182" i="56"/>
  <c r="L183" i="56"/>
  <c r="M183" i="56"/>
  <c r="H248" i="70" s="1"/>
  <c r="N183" i="56"/>
  <c r="L184" i="56"/>
  <c r="M184" i="56"/>
  <c r="H249" i="70" s="1"/>
  <c r="N184" i="56"/>
  <c r="L185" i="56"/>
  <c r="M185" i="56"/>
  <c r="H250" i="70" s="1"/>
  <c r="N185" i="56"/>
  <c r="L186" i="56"/>
  <c r="M186" i="56"/>
  <c r="H251" i="70" s="1"/>
  <c r="N186" i="56"/>
  <c r="L187" i="56"/>
  <c r="M187" i="56"/>
  <c r="H252" i="70" s="1"/>
  <c r="N187" i="56"/>
  <c r="L188" i="56"/>
  <c r="M188" i="56"/>
  <c r="H253" i="70" s="1"/>
  <c r="N188" i="56"/>
  <c r="L189" i="56"/>
  <c r="M189" i="56"/>
  <c r="H254" i="70" s="1"/>
  <c r="N189" i="56"/>
  <c r="L190" i="56"/>
  <c r="M190" i="56"/>
  <c r="H255" i="70" s="1"/>
  <c r="N190" i="56"/>
  <c r="L191" i="56"/>
  <c r="M191" i="56"/>
  <c r="H256" i="70" s="1"/>
  <c r="N191" i="56"/>
  <c r="L192" i="56"/>
  <c r="M192" i="56"/>
  <c r="H257" i="70" s="1"/>
  <c r="N192" i="56"/>
  <c r="L193" i="56"/>
  <c r="M193" i="56"/>
  <c r="H258" i="70" s="1"/>
  <c r="N193" i="56"/>
  <c r="L194" i="56"/>
  <c r="M194" i="56"/>
  <c r="H259" i="70" s="1"/>
  <c r="N194" i="56"/>
  <c r="L195" i="56"/>
  <c r="M195" i="56"/>
  <c r="H260" i="70" s="1"/>
  <c r="N195" i="56"/>
  <c r="L196" i="56"/>
  <c r="M196" i="56"/>
  <c r="H261" i="70" s="1"/>
  <c r="N196" i="56"/>
  <c r="L197" i="56"/>
  <c r="M197" i="56"/>
  <c r="H262" i="70" s="1"/>
  <c r="N197" i="56"/>
  <c r="L198" i="56"/>
  <c r="M198" i="56"/>
  <c r="H263" i="70" s="1"/>
  <c r="N198" i="56"/>
  <c r="L199" i="56"/>
  <c r="M199" i="56"/>
  <c r="H264" i="70" s="1"/>
  <c r="N199" i="56"/>
  <c r="L200" i="56"/>
  <c r="M200" i="56"/>
  <c r="H265" i="70" s="1"/>
  <c r="N200" i="56"/>
  <c r="L201" i="56"/>
  <c r="M201" i="56"/>
  <c r="H266" i="70" s="1"/>
  <c r="N201" i="56"/>
  <c r="L202" i="56"/>
  <c r="M202" i="56"/>
  <c r="H267" i="70" s="1"/>
  <c r="N202" i="56"/>
  <c r="L203" i="56"/>
  <c r="M203" i="56"/>
  <c r="H268" i="70" s="1"/>
  <c r="N203" i="56"/>
  <c r="L204" i="56"/>
  <c r="M204" i="56"/>
  <c r="H269" i="70" s="1"/>
  <c r="N204" i="56"/>
  <c r="L205" i="56"/>
  <c r="M205" i="56"/>
  <c r="H270" i="70" s="1"/>
  <c r="N205" i="56"/>
  <c r="L206" i="56"/>
  <c r="M206" i="56"/>
  <c r="H271" i="70" s="1"/>
  <c r="N206" i="56"/>
  <c r="L207" i="56"/>
  <c r="M207" i="56"/>
  <c r="H272" i="70" s="1"/>
  <c r="N207" i="56"/>
  <c r="L208" i="56"/>
  <c r="M208" i="56"/>
  <c r="H273" i="70" s="1"/>
  <c r="N208" i="56"/>
  <c r="L209" i="56"/>
  <c r="M209" i="56"/>
  <c r="H274" i="70" s="1"/>
  <c r="N209" i="56"/>
  <c r="L210" i="56"/>
  <c r="M210" i="56"/>
  <c r="H275" i="70" s="1"/>
  <c r="N210" i="56"/>
  <c r="L211" i="56"/>
  <c r="M211" i="56"/>
  <c r="H276" i="70" s="1"/>
  <c r="N211" i="56"/>
  <c r="L212" i="56"/>
  <c r="M212" i="56"/>
  <c r="H277" i="70" s="1"/>
  <c r="N212" i="56"/>
  <c r="L213" i="56"/>
  <c r="M213" i="56"/>
  <c r="H278" i="70" s="1"/>
  <c r="N213" i="56"/>
  <c r="L214" i="56"/>
  <c r="M214" i="56"/>
  <c r="H279" i="70" s="1"/>
  <c r="N214" i="56"/>
  <c r="L215" i="56"/>
  <c r="M215" i="56"/>
  <c r="H280" i="70" s="1"/>
  <c r="N215" i="56"/>
  <c r="L216" i="56"/>
  <c r="M216" i="56"/>
  <c r="H281" i="70" s="1"/>
  <c r="N216" i="56"/>
  <c r="L217" i="56"/>
  <c r="M217" i="56"/>
  <c r="H282" i="70" s="1"/>
  <c r="N217" i="56"/>
  <c r="L218" i="56"/>
  <c r="M218" i="56"/>
  <c r="H283" i="70" s="1"/>
  <c r="N218" i="56"/>
  <c r="L219" i="56"/>
  <c r="M219" i="56"/>
  <c r="H284" i="70" s="1"/>
  <c r="N219" i="56"/>
  <c r="L220" i="56"/>
  <c r="M220" i="56"/>
  <c r="H285" i="70" s="1"/>
  <c r="N220" i="56"/>
  <c r="L221" i="56"/>
  <c r="M221" i="56"/>
  <c r="H286" i="70" s="1"/>
  <c r="N221" i="56"/>
  <c r="L222" i="56"/>
  <c r="M222" i="56"/>
  <c r="H287" i="70" s="1"/>
  <c r="N222" i="56"/>
  <c r="L223" i="56"/>
  <c r="M223" i="56"/>
  <c r="H288" i="70" s="1"/>
  <c r="N223" i="56"/>
  <c r="L224" i="56"/>
  <c r="M224" i="56"/>
  <c r="H289" i="70" s="1"/>
  <c r="N224" i="56"/>
  <c r="Q3" i="76"/>
  <c r="AC44" i="49"/>
  <c r="V3" i="76" s="1"/>
  <c r="Q4" i="76"/>
  <c r="T4" i="76"/>
  <c r="AC45" i="49"/>
  <c r="V4" i="76" s="1"/>
  <c r="Q5" i="76"/>
  <c r="T5" i="76"/>
  <c r="AC46" i="49"/>
  <c r="V5" i="76" s="1"/>
  <c r="T6" i="76"/>
  <c r="AC47" i="49"/>
  <c r="V6" i="76" s="1"/>
  <c r="Q7" i="76"/>
  <c r="T7" i="76"/>
  <c r="AC48" i="49"/>
  <c r="V7" i="76" s="1"/>
  <c r="Q8" i="76"/>
  <c r="T8" i="76"/>
  <c r="AC49" i="49"/>
  <c r="V8" i="76" s="1"/>
  <c r="Q9" i="76"/>
  <c r="T9" i="76"/>
  <c r="AC50" i="49"/>
  <c r="V9" i="76" s="1"/>
  <c r="Q10" i="76"/>
  <c r="T10" i="76"/>
  <c r="AC51" i="49"/>
  <c r="V10" i="76" s="1"/>
  <c r="Q11" i="76"/>
  <c r="T11" i="76"/>
  <c r="AC52" i="49"/>
  <c r="V11" i="76" s="1"/>
  <c r="Q12" i="76"/>
  <c r="T12" i="76"/>
  <c r="AC53" i="49"/>
  <c r="V12" i="76" s="1"/>
  <c r="Q13" i="76"/>
  <c r="T13" i="76"/>
  <c r="AC54" i="49"/>
  <c r="V13" i="76" s="1"/>
  <c r="Q14" i="76"/>
  <c r="T14" i="76"/>
  <c r="AC55" i="49"/>
  <c r="V14" i="76" s="1"/>
  <c r="Q15" i="76"/>
  <c r="T15" i="76"/>
  <c r="AC56" i="49"/>
  <c r="V15" i="76" s="1"/>
  <c r="Q16" i="76"/>
  <c r="T16" i="76"/>
  <c r="AC57" i="49"/>
  <c r="V16" i="76" s="1"/>
  <c r="Q17" i="76"/>
  <c r="T17" i="76"/>
  <c r="AC58" i="49"/>
  <c r="V17" i="76" s="1"/>
  <c r="Q18" i="76"/>
  <c r="T18" i="76"/>
  <c r="AC59" i="49"/>
  <c r="V18" i="76" s="1"/>
  <c r="Q19" i="76"/>
  <c r="T19" i="76"/>
  <c r="AC60" i="49"/>
  <c r="V19" i="76" s="1"/>
  <c r="Q20" i="76"/>
  <c r="T20" i="76"/>
  <c r="AC61" i="49"/>
  <c r="V20" i="76" s="1"/>
  <c r="Q21" i="76"/>
  <c r="T21" i="76"/>
  <c r="AC62" i="49"/>
  <c r="V21" i="76" s="1"/>
  <c r="Q22" i="76"/>
  <c r="T22" i="76"/>
  <c r="AC63" i="49"/>
  <c r="V22" i="76" s="1"/>
  <c r="Q23" i="76"/>
  <c r="T23" i="76"/>
  <c r="AC64" i="49"/>
  <c r="V23" i="76" s="1"/>
  <c r="Q24" i="76"/>
  <c r="T24" i="76"/>
  <c r="AC65" i="49"/>
  <c r="V24" i="76" s="1"/>
  <c r="Q25" i="76"/>
  <c r="T25" i="76"/>
  <c r="AC66" i="49"/>
  <c r="V25" i="76" s="1"/>
  <c r="Q26" i="76"/>
  <c r="T26" i="76"/>
  <c r="AC67" i="49"/>
  <c r="V26" i="76" s="1"/>
  <c r="Q27" i="76"/>
  <c r="T27" i="76"/>
  <c r="AC68" i="49"/>
  <c r="V27" i="76" s="1"/>
  <c r="Q28" i="76"/>
  <c r="T28" i="76"/>
  <c r="AC69" i="49"/>
  <c r="V28" i="76" s="1"/>
  <c r="Q29" i="76"/>
  <c r="T29" i="76"/>
  <c r="AC70" i="49"/>
  <c r="V29" i="76" s="1"/>
  <c r="Q30" i="76"/>
  <c r="T30" i="76"/>
  <c r="AC71" i="49"/>
  <c r="V30" i="76" s="1"/>
  <c r="Q31" i="76"/>
  <c r="T31" i="76"/>
  <c r="AC72" i="49"/>
  <c r="V31" i="76" s="1"/>
  <c r="T32" i="76"/>
  <c r="AC73" i="49"/>
  <c r="V32" i="76" s="1"/>
  <c r="T33" i="76"/>
  <c r="AC74" i="49"/>
  <c r="V33" i="76" s="1"/>
  <c r="T34" i="76"/>
  <c r="AC75" i="49"/>
  <c r="V34" i="76" s="1"/>
  <c r="T35" i="76"/>
  <c r="AC76" i="49"/>
  <c r="V35" i="76" s="1"/>
  <c r="T36" i="76"/>
  <c r="AC77" i="49"/>
  <c r="V36" i="76" s="1"/>
  <c r="T37" i="76"/>
  <c r="AC78" i="49"/>
  <c r="V37" i="76" s="1"/>
  <c r="T38" i="76"/>
  <c r="AC79" i="49"/>
  <c r="V38" i="76" s="1"/>
  <c r="T39" i="76"/>
  <c r="AC80" i="49"/>
  <c r="V39" i="76" s="1"/>
  <c r="T40" i="76"/>
  <c r="AC81" i="49"/>
  <c r="V40" i="76" s="1"/>
  <c r="T41" i="76"/>
  <c r="AC82" i="49"/>
  <c r="V41" i="76" s="1"/>
  <c r="T42" i="76"/>
  <c r="AC83" i="49"/>
  <c r="V42" i="76" s="1"/>
  <c r="T43" i="76"/>
  <c r="AC84" i="49"/>
  <c r="V43" i="76" s="1"/>
  <c r="T44" i="76"/>
  <c r="AC85" i="49"/>
  <c r="V44" i="76" s="1"/>
  <c r="T45" i="76"/>
  <c r="AC86" i="49"/>
  <c r="V45" i="76" s="1"/>
  <c r="T46" i="76"/>
  <c r="AC87" i="49"/>
  <c r="V46" i="76" s="1"/>
  <c r="T47" i="76"/>
  <c r="AC88" i="49"/>
  <c r="V47" i="76" s="1"/>
  <c r="T48" i="76"/>
  <c r="AC89" i="49"/>
  <c r="V48" i="76" s="1"/>
  <c r="T49" i="76"/>
  <c r="AC90" i="49"/>
  <c r="V49" i="76" s="1"/>
  <c r="T50" i="76"/>
  <c r="AC91" i="49"/>
  <c r="V50" i="76" s="1"/>
  <c r="T51" i="76"/>
  <c r="AC92" i="49"/>
  <c r="V51" i="76" s="1"/>
  <c r="T52" i="76"/>
  <c r="AC93" i="49"/>
  <c r="V52" i="76" s="1"/>
  <c r="T53" i="76"/>
  <c r="AC94" i="49"/>
  <c r="V53" i="76" s="1"/>
  <c r="T54" i="76"/>
  <c r="AC95" i="49"/>
  <c r="V54" i="76" s="1"/>
  <c r="T55" i="76"/>
  <c r="AC96" i="49"/>
  <c r="V55" i="76" s="1"/>
  <c r="T56" i="76"/>
  <c r="AC97" i="49"/>
  <c r="V56" i="76" s="1"/>
  <c r="T57" i="76"/>
  <c r="AC98" i="49"/>
  <c r="V57" i="76" s="1"/>
  <c r="T58" i="76"/>
  <c r="AC99" i="49"/>
  <c r="V58" i="76" s="1"/>
  <c r="T59" i="76"/>
  <c r="AC100" i="49"/>
  <c r="V59" i="76" s="1"/>
  <c r="T60" i="76"/>
  <c r="AC101" i="49"/>
  <c r="V60" i="76" s="1"/>
  <c r="T61" i="76"/>
  <c r="AC102" i="49"/>
  <c r="V61" i="76" s="1"/>
  <c r="T62" i="76"/>
  <c r="AC103" i="49"/>
  <c r="V62" i="76" s="1"/>
  <c r="T63" i="76"/>
  <c r="AC104" i="49"/>
  <c r="V63" i="76" s="1"/>
  <c r="T64" i="76"/>
  <c r="AC105" i="49"/>
  <c r="V64" i="76" s="1"/>
  <c r="T65" i="76"/>
  <c r="AC106" i="49"/>
  <c r="V65" i="76" s="1"/>
  <c r="T66" i="76"/>
  <c r="AC107" i="49"/>
  <c r="V66" i="76" s="1"/>
  <c r="T67" i="76"/>
  <c r="AC108" i="49"/>
  <c r="V67" i="76" s="1"/>
  <c r="T68" i="76"/>
  <c r="AC109" i="49"/>
  <c r="V68" i="76" s="1"/>
  <c r="T69" i="76"/>
  <c r="AC110" i="49"/>
  <c r="V69" i="76" s="1"/>
  <c r="T70" i="76"/>
  <c r="AC111" i="49"/>
  <c r="V70" i="76" s="1"/>
  <c r="T71" i="76"/>
  <c r="AC112" i="49"/>
  <c r="V71" i="76" s="1"/>
  <c r="T72" i="76"/>
  <c r="AC113" i="49"/>
  <c r="V72" i="76" s="1"/>
  <c r="T73" i="76"/>
  <c r="AC114" i="49"/>
  <c r="V73" i="76" s="1"/>
  <c r="T74" i="76"/>
  <c r="AC115" i="49"/>
  <c r="V74" i="76" s="1"/>
  <c r="T75" i="76"/>
  <c r="AC116" i="49"/>
  <c r="V75" i="76" s="1"/>
  <c r="T76" i="76"/>
  <c r="AC117" i="49"/>
  <c r="V76" i="76" s="1"/>
  <c r="T77" i="76"/>
  <c r="AC118" i="49"/>
  <c r="V77" i="76" s="1"/>
  <c r="T78" i="76"/>
  <c r="AC119" i="49"/>
  <c r="V78" i="76" s="1"/>
  <c r="T79" i="76"/>
  <c r="AC120" i="49"/>
  <c r="V79" i="76" s="1"/>
  <c r="T80" i="76"/>
  <c r="AC121" i="49"/>
  <c r="V80" i="76" s="1"/>
  <c r="T81" i="76"/>
  <c r="AC122" i="49"/>
  <c r="V81" i="76" s="1"/>
  <c r="T82" i="76"/>
  <c r="AC123" i="49"/>
  <c r="V82" i="76" s="1"/>
  <c r="T83" i="76"/>
  <c r="AC124" i="49"/>
  <c r="V83" i="76" s="1"/>
  <c r="T84" i="76"/>
  <c r="AC125" i="49"/>
  <c r="V84" i="76" s="1"/>
  <c r="T85" i="76"/>
  <c r="AC126" i="49"/>
  <c r="V85" i="76" s="1"/>
  <c r="T86" i="76"/>
  <c r="AC127" i="49"/>
  <c r="V86" i="76" s="1"/>
  <c r="T87" i="76"/>
  <c r="AC128" i="49"/>
  <c r="V87" i="76" s="1"/>
  <c r="T88" i="76"/>
  <c r="AC129" i="49"/>
  <c r="V88" i="76" s="1"/>
  <c r="T89" i="76"/>
  <c r="AC130" i="49"/>
  <c r="V89" i="76" s="1"/>
  <c r="T90" i="76"/>
  <c r="AC131" i="49"/>
  <c r="V90" i="76" s="1"/>
  <c r="T91" i="76"/>
  <c r="AC132" i="49"/>
  <c r="V91" i="76" s="1"/>
  <c r="T92" i="76"/>
  <c r="AC133" i="49"/>
  <c r="V92" i="76" s="1"/>
  <c r="T93" i="76"/>
  <c r="AC134" i="49"/>
  <c r="V93" i="76" s="1"/>
  <c r="T94" i="76"/>
  <c r="AC135" i="49"/>
  <c r="V94" i="76" s="1"/>
  <c r="T95" i="76"/>
  <c r="AC136" i="49"/>
  <c r="V95" i="76" s="1"/>
  <c r="T96" i="76"/>
  <c r="AC137" i="49"/>
  <c r="V96" i="76" s="1"/>
  <c r="T97" i="76"/>
  <c r="AC138" i="49"/>
  <c r="V97" i="76" s="1"/>
  <c r="T98" i="76"/>
  <c r="AC139" i="49"/>
  <c r="V98" i="76" s="1"/>
  <c r="T99" i="76"/>
  <c r="AC140" i="49"/>
  <c r="V99" i="76" s="1"/>
  <c r="T100" i="76"/>
  <c r="AC141" i="49"/>
  <c r="V100" i="76" s="1"/>
  <c r="T101" i="76"/>
  <c r="AC142" i="49"/>
  <c r="V101" i="76" s="1"/>
  <c r="T102" i="76"/>
  <c r="AC143" i="49"/>
  <c r="V102" i="76" s="1"/>
  <c r="T103" i="76"/>
  <c r="AC144" i="49"/>
  <c r="V103" i="76" s="1"/>
  <c r="T104" i="76"/>
  <c r="AC145" i="49"/>
  <c r="V104" i="76" s="1"/>
  <c r="T105" i="76"/>
  <c r="AC146" i="49"/>
  <c r="V105" i="76" s="1"/>
  <c r="T106" i="76"/>
  <c r="AC147" i="49"/>
  <c r="V106" i="76" s="1"/>
  <c r="T107" i="76"/>
  <c r="AC148" i="49"/>
  <c r="V107" i="76" s="1"/>
  <c r="T108" i="76"/>
  <c r="AC149" i="49"/>
  <c r="V108" i="76" s="1"/>
  <c r="T109" i="76"/>
  <c r="AC150" i="49"/>
  <c r="V109" i="76" s="1"/>
  <c r="T110" i="76"/>
  <c r="AC151" i="49"/>
  <c r="V110" i="76" s="1"/>
  <c r="T111" i="76"/>
  <c r="AC152" i="49"/>
  <c r="V111" i="76" s="1"/>
  <c r="T112" i="76"/>
  <c r="AC153" i="49"/>
  <c r="V112" i="76" s="1"/>
  <c r="T113" i="76"/>
  <c r="AC154" i="49"/>
  <c r="V113" i="76" s="1"/>
  <c r="T114" i="76"/>
  <c r="AC155" i="49"/>
  <c r="V114" i="76" s="1"/>
  <c r="T115" i="76"/>
  <c r="AC156" i="49"/>
  <c r="V115" i="76" s="1"/>
  <c r="T116" i="76"/>
  <c r="AC157" i="49"/>
  <c r="V116" i="76" s="1"/>
  <c r="T117" i="76"/>
  <c r="AC158" i="49"/>
  <c r="V117" i="76" s="1"/>
  <c r="T118" i="76"/>
  <c r="AC159" i="49"/>
  <c r="V118" i="76" s="1"/>
  <c r="T119" i="76"/>
  <c r="AC160" i="49"/>
  <c r="V119" i="76" s="1"/>
  <c r="T120" i="76"/>
  <c r="AC161" i="49"/>
  <c r="V120" i="76" s="1"/>
  <c r="T121" i="76"/>
  <c r="AC162" i="49"/>
  <c r="V121" i="76" s="1"/>
  <c r="T122" i="76"/>
  <c r="AC163" i="49"/>
  <c r="V122" i="76" s="1"/>
  <c r="T123" i="76"/>
  <c r="AC164" i="49"/>
  <c r="V123" i="76" s="1"/>
  <c r="T124" i="76"/>
  <c r="AC165" i="49"/>
  <c r="V124" i="76" s="1"/>
  <c r="T125" i="76"/>
  <c r="AC166" i="49"/>
  <c r="V125" i="76" s="1"/>
  <c r="T126" i="76"/>
  <c r="AC167" i="49"/>
  <c r="V126" i="76" s="1"/>
  <c r="T127" i="76"/>
  <c r="AC168" i="49"/>
  <c r="V127" i="76" s="1"/>
  <c r="T128" i="76"/>
  <c r="AC169" i="49"/>
  <c r="V128" i="76" s="1"/>
  <c r="T129" i="76"/>
  <c r="AC170" i="49"/>
  <c r="V129" i="76" s="1"/>
  <c r="T130" i="76"/>
  <c r="AC171" i="49"/>
  <c r="V130" i="76" s="1"/>
  <c r="T131" i="76"/>
  <c r="AC172" i="49"/>
  <c r="V131" i="76" s="1"/>
  <c r="T132" i="76"/>
  <c r="AC173" i="49"/>
  <c r="V132" i="76" s="1"/>
  <c r="T133" i="76"/>
  <c r="AC174" i="49"/>
  <c r="V133" i="76" s="1"/>
  <c r="T134" i="76"/>
  <c r="AC175" i="49"/>
  <c r="V134" i="76" s="1"/>
  <c r="T135" i="76"/>
  <c r="AC176" i="49"/>
  <c r="V135" i="76" s="1"/>
  <c r="T136" i="76"/>
  <c r="AC177" i="49"/>
  <c r="V136" i="76" s="1"/>
  <c r="T137" i="76"/>
  <c r="AC178" i="49"/>
  <c r="V137" i="76" s="1"/>
  <c r="T138" i="76"/>
  <c r="AC179" i="49"/>
  <c r="V138" i="76" s="1"/>
  <c r="T139" i="76"/>
  <c r="AC180" i="49"/>
  <c r="V139" i="76" s="1"/>
  <c r="T140" i="76"/>
  <c r="AC181" i="49"/>
  <c r="V140" i="76" s="1"/>
  <c r="T141" i="76"/>
  <c r="AC182" i="49"/>
  <c r="V141" i="76" s="1"/>
  <c r="T142" i="76"/>
  <c r="AC183" i="49"/>
  <c r="V142" i="76" s="1"/>
  <c r="T143" i="76"/>
  <c r="AC184" i="49"/>
  <c r="V143" i="76" s="1"/>
  <c r="T144" i="76"/>
  <c r="AC185" i="49"/>
  <c r="V144" i="76" s="1"/>
  <c r="T145" i="76"/>
  <c r="AC186" i="49"/>
  <c r="V145" i="76" s="1"/>
  <c r="T146" i="76"/>
  <c r="AC187" i="49"/>
  <c r="V146" i="76" s="1"/>
  <c r="T147" i="76"/>
  <c r="AC188" i="49"/>
  <c r="V147" i="76" s="1"/>
  <c r="T148" i="76"/>
  <c r="AC189" i="49"/>
  <c r="V148" i="76" s="1"/>
  <c r="T149" i="76"/>
  <c r="AC190" i="49"/>
  <c r="V149" i="76" s="1"/>
  <c r="T150" i="76"/>
  <c r="AC191" i="49"/>
  <c r="V150" i="76" s="1"/>
  <c r="T151" i="76"/>
  <c r="AC192" i="49"/>
  <c r="V151" i="76" s="1"/>
  <c r="I140" i="49"/>
  <c r="I141" i="49" s="1"/>
  <c r="I142" i="49" s="1"/>
  <c r="I143" i="49" s="1"/>
  <c r="I144" i="49" s="1"/>
  <c r="I145" i="49" s="1"/>
  <c r="I146" i="49" s="1"/>
  <c r="I147" i="49" s="1"/>
  <c r="I148" i="49" s="1"/>
  <c r="I149" i="49" s="1"/>
  <c r="I150" i="49" s="1"/>
  <c r="I151" i="49" s="1"/>
  <c r="I152" i="49" s="1"/>
  <c r="I153" i="49" s="1"/>
  <c r="I154" i="49" s="1"/>
  <c r="I155" i="49" s="1"/>
  <c r="I156" i="49" s="1"/>
  <c r="I157" i="49" s="1"/>
  <c r="I158" i="49" s="1"/>
  <c r="I159" i="49" s="1"/>
  <c r="I160" i="49" s="1"/>
  <c r="I161" i="49" s="1"/>
  <c r="I162" i="49" s="1"/>
  <c r="I163" i="49" s="1"/>
  <c r="I164" i="49" s="1"/>
  <c r="I165" i="49" s="1"/>
  <c r="I166" i="49" s="1"/>
  <c r="I167" i="49" s="1"/>
  <c r="I168" i="49" s="1"/>
  <c r="I169" i="49" s="1"/>
  <c r="I170" i="49" s="1"/>
  <c r="I171" i="49" s="1"/>
  <c r="I172" i="49" s="1"/>
  <c r="I173" i="49" s="1"/>
  <c r="I174" i="49" s="1"/>
  <c r="I175" i="49" s="1"/>
  <c r="I176" i="49" s="1"/>
  <c r="I177" i="49" s="1"/>
  <c r="I178" i="49" s="1"/>
  <c r="I179" i="49" s="1"/>
  <c r="I180" i="49" s="1"/>
  <c r="I181" i="49" s="1"/>
  <c r="I182" i="49" s="1"/>
  <c r="I183" i="49" s="1"/>
  <c r="I184" i="49" s="1"/>
  <c r="I185" i="49" s="1"/>
  <c r="I186" i="49" s="1"/>
  <c r="I187" i="49" s="1"/>
  <c r="I188" i="49" s="1"/>
  <c r="I189" i="49" s="1"/>
  <c r="I190" i="49" s="1"/>
  <c r="I191" i="49" s="1"/>
  <c r="I192" i="49" s="1"/>
  <c r="J157" i="70" l="1"/>
  <c r="I162" i="70"/>
  <c r="I146" i="70"/>
  <c r="I167" i="70"/>
  <c r="I151" i="70"/>
  <c r="J156" i="70"/>
  <c r="I161" i="70"/>
  <c r="I145" i="70"/>
  <c r="J145" i="70"/>
  <c r="I166" i="70"/>
  <c r="J166" i="70"/>
  <c r="J150" i="70"/>
  <c r="I155" i="70"/>
  <c r="I160" i="70"/>
  <c r="I144" i="70"/>
  <c r="J165" i="70"/>
  <c r="J149" i="70"/>
  <c r="J154" i="70"/>
  <c r="J143" i="70"/>
  <c r="J159" i="70"/>
  <c r="J164" i="70"/>
  <c r="J148" i="70"/>
  <c r="J169" i="70"/>
  <c r="J153" i="70"/>
  <c r="I142" i="70"/>
  <c r="I158" i="70"/>
  <c r="J158" i="70"/>
  <c r="I163" i="70"/>
  <c r="J147" i="70"/>
  <c r="J168" i="70"/>
  <c r="J152" i="70"/>
  <c r="I285" i="70"/>
  <c r="J285" i="70"/>
  <c r="I269" i="70"/>
  <c r="J269" i="70"/>
  <c r="I221" i="70"/>
  <c r="J221" i="70"/>
  <c r="I205" i="70"/>
  <c r="J205" i="70"/>
  <c r="I173" i="70"/>
  <c r="J173" i="70"/>
  <c r="I274" i="70"/>
  <c r="I258" i="70"/>
  <c r="J258" i="70"/>
  <c r="I242" i="70"/>
  <c r="J242" i="70"/>
  <c r="I226" i="70"/>
  <c r="J226" i="70"/>
  <c r="I210" i="70"/>
  <c r="J210" i="70"/>
  <c r="I194" i="70"/>
  <c r="J194" i="70"/>
  <c r="I178" i="70"/>
  <c r="J178" i="70"/>
  <c r="I279" i="70"/>
  <c r="J279" i="70"/>
  <c r="I263" i="70"/>
  <c r="J263" i="70"/>
  <c r="I247" i="70"/>
  <c r="J247" i="70"/>
  <c r="I231" i="70"/>
  <c r="J231" i="70"/>
  <c r="I215" i="70"/>
  <c r="J215" i="70"/>
  <c r="I199" i="70"/>
  <c r="J199" i="70"/>
  <c r="I183" i="70"/>
  <c r="J183" i="70"/>
  <c r="I257" i="70"/>
  <c r="J257" i="70"/>
  <c r="I241" i="70"/>
  <c r="J241" i="70"/>
  <c r="I225" i="70"/>
  <c r="I209" i="70"/>
  <c r="J209" i="70"/>
  <c r="I193" i="70"/>
  <c r="J193" i="70"/>
  <c r="I177" i="70"/>
  <c r="J177" i="70"/>
  <c r="I262" i="70"/>
  <c r="J262" i="70"/>
  <c r="I230" i="70"/>
  <c r="J230" i="70"/>
  <c r="I214" i="70"/>
  <c r="J214" i="70"/>
  <c r="I198" i="70"/>
  <c r="J198" i="70"/>
  <c r="I182" i="70"/>
  <c r="J182" i="70"/>
  <c r="I283" i="70"/>
  <c r="J283" i="70"/>
  <c r="I267" i="70"/>
  <c r="J267" i="70"/>
  <c r="I251" i="70"/>
  <c r="J251" i="70"/>
  <c r="I235" i="70"/>
  <c r="J235" i="70"/>
  <c r="I219" i="70"/>
  <c r="J219" i="70"/>
  <c r="I203" i="70"/>
  <c r="J203" i="70"/>
  <c r="I187" i="70"/>
  <c r="J187" i="70"/>
  <c r="I171" i="70"/>
  <c r="J171" i="70"/>
  <c r="I288" i="70"/>
  <c r="J288" i="70"/>
  <c r="I272" i="70"/>
  <c r="J272" i="70"/>
  <c r="I256" i="70"/>
  <c r="J256" i="70"/>
  <c r="I240" i="70"/>
  <c r="J240" i="70"/>
  <c r="I224" i="70"/>
  <c r="J224" i="70"/>
  <c r="I208" i="70"/>
  <c r="J208" i="70"/>
  <c r="I192" i="70"/>
  <c r="J192" i="70"/>
  <c r="I176" i="70"/>
  <c r="J176" i="70"/>
  <c r="I282" i="70"/>
  <c r="J282" i="70"/>
  <c r="I266" i="70"/>
  <c r="J266" i="70"/>
  <c r="I276" i="70"/>
  <c r="J276" i="70"/>
  <c r="I260" i="70"/>
  <c r="J260" i="70"/>
  <c r="I244" i="70"/>
  <c r="J244" i="70"/>
  <c r="I228" i="70"/>
  <c r="J228" i="70"/>
  <c r="I212" i="70"/>
  <c r="J212" i="70"/>
  <c r="I180" i="70"/>
  <c r="J180" i="70"/>
  <c r="I286" i="70"/>
  <c r="J286" i="70"/>
  <c r="I270" i="70"/>
  <c r="J270" i="70"/>
  <c r="I254" i="70"/>
  <c r="J254" i="70"/>
  <c r="I238" i="70"/>
  <c r="J238" i="70"/>
  <c r="I222" i="70"/>
  <c r="J222" i="70"/>
  <c r="I206" i="70"/>
  <c r="J206" i="70"/>
  <c r="I190" i="70"/>
  <c r="I174" i="70"/>
  <c r="J174" i="70"/>
  <c r="I211" i="70"/>
  <c r="J211" i="70"/>
  <c r="I195" i="70"/>
  <c r="J195" i="70"/>
  <c r="I179" i="70"/>
  <c r="J179" i="70"/>
  <c r="A152" i="56"/>
  <c r="G161" i="70"/>
  <c r="G164" i="70"/>
  <c r="G167" i="70"/>
  <c r="G154" i="70"/>
  <c r="G157" i="70"/>
  <c r="G160" i="70"/>
  <c r="G163" i="70"/>
  <c r="G166" i="70"/>
  <c r="G169" i="70"/>
  <c r="G153" i="70"/>
  <c r="G156" i="70"/>
  <c r="G159" i="70"/>
  <c r="G162" i="70"/>
  <c r="G165" i="70"/>
  <c r="G168" i="70"/>
  <c r="G155" i="70"/>
  <c r="G158" i="70"/>
  <c r="G276" i="70"/>
  <c r="G260" i="70"/>
  <c r="G244" i="70"/>
  <c r="G228" i="70"/>
  <c r="G212" i="70"/>
  <c r="G196" i="70"/>
  <c r="G180" i="70"/>
  <c r="G279" i="70"/>
  <c r="G263" i="70"/>
  <c r="G247" i="70"/>
  <c r="G231" i="70"/>
  <c r="G215" i="70"/>
  <c r="G199" i="70"/>
  <c r="G183" i="70"/>
  <c r="G282" i="70"/>
  <c r="G266" i="70"/>
  <c r="G250" i="70"/>
  <c r="G234" i="70"/>
  <c r="G218" i="70"/>
  <c r="G202" i="70"/>
  <c r="G186" i="70"/>
  <c r="G170" i="70"/>
  <c r="G273" i="70"/>
  <c r="G285" i="70"/>
  <c r="G269" i="70"/>
  <c r="G253" i="70"/>
  <c r="G237" i="70"/>
  <c r="G221" i="70"/>
  <c r="G205" i="70"/>
  <c r="G189" i="70"/>
  <c r="G173" i="70"/>
  <c r="G288" i="70"/>
  <c r="G272" i="70"/>
  <c r="G256" i="70"/>
  <c r="G240" i="70"/>
  <c r="G224" i="70"/>
  <c r="G208" i="70"/>
  <c r="G192" i="70"/>
  <c r="G176" i="70"/>
  <c r="G275" i="70"/>
  <c r="G259" i="70"/>
  <c r="G243" i="70"/>
  <c r="G227" i="70"/>
  <c r="G211" i="70"/>
  <c r="G195" i="70"/>
  <c r="G179" i="70"/>
  <c r="G278" i="70"/>
  <c r="G262" i="70"/>
  <c r="G246" i="70"/>
  <c r="G230" i="70"/>
  <c r="G214" i="70"/>
  <c r="G198" i="70"/>
  <c r="G182" i="70"/>
  <c r="G225" i="70"/>
  <c r="G193" i="70"/>
  <c r="G281" i="70"/>
  <c r="G265" i="70"/>
  <c r="G249" i="70"/>
  <c r="G233" i="70"/>
  <c r="G217" i="70"/>
  <c r="G201" i="70"/>
  <c r="G185" i="70"/>
  <c r="G257" i="70"/>
  <c r="G284" i="70"/>
  <c r="G268" i="70"/>
  <c r="G252" i="70"/>
  <c r="G236" i="70"/>
  <c r="G220" i="70"/>
  <c r="G204" i="70"/>
  <c r="G188" i="70"/>
  <c r="G172" i="70"/>
  <c r="G177" i="70"/>
  <c r="G287" i="70"/>
  <c r="G271" i="70"/>
  <c r="G255" i="70"/>
  <c r="G239" i="70"/>
  <c r="G223" i="70"/>
  <c r="G207" i="70"/>
  <c r="G191" i="70"/>
  <c r="G175" i="70"/>
  <c r="G274" i="70"/>
  <c r="G258" i="70"/>
  <c r="G242" i="70"/>
  <c r="G226" i="70"/>
  <c r="G210" i="70"/>
  <c r="G194" i="70"/>
  <c r="G178" i="70"/>
  <c r="G241" i="70"/>
  <c r="G277" i="70"/>
  <c r="G261" i="70"/>
  <c r="G245" i="70"/>
  <c r="G229" i="70"/>
  <c r="G213" i="70"/>
  <c r="G197" i="70"/>
  <c r="G181" i="70"/>
  <c r="G289" i="70"/>
  <c r="G209" i="70"/>
  <c r="G280" i="70"/>
  <c r="G264" i="70"/>
  <c r="G248" i="70"/>
  <c r="G232" i="70"/>
  <c r="G216" i="70"/>
  <c r="G200" i="70"/>
  <c r="G184" i="70"/>
  <c r="G283" i="70"/>
  <c r="G267" i="70"/>
  <c r="G251" i="70"/>
  <c r="G235" i="70"/>
  <c r="G219" i="70"/>
  <c r="G203" i="70"/>
  <c r="G187" i="70"/>
  <c r="G171" i="70"/>
  <c r="G286" i="70"/>
  <c r="G270" i="70"/>
  <c r="G254" i="70"/>
  <c r="G238" i="70"/>
  <c r="G222" i="70"/>
  <c r="G206" i="70"/>
  <c r="G190" i="70"/>
  <c r="G174" i="70"/>
  <c r="G152" i="70"/>
  <c r="G151" i="70"/>
  <c r="G150" i="70"/>
  <c r="G149" i="70"/>
  <c r="G148" i="70"/>
  <c r="G147" i="70"/>
  <c r="G146" i="70"/>
  <c r="G145" i="70"/>
  <c r="G144" i="70"/>
  <c r="T3" i="76"/>
  <c r="Q145" i="76"/>
  <c r="Q137" i="76"/>
  <c r="J275" i="70"/>
  <c r="Q129" i="76"/>
  <c r="Q121" i="76"/>
  <c r="J259" i="70"/>
  <c r="Q113" i="76"/>
  <c r="Q105" i="76"/>
  <c r="J243" i="70"/>
  <c r="Q97" i="76"/>
  <c r="Q89" i="76"/>
  <c r="J227" i="70"/>
  <c r="Q85" i="76"/>
  <c r="J223" i="70"/>
  <c r="Q77" i="76"/>
  <c r="Q73" i="76"/>
  <c r="Q69" i="76"/>
  <c r="J207" i="70"/>
  <c r="Q65" i="76"/>
  <c r="Q61" i="76"/>
  <c r="Q53" i="76"/>
  <c r="J191" i="70"/>
  <c r="Q49" i="76"/>
  <c r="Q45" i="76"/>
  <c r="Q41" i="76"/>
  <c r="Q37" i="76"/>
  <c r="J175" i="70"/>
  <c r="Q33" i="76"/>
  <c r="Q149" i="76"/>
  <c r="J287" i="70"/>
  <c r="Q141" i="76"/>
  <c r="Q133" i="76"/>
  <c r="J271" i="70"/>
  <c r="Q125" i="76"/>
  <c r="Q117" i="76"/>
  <c r="J255" i="70"/>
  <c r="Q109" i="76"/>
  <c r="Q101" i="76"/>
  <c r="J239" i="70"/>
  <c r="Q93" i="76"/>
  <c r="Q81" i="76"/>
  <c r="Q57" i="76"/>
  <c r="Q148" i="76"/>
  <c r="Q144" i="76"/>
  <c r="Q140" i="76"/>
  <c r="J278" i="70"/>
  <c r="Q136" i="76"/>
  <c r="J274" i="70"/>
  <c r="Q132" i="76"/>
  <c r="Q128" i="76"/>
  <c r="Q124" i="76"/>
  <c r="Q120" i="76"/>
  <c r="Q116" i="76"/>
  <c r="Q112" i="76"/>
  <c r="J250" i="70"/>
  <c r="Q108" i="76"/>
  <c r="J246" i="70"/>
  <c r="Q104" i="76"/>
  <c r="Q100" i="76"/>
  <c r="Q96" i="76"/>
  <c r="J234" i="70"/>
  <c r="Q92" i="76"/>
  <c r="Q88" i="76"/>
  <c r="Q84" i="76"/>
  <c r="Q80" i="76"/>
  <c r="J218" i="70"/>
  <c r="Q76" i="76"/>
  <c r="Q72" i="76"/>
  <c r="Q68" i="76"/>
  <c r="Q64" i="76"/>
  <c r="J202" i="70"/>
  <c r="Q60" i="76"/>
  <c r="Q56" i="76"/>
  <c r="Q52" i="76"/>
  <c r="J190" i="70"/>
  <c r="Q48" i="76"/>
  <c r="J186" i="70"/>
  <c r="Q44" i="76"/>
  <c r="Q40" i="76"/>
  <c r="Q36" i="76"/>
  <c r="Q32" i="76"/>
  <c r="J170" i="70"/>
  <c r="Q151" i="76"/>
  <c r="J289" i="70"/>
  <c r="Q143" i="76"/>
  <c r="J281" i="70"/>
  <c r="Q131" i="76"/>
  <c r="Q123" i="76"/>
  <c r="J261" i="70"/>
  <c r="Q115" i="76"/>
  <c r="J253" i="70"/>
  <c r="Q103" i="76"/>
  <c r="Q95" i="76"/>
  <c r="J233" i="70"/>
  <c r="Q91" i="76"/>
  <c r="J229" i="70"/>
  <c r="Q83" i="76"/>
  <c r="Q79" i="76"/>
  <c r="J217" i="70"/>
  <c r="Q71" i="76"/>
  <c r="Q67" i="76"/>
  <c r="Q63" i="76"/>
  <c r="J201" i="70"/>
  <c r="Q59" i="76"/>
  <c r="J197" i="70"/>
  <c r="Q51" i="76"/>
  <c r="J189" i="70"/>
  <c r="Q47" i="76"/>
  <c r="J185" i="70"/>
  <c r="Q43" i="76"/>
  <c r="J181" i="70"/>
  <c r="Q39" i="76"/>
  <c r="Q35" i="76"/>
  <c r="Q147" i="76"/>
  <c r="Q139" i="76"/>
  <c r="J277" i="70"/>
  <c r="Q135" i="76"/>
  <c r="J273" i="70"/>
  <c r="Q127" i="76"/>
  <c r="J265" i="70"/>
  <c r="Q119" i="76"/>
  <c r="Q111" i="76"/>
  <c r="J249" i="70"/>
  <c r="Q107" i="76"/>
  <c r="J245" i="70"/>
  <c r="Q99" i="76"/>
  <c r="J237" i="70"/>
  <c r="Q87" i="76"/>
  <c r="J225" i="70"/>
  <c r="Q75" i="76"/>
  <c r="J213" i="70"/>
  <c r="Q55" i="76"/>
  <c r="Q150" i="76"/>
  <c r="Q146" i="76"/>
  <c r="J284" i="70"/>
  <c r="Q142" i="76"/>
  <c r="J280" i="70"/>
  <c r="Q138" i="76"/>
  <c r="Q134" i="76"/>
  <c r="Q130" i="76"/>
  <c r="J268" i="70"/>
  <c r="Q126" i="76"/>
  <c r="J264" i="70"/>
  <c r="Q122" i="76"/>
  <c r="Q118" i="76"/>
  <c r="Q114" i="76"/>
  <c r="J252" i="70"/>
  <c r="Q110" i="76"/>
  <c r="J248" i="70"/>
  <c r="Q106" i="76"/>
  <c r="Q102" i="76"/>
  <c r="Q98" i="76"/>
  <c r="J236" i="70"/>
  <c r="Q94" i="76"/>
  <c r="J232" i="70"/>
  <c r="Q90" i="76"/>
  <c r="Q86" i="76"/>
  <c r="Q82" i="76"/>
  <c r="J220" i="70"/>
  <c r="Q78" i="76"/>
  <c r="J216" i="70"/>
  <c r="Q74" i="76"/>
  <c r="Q70" i="76"/>
  <c r="Q66" i="76"/>
  <c r="J204" i="70"/>
  <c r="Q62" i="76"/>
  <c r="J200" i="70"/>
  <c r="Q58" i="76"/>
  <c r="J196" i="70"/>
  <c r="Q54" i="76"/>
  <c r="Q50" i="76"/>
  <c r="J188" i="70"/>
  <c r="Q46" i="76"/>
  <c r="J184" i="70"/>
  <c r="Q42" i="76"/>
  <c r="Q38" i="76"/>
  <c r="Q34" i="76"/>
  <c r="J172" i="70"/>
  <c r="Q6" i="76"/>
  <c r="J144" i="70"/>
  <c r="I278" i="70"/>
  <c r="J167" i="70"/>
  <c r="J146" i="70"/>
  <c r="I189" i="70"/>
  <c r="J161" i="70"/>
  <c r="I175" i="70"/>
  <c r="I239" i="70"/>
  <c r="I150" i="70"/>
  <c r="I191" i="70"/>
  <c r="I287" i="70"/>
  <c r="I237" i="70"/>
  <c r="I159" i="70"/>
  <c r="I148" i="70"/>
  <c r="J163" i="70"/>
  <c r="I246" i="70"/>
  <c r="I207" i="70"/>
  <c r="I196" i="70"/>
  <c r="I157" i="70"/>
  <c r="I255" i="70"/>
  <c r="J155" i="70"/>
  <c r="I164" i="70"/>
  <c r="I253" i="70"/>
  <c r="J162" i="70"/>
  <c r="I223" i="70"/>
  <c r="I271" i="70"/>
  <c r="I143" i="70"/>
  <c r="J142" i="70"/>
  <c r="I281" i="70"/>
  <c r="I265" i="70"/>
  <c r="I249" i="70"/>
  <c r="I233" i="70"/>
  <c r="I217" i="70"/>
  <c r="I201" i="70"/>
  <c r="I185" i="70"/>
  <c r="I169" i="70"/>
  <c r="I153" i="70"/>
  <c r="J151" i="70"/>
  <c r="J160" i="70"/>
  <c r="I280" i="70"/>
  <c r="I264" i="70"/>
  <c r="I248" i="70"/>
  <c r="I232" i="70"/>
  <c r="I216" i="70"/>
  <c r="I200" i="70"/>
  <c r="I184" i="70"/>
  <c r="I168" i="70"/>
  <c r="I152" i="70"/>
  <c r="I289" i="70"/>
  <c r="I273" i="70"/>
  <c r="I250" i="70"/>
  <c r="I234" i="70"/>
  <c r="I218" i="70"/>
  <c r="I202" i="70"/>
  <c r="I186" i="70"/>
  <c r="I170" i="70"/>
  <c r="I154" i="70"/>
  <c r="I275" i="70"/>
  <c r="I259" i="70"/>
  <c r="I243" i="70"/>
  <c r="I227" i="70"/>
  <c r="I147" i="70"/>
  <c r="I284" i="70"/>
  <c r="I268" i="70"/>
  <c r="I252" i="70"/>
  <c r="I236" i="70"/>
  <c r="I220" i="70"/>
  <c r="I204" i="70"/>
  <c r="I188" i="70"/>
  <c r="I172" i="70"/>
  <c r="I156" i="70"/>
  <c r="I277" i="70"/>
  <c r="I261" i="70"/>
  <c r="I245" i="70"/>
  <c r="I229" i="70"/>
  <c r="I213" i="70"/>
  <c r="I197" i="70"/>
  <c r="I181" i="70"/>
  <c r="I165" i="70"/>
  <c r="I149" i="70"/>
  <c r="D42" i="71"/>
  <c r="C50" i="71" s="1"/>
  <c r="E50" i="71" s="1"/>
  <c r="E53" i="71" s="1"/>
  <c r="E36" i="71"/>
  <c r="E37" i="71"/>
  <c r="E35" i="71"/>
  <c r="D34" i="71"/>
  <c r="D21" i="71"/>
  <c r="D25" i="71"/>
  <c r="A153" i="56" l="1"/>
  <c r="G35" i="49"/>
  <c r="A154" i="56" l="1"/>
  <c r="C13" i="70"/>
  <c r="A155" i="56" l="1"/>
  <c r="J990" i="70"/>
  <c r="I990" i="70"/>
  <c r="H990" i="70"/>
  <c r="A327" i="70"/>
  <c r="A359" i="70" s="1"/>
  <c r="A391" i="70" s="1"/>
  <c r="A423" i="70" s="1"/>
  <c r="A455" i="70" s="1"/>
  <c r="A487" i="70" s="1"/>
  <c r="A519" i="70" s="1"/>
  <c r="A551" i="70" s="1"/>
  <c r="A583" i="70" s="1"/>
  <c r="A615" i="70" s="1"/>
  <c r="A647" i="70" s="1"/>
  <c r="A679" i="70" s="1"/>
  <c r="A711" i="70" s="1"/>
  <c r="A743" i="70" s="1"/>
  <c r="A775" i="70" s="1"/>
  <c r="A807" i="70" s="1"/>
  <c r="A839" i="70" s="1"/>
  <c r="A871" i="70" s="1"/>
  <c r="A903" i="70" s="1"/>
  <c r="A935" i="70" s="1"/>
  <c r="A967" i="70" s="1"/>
  <c r="A999" i="70" s="1"/>
  <c r="A1031" i="70" s="1"/>
  <c r="A1063" i="70" s="1"/>
  <c r="A1095" i="70" s="1"/>
  <c r="A1127" i="70" s="1"/>
  <c r="A1159" i="70" s="1"/>
  <c r="A1191" i="70" s="1"/>
  <c r="A156" i="56" l="1"/>
  <c r="G141" i="70"/>
  <c r="M76" i="56"/>
  <c r="H141" i="70" s="1"/>
  <c r="N76" i="56"/>
  <c r="J141" i="70" l="1"/>
  <c r="A157" i="56"/>
  <c r="I141" i="70"/>
  <c r="B96" i="70"/>
  <c r="A158" i="56" l="1"/>
  <c r="B95" i="70"/>
  <c r="C95" i="70"/>
  <c r="D95" i="70" s="1"/>
  <c r="A159" i="56" l="1"/>
  <c r="I49" i="52"/>
  <c r="O49" i="52"/>
  <c r="U49" i="52"/>
  <c r="AA49" i="52"/>
  <c r="AG49" i="52"/>
  <c r="AM49" i="52"/>
  <c r="AS49" i="52"/>
  <c r="AY49" i="52"/>
  <c r="BE49" i="52"/>
  <c r="I50" i="52"/>
  <c r="O50" i="52"/>
  <c r="U50" i="52"/>
  <c r="AA50" i="52"/>
  <c r="AG50" i="52"/>
  <c r="AM50" i="52"/>
  <c r="AS50" i="52"/>
  <c r="AY50" i="52"/>
  <c r="BE50" i="52"/>
  <c r="I51" i="52"/>
  <c r="O51" i="52"/>
  <c r="U51" i="52"/>
  <c r="AA51" i="52"/>
  <c r="AG51" i="52"/>
  <c r="AM51" i="52"/>
  <c r="AS51" i="52"/>
  <c r="AY51" i="52"/>
  <c r="BE51" i="52"/>
  <c r="I52" i="52"/>
  <c r="O52" i="52"/>
  <c r="U52" i="52"/>
  <c r="AA52" i="52"/>
  <c r="AG52" i="52"/>
  <c r="AM52" i="52"/>
  <c r="AS52" i="52"/>
  <c r="AY52" i="52"/>
  <c r="BE52" i="52"/>
  <c r="I53" i="52"/>
  <c r="O53" i="52"/>
  <c r="U53" i="52"/>
  <c r="AA53" i="52"/>
  <c r="AG53" i="52"/>
  <c r="AM53" i="52"/>
  <c r="AS53" i="52"/>
  <c r="AY53" i="52"/>
  <c r="BE53" i="52"/>
  <c r="I54" i="52"/>
  <c r="O54" i="52"/>
  <c r="U54" i="52"/>
  <c r="AA54" i="52"/>
  <c r="AG54" i="52"/>
  <c r="AM54" i="52"/>
  <c r="AS54" i="52"/>
  <c r="AY54" i="52"/>
  <c r="BE54" i="52"/>
  <c r="I55" i="52"/>
  <c r="O55" i="52"/>
  <c r="U55" i="52"/>
  <c r="AA55" i="52"/>
  <c r="AG55" i="52"/>
  <c r="AM55" i="52"/>
  <c r="AS55" i="52"/>
  <c r="AY55" i="52"/>
  <c r="BE55" i="52"/>
  <c r="I56" i="52"/>
  <c r="O56" i="52"/>
  <c r="U56" i="52"/>
  <c r="AA56" i="52"/>
  <c r="AG56" i="52"/>
  <c r="AM56" i="52"/>
  <c r="AS56" i="52"/>
  <c r="AY56" i="52"/>
  <c r="BE56" i="52"/>
  <c r="I57" i="52"/>
  <c r="O57" i="52"/>
  <c r="U57" i="52"/>
  <c r="AA57" i="52"/>
  <c r="AG57" i="52"/>
  <c r="AM57" i="52"/>
  <c r="AS57" i="52"/>
  <c r="AY57" i="52"/>
  <c r="BE57" i="52"/>
  <c r="I58" i="52"/>
  <c r="O58" i="52"/>
  <c r="U58" i="52"/>
  <c r="AA58" i="52"/>
  <c r="AG58" i="52"/>
  <c r="AM58" i="52"/>
  <c r="AS58" i="52"/>
  <c r="AY58" i="52"/>
  <c r="BE58" i="52"/>
  <c r="I59" i="52"/>
  <c r="O59" i="52"/>
  <c r="U59" i="52"/>
  <c r="AA59" i="52"/>
  <c r="AG59" i="52"/>
  <c r="AM59" i="52"/>
  <c r="AS59" i="52"/>
  <c r="AY59" i="52"/>
  <c r="BE59" i="52"/>
  <c r="I60" i="52"/>
  <c r="O60" i="52"/>
  <c r="U60" i="52"/>
  <c r="AA60" i="52"/>
  <c r="AG60" i="52"/>
  <c r="AM60" i="52"/>
  <c r="AS60" i="52"/>
  <c r="AY60" i="52"/>
  <c r="BE60" i="52"/>
  <c r="I61" i="52"/>
  <c r="O61" i="52"/>
  <c r="U61" i="52"/>
  <c r="AA61" i="52"/>
  <c r="AG61" i="52"/>
  <c r="AM61" i="52"/>
  <c r="AS61" i="52"/>
  <c r="AY61" i="52"/>
  <c r="BE61" i="52"/>
  <c r="I62" i="52"/>
  <c r="O62" i="52"/>
  <c r="U62" i="52"/>
  <c r="AA62" i="52"/>
  <c r="AG62" i="52"/>
  <c r="AM62" i="52"/>
  <c r="AS62" i="52"/>
  <c r="AY62" i="52"/>
  <c r="BE62" i="52"/>
  <c r="I63" i="52"/>
  <c r="O63" i="52"/>
  <c r="U63" i="52"/>
  <c r="AA63" i="52"/>
  <c r="AG63" i="52"/>
  <c r="AM63" i="52"/>
  <c r="AS63" i="52"/>
  <c r="AY63" i="52"/>
  <c r="BE63" i="52"/>
  <c r="I64" i="52"/>
  <c r="O64" i="52"/>
  <c r="U64" i="52"/>
  <c r="AA64" i="52"/>
  <c r="AG64" i="52"/>
  <c r="AM64" i="52"/>
  <c r="AS64" i="52"/>
  <c r="AY64" i="52"/>
  <c r="BE64" i="52"/>
  <c r="I65" i="52"/>
  <c r="O65" i="52"/>
  <c r="U65" i="52"/>
  <c r="AA65" i="52"/>
  <c r="AG65" i="52"/>
  <c r="AM65" i="52"/>
  <c r="AS65" i="52"/>
  <c r="AY65" i="52"/>
  <c r="BE65" i="52"/>
  <c r="I66" i="52"/>
  <c r="O66" i="52"/>
  <c r="U66" i="52"/>
  <c r="AA66" i="52"/>
  <c r="AG66" i="52"/>
  <c r="AM66" i="52"/>
  <c r="AS66" i="52"/>
  <c r="AY66" i="52"/>
  <c r="BE66" i="52"/>
  <c r="I67" i="52"/>
  <c r="O67" i="52"/>
  <c r="U67" i="52"/>
  <c r="AA67" i="52"/>
  <c r="AG67" i="52"/>
  <c r="AM67" i="52"/>
  <c r="AS67" i="52"/>
  <c r="AY67" i="52"/>
  <c r="BE67" i="52"/>
  <c r="I68" i="52"/>
  <c r="O68" i="52"/>
  <c r="U68" i="52"/>
  <c r="AA68" i="52"/>
  <c r="AG68" i="52"/>
  <c r="AM68" i="52"/>
  <c r="AS68" i="52"/>
  <c r="AY68" i="52"/>
  <c r="BE68" i="52"/>
  <c r="I69" i="52"/>
  <c r="O69" i="52"/>
  <c r="U69" i="52"/>
  <c r="AA69" i="52"/>
  <c r="AG69" i="52"/>
  <c r="AM69" i="52"/>
  <c r="AS69" i="52"/>
  <c r="AY69" i="52"/>
  <c r="BE69" i="52"/>
  <c r="I70" i="52"/>
  <c r="O70" i="52"/>
  <c r="U70" i="52"/>
  <c r="AA70" i="52"/>
  <c r="AG70" i="52"/>
  <c r="AM70" i="52"/>
  <c r="AS70" i="52"/>
  <c r="AY70" i="52"/>
  <c r="BE70" i="52"/>
  <c r="I71" i="52"/>
  <c r="O71" i="52"/>
  <c r="U71" i="52"/>
  <c r="AA71" i="52"/>
  <c r="AG71" i="52"/>
  <c r="AM71" i="52"/>
  <c r="AS71" i="52"/>
  <c r="AY71" i="52"/>
  <c r="BE71" i="52"/>
  <c r="I72" i="52"/>
  <c r="O72" i="52"/>
  <c r="U72" i="52"/>
  <c r="AA72" i="52"/>
  <c r="AG72" i="52"/>
  <c r="AM72" i="52"/>
  <c r="AS72" i="52"/>
  <c r="AY72" i="52"/>
  <c r="BE72" i="52"/>
  <c r="I73" i="52"/>
  <c r="O73" i="52"/>
  <c r="U73" i="52"/>
  <c r="AA73" i="52"/>
  <c r="AG73" i="52"/>
  <c r="AM73" i="52"/>
  <c r="AS73" i="52"/>
  <c r="AY73" i="52"/>
  <c r="BE73" i="52"/>
  <c r="I74" i="52"/>
  <c r="O74" i="52"/>
  <c r="U74" i="52"/>
  <c r="AA74" i="52"/>
  <c r="AG74" i="52"/>
  <c r="AM74" i="52"/>
  <c r="AS74" i="52"/>
  <c r="AY74" i="52"/>
  <c r="BE74" i="52"/>
  <c r="I75" i="52"/>
  <c r="O75" i="52"/>
  <c r="U75" i="52"/>
  <c r="AA75" i="52"/>
  <c r="AG75" i="52"/>
  <c r="AM75" i="52"/>
  <c r="AS75" i="52"/>
  <c r="AY75" i="52"/>
  <c r="BE75" i="52"/>
  <c r="I76" i="52"/>
  <c r="O76" i="52"/>
  <c r="U76" i="52"/>
  <c r="AA76" i="52"/>
  <c r="AG76" i="52"/>
  <c r="AM76" i="52"/>
  <c r="AS76" i="52"/>
  <c r="AY76" i="52"/>
  <c r="BE76" i="52"/>
  <c r="I77" i="52"/>
  <c r="O77" i="52"/>
  <c r="U77" i="52"/>
  <c r="AA77" i="52"/>
  <c r="AG77" i="52"/>
  <c r="AM77" i="52"/>
  <c r="AS77" i="52"/>
  <c r="AY77" i="52"/>
  <c r="BE77" i="52"/>
  <c r="I78" i="52"/>
  <c r="O78" i="52"/>
  <c r="U78" i="52"/>
  <c r="AA78" i="52"/>
  <c r="AG78" i="52"/>
  <c r="AM78" i="52"/>
  <c r="AS78" i="52"/>
  <c r="AY78" i="52"/>
  <c r="BE78" i="52"/>
  <c r="I79" i="52"/>
  <c r="O79" i="52"/>
  <c r="U79" i="52"/>
  <c r="AA79" i="52"/>
  <c r="AG79" i="52"/>
  <c r="AM79" i="52"/>
  <c r="AS79" i="52"/>
  <c r="AY79" i="52"/>
  <c r="BE79" i="52"/>
  <c r="I89" i="52"/>
  <c r="O89" i="52"/>
  <c r="U89" i="52"/>
  <c r="AA89" i="52"/>
  <c r="AG89" i="52"/>
  <c r="AM89" i="52"/>
  <c r="AS89" i="52"/>
  <c r="AY89" i="52"/>
  <c r="BE89" i="52"/>
  <c r="I90" i="52"/>
  <c r="O90" i="52"/>
  <c r="U90" i="52"/>
  <c r="AA90" i="52"/>
  <c r="AG90" i="52"/>
  <c r="AM90" i="52"/>
  <c r="AS90" i="52"/>
  <c r="AY90" i="52"/>
  <c r="BE90" i="52"/>
  <c r="I91" i="52"/>
  <c r="O91" i="52"/>
  <c r="U91" i="52"/>
  <c r="AA91" i="52"/>
  <c r="AG91" i="52"/>
  <c r="AM91" i="52"/>
  <c r="AS91" i="52"/>
  <c r="AY91" i="52"/>
  <c r="BE91" i="52"/>
  <c r="I92" i="52"/>
  <c r="O92" i="52"/>
  <c r="U92" i="52"/>
  <c r="AA92" i="52"/>
  <c r="AG92" i="52"/>
  <c r="AM92" i="52"/>
  <c r="AS92" i="52"/>
  <c r="AY92" i="52"/>
  <c r="BE92" i="52"/>
  <c r="I93" i="52"/>
  <c r="O93" i="52"/>
  <c r="U93" i="52"/>
  <c r="AA93" i="52"/>
  <c r="AG93" i="52"/>
  <c r="AM93" i="52"/>
  <c r="AS93" i="52"/>
  <c r="AY93" i="52"/>
  <c r="BE93" i="52"/>
  <c r="I94" i="52"/>
  <c r="O94" i="52"/>
  <c r="U94" i="52"/>
  <c r="AA94" i="52"/>
  <c r="AG94" i="52"/>
  <c r="AM94" i="52"/>
  <c r="AS94" i="52"/>
  <c r="AY94" i="52"/>
  <c r="BE94" i="52"/>
  <c r="I95" i="52"/>
  <c r="O95" i="52"/>
  <c r="U95" i="52"/>
  <c r="AA95" i="52"/>
  <c r="AG95" i="52"/>
  <c r="AM95" i="52"/>
  <c r="AS95" i="52"/>
  <c r="AY95" i="52"/>
  <c r="BE95" i="52"/>
  <c r="I96" i="52"/>
  <c r="O96" i="52"/>
  <c r="U96" i="52"/>
  <c r="AA96" i="52"/>
  <c r="AG96" i="52"/>
  <c r="AM96" i="52"/>
  <c r="AS96" i="52"/>
  <c r="AY96" i="52"/>
  <c r="BE96" i="52"/>
  <c r="I97" i="52"/>
  <c r="O97" i="52"/>
  <c r="U97" i="52"/>
  <c r="AA97" i="52"/>
  <c r="AG97" i="52"/>
  <c r="AM97" i="52"/>
  <c r="AS97" i="52"/>
  <c r="AY97" i="52"/>
  <c r="BE97" i="52"/>
  <c r="I98" i="52"/>
  <c r="O98" i="52"/>
  <c r="U98" i="52"/>
  <c r="AA98" i="52"/>
  <c r="AG98" i="52"/>
  <c r="AM98" i="52"/>
  <c r="AS98" i="52"/>
  <c r="AY98" i="52"/>
  <c r="BE98" i="52"/>
  <c r="I99" i="52"/>
  <c r="O99" i="52"/>
  <c r="U99" i="52"/>
  <c r="AA99" i="52"/>
  <c r="AG99" i="52"/>
  <c r="AM99" i="52"/>
  <c r="AS99" i="52"/>
  <c r="AY99" i="52"/>
  <c r="BE99" i="52"/>
  <c r="I100" i="52"/>
  <c r="O100" i="52"/>
  <c r="U100" i="52"/>
  <c r="AA100" i="52"/>
  <c r="AG100" i="52"/>
  <c r="AM100" i="52"/>
  <c r="AS100" i="52"/>
  <c r="AY100" i="52"/>
  <c r="BE100" i="52"/>
  <c r="I101" i="52"/>
  <c r="O101" i="52"/>
  <c r="U101" i="52"/>
  <c r="AA101" i="52"/>
  <c r="AG101" i="52"/>
  <c r="AM101" i="52"/>
  <c r="AS101" i="52"/>
  <c r="AY101" i="52"/>
  <c r="BE101" i="52"/>
  <c r="I102" i="52"/>
  <c r="O102" i="52"/>
  <c r="U102" i="52"/>
  <c r="AA102" i="52"/>
  <c r="AG102" i="52"/>
  <c r="AM102" i="52"/>
  <c r="AS102" i="52"/>
  <c r="AY102" i="52"/>
  <c r="BE102" i="52"/>
  <c r="I103" i="52"/>
  <c r="O103" i="52"/>
  <c r="U103" i="52"/>
  <c r="AA103" i="52"/>
  <c r="AG103" i="52"/>
  <c r="AM103" i="52"/>
  <c r="AS103" i="52"/>
  <c r="AY103" i="52"/>
  <c r="BE103" i="52"/>
  <c r="I104" i="52"/>
  <c r="O104" i="52"/>
  <c r="U104" i="52"/>
  <c r="AA104" i="52"/>
  <c r="AG104" i="52"/>
  <c r="AM104" i="52"/>
  <c r="AS104" i="52"/>
  <c r="AY104" i="52"/>
  <c r="BE104" i="52"/>
  <c r="I105" i="52"/>
  <c r="O105" i="52"/>
  <c r="U105" i="52"/>
  <c r="AA105" i="52"/>
  <c r="AG105" i="52"/>
  <c r="AM105" i="52"/>
  <c r="AS105" i="52"/>
  <c r="AY105" i="52"/>
  <c r="BE105" i="52"/>
  <c r="I106" i="52"/>
  <c r="O106" i="52"/>
  <c r="U106" i="52"/>
  <c r="AA106" i="52"/>
  <c r="AG106" i="52"/>
  <c r="AM106" i="52"/>
  <c r="AS106" i="52"/>
  <c r="AY106" i="52"/>
  <c r="BE106" i="52"/>
  <c r="I107" i="52"/>
  <c r="O107" i="52"/>
  <c r="U107" i="52"/>
  <c r="AA107" i="52"/>
  <c r="AG107" i="52"/>
  <c r="AM107" i="52"/>
  <c r="AS107" i="52"/>
  <c r="AY107" i="52"/>
  <c r="BE107" i="52"/>
  <c r="I108" i="52"/>
  <c r="O108" i="52"/>
  <c r="U108" i="52"/>
  <c r="AA108" i="52"/>
  <c r="AG108" i="52"/>
  <c r="AM108" i="52"/>
  <c r="AS108" i="52"/>
  <c r="AY108" i="52"/>
  <c r="BE108" i="52"/>
  <c r="I109" i="52"/>
  <c r="O109" i="52"/>
  <c r="U109" i="52"/>
  <c r="AA109" i="52"/>
  <c r="AG109" i="52"/>
  <c r="AM109" i="52"/>
  <c r="AS109" i="52"/>
  <c r="AY109" i="52"/>
  <c r="BE109" i="52"/>
  <c r="I110" i="52"/>
  <c r="O110" i="52"/>
  <c r="U110" i="52"/>
  <c r="AA110" i="52"/>
  <c r="AG110" i="52"/>
  <c r="AM110" i="52"/>
  <c r="AS110" i="52"/>
  <c r="AY110" i="52"/>
  <c r="BE110" i="52"/>
  <c r="I111" i="52"/>
  <c r="O111" i="52"/>
  <c r="U111" i="52"/>
  <c r="AA111" i="52"/>
  <c r="AG111" i="52"/>
  <c r="AM111" i="52"/>
  <c r="AS111" i="52"/>
  <c r="AY111" i="52"/>
  <c r="BE111" i="52"/>
  <c r="I112" i="52"/>
  <c r="O112" i="52"/>
  <c r="U112" i="52"/>
  <c r="AA112" i="52"/>
  <c r="AG112" i="52"/>
  <c r="AM112" i="52"/>
  <c r="AS112" i="52"/>
  <c r="AY112" i="52"/>
  <c r="BE112" i="52"/>
  <c r="I113" i="52"/>
  <c r="O113" i="52"/>
  <c r="U113" i="52"/>
  <c r="AA113" i="52"/>
  <c r="AG113" i="52"/>
  <c r="AM113" i="52"/>
  <c r="AS113" i="52"/>
  <c r="AY113" i="52"/>
  <c r="BE113" i="52"/>
  <c r="I114" i="52"/>
  <c r="O114" i="52"/>
  <c r="U114" i="52"/>
  <c r="AA114" i="52"/>
  <c r="AG114" i="52"/>
  <c r="AM114" i="52"/>
  <c r="AS114" i="52"/>
  <c r="AY114" i="52"/>
  <c r="BE114" i="52"/>
  <c r="I115" i="52"/>
  <c r="O115" i="52"/>
  <c r="U115" i="52"/>
  <c r="AA115" i="52"/>
  <c r="AG115" i="52"/>
  <c r="AM115" i="52"/>
  <c r="AS115" i="52"/>
  <c r="AY115" i="52"/>
  <c r="BE115" i="52"/>
  <c r="I116" i="52"/>
  <c r="O116" i="52"/>
  <c r="U116" i="52"/>
  <c r="AA116" i="52"/>
  <c r="AG116" i="52"/>
  <c r="AM116" i="52"/>
  <c r="AS116" i="52"/>
  <c r="AY116" i="52"/>
  <c r="BE116" i="52"/>
  <c r="I117" i="52"/>
  <c r="O117" i="52"/>
  <c r="U117" i="52"/>
  <c r="AA117" i="52"/>
  <c r="AG117" i="52"/>
  <c r="AM117" i="52"/>
  <c r="AS117" i="52"/>
  <c r="AY117" i="52"/>
  <c r="BE117" i="52"/>
  <c r="I118" i="52"/>
  <c r="O118" i="52"/>
  <c r="U118" i="52"/>
  <c r="AA118" i="52"/>
  <c r="AG118" i="52"/>
  <c r="AM118" i="52"/>
  <c r="AS118" i="52"/>
  <c r="AY118" i="52"/>
  <c r="BE118" i="52"/>
  <c r="I119" i="52"/>
  <c r="O119" i="52"/>
  <c r="U119" i="52"/>
  <c r="AA119" i="52"/>
  <c r="AG119" i="52"/>
  <c r="AM119" i="52"/>
  <c r="AS119" i="52"/>
  <c r="AY119" i="52"/>
  <c r="BE119" i="52"/>
  <c r="A160" i="56" l="1"/>
  <c r="AC1287" i="49"/>
  <c r="V470" i="76" s="1"/>
  <c r="AC1286" i="49"/>
  <c r="V469" i="76" s="1"/>
  <c r="AC1285" i="49"/>
  <c r="V468" i="76" s="1"/>
  <c r="AC1284" i="49"/>
  <c r="V467" i="76" s="1"/>
  <c r="AC1283" i="49"/>
  <c r="V466" i="76" s="1"/>
  <c r="AC1282" i="49"/>
  <c r="V465" i="76" s="1"/>
  <c r="AC1281" i="49"/>
  <c r="V464" i="76" s="1"/>
  <c r="AC1280" i="49"/>
  <c r="V463" i="76" s="1"/>
  <c r="AC1279" i="49"/>
  <c r="V462" i="76" s="1"/>
  <c r="AC1278" i="49"/>
  <c r="V461" i="76" s="1"/>
  <c r="AC1277" i="49"/>
  <c r="V460" i="76" s="1"/>
  <c r="AC1249" i="49"/>
  <c r="V459" i="76" s="1"/>
  <c r="AC1248" i="49"/>
  <c r="V458" i="76" s="1"/>
  <c r="AC1247" i="49"/>
  <c r="V457" i="76" s="1"/>
  <c r="AC1246" i="49"/>
  <c r="V456" i="76" s="1"/>
  <c r="AC1245" i="49"/>
  <c r="V455" i="76" s="1"/>
  <c r="AC1244" i="49"/>
  <c r="V454" i="76" s="1"/>
  <c r="AC1243" i="49"/>
  <c r="V453" i="76" s="1"/>
  <c r="AC1242" i="49"/>
  <c r="V452" i="76" s="1"/>
  <c r="AC1241" i="49"/>
  <c r="V451" i="76" s="1"/>
  <c r="AC1240" i="49"/>
  <c r="V450" i="76" s="1"/>
  <c r="AC1239" i="49"/>
  <c r="V449" i="76" s="1"/>
  <c r="AC1211" i="49"/>
  <c r="V448" i="76" s="1"/>
  <c r="AC1210" i="49"/>
  <c r="V447" i="76" s="1"/>
  <c r="AC1209" i="49"/>
  <c r="V446" i="76" s="1"/>
  <c r="AC1208" i="49"/>
  <c r="V445" i="76" s="1"/>
  <c r="AC1207" i="49"/>
  <c r="V444" i="76" s="1"/>
  <c r="AC1206" i="49"/>
  <c r="V443" i="76" s="1"/>
  <c r="AC1205" i="49"/>
  <c r="V442" i="76" s="1"/>
  <c r="AC1204" i="49"/>
  <c r="V441" i="76" s="1"/>
  <c r="AC1203" i="49"/>
  <c r="V440" i="76" s="1"/>
  <c r="AC1202" i="49"/>
  <c r="V439" i="76" s="1"/>
  <c r="AC1201" i="49"/>
  <c r="V438" i="76" s="1"/>
  <c r="AC1173" i="49"/>
  <c r="V437" i="76" s="1"/>
  <c r="AC1172" i="49"/>
  <c r="V436" i="76" s="1"/>
  <c r="AC1171" i="49"/>
  <c r="V435" i="76" s="1"/>
  <c r="AC1170" i="49"/>
  <c r="V434" i="76" s="1"/>
  <c r="AC1169" i="49"/>
  <c r="V433" i="76" s="1"/>
  <c r="AC1168" i="49"/>
  <c r="V432" i="76" s="1"/>
  <c r="AC1167" i="49"/>
  <c r="V431" i="76" s="1"/>
  <c r="AC1166" i="49"/>
  <c r="V430" i="76" s="1"/>
  <c r="AC1165" i="49"/>
  <c r="V429" i="76" s="1"/>
  <c r="AC1164" i="49"/>
  <c r="V428" i="76" s="1"/>
  <c r="AC1163" i="49"/>
  <c r="V427" i="76" s="1"/>
  <c r="AC1135" i="49"/>
  <c r="V426" i="76" s="1"/>
  <c r="AC1134" i="49"/>
  <c r="V425" i="76" s="1"/>
  <c r="AC1133" i="49"/>
  <c r="V424" i="76" s="1"/>
  <c r="AC1132" i="49"/>
  <c r="V423" i="76" s="1"/>
  <c r="AC1131" i="49"/>
  <c r="V422" i="76" s="1"/>
  <c r="AC1130" i="49"/>
  <c r="V421" i="76" s="1"/>
  <c r="AC1129" i="49"/>
  <c r="V420" i="76" s="1"/>
  <c r="AC1128" i="49"/>
  <c r="V419" i="76" s="1"/>
  <c r="AC1127" i="49"/>
  <c r="V418" i="76" s="1"/>
  <c r="AC1126" i="49"/>
  <c r="V417" i="76" s="1"/>
  <c r="AC1125" i="49"/>
  <c r="V416" i="76" s="1"/>
  <c r="AC1097" i="49"/>
  <c r="V415" i="76" s="1"/>
  <c r="AC1096" i="49"/>
  <c r="V414" i="76" s="1"/>
  <c r="AC1095" i="49"/>
  <c r="V413" i="76" s="1"/>
  <c r="AC1094" i="49"/>
  <c r="V412" i="76" s="1"/>
  <c r="AC1093" i="49"/>
  <c r="V411" i="76" s="1"/>
  <c r="AC1092" i="49"/>
  <c r="V410" i="76" s="1"/>
  <c r="AC1091" i="49"/>
  <c r="V409" i="76" s="1"/>
  <c r="AC1090" i="49"/>
  <c r="V408" i="76" s="1"/>
  <c r="AC1089" i="49"/>
  <c r="V407" i="76" s="1"/>
  <c r="AC1088" i="49"/>
  <c r="V406" i="76" s="1"/>
  <c r="AC1087" i="49"/>
  <c r="V405" i="76" s="1"/>
  <c r="AC1059" i="49"/>
  <c r="V404" i="76" s="1"/>
  <c r="AC1058" i="49"/>
  <c r="V403" i="76" s="1"/>
  <c r="AC1057" i="49"/>
  <c r="V402" i="76" s="1"/>
  <c r="AC1056" i="49"/>
  <c r="V401" i="76" s="1"/>
  <c r="AC1055" i="49"/>
  <c r="V400" i="76" s="1"/>
  <c r="AC1054" i="49"/>
  <c r="V399" i="76" s="1"/>
  <c r="AC1053" i="49"/>
  <c r="V398" i="76" s="1"/>
  <c r="AC1052" i="49"/>
  <c r="V397" i="76" s="1"/>
  <c r="AC1051" i="49"/>
  <c r="V396" i="76" s="1"/>
  <c r="AC1050" i="49"/>
  <c r="V395" i="76" s="1"/>
  <c r="AC1049" i="49"/>
  <c r="V394" i="76" s="1"/>
  <c r="AC1021" i="49"/>
  <c r="V393" i="76" s="1"/>
  <c r="AC1020" i="49"/>
  <c r="V392" i="76" s="1"/>
  <c r="AC1019" i="49"/>
  <c r="V391" i="76" s="1"/>
  <c r="AC1018" i="49"/>
  <c r="V390" i="76" s="1"/>
  <c r="AC1017" i="49"/>
  <c r="V389" i="76" s="1"/>
  <c r="AC1016" i="49"/>
  <c r="V388" i="76" s="1"/>
  <c r="AC1015" i="49"/>
  <c r="V387" i="76" s="1"/>
  <c r="AC1014" i="49"/>
  <c r="V386" i="76" s="1"/>
  <c r="AC1013" i="49"/>
  <c r="V385" i="76" s="1"/>
  <c r="AC1012" i="49"/>
  <c r="V384" i="76" s="1"/>
  <c r="AC1011" i="49"/>
  <c r="V383" i="76" s="1"/>
  <c r="AC983" i="49"/>
  <c r="V382" i="76" s="1"/>
  <c r="AC982" i="49"/>
  <c r="V381" i="76" s="1"/>
  <c r="AC981" i="49"/>
  <c r="V380" i="76" s="1"/>
  <c r="AC980" i="49"/>
  <c r="V379" i="76" s="1"/>
  <c r="AC979" i="49"/>
  <c r="V378" i="76" s="1"/>
  <c r="AC978" i="49"/>
  <c r="V377" i="76" s="1"/>
  <c r="AC977" i="49"/>
  <c r="V376" i="76" s="1"/>
  <c r="AC976" i="49"/>
  <c r="V375" i="76" s="1"/>
  <c r="AC975" i="49"/>
  <c r="V374" i="76" s="1"/>
  <c r="AC974" i="49"/>
  <c r="V373" i="76" s="1"/>
  <c r="AC973" i="49"/>
  <c r="V372" i="76" s="1"/>
  <c r="AC945" i="49"/>
  <c r="V371" i="76" s="1"/>
  <c r="AC944" i="49"/>
  <c r="V370" i="76" s="1"/>
  <c r="AC943" i="49"/>
  <c r="V369" i="76" s="1"/>
  <c r="AC942" i="49"/>
  <c r="V368" i="76" s="1"/>
  <c r="AC941" i="49"/>
  <c r="V367" i="76" s="1"/>
  <c r="AC940" i="49"/>
  <c r="V366" i="76" s="1"/>
  <c r="AC939" i="49"/>
  <c r="V365" i="76" s="1"/>
  <c r="AC938" i="49"/>
  <c r="V364" i="76" s="1"/>
  <c r="AC937" i="49"/>
  <c r="V363" i="76" s="1"/>
  <c r="AC936" i="49"/>
  <c r="V362" i="76" s="1"/>
  <c r="AC935" i="49"/>
  <c r="V361" i="76" s="1"/>
  <c r="AC907" i="49"/>
  <c r="V360" i="76" s="1"/>
  <c r="AC906" i="49"/>
  <c r="V359" i="76" s="1"/>
  <c r="AC905" i="49"/>
  <c r="V358" i="76" s="1"/>
  <c r="AC904" i="49"/>
  <c r="V357" i="76" s="1"/>
  <c r="AC903" i="49"/>
  <c r="V356" i="76" s="1"/>
  <c r="AC902" i="49"/>
  <c r="V355" i="76" s="1"/>
  <c r="AC901" i="49"/>
  <c r="V354" i="76" s="1"/>
  <c r="AC900" i="49"/>
  <c r="V353" i="76" s="1"/>
  <c r="AC899" i="49"/>
  <c r="V352" i="76" s="1"/>
  <c r="AC898" i="49"/>
  <c r="V351" i="76" s="1"/>
  <c r="AC897" i="49"/>
  <c r="V350" i="76" s="1"/>
  <c r="AC869" i="49"/>
  <c r="V349" i="76" s="1"/>
  <c r="AC868" i="49"/>
  <c r="V348" i="76" s="1"/>
  <c r="AC867" i="49"/>
  <c r="V347" i="76" s="1"/>
  <c r="AC866" i="49"/>
  <c r="V346" i="76" s="1"/>
  <c r="AC865" i="49"/>
  <c r="V345" i="76" s="1"/>
  <c r="AC864" i="49"/>
  <c r="V344" i="76" s="1"/>
  <c r="AC863" i="49"/>
  <c r="V343" i="76" s="1"/>
  <c r="AC862" i="49"/>
  <c r="V342" i="76" s="1"/>
  <c r="AC861" i="49"/>
  <c r="V341" i="76" s="1"/>
  <c r="AC860" i="49"/>
  <c r="V340" i="76" s="1"/>
  <c r="AC859" i="49"/>
  <c r="V339" i="76" s="1"/>
  <c r="AC831" i="49"/>
  <c r="V338" i="76" s="1"/>
  <c r="AC830" i="49"/>
  <c r="V337" i="76" s="1"/>
  <c r="AC829" i="49"/>
  <c r="V336" i="76" s="1"/>
  <c r="AC828" i="49"/>
  <c r="V335" i="76" s="1"/>
  <c r="AC827" i="49"/>
  <c r="V334" i="76" s="1"/>
  <c r="AC826" i="49"/>
  <c r="V333" i="76" s="1"/>
  <c r="AC825" i="49"/>
  <c r="V332" i="76" s="1"/>
  <c r="AC824" i="49"/>
  <c r="V331" i="76" s="1"/>
  <c r="AC823" i="49"/>
  <c r="V330" i="76" s="1"/>
  <c r="AC822" i="49"/>
  <c r="V329" i="76" s="1"/>
  <c r="AC821" i="49"/>
  <c r="V328" i="76" s="1"/>
  <c r="AC793" i="49"/>
  <c r="V327" i="76" s="1"/>
  <c r="AC792" i="49"/>
  <c r="V326" i="76" s="1"/>
  <c r="AC791" i="49"/>
  <c r="V325" i="76" s="1"/>
  <c r="AC790" i="49"/>
  <c r="V324" i="76" s="1"/>
  <c r="AC789" i="49"/>
  <c r="V323" i="76" s="1"/>
  <c r="AC788" i="49"/>
  <c r="V322" i="76" s="1"/>
  <c r="AC787" i="49"/>
  <c r="V321" i="76" s="1"/>
  <c r="AC786" i="49"/>
  <c r="V320" i="76" s="1"/>
  <c r="AC785" i="49"/>
  <c r="V319" i="76" s="1"/>
  <c r="AC784" i="49"/>
  <c r="V318" i="76" s="1"/>
  <c r="AC783" i="49"/>
  <c r="V317" i="76" s="1"/>
  <c r="AC755" i="49"/>
  <c r="V316" i="76" s="1"/>
  <c r="AC754" i="49"/>
  <c r="V315" i="76" s="1"/>
  <c r="AC753" i="49"/>
  <c r="V314" i="76" s="1"/>
  <c r="AC752" i="49"/>
  <c r="V313" i="76" s="1"/>
  <c r="AC751" i="49"/>
  <c r="V312" i="76" s="1"/>
  <c r="AC750" i="49"/>
  <c r="V311" i="76" s="1"/>
  <c r="AC749" i="49"/>
  <c r="V310" i="76" s="1"/>
  <c r="AC748" i="49"/>
  <c r="V309" i="76" s="1"/>
  <c r="AC747" i="49"/>
  <c r="V308" i="76" s="1"/>
  <c r="AC746" i="49"/>
  <c r="V307" i="76" s="1"/>
  <c r="AC745" i="49"/>
  <c r="V306" i="76" s="1"/>
  <c r="AC717" i="49"/>
  <c r="V305" i="76" s="1"/>
  <c r="AC716" i="49"/>
  <c r="V304" i="76" s="1"/>
  <c r="AC715" i="49"/>
  <c r="V303" i="76" s="1"/>
  <c r="AC714" i="49"/>
  <c r="V302" i="76" s="1"/>
  <c r="AC713" i="49"/>
  <c r="V301" i="76" s="1"/>
  <c r="AC712" i="49"/>
  <c r="V300" i="76" s="1"/>
  <c r="AC711" i="49"/>
  <c r="V299" i="76" s="1"/>
  <c r="AC710" i="49"/>
  <c r="V298" i="76" s="1"/>
  <c r="AC709" i="49"/>
  <c r="V297" i="76" s="1"/>
  <c r="AC708" i="49"/>
  <c r="V296" i="76" s="1"/>
  <c r="AC707" i="49"/>
  <c r="V295" i="76" s="1"/>
  <c r="AC679" i="49"/>
  <c r="V294" i="76" s="1"/>
  <c r="AC678" i="49"/>
  <c r="V293" i="76" s="1"/>
  <c r="AC677" i="49"/>
  <c r="V292" i="76" s="1"/>
  <c r="AC676" i="49"/>
  <c r="V291" i="76" s="1"/>
  <c r="AC675" i="49"/>
  <c r="V290" i="76" s="1"/>
  <c r="AC674" i="49"/>
  <c r="V289" i="76" s="1"/>
  <c r="AC673" i="49"/>
  <c r="V288" i="76" s="1"/>
  <c r="AC672" i="49"/>
  <c r="V287" i="76" s="1"/>
  <c r="AC671" i="49"/>
  <c r="V286" i="76" s="1"/>
  <c r="AC670" i="49"/>
  <c r="V285" i="76" s="1"/>
  <c r="AC669" i="49"/>
  <c r="V284" i="76" s="1"/>
  <c r="AC641" i="49"/>
  <c r="V283" i="76" s="1"/>
  <c r="AC640" i="49"/>
  <c r="V282" i="76" s="1"/>
  <c r="AC639" i="49"/>
  <c r="V281" i="76" s="1"/>
  <c r="AC638" i="49"/>
  <c r="V280" i="76" s="1"/>
  <c r="AC637" i="49"/>
  <c r="V279" i="76" s="1"/>
  <c r="AC636" i="49"/>
  <c r="V278" i="76" s="1"/>
  <c r="AC635" i="49"/>
  <c r="V277" i="76" s="1"/>
  <c r="AC634" i="49"/>
  <c r="V276" i="76" s="1"/>
  <c r="AC633" i="49"/>
  <c r="V275" i="76" s="1"/>
  <c r="AC632" i="49"/>
  <c r="V274" i="76" s="1"/>
  <c r="AC631" i="49"/>
  <c r="V273" i="76" s="1"/>
  <c r="AC603" i="49"/>
  <c r="V272" i="76" s="1"/>
  <c r="AC602" i="49"/>
  <c r="V271" i="76" s="1"/>
  <c r="AC601" i="49"/>
  <c r="V270" i="76" s="1"/>
  <c r="AC600" i="49"/>
  <c r="V269" i="76" s="1"/>
  <c r="AC599" i="49"/>
  <c r="V268" i="76" s="1"/>
  <c r="AC598" i="49"/>
  <c r="V267" i="76" s="1"/>
  <c r="AC597" i="49"/>
  <c r="V266" i="76" s="1"/>
  <c r="AC596" i="49"/>
  <c r="V265" i="76" s="1"/>
  <c r="AC595" i="49"/>
  <c r="V264" i="76" s="1"/>
  <c r="AC594" i="49"/>
  <c r="V263" i="76" s="1"/>
  <c r="AC593" i="49"/>
  <c r="V262" i="76" s="1"/>
  <c r="AC565" i="49"/>
  <c r="V261" i="76" s="1"/>
  <c r="AC564" i="49"/>
  <c r="V260" i="76" s="1"/>
  <c r="AC563" i="49"/>
  <c r="V259" i="76" s="1"/>
  <c r="AC562" i="49"/>
  <c r="V258" i="76" s="1"/>
  <c r="AC561" i="49"/>
  <c r="V257" i="76" s="1"/>
  <c r="AC560" i="49"/>
  <c r="V256" i="76" s="1"/>
  <c r="AC559" i="49"/>
  <c r="V255" i="76" s="1"/>
  <c r="AC558" i="49"/>
  <c r="V254" i="76" s="1"/>
  <c r="AC557" i="49"/>
  <c r="V253" i="76" s="1"/>
  <c r="AC556" i="49"/>
  <c r="V252" i="76" s="1"/>
  <c r="AC555" i="49"/>
  <c r="V251" i="76" s="1"/>
  <c r="AC527" i="49"/>
  <c r="V250" i="76" s="1"/>
  <c r="AC526" i="49"/>
  <c r="V249" i="76" s="1"/>
  <c r="AC525" i="49"/>
  <c r="V248" i="76" s="1"/>
  <c r="AC524" i="49"/>
  <c r="V247" i="76" s="1"/>
  <c r="AC523" i="49"/>
  <c r="V246" i="76" s="1"/>
  <c r="AC522" i="49"/>
  <c r="V245" i="76" s="1"/>
  <c r="AC521" i="49"/>
  <c r="V244" i="76" s="1"/>
  <c r="AC520" i="49"/>
  <c r="V243" i="76" s="1"/>
  <c r="AC519" i="49"/>
  <c r="V242" i="76" s="1"/>
  <c r="AC518" i="49"/>
  <c r="V241" i="76" s="1"/>
  <c r="AC517" i="49"/>
  <c r="V240" i="76" s="1"/>
  <c r="AC489" i="49"/>
  <c r="V239" i="76" s="1"/>
  <c r="AC488" i="49"/>
  <c r="V238" i="76" s="1"/>
  <c r="AC487" i="49"/>
  <c r="V237" i="76" s="1"/>
  <c r="AC486" i="49"/>
  <c r="V236" i="76" s="1"/>
  <c r="AC485" i="49"/>
  <c r="V235" i="76" s="1"/>
  <c r="AC484" i="49"/>
  <c r="V234" i="76" s="1"/>
  <c r="AC483" i="49"/>
  <c r="V233" i="76" s="1"/>
  <c r="AC482" i="49"/>
  <c r="V232" i="76" s="1"/>
  <c r="AC481" i="49"/>
  <c r="V231" i="76" s="1"/>
  <c r="AC480" i="49"/>
  <c r="V230" i="76" s="1"/>
  <c r="AC479" i="49"/>
  <c r="V229" i="76" s="1"/>
  <c r="AC451" i="49"/>
  <c r="V228" i="76" s="1"/>
  <c r="AC450" i="49"/>
  <c r="V227" i="76" s="1"/>
  <c r="AC449" i="49"/>
  <c r="V226" i="76" s="1"/>
  <c r="AC448" i="49"/>
  <c r="V225" i="76" s="1"/>
  <c r="AC447" i="49"/>
  <c r="V224" i="76" s="1"/>
  <c r="AC446" i="49"/>
  <c r="V223" i="76" s="1"/>
  <c r="AC445" i="49"/>
  <c r="V222" i="76" s="1"/>
  <c r="AC444" i="49"/>
  <c r="V221" i="76" s="1"/>
  <c r="AC443" i="49"/>
  <c r="V220" i="76" s="1"/>
  <c r="AC442" i="49"/>
  <c r="V219" i="76" s="1"/>
  <c r="AC441" i="49"/>
  <c r="V218" i="76" s="1"/>
  <c r="AC413" i="49"/>
  <c r="V217" i="76" s="1"/>
  <c r="AC412" i="49"/>
  <c r="V216" i="76" s="1"/>
  <c r="AC411" i="49"/>
  <c r="V215" i="76" s="1"/>
  <c r="AC410" i="49"/>
  <c r="V214" i="76" s="1"/>
  <c r="AC409" i="49"/>
  <c r="V213" i="76" s="1"/>
  <c r="AC408" i="49"/>
  <c r="V212" i="76" s="1"/>
  <c r="AC407" i="49"/>
  <c r="V211" i="76" s="1"/>
  <c r="AC406" i="49"/>
  <c r="V210" i="76" s="1"/>
  <c r="AC405" i="49"/>
  <c r="V209" i="76" s="1"/>
  <c r="AC404" i="49"/>
  <c r="V208" i="76" s="1"/>
  <c r="AC403" i="49"/>
  <c r="V207" i="76" s="1"/>
  <c r="AC375" i="49"/>
  <c r="V206" i="76" s="1"/>
  <c r="AC374" i="49"/>
  <c r="V205" i="76" s="1"/>
  <c r="AC373" i="49"/>
  <c r="V204" i="76" s="1"/>
  <c r="AC372" i="49"/>
  <c r="V203" i="76" s="1"/>
  <c r="AC371" i="49"/>
  <c r="V202" i="76" s="1"/>
  <c r="AC370" i="49"/>
  <c r="V201" i="76" s="1"/>
  <c r="AC369" i="49"/>
  <c r="V200" i="76" s="1"/>
  <c r="AC368" i="49"/>
  <c r="V199" i="76" s="1"/>
  <c r="AC367" i="49"/>
  <c r="V198" i="76" s="1"/>
  <c r="AC366" i="49"/>
  <c r="V197" i="76" s="1"/>
  <c r="AC365" i="49"/>
  <c r="V196" i="76" s="1"/>
  <c r="AC337" i="49"/>
  <c r="V195" i="76" s="1"/>
  <c r="AC336" i="49"/>
  <c r="V194" i="76" s="1"/>
  <c r="AC335" i="49"/>
  <c r="V193" i="76" s="1"/>
  <c r="AC334" i="49"/>
  <c r="V192" i="76" s="1"/>
  <c r="AC333" i="49"/>
  <c r="V191" i="76" s="1"/>
  <c r="AC332" i="49"/>
  <c r="V190" i="76" s="1"/>
  <c r="AC331" i="49"/>
  <c r="V189" i="76" s="1"/>
  <c r="AC330" i="49"/>
  <c r="V188" i="76" s="1"/>
  <c r="AC329" i="49"/>
  <c r="V187" i="76" s="1"/>
  <c r="AC328" i="49"/>
  <c r="V186" i="76" s="1"/>
  <c r="AC327" i="49"/>
  <c r="V185" i="76" s="1"/>
  <c r="AC299" i="49"/>
  <c r="V184" i="76" s="1"/>
  <c r="AC298" i="49"/>
  <c r="V183" i="76" s="1"/>
  <c r="AC297" i="49"/>
  <c r="V182" i="76" s="1"/>
  <c r="AC296" i="49"/>
  <c r="V181" i="76" s="1"/>
  <c r="AC295" i="49"/>
  <c r="V180" i="76" s="1"/>
  <c r="AC294" i="49"/>
  <c r="V179" i="76" s="1"/>
  <c r="AC293" i="49"/>
  <c r="V178" i="76" s="1"/>
  <c r="AC292" i="49"/>
  <c r="V177" i="76" s="1"/>
  <c r="AC291" i="49"/>
  <c r="V176" i="76" s="1"/>
  <c r="AC290" i="49"/>
  <c r="V175" i="76" s="1"/>
  <c r="AC289" i="49"/>
  <c r="V174" i="76" s="1"/>
  <c r="AC261" i="49"/>
  <c r="V173" i="76" s="1"/>
  <c r="AC260" i="49"/>
  <c r="V172" i="76" s="1"/>
  <c r="AC259" i="49"/>
  <c r="V171" i="76" s="1"/>
  <c r="AC258" i="49"/>
  <c r="V170" i="76" s="1"/>
  <c r="AC257" i="49"/>
  <c r="V169" i="76" s="1"/>
  <c r="AC256" i="49"/>
  <c r="V168" i="76" s="1"/>
  <c r="AC255" i="49"/>
  <c r="V167" i="76" s="1"/>
  <c r="AC254" i="49"/>
  <c r="V166" i="76" s="1"/>
  <c r="AC253" i="49"/>
  <c r="V165" i="76" s="1"/>
  <c r="AC252" i="49"/>
  <c r="V164" i="76" s="1"/>
  <c r="AC251" i="49"/>
  <c r="V163" i="76" s="1"/>
  <c r="AC223" i="49"/>
  <c r="V162" i="76" s="1"/>
  <c r="AC222" i="49"/>
  <c r="V161" i="76" s="1"/>
  <c r="AC221" i="49"/>
  <c r="V160" i="76" s="1"/>
  <c r="AC220" i="49"/>
  <c r="V159" i="76" s="1"/>
  <c r="AC219" i="49"/>
  <c r="V158" i="76" s="1"/>
  <c r="AC218" i="49"/>
  <c r="V157" i="76" s="1"/>
  <c r="AC217" i="49"/>
  <c r="V156" i="76" s="1"/>
  <c r="AC216" i="49"/>
  <c r="V155" i="76" s="1"/>
  <c r="AC215" i="49"/>
  <c r="V154" i="76" s="1"/>
  <c r="AC214" i="49"/>
  <c r="V153" i="76" s="1"/>
  <c r="AC213" i="49"/>
  <c r="V152" i="76" s="1"/>
  <c r="AC43" i="49"/>
  <c r="V2" i="76" s="1"/>
  <c r="A161" i="56" l="1"/>
  <c r="C262" i="56"/>
  <c r="C91" i="70" s="1"/>
  <c r="D91" i="70" s="1"/>
  <c r="C261" i="56"/>
  <c r="C90" i="70" s="1"/>
  <c r="D90" i="70" s="1"/>
  <c r="A162" i="56" l="1"/>
  <c r="B14" i="60"/>
  <c r="A163" i="56" l="1"/>
  <c r="C10" i="52"/>
  <c r="C11" i="52"/>
  <c r="C12" i="52"/>
  <c r="C13" i="52"/>
  <c r="C14" i="52"/>
  <c r="C15" i="52"/>
  <c r="C16" i="52"/>
  <c r="C17" i="52"/>
  <c r="C18" i="52"/>
  <c r="C19" i="52"/>
  <c r="C20" i="52"/>
  <c r="C21" i="52"/>
  <c r="C22" i="52"/>
  <c r="C23" i="52"/>
  <c r="C24" i="52"/>
  <c r="C25" i="52"/>
  <c r="C26" i="52"/>
  <c r="C27" i="52"/>
  <c r="C28" i="52"/>
  <c r="C29" i="52"/>
  <c r="C30" i="52"/>
  <c r="C31" i="52"/>
  <c r="C32" i="52"/>
  <c r="C33" i="52"/>
  <c r="C34" i="52"/>
  <c r="C35" i="52"/>
  <c r="C36" i="52"/>
  <c r="C37" i="52"/>
  <c r="C38" i="52"/>
  <c r="C39" i="52"/>
  <c r="C9" i="52"/>
  <c r="B6" i="51"/>
  <c r="Q470" i="76"/>
  <c r="Q469" i="76"/>
  <c r="Q468" i="76"/>
  <c r="Q467" i="76"/>
  <c r="Q466" i="76"/>
  <c r="Q465" i="76"/>
  <c r="Q464" i="76"/>
  <c r="Q463" i="76"/>
  <c r="Q462" i="76"/>
  <c r="Q461" i="76"/>
  <c r="Q460" i="76"/>
  <c r="Q459" i="76"/>
  <c r="Q458" i="76"/>
  <c r="Q457" i="76"/>
  <c r="Q456" i="76"/>
  <c r="Q455" i="76"/>
  <c r="Q454" i="76"/>
  <c r="Q453" i="76"/>
  <c r="Q452" i="76"/>
  <c r="Q451" i="76"/>
  <c r="Q450" i="76"/>
  <c r="Q449" i="76"/>
  <c r="Q448" i="76"/>
  <c r="Q447" i="76"/>
  <c r="Q446" i="76"/>
  <c r="Q445" i="76"/>
  <c r="Q444" i="76"/>
  <c r="Q443" i="76"/>
  <c r="Q442" i="76"/>
  <c r="Q441" i="76"/>
  <c r="Q440" i="76"/>
  <c r="Q439" i="76"/>
  <c r="Q438" i="76"/>
  <c r="Q437" i="76"/>
  <c r="Q436" i="76"/>
  <c r="Q435" i="76"/>
  <c r="Q434" i="76"/>
  <c r="Q433" i="76"/>
  <c r="Q432" i="76"/>
  <c r="Q431" i="76"/>
  <c r="Q430" i="76"/>
  <c r="Q429" i="76"/>
  <c r="Q428" i="76"/>
  <c r="Q427" i="76"/>
  <c r="Q426" i="76"/>
  <c r="Q425" i="76"/>
  <c r="Q424" i="76"/>
  <c r="Q423" i="76"/>
  <c r="Q422" i="76"/>
  <c r="Q421" i="76"/>
  <c r="Q420" i="76"/>
  <c r="Q419" i="76"/>
  <c r="Q418" i="76"/>
  <c r="Q417" i="76"/>
  <c r="Q416" i="76"/>
  <c r="Q415" i="76"/>
  <c r="Q414" i="76"/>
  <c r="Q413" i="76"/>
  <c r="Q412" i="76"/>
  <c r="Q411" i="76"/>
  <c r="Q410" i="76"/>
  <c r="Q409" i="76"/>
  <c r="Q408" i="76"/>
  <c r="Q407" i="76"/>
  <c r="Q406" i="76"/>
  <c r="Q405" i="76"/>
  <c r="Q404" i="76"/>
  <c r="Q403" i="76"/>
  <c r="Q402" i="76"/>
  <c r="Q401" i="76"/>
  <c r="Q400" i="76"/>
  <c r="Q399" i="76"/>
  <c r="Q398" i="76"/>
  <c r="Q397" i="76"/>
  <c r="Q396" i="76"/>
  <c r="Q395" i="76"/>
  <c r="Q394" i="76"/>
  <c r="Q393" i="76"/>
  <c r="Q392" i="76"/>
  <c r="Q391" i="76"/>
  <c r="Q390" i="76"/>
  <c r="Q389" i="76"/>
  <c r="Q388" i="76"/>
  <c r="Q387" i="76"/>
  <c r="Q386" i="76"/>
  <c r="Q385" i="76"/>
  <c r="Q384" i="76"/>
  <c r="Q383" i="76"/>
  <c r="Q382" i="76"/>
  <c r="Q381" i="76"/>
  <c r="Q380" i="76"/>
  <c r="Q379" i="76"/>
  <c r="Q378" i="76"/>
  <c r="Q377" i="76"/>
  <c r="Q376" i="76"/>
  <c r="Q375" i="76"/>
  <c r="Q374" i="76"/>
  <c r="Q373" i="76"/>
  <c r="Q372" i="76"/>
  <c r="Q371" i="76"/>
  <c r="Q370" i="76"/>
  <c r="Q369" i="76"/>
  <c r="Q368" i="76"/>
  <c r="Q367" i="76"/>
  <c r="Q366" i="76"/>
  <c r="Q365" i="76"/>
  <c r="Q364" i="76"/>
  <c r="Q363" i="76"/>
  <c r="Q362" i="76"/>
  <c r="Q361" i="76"/>
  <c r="Q360" i="76"/>
  <c r="Q359" i="76"/>
  <c r="Q358" i="76"/>
  <c r="Q357" i="76"/>
  <c r="Q356" i="76"/>
  <c r="Q355" i="76"/>
  <c r="Q354" i="76"/>
  <c r="Q353" i="76"/>
  <c r="Q352" i="76"/>
  <c r="Q351" i="76"/>
  <c r="Q350" i="76"/>
  <c r="Q349" i="76"/>
  <c r="Q348" i="76"/>
  <c r="Q347" i="76"/>
  <c r="Q346" i="76"/>
  <c r="Q345" i="76"/>
  <c r="Q344" i="76"/>
  <c r="Q343" i="76"/>
  <c r="Q342" i="76"/>
  <c r="Q341" i="76"/>
  <c r="Q340" i="76"/>
  <c r="Q339" i="76"/>
  <c r="Q338" i="76"/>
  <c r="Q337" i="76"/>
  <c r="Q336" i="76"/>
  <c r="Q335" i="76"/>
  <c r="Q334" i="76"/>
  <c r="Q333" i="76"/>
  <c r="Q332" i="76"/>
  <c r="Q331" i="76"/>
  <c r="Q330" i="76"/>
  <c r="Q329" i="76"/>
  <c r="Q328" i="76"/>
  <c r="Q327" i="76"/>
  <c r="Q326" i="76"/>
  <c r="Q325" i="76"/>
  <c r="Q324" i="76"/>
  <c r="Q323" i="76"/>
  <c r="Q322" i="76"/>
  <c r="Q321" i="76"/>
  <c r="Q320" i="76"/>
  <c r="Q319" i="76"/>
  <c r="Q318" i="76"/>
  <c r="Q317" i="76"/>
  <c r="A164" i="56" l="1"/>
  <c r="D15" i="49"/>
  <c r="W41" i="49" s="1"/>
  <c r="D23" i="49"/>
  <c r="D24" i="49"/>
  <c r="D19" i="49"/>
  <c r="D26" i="49"/>
  <c r="E26" i="49" s="1"/>
  <c r="D13" i="49"/>
  <c r="E13" i="49" s="1"/>
  <c r="D21" i="49"/>
  <c r="D27" i="49"/>
  <c r="D28" i="49"/>
  <c r="D14" i="49"/>
  <c r="D18" i="49"/>
  <c r="D20" i="49"/>
  <c r="N1366" i="56"/>
  <c r="M1366" i="56"/>
  <c r="H1214" i="70" s="1"/>
  <c r="L1366" i="56"/>
  <c r="N1365" i="56"/>
  <c r="M1365" i="56"/>
  <c r="H1213" i="70" s="1"/>
  <c r="L1365" i="56"/>
  <c r="N1364" i="56"/>
  <c r="M1364" i="56"/>
  <c r="H1212" i="70" s="1"/>
  <c r="L1364" i="56"/>
  <c r="N1363" i="56"/>
  <c r="M1363" i="56"/>
  <c r="H1211" i="70" s="1"/>
  <c r="L1363" i="56"/>
  <c r="N1362" i="56"/>
  <c r="M1362" i="56"/>
  <c r="H1210" i="70" s="1"/>
  <c r="L1362" i="56"/>
  <c r="N1361" i="56"/>
  <c r="M1361" i="56"/>
  <c r="H1209" i="70" s="1"/>
  <c r="L1361" i="56"/>
  <c r="N1360" i="56"/>
  <c r="M1360" i="56"/>
  <c r="H1208" i="70" s="1"/>
  <c r="L1360" i="56"/>
  <c r="N1359" i="56"/>
  <c r="M1359" i="56"/>
  <c r="H1207" i="70" s="1"/>
  <c r="L1359" i="56"/>
  <c r="N1358" i="56"/>
  <c r="M1358" i="56"/>
  <c r="H1206" i="70" s="1"/>
  <c r="L1358" i="56"/>
  <c r="B1383" i="56"/>
  <c r="N1357" i="56"/>
  <c r="M1357" i="56"/>
  <c r="H1205" i="70" s="1"/>
  <c r="L1357" i="56"/>
  <c r="L1215" i="70"/>
  <c r="K1215" i="70"/>
  <c r="N1356" i="56"/>
  <c r="M1356" i="56"/>
  <c r="H1204" i="70" s="1"/>
  <c r="L1356" i="56"/>
  <c r="C1381" i="56"/>
  <c r="C1203" i="70" s="1"/>
  <c r="D1203" i="70" s="1"/>
  <c r="L1355" i="56"/>
  <c r="C1380" i="56"/>
  <c r="C1202" i="70" s="1"/>
  <c r="D1202" i="70" s="1"/>
  <c r="G1355" i="56"/>
  <c r="N1328" i="56"/>
  <c r="M1328" i="56"/>
  <c r="H1182" i="70" s="1"/>
  <c r="L1328" i="56"/>
  <c r="N1327" i="56"/>
  <c r="M1327" i="56"/>
  <c r="H1181" i="70" s="1"/>
  <c r="L1327" i="56"/>
  <c r="N1326" i="56"/>
  <c r="M1326" i="56"/>
  <c r="H1180" i="70" s="1"/>
  <c r="L1326" i="56"/>
  <c r="N1325" i="56"/>
  <c r="M1325" i="56"/>
  <c r="H1179" i="70" s="1"/>
  <c r="L1325" i="56"/>
  <c r="N1324" i="56"/>
  <c r="M1324" i="56"/>
  <c r="H1178" i="70" s="1"/>
  <c r="L1324" i="56"/>
  <c r="N1323" i="56"/>
  <c r="M1323" i="56"/>
  <c r="H1177" i="70" s="1"/>
  <c r="L1323" i="56"/>
  <c r="N1322" i="56"/>
  <c r="M1322" i="56"/>
  <c r="H1176" i="70" s="1"/>
  <c r="L1322" i="56"/>
  <c r="N1321" i="56"/>
  <c r="M1321" i="56"/>
  <c r="H1175" i="70" s="1"/>
  <c r="L1321" i="56"/>
  <c r="N1320" i="56"/>
  <c r="M1320" i="56"/>
  <c r="H1174" i="70" s="1"/>
  <c r="L1320" i="56"/>
  <c r="B1345" i="56"/>
  <c r="N1319" i="56"/>
  <c r="M1319" i="56"/>
  <c r="H1173" i="70" s="1"/>
  <c r="L1319" i="56"/>
  <c r="L1183" i="70"/>
  <c r="K1183" i="70"/>
  <c r="N1318" i="56"/>
  <c r="M1318" i="56"/>
  <c r="H1172" i="70" s="1"/>
  <c r="L1318" i="56"/>
  <c r="C1343" i="56"/>
  <c r="C1171" i="70" s="1"/>
  <c r="D1171" i="70" s="1"/>
  <c r="L1317" i="56"/>
  <c r="C1342" i="56"/>
  <c r="C1170" i="70" s="1"/>
  <c r="D1170" i="70" s="1"/>
  <c r="G1317" i="56"/>
  <c r="N1290" i="56"/>
  <c r="M1290" i="56"/>
  <c r="H1150" i="70" s="1"/>
  <c r="L1290" i="56"/>
  <c r="N1289" i="56"/>
  <c r="M1289" i="56"/>
  <c r="H1149" i="70" s="1"/>
  <c r="L1289" i="56"/>
  <c r="N1288" i="56"/>
  <c r="M1288" i="56"/>
  <c r="H1148" i="70" s="1"/>
  <c r="L1288" i="56"/>
  <c r="N1287" i="56"/>
  <c r="M1287" i="56"/>
  <c r="H1147" i="70" s="1"/>
  <c r="L1287" i="56"/>
  <c r="N1286" i="56"/>
  <c r="M1286" i="56"/>
  <c r="H1146" i="70" s="1"/>
  <c r="L1286" i="56"/>
  <c r="N1285" i="56"/>
  <c r="M1285" i="56"/>
  <c r="H1145" i="70" s="1"/>
  <c r="L1285" i="56"/>
  <c r="N1284" i="56"/>
  <c r="M1284" i="56"/>
  <c r="H1144" i="70" s="1"/>
  <c r="L1284" i="56"/>
  <c r="N1283" i="56"/>
  <c r="M1283" i="56"/>
  <c r="H1143" i="70" s="1"/>
  <c r="L1283" i="56"/>
  <c r="N1282" i="56"/>
  <c r="M1282" i="56"/>
  <c r="H1142" i="70" s="1"/>
  <c r="L1282" i="56"/>
  <c r="B1307" i="56"/>
  <c r="N1281" i="56"/>
  <c r="M1281" i="56"/>
  <c r="H1141" i="70" s="1"/>
  <c r="L1281" i="56"/>
  <c r="L1151" i="70"/>
  <c r="K1151" i="70"/>
  <c r="N1280" i="56"/>
  <c r="M1280" i="56"/>
  <c r="H1140" i="70" s="1"/>
  <c r="L1280" i="56"/>
  <c r="C1305" i="56"/>
  <c r="C1139" i="70" s="1"/>
  <c r="D1139" i="70" s="1"/>
  <c r="L1279" i="56"/>
  <c r="C1304" i="56"/>
  <c r="C1138" i="70" s="1"/>
  <c r="D1138" i="70" s="1"/>
  <c r="G1279" i="56"/>
  <c r="N1252" i="56"/>
  <c r="M1252" i="56"/>
  <c r="H1118" i="70" s="1"/>
  <c r="L1252" i="56"/>
  <c r="N1251" i="56"/>
  <c r="M1251" i="56"/>
  <c r="H1117" i="70" s="1"/>
  <c r="L1251" i="56"/>
  <c r="N1250" i="56"/>
  <c r="M1250" i="56"/>
  <c r="H1116" i="70" s="1"/>
  <c r="L1250" i="56"/>
  <c r="N1249" i="56"/>
  <c r="M1249" i="56"/>
  <c r="H1115" i="70" s="1"/>
  <c r="L1249" i="56"/>
  <c r="N1248" i="56"/>
  <c r="M1248" i="56"/>
  <c r="H1114" i="70" s="1"/>
  <c r="L1248" i="56"/>
  <c r="N1247" i="56"/>
  <c r="M1247" i="56"/>
  <c r="H1113" i="70" s="1"/>
  <c r="L1247" i="56"/>
  <c r="N1246" i="56"/>
  <c r="M1246" i="56"/>
  <c r="H1112" i="70" s="1"/>
  <c r="L1246" i="56"/>
  <c r="N1245" i="56"/>
  <c r="M1245" i="56"/>
  <c r="H1111" i="70" s="1"/>
  <c r="L1245" i="56"/>
  <c r="N1244" i="56"/>
  <c r="M1244" i="56"/>
  <c r="H1110" i="70" s="1"/>
  <c r="L1244" i="56"/>
  <c r="B1269" i="56"/>
  <c r="N1243" i="56"/>
  <c r="M1243" i="56"/>
  <c r="H1109" i="70" s="1"/>
  <c r="L1243" i="56"/>
  <c r="L1119" i="70"/>
  <c r="K1119" i="70"/>
  <c r="N1242" i="56"/>
  <c r="M1242" i="56"/>
  <c r="H1108" i="70" s="1"/>
  <c r="L1242" i="56"/>
  <c r="C1267" i="56"/>
  <c r="C1107" i="70" s="1"/>
  <c r="D1107" i="70" s="1"/>
  <c r="L1241" i="56"/>
  <c r="C1266" i="56"/>
  <c r="C1106" i="70" s="1"/>
  <c r="D1106" i="70" s="1"/>
  <c r="G1241" i="56"/>
  <c r="N1214" i="56"/>
  <c r="M1214" i="56"/>
  <c r="H1086" i="70" s="1"/>
  <c r="L1214" i="56"/>
  <c r="N1213" i="56"/>
  <c r="M1213" i="56"/>
  <c r="H1085" i="70" s="1"/>
  <c r="L1213" i="56"/>
  <c r="N1212" i="56"/>
  <c r="M1212" i="56"/>
  <c r="H1084" i="70" s="1"/>
  <c r="L1212" i="56"/>
  <c r="N1211" i="56"/>
  <c r="M1211" i="56"/>
  <c r="H1083" i="70" s="1"/>
  <c r="L1211" i="56"/>
  <c r="N1210" i="56"/>
  <c r="M1210" i="56"/>
  <c r="H1082" i="70" s="1"/>
  <c r="L1210" i="56"/>
  <c r="N1209" i="56"/>
  <c r="M1209" i="56"/>
  <c r="H1081" i="70" s="1"/>
  <c r="L1209" i="56"/>
  <c r="N1208" i="56"/>
  <c r="M1208" i="56"/>
  <c r="H1080" i="70" s="1"/>
  <c r="L1208" i="56"/>
  <c r="N1207" i="56"/>
  <c r="M1207" i="56"/>
  <c r="H1079" i="70" s="1"/>
  <c r="L1207" i="56"/>
  <c r="N1206" i="56"/>
  <c r="M1206" i="56"/>
  <c r="H1078" i="70" s="1"/>
  <c r="L1206" i="56"/>
  <c r="B1231" i="56"/>
  <c r="N1205" i="56"/>
  <c r="M1205" i="56"/>
  <c r="H1077" i="70" s="1"/>
  <c r="L1205" i="56"/>
  <c r="L1087" i="70"/>
  <c r="K1087" i="70"/>
  <c r="N1204" i="56"/>
  <c r="M1204" i="56"/>
  <c r="H1076" i="70" s="1"/>
  <c r="L1204" i="56"/>
  <c r="C1229" i="56"/>
  <c r="C1075" i="70" s="1"/>
  <c r="D1075" i="70" s="1"/>
  <c r="L1203" i="56"/>
  <c r="C1228" i="56"/>
  <c r="C1074" i="70" s="1"/>
  <c r="D1074" i="70" s="1"/>
  <c r="G1203" i="56"/>
  <c r="N1176" i="56"/>
  <c r="M1176" i="56"/>
  <c r="H1054" i="70" s="1"/>
  <c r="L1176" i="56"/>
  <c r="N1175" i="56"/>
  <c r="M1175" i="56"/>
  <c r="H1053" i="70" s="1"/>
  <c r="L1175" i="56"/>
  <c r="N1174" i="56"/>
  <c r="M1174" i="56"/>
  <c r="H1052" i="70" s="1"/>
  <c r="L1174" i="56"/>
  <c r="N1173" i="56"/>
  <c r="M1173" i="56"/>
  <c r="H1051" i="70" s="1"/>
  <c r="L1173" i="56"/>
  <c r="N1172" i="56"/>
  <c r="M1172" i="56"/>
  <c r="H1050" i="70" s="1"/>
  <c r="L1172" i="56"/>
  <c r="N1171" i="56"/>
  <c r="M1171" i="56"/>
  <c r="H1049" i="70" s="1"/>
  <c r="L1171" i="56"/>
  <c r="N1170" i="56"/>
  <c r="M1170" i="56"/>
  <c r="H1048" i="70" s="1"/>
  <c r="L1170" i="56"/>
  <c r="N1169" i="56"/>
  <c r="M1169" i="56"/>
  <c r="H1047" i="70" s="1"/>
  <c r="L1169" i="56"/>
  <c r="N1168" i="56"/>
  <c r="M1168" i="56"/>
  <c r="H1046" i="70" s="1"/>
  <c r="L1168" i="56"/>
  <c r="B1193" i="56"/>
  <c r="N1167" i="56"/>
  <c r="M1167" i="56"/>
  <c r="H1045" i="70" s="1"/>
  <c r="L1167" i="56"/>
  <c r="L1055" i="70"/>
  <c r="K1055" i="70"/>
  <c r="N1166" i="56"/>
  <c r="M1166" i="56"/>
  <c r="H1044" i="70" s="1"/>
  <c r="L1166" i="56"/>
  <c r="C1191" i="56"/>
  <c r="C1043" i="70" s="1"/>
  <c r="D1043" i="70" s="1"/>
  <c r="L1165" i="56"/>
  <c r="C1190" i="56"/>
  <c r="C1042" i="70" s="1"/>
  <c r="D1042" i="70" s="1"/>
  <c r="G1165" i="56"/>
  <c r="N1138" i="56"/>
  <c r="M1138" i="56"/>
  <c r="H1022" i="70" s="1"/>
  <c r="L1138" i="56"/>
  <c r="N1137" i="56"/>
  <c r="M1137" i="56"/>
  <c r="H1021" i="70" s="1"/>
  <c r="L1137" i="56"/>
  <c r="N1136" i="56"/>
  <c r="M1136" i="56"/>
  <c r="H1020" i="70" s="1"/>
  <c r="L1136" i="56"/>
  <c r="N1135" i="56"/>
  <c r="M1135" i="56"/>
  <c r="H1019" i="70" s="1"/>
  <c r="L1135" i="56"/>
  <c r="N1134" i="56"/>
  <c r="M1134" i="56"/>
  <c r="H1018" i="70" s="1"/>
  <c r="L1134" i="56"/>
  <c r="N1133" i="56"/>
  <c r="M1133" i="56"/>
  <c r="H1017" i="70" s="1"/>
  <c r="L1133" i="56"/>
  <c r="N1132" i="56"/>
  <c r="M1132" i="56"/>
  <c r="H1016" i="70" s="1"/>
  <c r="L1132" i="56"/>
  <c r="N1131" i="56"/>
  <c r="M1131" i="56"/>
  <c r="H1015" i="70" s="1"/>
  <c r="L1131" i="56"/>
  <c r="N1130" i="56"/>
  <c r="M1130" i="56"/>
  <c r="H1014" i="70" s="1"/>
  <c r="L1130" i="56"/>
  <c r="B1155" i="56"/>
  <c r="N1129" i="56"/>
  <c r="M1129" i="56"/>
  <c r="H1013" i="70" s="1"/>
  <c r="L1129" i="56"/>
  <c r="L1023" i="70"/>
  <c r="K1023" i="70"/>
  <c r="N1128" i="56"/>
  <c r="M1128" i="56"/>
  <c r="H1012" i="70" s="1"/>
  <c r="L1128" i="56"/>
  <c r="C1153" i="56"/>
  <c r="C1011" i="70" s="1"/>
  <c r="D1011" i="70" s="1"/>
  <c r="L1127" i="56"/>
  <c r="C1152" i="56"/>
  <c r="C1010" i="70" s="1"/>
  <c r="D1010" i="70" s="1"/>
  <c r="G1127" i="56"/>
  <c r="N1099" i="56"/>
  <c r="M1099" i="56"/>
  <c r="H989" i="70" s="1"/>
  <c r="L1099" i="56"/>
  <c r="N1098" i="56"/>
  <c r="M1098" i="56"/>
  <c r="H988" i="70" s="1"/>
  <c r="L1098" i="56"/>
  <c r="N1097" i="56"/>
  <c r="M1097" i="56"/>
  <c r="H987" i="70" s="1"/>
  <c r="L1097" i="56"/>
  <c r="N1096" i="56"/>
  <c r="M1096" i="56"/>
  <c r="H986" i="70" s="1"/>
  <c r="L1096" i="56"/>
  <c r="N1095" i="56"/>
  <c r="M1095" i="56"/>
  <c r="H985" i="70" s="1"/>
  <c r="L1095" i="56"/>
  <c r="N1094" i="56"/>
  <c r="M1094" i="56"/>
  <c r="H984" i="70" s="1"/>
  <c r="L1094" i="56"/>
  <c r="N1093" i="56"/>
  <c r="M1093" i="56"/>
  <c r="H983" i="70" s="1"/>
  <c r="L1093" i="56"/>
  <c r="N1092" i="56"/>
  <c r="M1092" i="56"/>
  <c r="H982" i="70" s="1"/>
  <c r="L1092" i="56"/>
  <c r="B1117" i="56"/>
  <c r="N1091" i="56"/>
  <c r="M1091" i="56"/>
  <c r="H981" i="70" s="1"/>
  <c r="L1091" i="56"/>
  <c r="L991" i="70"/>
  <c r="K991" i="70"/>
  <c r="N1090" i="56"/>
  <c r="M1090" i="56"/>
  <c r="H980" i="70" s="1"/>
  <c r="L1090" i="56"/>
  <c r="C1115" i="56"/>
  <c r="C979" i="70" s="1"/>
  <c r="D979" i="70" s="1"/>
  <c r="L1089" i="56"/>
  <c r="C1114" i="56"/>
  <c r="C978" i="70" s="1"/>
  <c r="D978" i="70" s="1"/>
  <c r="G1089" i="56"/>
  <c r="N1062" i="56"/>
  <c r="M1062" i="56"/>
  <c r="H958" i="70" s="1"/>
  <c r="L1062" i="56"/>
  <c r="N1061" i="56"/>
  <c r="M1061" i="56"/>
  <c r="H957" i="70" s="1"/>
  <c r="L1061" i="56"/>
  <c r="N1060" i="56"/>
  <c r="M1060" i="56"/>
  <c r="H956" i="70" s="1"/>
  <c r="L1060" i="56"/>
  <c r="N1059" i="56"/>
  <c r="M1059" i="56"/>
  <c r="H955" i="70" s="1"/>
  <c r="L1059" i="56"/>
  <c r="N1058" i="56"/>
  <c r="M1058" i="56"/>
  <c r="H954" i="70" s="1"/>
  <c r="L1058" i="56"/>
  <c r="N1057" i="56"/>
  <c r="M1057" i="56"/>
  <c r="H953" i="70" s="1"/>
  <c r="L1057" i="56"/>
  <c r="N1056" i="56"/>
  <c r="M1056" i="56"/>
  <c r="H952" i="70" s="1"/>
  <c r="L1056" i="56"/>
  <c r="N1055" i="56"/>
  <c r="M1055" i="56"/>
  <c r="H951" i="70" s="1"/>
  <c r="L1055" i="56"/>
  <c r="N1054" i="56"/>
  <c r="M1054" i="56"/>
  <c r="H950" i="70" s="1"/>
  <c r="L1054" i="56"/>
  <c r="B1079" i="56"/>
  <c r="N1053" i="56"/>
  <c r="M1053" i="56"/>
  <c r="H949" i="70" s="1"/>
  <c r="L1053" i="56"/>
  <c r="L959" i="70"/>
  <c r="K959" i="70"/>
  <c r="N1052" i="56"/>
  <c r="M1052" i="56"/>
  <c r="H948" i="70" s="1"/>
  <c r="L1052" i="56"/>
  <c r="C1077" i="56"/>
  <c r="C947" i="70" s="1"/>
  <c r="D947" i="70" s="1"/>
  <c r="L1051" i="56"/>
  <c r="C1076" i="56"/>
  <c r="C946" i="70" s="1"/>
  <c r="D946" i="70" s="1"/>
  <c r="G1051" i="56"/>
  <c r="N1024" i="56"/>
  <c r="M1024" i="56"/>
  <c r="H926" i="70" s="1"/>
  <c r="L1024" i="56"/>
  <c r="N1023" i="56"/>
  <c r="M1023" i="56"/>
  <c r="H925" i="70" s="1"/>
  <c r="L1023" i="56"/>
  <c r="N1022" i="56"/>
  <c r="M1022" i="56"/>
  <c r="H924" i="70" s="1"/>
  <c r="L1022" i="56"/>
  <c r="N1021" i="56"/>
  <c r="M1021" i="56"/>
  <c r="H923" i="70" s="1"/>
  <c r="L1021" i="56"/>
  <c r="N1020" i="56"/>
  <c r="M1020" i="56"/>
  <c r="H922" i="70" s="1"/>
  <c r="L1020" i="56"/>
  <c r="N1019" i="56"/>
  <c r="M1019" i="56"/>
  <c r="H921" i="70" s="1"/>
  <c r="L1019" i="56"/>
  <c r="N1018" i="56"/>
  <c r="M1018" i="56"/>
  <c r="H920" i="70" s="1"/>
  <c r="L1018" i="56"/>
  <c r="N1017" i="56"/>
  <c r="M1017" i="56"/>
  <c r="H919" i="70" s="1"/>
  <c r="L1017" i="56"/>
  <c r="N1016" i="56"/>
  <c r="M1016" i="56"/>
  <c r="H918" i="70" s="1"/>
  <c r="L1016" i="56"/>
  <c r="B1041" i="56"/>
  <c r="N1015" i="56"/>
  <c r="M1015" i="56"/>
  <c r="H917" i="70" s="1"/>
  <c r="L1015" i="56"/>
  <c r="L927" i="70"/>
  <c r="K927" i="70"/>
  <c r="N1014" i="56"/>
  <c r="M1014" i="56"/>
  <c r="H916" i="70" s="1"/>
  <c r="L1014" i="56"/>
  <c r="C1039" i="56"/>
  <c r="C915" i="70" s="1"/>
  <c r="D915" i="70" s="1"/>
  <c r="L1013" i="56"/>
  <c r="C1038" i="56"/>
  <c r="C914" i="70" s="1"/>
  <c r="D914" i="70" s="1"/>
  <c r="G1013" i="56"/>
  <c r="N986" i="56"/>
  <c r="M986" i="56"/>
  <c r="H894" i="70" s="1"/>
  <c r="L986" i="56"/>
  <c r="N985" i="56"/>
  <c r="M985" i="56"/>
  <c r="H893" i="70" s="1"/>
  <c r="L985" i="56"/>
  <c r="N984" i="56"/>
  <c r="M984" i="56"/>
  <c r="H892" i="70" s="1"/>
  <c r="L984" i="56"/>
  <c r="N983" i="56"/>
  <c r="M983" i="56"/>
  <c r="H891" i="70" s="1"/>
  <c r="L983" i="56"/>
  <c r="N982" i="56"/>
  <c r="M982" i="56"/>
  <c r="H890" i="70" s="1"/>
  <c r="L982" i="56"/>
  <c r="N981" i="56"/>
  <c r="M981" i="56"/>
  <c r="H889" i="70" s="1"/>
  <c r="L981" i="56"/>
  <c r="N980" i="56"/>
  <c r="M980" i="56"/>
  <c r="H888" i="70" s="1"/>
  <c r="L980" i="56"/>
  <c r="N979" i="56"/>
  <c r="M979" i="56"/>
  <c r="H887" i="70" s="1"/>
  <c r="L979" i="56"/>
  <c r="N978" i="56"/>
  <c r="M978" i="56"/>
  <c r="H886" i="70" s="1"/>
  <c r="L978" i="56"/>
  <c r="B1003" i="56"/>
  <c r="N977" i="56"/>
  <c r="M977" i="56"/>
  <c r="H885" i="70" s="1"/>
  <c r="L977" i="56"/>
  <c r="L895" i="70"/>
  <c r="K895" i="70"/>
  <c r="N976" i="56"/>
  <c r="M976" i="56"/>
  <c r="H884" i="70" s="1"/>
  <c r="L976" i="56"/>
  <c r="C1001" i="56"/>
  <c r="C883" i="70" s="1"/>
  <c r="D883" i="70" s="1"/>
  <c r="L975" i="56"/>
  <c r="C1000" i="56"/>
  <c r="C882" i="70" s="1"/>
  <c r="D882" i="70" s="1"/>
  <c r="G975" i="56"/>
  <c r="N948" i="56"/>
  <c r="M948" i="56"/>
  <c r="H862" i="70" s="1"/>
  <c r="L948" i="56"/>
  <c r="N947" i="56"/>
  <c r="M947" i="56"/>
  <c r="H861" i="70" s="1"/>
  <c r="L947" i="56"/>
  <c r="N946" i="56"/>
  <c r="M946" i="56"/>
  <c r="H860" i="70" s="1"/>
  <c r="L946" i="56"/>
  <c r="N945" i="56"/>
  <c r="M945" i="56"/>
  <c r="H859" i="70" s="1"/>
  <c r="L945" i="56"/>
  <c r="N944" i="56"/>
  <c r="M944" i="56"/>
  <c r="H858" i="70" s="1"/>
  <c r="L944" i="56"/>
  <c r="N943" i="56"/>
  <c r="M943" i="56"/>
  <c r="H857" i="70" s="1"/>
  <c r="L943" i="56"/>
  <c r="N942" i="56"/>
  <c r="M942" i="56"/>
  <c r="H856" i="70" s="1"/>
  <c r="L942" i="56"/>
  <c r="N941" i="56"/>
  <c r="M941" i="56"/>
  <c r="H855" i="70" s="1"/>
  <c r="L941" i="56"/>
  <c r="N940" i="56"/>
  <c r="M940" i="56"/>
  <c r="H854" i="70" s="1"/>
  <c r="L940" i="56"/>
  <c r="B965" i="56"/>
  <c r="N939" i="56"/>
  <c r="M939" i="56"/>
  <c r="H853" i="70" s="1"/>
  <c r="L939" i="56"/>
  <c r="L863" i="70"/>
  <c r="K863" i="70"/>
  <c r="N938" i="56"/>
  <c r="M938" i="56"/>
  <c r="H852" i="70" s="1"/>
  <c r="L938" i="56"/>
  <c r="C963" i="56"/>
  <c r="C851" i="70" s="1"/>
  <c r="D851" i="70" s="1"/>
  <c r="L937" i="56"/>
  <c r="C962" i="56"/>
  <c r="C850" i="70" s="1"/>
  <c r="D850" i="70" s="1"/>
  <c r="G937" i="56"/>
  <c r="N910" i="56"/>
  <c r="M910" i="56"/>
  <c r="H830" i="70" s="1"/>
  <c r="L910" i="56"/>
  <c r="N909" i="56"/>
  <c r="M909" i="56"/>
  <c r="H829" i="70" s="1"/>
  <c r="L909" i="56"/>
  <c r="N908" i="56"/>
  <c r="M908" i="56"/>
  <c r="H828" i="70" s="1"/>
  <c r="L908" i="56"/>
  <c r="N907" i="56"/>
  <c r="M907" i="56"/>
  <c r="H827" i="70" s="1"/>
  <c r="L907" i="56"/>
  <c r="N906" i="56"/>
  <c r="M906" i="56"/>
  <c r="H826" i="70" s="1"/>
  <c r="L906" i="56"/>
  <c r="N905" i="56"/>
  <c r="M905" i="56"/>
  <c r="H825" i="70" s="1"/>
  <c r="L905" i="56"/>
  <c r="N904" i="56"/>
  <c r="M904" i="56"/>
  <c r="H824" i="70" s="1"/>
  <c r="L904" i="56"/>
  <c r="N903" i="56"/>
  <c r="M903" i="56"/>
  <c r="H823" i="70" s="1"/>
  <c r="L903" i="56"/>
  <c r="N902" i="56"/>
  <c r="M902" i="56"/>
  <c r="H822" i="70" s="1"/>
  <c r="L902" i="56"/>
  <c r="B927" i="56"/>
  <c r="N901" i="56"/>
  <c r="M901" i="56"/>
  <c r="H821" i="70" s="1"/>
  <c r="L901" i="56"/>
  <c r="L831" i="70"/>
  <c r="K831" i="70"/>
  <c r="N900" i="56"/>
  <c r="M900" i="56"/>
  <c r="H820" i="70" s="1"/>
  <c r="L900" i="56"/>
  <c r="C925" i="56"/>
  <c r="C819" i="70" s="1"/>
  <c r="D819" i="70" s="1"/>
  <c r="L899" i="56"/>
  <c r="C924" i="56"/>
  <c r="C818" i="70" s="1"/>
  <c r="D818" i="70" s="1"/>
  <c r="G899" i="56"/>
  <c r="N872" i="56"/>
  <c r="M872" i="56"/>
  <c r="H798" i="70" s="1"/>
  <c r="L872" i="56"/>
  <c r="N871" i="56"/>
  <c r="M871" i="56"/>
  <c r="H797" i="70" s="1"/>
  <c r="L871" i="56"/>
  <c r="N870" i="56"/>
  <c r="M870" i="56"/>
  <c r="H796" i="70" s="1"/>
  <c r="L870" i="56"/>
  <c r="N869" i="56"/>
  <c r="M869" i="56"/>
  <c r="H795" i="70" s="1"/>
  <c r="L869" i="56"/>
  <c r="N868" i="56"/>
  <c r="M868" i="56"/>
  <c r="H794" i="70" s="1"/>
  <c r="L868" i="56"/>
  <c r="N867" i="56"/>
  <c r="M867" i="56"/>
  <c r="H793" i="70" s="1"/>
  <c r="L867" i="56"/>
  <c r="N866" i="56"/>
  <c r="M866" i="56"/>
  <c r="H792" i="70" s="1"/>
  <c r="L866" i="56"/>
  <c r="N865" i="56"/>
  <c r="M865" i="56"/>
  <c r="H791" i="70" s="1"/>
  <c r="L865" i="56"/>
  <c r="N864" i="56"/>
  <c r="M864" i="56"/>
  <c r="H790" i="70" s="1"/>
  <c r="L864" i="56"/>
  <c r="B889" i="56"/>
  <c r="N863" i="56"/>
  <c r="M863" i="56"/>
  <c r="H789" i="70" s="1"/>
  <c r="L863" i="56"/>
  <c r="L799" i="70"/>
  <c r="K799" i="70"/>
  <c r="N862" i="56"/>
  <c r="M862" i="56"/>
  <c r="H788" i="70" s="1"/>
  <c r="L862" i="56"/>
  <c r="C887" i="56"/>
  <c r="C787" i="70" s="1"/>
  <c r="D787" i="70" s="1"/>
  <c r="L861" i="56"/>
  <c r="C886" i="56"/>
  <c r="C786" i="70" s="1"/>
  <c r="D786" i="70" s="1"/>
  <c r="G861" i="56"/>
  <c r="N834" i="56"/>
  <c r="M834" i="56"/>
  <c r="H766" i="70" s="1"/>
  <c r="L834" i="56"/>
  <c r="N833" i="56"/>
  <c r="M833" i="56"/>
  <c r="H765" i="70" s="1"/>
  <c r="L833" i="56"/>
  <c r="N832" i="56"/>
  <c r="M832" i="56"/>
  <c r="H764" i="70" s="1"/>
  <c r="L832" i="56"/>
  <c r="N831" i="56"/>
  <c r="M831" i="56"/>
  <c r="H763" i="70" s="1"/>
  <c r="L831" i="56"/>
  <c r="N830" i="56"/>
  <c r="M830" i="56"/>
  <c r="H762" i="70" s="1"/>
  <c r="L830" i="56"/>
  <c r="N829" i="56"/>
  <c r="M829" i="56"/>
  <c r="H761" i="70" s="1"/>
  <c r="L829" i="56"/>
  <c r="N828" i="56"/>
  <c r="M828" i="56"/>
  <c r="H760" i="70" s="1"/>
  <c r="L828" i="56"/>
  <c r="N827" i="56"/>
  <c r="M827" i="56"/>
  <c r="H759" i="70" s="1"/>
  <c r="L827" i="56"/>
  <c r="N826" i="56"/>
  <c r="M826" i="56"/>
  <c r="H758" i="70" s="1"/>
  <c r="L826" i="56"/>
  <c r="B851" i="56"/>
  <c r="N825" i="56"/>
  <c r="M825" i="56"/>
  <c r="H757" i="70" s="1"/>
  <c r="L825" i="56"/>
  <c r="L767" i="70"/>
  <c r="K767" i="70"/>
  <c r="N824" i="56"/>
  <c r="M824" i="56"/>
  <c r="H756" i="70" s="1"/>
  <c r="L824" i="56"/>
  <c r="C849" i="56"/>
  <c r="C755" i="70" s="1"/>
  <c r="D755" i="70" s="1"/>
  <c r="L823" i="56"/>
  <c r="C848" i="56"/>
  <c r="C754" i="70" s="1"/>
  <c r="D754" i="70" s="1"/>
  <c r="G823" i="56"/>
  <c r="N796" i="56"/>
  <c r="M796" i="56"/>
  <c r="H734" i="70" s="1"/>
  <c r="L796" i="56"/>
  <c r="N795" i="56"/>
  <c r="M795" i="56"/>
  <c r="H733" i="70" s="1"/>
  <c r="L795" i="56"/>
  <c r="N794" i="56"/>
  <c r="M794" i="56"/>
  <c r="H732" i="70" s="1"/>
  <c r="L794" i="56"/>
  <c r="N793" i="56"/>
  <c r="M793" i="56"/>
  <c r="H731" i="70" s="1"/>
  <c r="L793" i="56"/>
  <c r="N792" i="56"/>
  <c r="M792" i="56"/>
  <c r="H730" i="70" s="1"/>
  <c r="L792" i="56"/>
  <c r="N791" i="56"/>
  <c r="M791" i="56"/>
  <c r="H729" i="70" s="1"/>
  <c r="L791" i="56"/>
  <c r="N790" i="56"/>
  <c r="M790" i="56"/>
  <c r="H728" i="70" s="1"/>
  <c r="L790" i="56"/>
  <c r="N789" i="56"/>
  <c r="M789" i="56"/>
  <c r="H727" i="70" s="1"/>
  <c r="L789" i="56"/>
  <c r="N788" i="56"/>
  <c r="M788" i="56"/>
  <c r="H726" i="70" s="1"/>
  <c r="L788" i="56"/>
  <c r="B813" i="56"/>
  <c r="N787" i="56"/>
  <c r="M787" i="56"/>
  <c r="H725" i="70" s="1"/>
  <c r="L787" i="56"/>
  <c r="L735" i="70"/>
  <c r="K735" i="70"/>
  <c r="N786" i="56"/>
  <c r="M786" i="56"/>
  <c r="H724" i="70" s="1"/>
  <c r="L786" i="56"/>
  <c r="C811" i="56"/>
  <c r="C723" i="70" s="1"/>
  <c r="D723" i="70" s="1"/>
  <c r="L785" i="56"/>
  <c r="C810" i="56"/>
  <c r="C722" i="70" s="1"/>
  <c r="D722" i="70" s="1"/>
  <c r="G785" i="56"/>
  <c r="N758" i="56"/>
  <c r="M758" i="56"/>
  <c r="H702" i="70" s="1"/>
  <c r="L758" i="56"/>
  <c r="N757" i="56"/>
  <c r="M757" i="56"/>
  <c r="H701" i="70" s="1"/>
  <c r="L757" i="56"/>
  <c r="N756" i="56"/>
  <c r="M756" i="56"/>
  <c r="H700" i="70" s="1"/>
  <c r="L756" i="56"/>
  <c r="N755" i="56"/>
  <c r="M755" i="56"/>
  <c r="H699" i="70" s="1"/>
  <c r="L755" i="56"/>
  <c r="N754" i="56"/>
  <c r="M754" i="56"/>
  <c r="H698" i="70" s="1"/>
  <c r="L754" i="56"/>
  <c r="N753" i="56"/>
  <c r="M753" i="56"/>
  <c r="H697" i="70" s="1"/>
  <c r="L753" i="56"/>
  <c r="N752" i="56"/>
  <c r="M752" i="56"/>
  <c r="H696" i="70" s="1"/>
  <c r="L752" i="56"/>
  <c r="N751" i="56"/>
  <c r="M751" i="56"/>
  <c r="H695" i="70" s="1"/>
  <c r="L751" i="56"/>
  <c r="N750" i="56"/>
  <c r="M750" i="56"/>
  <c r="H694" i="70" s="1"/>
  <c r="L750" i="56"/>
  <c r="B775" i="56"/>
  <c r="N749" i="56"/>
  <c r="M749" i="56"/>
  <c r="H693" i="70" s="1"/>
  <c r="L749" i="56"/>
  <c r="L703" i="70"/>
  <c r="K703" i="70"/>
  <c r="N748" i="56"/>
  <c r="M748" i="56"/>
  <c r="H692" i="70" s="1"/>
  <c r="L748" i="56"/>
  <c r="C773" i="56"/>
  <c r="C691" i="70" s="1"/>
  <c r="D691" i="70" s="1"/>
  <c r="L747" i="56"/>
  <c r="C772" i="56"/>
  <c r="C690" i="70" s="1"/>
  <c r="D690" i="70" s="1"/>
  <c r="G747" i="56"/>
  <c r="N720" i="56"/>
  <c r="M720" i="56"/>
  <c r="H670" i="70" s="1"/>
  <c r="L720" i="56"/>
  <c r="N719" i="56"/>
  <c r="M719" i="56"/>
  <c r="H669" i="70" s="1"/>
  <c r="L719" i="56"/>
  <c r="N718" i="56"/>
  <c r="M718" i="56"/>
  <c r="H668" i="70" s="1"/>
  <c r="L718" i="56"/>
  <c r="N717" i="56"/>
  <c r="M717" i="56"/>
  <c r="H667" i="70" s="1"/>
  <c r="L717" i="56"/>
  <c r="N716" i="56"/>
  <c r="M716" i="56"/>
  <c r="H666" i="70" s="1"/>
  <c r="L716" i="56"/>
  <c r="N715" i="56"/>
  <c r="M715" i="56"/>
  <c r="H665" i="70" s="1"/>
  <c r="L715" i="56"/>
  <c r="N714" i="56"/>
  <c r="M714" i="56"/>
  <c r="H664" i="70" s="1"/>
  <c r="L714" i="56"/>
  <c r="N713" i="56"/>
  <c r="M713" i="56"/>
  <c r="H663" i="70" s="1"/>
  <c r="L713" i="56"/>
  <c r="N712" i="56"/>
  <c r="M712" i="56"/>
  <c r="H662" i="70" s="1"/>
  <c r="L712" i="56"/>
  <c r="B737" i="56"/>
  <c r="N711" i="56"/>
  <c r="M711" i="56"/>
  <c r="H661" i="70" s="1"/>
  <c r="L711" i="56"/>
  <c r="L671" i="70"/>
  <c r="K671" i="70"/>
  <c r="N710" i="56"/>
  <c r="M710" i="56"/>
  <c r="H660" i="70" s="1"/>
  <c r="L710" i="56"/>
  <c r="C735" i="56"/>
  <c r="C659" i="70" s="1"/>
  <c r="D659" i="70" s="1"/>
  <c r="L709" i="56"/>
  <c r="C734" i="56"/>
  <c r="C658" i="70" s="1"/>
  <c r="D658" i="70" s="1"/>
  <c r="G709" i="56"/>
  <c r="N682" i="56"/>
  <c r="M682" i="56"/>
  <c r="H638" i="70" s="1"/>
  <c r="L682" i="56"/>
  <c r="N681" i="56"/>
  <c r="M681" i="56"/>
  <c r="H637" i="70" s="1"/>
  <c r="L681" i="56"/>
  <c r="N680" i="56"/>
  <c r="M680" i="56"/>
  <c r="H636" i="70" s="1"/>
  <c r="L680" i="56"/>
  <c r="N679" i="56"/>
  <c r="M679" i="56"/>
  <c r="H635" i="70" s="1"/>
  <c r="L679" i="56"/>
  <c r="N678" i="56"/>
  <c r="M678" i="56"/>
  <c r="H634" i="70" s="1"/>
  <c r="L678" i="56"/>
  <c r="N677" i="56"/>
  <c r="M677" i="56"/>
  <c r="H633" i="70" s="1"/>
  <c r="L677" i="56"/>
  <c r="N676" i="56"/>
  <c r="M676" i="56"/>
  <c r="H632" i="70" s="1"/>
  <c r="L676" i="56"/>
  <c r="N675" i="56"/>
  <c r="M675" i="56"/>
  <c r="H631" i="70" s="1"/>
  <c r="L675" i="56"/>
  <c r="N674" i="56"/>
  <c r="M674" i="56"/>
  <c r="H630" i="70" s="1"/>
  <c r="L674" i="56"/>
  <c r="B699" i="56"/>
  <c r="N673" i="56"/>
  <c r="M673" i="56"/>
  <c r="H629" i="70" s="1"/>
  <c r="L673" i="56"/>
  <c r="L639" i="70"/>
  <c r="K639" i="70"/>
  <c r="N672" i="56"/>
  <c r="M672" i="56"/>
  <c r="H628" i="70" s="1"/>
  <c r="L672" i="56"/>
  <c r="C697" i="56"/>
  <c r="C627" i="70" s="1"/>
  <c r="D627" i="70" s="1"/>
  <c r="L671" i="56"/>
  <c r="C696" i="56"/>
  <c r="C626" i="70" s="1"/>
  <c r="D626" i="70" s="1"/>
  <c r="G671" i="56"/>
  <c r="N644" i="56"/>
  <c r="M644" i="56"/>
  <c r="H606" i="70" s="1"/>
  <c r="L644" i="56"/>
  <c r="N643" i="56"/>
  <c r="M643" i="56"/>
  <c r="H605" i="70" s="1"/>
  <c r="L643" i="56"/>
  <c r="N642" i="56"/>
  <c r="M642" i="56"/>
  <c r="H604" i="70" s="1"/>
  <c r="L642" i="56"/>
  <c r="N641" i="56"/>
  <c r="M641" i="56"/>
  <c r="H603" i="70" s="1"/>
  <c r="L641" i="56"/>
  <c r="N640" i="56"/>
  <c r="M640" i="56"/>
  <c r="H602" i="70" s="1"/>
  <c r="L640" i="56"/>
  <c r="N639" i="56"/>
  <c r="M639" i="56"/>
  <c r="H601" i="70" s="1"/>
  <c r="L639" i="56"/>
  <c r="N638" i="56"/>
  <c r="M638" i="56"/>
  <c r="H600" i="70" s="1"/>
  <c r="L638" i="56"/>
  <c r="N637" i="56"/>
  <c r="M637" i="56"/>
  <c r="H599" i="70" s="1"/>
  <c r="L637" i="56"/>
  <c r="N636" i="56"/>
  <c r="M636" i="56"/>
  <c r="H598" i="70" s="1"/>
  <c r="L636" i="56"/>
  <c r="B661" i="56"/>
  <c r="N635" i="56"/>
  <c r="M635" i="56"/>
  <c r="H597" i="70" s="1"/>
  <c r="L635" i="56"/>
  <c r="L607" i="70"/>
  <c r="K607" i="70"/>
  <c r="N634" i="56"/>
  <c r="M634" i="56"/>
  <c r="H596" i="70" s="1"/>
  <c r="L634" i="56"/>
  <c r="C659" i="56"/>
  <c r="C595" i="70" s="1"/>
  <c r="D595" i="70" s="1"/>
  <c r="L633" i="56"/>
  <c r="C658" i="56"/>
  <c r="C594" i="70" s="1"/>
  <c r="D594" i="70" s="1"/>
  <c r="G633" i="56"/>
  <c r="N606" i="56"/>
  <c r="M606" i="56"/>
  <c r="H574" i="70" s="1"/>
  <c r="L606" i="56"/>
  <c r="N605" i="56"/>
  <c r="M605" i="56"/>
  <c r="H573" i="70" s="1"/>
  <c r="L605" i="56"/>
  <c r="N604" i="56"/>
  <c r="M604" i="56"/>
  <c r="H572" i="70" s="1"/>
  <c r="L604" i="56"/>
  <c r="N603" i="56"/>
  <c r="M603" i="56"/>
  <c r="H571" i="70" s="1"/>
  <c r="L603" i="56"/>
  <c r="N602" i="56"/>
  <c r="M602" i="56"/>
  <c r="H570" i="70" s="1"/>
  <c r="L602" i="56"/>
  <c r="N601" i="56"/>
  <c r="M601" i="56"/>
  <c r="H569" i="70" s="1"/>
  <c r="L601" i="56"/>
  <c r="N600" i="56"/>
  <c r="M600" i="56"/>
  <c r="H568" i="70" s="1"/>
  <c r="L600" i="56"/>
  <c r="N599" i="56"/>
  <c r="M599" i="56"/>
  <c r="H567" i="70" s="1"/>
  <c r="L599" i="56"/>
  <c r="N598" i="56"/>
  <c r="M598" i="56"/>
  <c r="H566" i="70" s="1"/>
  <c r="L598" i="56"/>
  <c r="B623" i="56"/>
  <c r="N597" i="56"/>
  <c r="M597" i="56"/>
  <c r="H565" i="70" s="1"/>
  <c r="L597" i="56"/>
  <c r="L575" i="70"/>
  <c r="K575" i="70"/>
  <c r="N596" i="56"/>
  <c r="M596" i="56"/>
  <c r="H564" i="70" s="1"/>
  <c r="L596" i="56"/>
  <c r="C621" i="56"/>
  <c r="C563" i="70" s="1"/>
  <c r="D563" i="70" s="1"/>
  <c r="L595" i="56"/>
  <c r="C620" i="56"/>
  <c r="C562" i="70" s="1"/>
  <c r="D562" i="70" s="1"/>
  <c r="G595" i="56"/>
  <c r="N568" i="56"/>
  <c r="M568" i="56"/>
  <c r="H542" i="70" s="1"/>
  <c r="L568" i="56"/>
  <c r="N567" i="56"/>
  <c r="M567" i="56"/>
  <c r="H541" i="70" s="1"/>
  <c r="L567" i="56"/>
  <c r="N566" i="56"/>
  <c r="M566" i="56"/>
  <c r="H540" i="70" s="1"/>
  <c r="L566" i="56"/>
  <c r="N565" i="56"/>
  <c r="M565" i="56"/>
  <c r="H539" i="70" s="1"/>
  <c r="L565" i="56"/>
  <c r="N564" i="56"/>
  <c r="M564" i="56"/>
  <c r="H538" i="70" s="1"/>
  <c r="L564" i="56"/>
  <c r="N563" i="56"/>
  <c r="M563" i="56"/>
  <c r="H537" i="70" s="1"/>
  <c r="L563" i="56"/>
  <c r="N562" i="56"/>
  <c r="M562" i="56"/>
  <c r="H536" i="70" s="1"/>
  <c r="L562" i="56"/>
  <c r="N561" i="56"/>
  <c r="M561" i="56"/>
  <c r="H535" i="70" s="1"/>
  <c r="L561" i="56"/>
  <c r="N560" i="56"/>
  <c r="M560" i="56"/>
  <c r="H534" i="70" s="1"/>
  <c r="L560" i="56"/>
  <c r="B585" i="56"/>
  <c r="N559" i="56"/>
  <c r="M559" i="56"/>
  <c r="H533" i="70" s="1"/>
  <c r="L559" i="56"/>
  <c r="L543" i="70"/>
  <c r="K543" i="70"/>
  <c r="N558" i="56"/>
  <c r="M558" i="56"/>
  <c r="H532" i="70" s="1"/>
  <c r="L558" i="56"/>
  <c r="C583" i="56"/>
  <c r="C531" i="70" s="1"/>
  <c r="D531" i="70" s="1"/>
  <c r="L557" i="56"/>
  <c r="C582" i="56"/>
  <c r="C530" i="70" s="1"/>
  <c r="D530" i="70" s="1"/>
  <c r="G557" i="56"/>
  <c r="N530" i="56"/>
  <c r="M530" i="56"/>
  <c r="H510" i="70" s="1"/>
  <c r="L530" i="56"/>
  <c r="N529" i="56"/>
  <c r="M529" i="56"/>
  <c r="H509" i="70" s="1"/>
  <c r="L529" i="56"/>
  <c r="N528" i="56"/>
  <c r="M528" i="56"/>
  <c r="H508" i="70" s="1"/>
  <c r="L528" i="56"/>
  <c r="N527" i="56"/>
  <c r="M527" i="56"/>
  <c r="H507" i="70" s="1"/>
  <c r="L527" i="56"/>
  <c r="N526" i="56"/>
  <c r="M526" i="56"/>
  <c r="H506" i="70" s="1"/>
  <c r="L526" i="56"/>
  <c r="N525" i="56"/>
  <c r="M525" i="56"/>
  <c r="H505" i="70" s="1"/>
  <c r="L525" i="56"/>
  <c r="N524" i="56"/>
  <c r="M524" i="56"/>
  <c r="H504" i="70" s="1"/>
  <c r="L524" i="56"/>
  <c r="N523" i="56"/>
  <c r="M523" i="56"/>
  <c r="H503" i="70" s="1"/>
  <c r="L523" i="56"/>
  <c r="N522" i="56"/>
  <c r="M522" i="56"/>
  <c r="H502" i="70" s="1"/>
  <c r="L522" i="56"/>
  <c r="B547" i="56"/>
  <c r="N521" i="56"/>
  <c r="M521" i="56"/>
  <c r="H501" i="70" s="1"/>
  <c r="L521" i="56"/>
  <c r="L511" i="70"/>
  <c r="K511" i="70"/>
  <c r="N520" i="56"/>
  <c r="M520" i="56"/>
  <c r="H500" i="70" s="1"/>
  <c r="L520" i="56"/>
  <c r="C545" i="56"/>
  <c r="C499" i="70" s="1"/>
  <c r="D499" i="70" s="1"/>
  <c r="L519" i="56"/>
  <c r="C544" i="56"/>
  <c r="C498" i="70" s="1"/>
  <c r="D498" i="70" s="1"/>
  <c r="G519" i="56"/>
  <c r="N492" i="56"/>
  <c r="M492" i="56"/>
  <c r="H478" i="70" s="1"/>
  <c r="L492" i="56"/>
  <c r="N491" i="56"/>
  <c r="M491" i="56"/>
  <c r="H477" i="70" s="1"/>
  <c r="L491" i="56"/>
  <c r="N490" i="56"/>
  <c r="M490" i="56"/>
  <c r="H476" i="70" s="1"/>
  <c r="L490" i="56"/>
  <c r="N489" i="56"/>
  <c r="M489" i="56"/>
  <c r="H475" i="70" s="1"/>
  <c r="L489" i="56"/>
  <c r="N488" i="56"/>
  <c r="M488" i="56"/>
  <c r="H474" i="70" s="1"/>
  <c r="L488" i="56"/>
  <c r="N487" i="56"/>
  <c r="M487" i="56"/>
  <c r="H473" i="70" s="1"/>
  <c r="L487" i="56"/>
  <c r="N486" i="56"/>
  <c r="M486" i="56"/>
  <c r="H472" i="70" s="1"/>
  <c r="L486" i="56"/>
  <c r="N485" i="56"/>
  <c r="M485" i="56"/>
  <c r="H471" i="70" s="1"/>
  <c r="L485" i="56"/>
  <c r="N484" i="56"/>
  <c r="M484" i="56"/>
  <c r="H470" i="70" s="1"/>
  <c r="L484" i="56"/>
  <c r="B509" i="56"/>
  <c r="N483" i="56"/>
  <c r="M483" i="56"/>
  <c r="H469" i="70" s="1"/>
  <c r="L483" i="56"/>
  <c r="L479" i="70"/>
  <c r="K479" i="70"/>
  <c r="N482" i="56"/>
  <c r="M482" i="56"/>
  <c r="H468" i="70" s="1"/>
  <c r="L482" i="56"/>
  <c r="C507" i="56"/>
  <c r="C467" i="70" s="1"/>
  <c r="D467" i="70" s="1"/>
  <c r="L481" i="56"/>
  <c r="C506" i="56"/>
  <c r="C466" i="70" s="1"/>
  <c r="D466" i="70" s="1"/>
  <c r="G481" i="56"/>
  <c r="L443" i="56"/>
  <c r="G443" i="56"/>
  <c r="L405" i="56"/>
  <c r="G405" i="56"/>
  <c r="L367" i="56"/>
  <c r="G367" i="56"/>
  <c r="L329" i="56"/>
  <c r="G329" i="56"/>
  <c r="L291" i="56"/>
  <c r="G291" i="56"/>
  <c r="B28" i="70"/>
  <c r="B29" i="70"/>
  <c r="B30" i="70"/>
  <c r="B31" i="70"/>
  <c r="B32" i="70"/>
  <c r="B33" i="70"/>
  <c r="B34" i="70"/>
  <c r="B35" i="70"/>
  <c r="B36" i="70"/>
  <c r="B37" i="70"/>
  <c r="B38" i="70"/>
  <c r="C7" i="70"/>
  <c r="C3" i="56"/>
  <c r="C10" i="70"/>
  <c r="C10" i="56"/>
  <c r="C15" i="70" s="1"/>
  <c r="D27" i="71" s="1"/>
  <c r="M75" i="56"/>
  <c r="H140" i="70" s="1"/>
  <c r="N75" i="56"/>
  <c r="O75" i="56" s="1"/>
  <c r="G140" i="70"/>
  <c r="N454" i="56"/>
  <c r="M454" i="56"/>
  <c r="H446" i="70" s="1"/>
  <c r="L454" i="56"/>
  <c r="N453" i="56"/>
  <c r="M453" i="56"/>
  <c r="H445" i="70" s="1"/>
  <c r="L453" i="56"/>
  <c r="N452" i="56"/>
  <c r="M452" i="56"/>
  <c r="H444" i="70" s="1"/>
  <c r="L452" i="56"/>
  <c r="N451" i="56"/>
  <c r="M451" i="56"/>
  <c r="H443" i="70" s="1"/>
  <c r="L451" i="56"/>
  <c r="N450" i="56"/>
  <c r="M450" i="56"/>
  <c r="H442" i="70" s="1"/>
  <c r="L450" i="56"/>
  <c r="N449" i="56"/>
  <c r="M449" i="56"/>
  <c r="H441" i="70" s="1"/>
  <c r="L449" i="56"/>
  <c r="N448" i="56"/>
  <c r="M448" i="56"/>
  <c r="H440" i="70" s="1"/>
  <c r="L448" i="56"/>
  <c r="N447" i="56"/>
  <c r="M447" i="56"/>
  <c r="H439" i="70" s="1"/>
  <c r="L447" i="56"/>
  <c r="N446" i="56"/>
  <c r="M446" i="56"/>
  <c r="H438" i="70" s="1"/>
  <c r="L446" i="56"/>
  <c r="B471" i="56"/>
  <c r="N445" i="56"/>
  <c r="M445" i="56"/>
  <c r="H437" i="70" s="1"/>
  <c r="L445" i="56"/>
  <c r="L447" i="70"/>
  <c r="K447" i="70"/>
  <c r="N444" i="56"/>
  <c r="M444" i="56"/>
  <c r="H436" i="70" s="1"/>
  <c r="L444" i="56"/>
  <c r="C469" i="56"/>
  <c r="C435" i="70" s="1"/>
  <c r="D435" i="70" s="1"/>
  <c r="C468" i="56"/>
  <c r="C434" i="70" s="1"/>
  <c r="D434" i="70" s="1"/>
  <c r="N416" i="56"/>
  <c r="M416" i="56"/>
  <c r="H414" i="70" s="1"/>
  <c r="L416" i="56"/>
  <c r="N415" i="56"/>
  <c r="M415" i="56"/>
  <c r="H413" i="70" s="1"/>
  <c r="L415" i="56"/>
  <c r="N414" i="56"/>
  <c r="M414" i="56"/>
  <c r="H412" i="70" s="1"/>
  <c r="L414" i="56"/>
  <c r="N413" i="56"/>
  <c r="M413" i="56"/>
  <c r="H411" i="70" s="1"/>
  <c r="L413" i="56"/>
  <c r="N412" i="56"/>
  <c r="M412" i="56"/>
  <c r="H410" i="70" s="1"/>
  <c r="L412" i="56"/>
  <c r="N411" i="56"/>
  <c r="M411" i="56"/>
  <c r="H409" i="70" s="1"/>
  <c r="L411" i="56"/>
  <c r="N410" i="56"/>
  <c r="M410" i="56"/>
  <c r="H408" i="70" s="1"/>
  <c r="L410" i="56"/>
  <c r="N409" i="56"/>
  <c r="M409" i="56"/>
  <c r="H407" i="70" s="1"/>
  <c r="L409" i="56"/>
  <c r="N408" i="56"/>
  <c r="M408" i="56"/>
  <c r="H406" i="70" s="1"/>
  <c r="L408" i="56"/>
  <c r="B433" i="56"/>
  <c r="N407" i="56"/>
  <c r="M407" i="56"/>
  <c r="H405" i="70" s="1"/>
  <c r="L407" i="56"/>
  <c r="L415" i="70"/>
  <c r="K415" i="70"/>
  <c r="N406" i="56"/>
  <c r="M406" i="56"/>
  <c r="H404" i="70" s="1"/>
  <c r="L406" i="56"/>
  <c r="C431" i="56"/>
  <c r="C403" i="70" s="1"/>
  <c r="D403" i="70" s="1"/>
  <c r="C430" i="56"/>
  <c r="C402" i="70" s="1"/>
  <c r="D402" i="70" s="1"/>
  <c r="N378" i="56"/>
  <c r="M378" i="56"/>
  <c r="H382" i="70" s="1"/>
  <c r="L378" i="56"/>
  <c r="N377" i="56"/>
  <c r="M377" i="56"/>
  <c r="H381" i="70" s="1"/>
  <c r="L377" i="56"/>
  <c r="N376" i="56"/>
  <c r="M376" i="56"/>
  <c r="H380" i="70" s="1"/>
  <c r="L376" i="56"/>
  <c r="N375" i="56"/>
  <c r="M375" i="56"/>
  <c r="H379" i="70" s="1"/>
  <c r="L375" i="56"/>
  <c r="N374" i="56"/>
  <c r="M374" i="56"/>
  <c r="H378" i="70" s="1"/>
  <c r="L374" i="56"/>
  <c r="N373" i="56"/>
  <c r="M373" i="56"/>
  <c r="H377" i="70" s="1"/>
  <c r="L373" i="56"/>
  <c r="N372" i="56"/>
  <c r="M372" i="56"/>
  <c r="H376" i="70" s="1"/>
  <c r="L372" i="56"/>
  <c r="N371" i="56"/>
  <c r="M371" i="56"/>
  <c r="H375" i="70" s="1"/>
  <c r="L371" i="56"/>
  <c r="N370" i="56"/>
  <c r="M370" i="56"/>
  <c r="H374" i="70" s="1"/>
  <c r="L370" i="56"/>
  <c r="B395" i="56"/>
  <c r="N369" i="56"/>
  <c r="M369" i="56"/>
  <c r="H373" i="70" s="1"/>
  <c r="L369" i="56"/>
  <c r="N368" i="56"/>
  <c r="M368" i="56"/>
  <c r="H372" i="70" s="1"/>
  <c r="L368" i="56"/>
  <c r="C393" i="56"/>
  <c r="C371" i="70" s="1"/>
  <c r="D371" i="70" s="1"/>
  <c r="C392" i="56"/>
  <c r="C370" i="70" s="1"/>
  <c r="D370" i="70" s="1"/>
  <c r="A326" i="56"/>
  <c r="A364" i="56" s="1"/>
  <c r="A402" i="56" s="1"/>
  <c r="A440" i="56" s="1"/>
  <c r="A478" i="56" s="1"/>
  <c r="A516" i="56" s="1"/>
  <c r="A554" i="56" s="1"/>
  <c r="A592" i="56" s="1"/>
  <c r="A630" i="56" s="1"/>
  <c r="A668" i="56" s="1"/>
  <c r="A706" i="56" s="1"/>
  <c r="A744" i="56" s="1"/>
  <c r="A782" i="56" s="1"/>
  <c r="A820" i="56" s="1"/>
  <c r="A858" i="56" s="1"/>
  <c r="A896" i="56" s="1"/>
  <c r="A934" i="56" s="1"/>
  <c r="A972" i="56" s="1"/>
  <c r="A1010" i="56" s="1"/>
  <c r="A1048" i="56" s="1"/>
  <c r="A1086" i="56" s="1"/>
  <c r="A1124" i="56" s="1"/>
  <c r="A1162" i="56" s="1"/>
  <c r="A1200" i="56" s="1"/>
  <c r="A1238" i="56" s="1"/>
  <c r="A1276" i="56" s="1"/>
  <c r="A1314" i="56" s="1"/>
  <c r="A1352" i="56" s="1"/>
  <c r="C354" i="56"/>
  <c r="C338" i="70" s="1"/>
  <c r="D338" i="70" s="1"/>
  <c r="C355" i="56"/>
  <c r="C339" i="70" s="1"/>
  <c r="D339" i="70" s="1"/>
  <c r="G340" i="70"/>
  <c r="H340" i="70"/>
  <c r="N330" i="56"/>
  <c r="L331" i="56"/>
  <c r="M331" i="56"/>
  <c r="H341" i="70" s="1"/>
  <c r="N331" i="56"/>
  <c r="B357" i="56"/>
  <c r="L332" i="56"/>
  <c r="M332" i="56"/>
  <c r="H342" i="70" s="1"/>
  <c r="N332" i="56"/>
  <c r="L333" i="56"/>
  <c r="M333" i="56"/>
  <c r="H343" i="70" s="1"/>
  <c r="N333" i="56"/>
  <c r="L334" i="56"/>
  <c r="M334" i="56"/>
  <c r="H344" i="70" s="1"/>
  <c r="N334" i="56"/>
  <c r="L335" i="56"/>
  <c r="M335" i="56"/>
  <c r="H345" i="70" s="1"/>
  <c r="N335" i="56"/>
  <c r="L336" i="56"/>
  <c r="M336" i="56"/>
  <c r="H346" i="70" s="1"/>
  <c r="N336" i="56"/>
  <c r="L337" i="56"/>
  <c r="M337" i="56"/>
  <c r="H347" i="70" s="1"/>
  <c r="N337" i="56"/>
  <c r="L338" i="56"/>
  <c r="M338" i="56"/>
  <c r="H348" i="70" s="1"/>
  <c r="N338" i="56"/>
  <c r="L339" i="56"/>
  <c r="M339" i="56"/>
  <c r="H349" i="70" s="1"/>
  <c r="N339" i="56"/>
  <c r="L340" i="56"/>
  <c r="M340" i="56"/>
  <c r="H350" i="70" s="1"/>
  <c r="N340" i="56"/>
  <c r="G309" i="70"/>
  <c r="M293" i="56"/>
  <c r="H309" i="70" s="1"/>
  <c r="N293" i="56"/>
  <c r="G310" i="70"/>
  <c r="M294" i="56"/>
  <c r="H310" i="70" s="1"/>
  <c r="N294" i="56"/>
  <c r="G311" i="70"/>
  <c r="M295" i="56"/>
  <c r="H311" i="70" s="1"/>
  <c r="N295" i="56"/>
  <c r="G312" i="70"/>
  <c r="M296" i="56"/>
  <c r="H312" i="70" s="1"/>
  <c r="N296" i="56"/>
  <c r="G313" i="70"/>
  <c r="M297" i="56"/>
  <c r="H313" i="70" s="1"/>
  <c r="N297" i="56"/>
  <c r="G314" i="70"/>
  <c r="M298" i="56"/>
  <c r="H314" i="70" s="1"/>
  <c r="N298" i="56"/>
  <c r="G315" i="70"/>
  <c r="M299" i="56"/>
  <c r="H315" i="70" s="1"/>
  <c r="N299" i="56"/>
  <c r="L300" i="56"/>
  <c r="M300" i="56"/>
  <c r="H316" i="70" s="1"/>
  <c r="N300" i="56"/>
  <c r="L301" i="56"/>
  <c r="M301" i="56"/>
  <c r="H317" i="70" s="1"/>
  <c r="N301" i="56"/>
  <c r="L302" i="56"/>
  <c r="M302" i="56"/>
  <c r="H318" i="70" s="1"/>
  <c r="N302" i="56"/>
  <c r="M292" i="56"/>
  <c r="H308" i="70" s="1"/>
  <c r="N292" i="56"/>
  <c r="G308" i="70"/>
  <c r="B319" i="56"/>
  <c r="C316" i="56"/>
  <c r="C306" i="70" s="1"/>
  <c r="D306" i="70" s="1"/>
  <c r="C317" i="56"/>
  <c r="C307" i="70" s="1"/>
  <c r="D307" i="70" s="1"/>
  <c r="I823" i="70" l="1"/>
  <c r="I1080" i="70"/>
  <c r="I438" i="70"/>
  <c r="I538" i="70"/>
  <c r="I1115" i="70"/>
  <c r="I404" i="70"/>
  <c r="I509" i="70"/>
  <c r="I573" i="70"/>
  <c r="J573" i="70"/>
  <c r="I637" i="70"/>
  <c r="I701" i="70"/>
  <c r="I765" i="70"/>
  <c r="I829" i="70"/>
  <c r="I893" i="70"/>
  <c r="I957" i="70"/>
  <c r="I1022" i="70"/>
  <c r="J1022" i="70"/>
  <c r="I1046" i="70"/>
  <c r="J1046" i="70"/>
  <c r="I1086" i="70"/>
  <c r="I1110" i="70"/>
  <c r="I1150" i="70"/>
  <c r="I1174" i="70"/>
  <c r="I1214" i="70"/>
  <c r="I1208" i="70"/>
  <c r="I1179" i="70"/>
  <c r="J1179" i="70"/>
  <c r="I414" i="70"/>
  <c r="J414" i="70"/>
  <c r="I444" i="70"/>
  <c r="I504" i="70"/>
  <c r="I568" i="70"/>
  <c r="I632" i="70"/>
  <c r="I696" i="70"/>
  <c r="I760" i="70"/>
  <c r="I824" i="70"/>
  <c r="I888" i="70"/>
  <c r="J888" i="70"/>
  <c r="I952" i="70"/>
  <c r="I1017" i="70"/>
  <c r="I1081" i="70"/>
  <c r="I1145" i="70"/>
  <c r="I1209" i="70"/>
  <c r="I759" i="70"/>
  <c r="I661" i="70"/>
  <c r="J661" i="70"/>
  <c r="I340" i="70"/>
  <c r="J340" i="70"/>
  <c r="I409" i="70"/>
  <c r="I439" i="70"/>
  <c r="I475" i="70"/>
  <c r="I500" i="70"/>
  <c r="I539" i="70"/>
  <c r="I564" i="70"/>
  <c r="I603" i="70"/>
  <c r="J603" i="70"/>
  <c r="I628" i="70"/>
  <c r="J628" i="70"/>
  <c r="I667" i="70"/>
  <c r="I692" i="70"/>
  <c r="I731" i="70"/>
  <c r="I756" i="70"/>
  <c r="I795" i="70"/>
  <c r="I820" i="70"/>
  <c r="I859" i="70"/>
  <c r="J859" i="70"/>
  <c r="I884" i="70"/>
  <c r="J884" i="70"/>
  <c r="I923" i="70"/>
  <c r="I948" i="70"/>
  <c r="I987" i="70"/>
  <c r="I1052" i="70"/>
  <c r="I1116" i="70"/>
  <c r="I1180" i="70"/>
  <c r="I1144" i="70"/>
  <c r="J1144" i="70"/>
  <c r="I346" i="70"/>
  <c r="J346" i="70"/>
  <c r="I533" i="70"/>
  <c r="I666" i="70"/>
  <c r="I1012" i="70"/>
  <c r="I1076" i="70"/>
  <c r="I345" i="70"/>
  <c r="I379" i="70"/>
  <c r="I308" i="70"/>
  <c r="I350" i="70"/>
  <c r="J350" i="70"/>
  <c r="I374" i="70"/>
  <c r="I470" i="70"/>
  <c r="I510" i="70"/>
  <c r="I534" i="70"/>
  <c r="I574" i="70"/>
  <c r="I598" i="70"/>
  <c r="I638" i="70"/>
  <c r="I662" i="70"/>
  <c r="J662" i="70"/>
  <c r="I702" i="70"/>
  <c r="I726" i="70"/>
  <c r="I766" i="70"/>
  <c r="I790" i="70"/>
  <c r="I830" i="70"/>
  <c r="I854" i="70"/>
  <c r="I894" i="70"/>
  <c r="J894" i="70"/>
  <c r="I918" i="70"/>
  <c r="J918" i="70"/>
  <c r="I958" i="70"/>
  <c r="I982" i="70"/>
  <c r="I1047" i="70"/>
  <c r="I1111" i="70"/>
  <c r="I1175" i="70"/>
  <c r="I567" i="70"/>
  <c r="I695" i="70"/>
  <c r="J695" i="70"/>
  <c r="I794" i="70"/>
  <c r="J794" i="70"/>
  <c r="I445" i="70"/>
  <c r="I505" i="70"/>
  <c r="I569" i="70"/>
  <c r="I633" i="70"/>
  <c r="I697" i="70"/>
  <c r="I761" i="70"/>
  <c r="I825" i="70"/>
  <c r="J825" i="70"/>
  <c r="I889" i="70"/>
  <c r="J889" i="70"/>
  <c r="I953" i="70"/>
  <c r="I1013" i="70"/>
  <c r="I1018" i="70"/>
  <c r="I1077" i="70"/>
  <c r="I1082" i="70"/>
  <c r="I1141" i="70"/>
  <c r="I1146" i="70"/>
  <c r="J1146" i="70"/>
  <c r="I1205" i="70"/>
  <c r="J1205" i="70"/>
  <c r="I1210" i="70"/>
  <c r="I1051" i="70"/>
  <c r="I344" i="70"/>
  <c r="I380" i="70"/>
  <c r="I410" i="70"/>
  <c r="I440" i="70"/>
  <c r="I476" i="70"/>
  <c r="J476" i="70"/>
  <c r="I540" i="70"/>
  <c r="J540" i="70"/>
  <c r="I604" i="70"/>
  <c r="I668" i="70"/>
  <c r="I732" i="70"/>
  <c r="I796" i="70"/>
  <c r="I860" i="70"/>
  <c r="I924" i="70"/>
  <c r="I988" i="70"/>
  <c r="J988" i="70"/>
  <c r="I1053" i="70"/>
  <c r="J1053" i="70"/>
  <c r="I1117" i="70"/>
  <c r="I1181" i="70"/>
  <c r="I341" i="70"/>
  <c r="I474" i="70"/>
  <c r="I597" i="70"/>
  <c r="I725" i="70"/>
  <c r="I405" i="70"/>
  <c r="J405" i="70"/>
  <c r="I349" i="70"/>
  <c r="J349" i="70"/>
  <c r="I375" i="70"/>
  <c r="I436" i="70"/>
  <c r="I471" i="70"/>
  <c r="I535" i="70"/>
  <c r="I599" i="70"/>
  <c r="I663" i="70"/>
  <c r="I727" i="70"/>
  <c r="J727" i="70"/>
  <c r="I791" i="70"/>
  <c r="J791" i="70"/>
  <c r="I855" i="70"/>
  <c r="I919" i="70"/>
  <c r="I983" i="70"/>
  <c r="I1048" i="70"/>
  <c r="I1112" i="70"/>
  <c r="I1176" i="70"/>
  <c r="I503" i="70"/>
  <c r="J503" i="70"/>
  <c r="I1016" i="70"/>
  <c r="J1016" i="70"/>
  <c r="I378" i="70"/>
  <c r="I986" i="70"/>
  <c r="I1140" i="70"/>
  <c r="I446" i="70"/>
  <c r="I501" i="70"/>
  <c r="I506" i="70"/>
  <c r="I565" i="70"/>
  <c r="J565" i="70"/>
  <c r="I570" i="70"/>
  <c r="J570" i="70"/>
  <c r="I629" i="70"/>
  <c r="I634" i="70"/>
  <c r="I693" i="70"/>
  <c r="I698" i="70"/>
  <c r="I757" i="70"/>
  <c r="I762" i="70"/>
  <c r="I821" i="70"/>
  <c r="J821" i="70"/>
  <c r="I826" i="70"/>
  <c r="J826" i="70"/>
  <c r="I885" i="70"/>
  <c r="I890" i="70"/>
  <c r="I949" i="70"/>
  <c r="I954" i="70"/>
  <c r="I1019" i="70"/>
  <c r="I1044" i="70"/>
  <c r="J1044" i="70"/>
  <c r="I1083" i="70"/>
  <c r="J1083" i="70"/>
  <c r="I1108" i="70"/>
  <c r="J1108" i="70"/>
  <c r="I1147" i="70"/>
  <c r="I1172" i="70"/>
  <c r="I1211" i="70"/>
  <c r="I631" i="70"/>
  <c r="I469" i="70"/>
  <c r="I602" i="70"/>
  <c r="J602" i="70"/>
  <c r="I730" i="70"/>
  <c r="J730" i="70"/>
  <c r="I858" i="70"/>
  <c r="J858" i="70"/>
  <c r="I343" i="70"/>
  <c r="I381" i="70"/>
  <c r="I411" i="70"/>
  <c r="I441" i="70"/>
  <c r="I477" i="70"/>
  <c r="J477" i="70"/>
  <c r="I541" i="70"/>
  <c r="J541" i="70"/>
  <c r="I605" i="70"/>
  <c r="J605" i="70"/>
  <c r="I669" i="70"/>
  <c r="J669" i="70"/>
  <c r="I733" i="70"/>
  <c r="I797" i="70"/>
  <c r="I861" i="70"/>
  <c r="I925" i="70"/>
  <c r="I989" i="70"/>
  <c r="J989" i="70"/>
  <c r="I1014" i="70"/>
  <c r="I1054" i="70"/>
  <c r="J1054" i="70"/>
  <c r="I1078" i="70"/>
  <c r="J1078" i="70"/>
  <c r="I1118" i="70"/>
  <c r="I1142" i="70"/>
  <c r="I1182" i="70"/>
  <c r="I1206" i="70"/>
  <c r="I443" i="70"/>
  <c r="I917" i="70"/>
  <c r="J917" i="70"/>
  <c r="I348" i="70"/>
  <c r="J348" i="70"/>
  <c r="I376" i="70"/>
  <c r="J376" i="70"/>
  <c r="I406" i="70"/>
  <c r="J406" i="70"/>
  <c r="I472" i="70"/>
  <c r="J472" i="70"/>
  <c r="I536" i="70"/>
  <c r="I600" i="70"/>
  <c r="J600" i="70"/>
  <c r="I664" i="70"/>
  <c r="J664" i="70"/>
  <c r="I728" i="70"/>
  <c r="J728" i="70"/>
  <c r="I792" i="70"/>
  <c r="J792" i="70"/>
  <c r="I856" i="70"/>
  <c r="J856" i="70"/>
  <c r="I920" i="70"/>
  <c r="J920" i="70"/>
  <c r="I984" i="70"/>
  <c r="J984" i="70"/>
  <c r="I1049" i="70"/>
  <c r="I1113" i="70"/>
  <c r="J1113" i="70"/>
  <c r="I1177" i="70"/>
  <c r="J1177" i="70"/>
  <c r="I951" i="70"/>
  <c r="J951" i="70"/>
  <c r="I789" i="70"/>
  <c r="J789" i="70"/>
  <c r="I1204" i="70"/>
  <c r="J1204" i="70"/>
  <c r="I468" i="70"/>
  <c r="I507" i="70"/>
  <c r="J507" i="70"/>
  <c r="I532" i="70"/>
  <c r="I571" i="70"/>
  <c r="I596" i="70"/>
  <c r="J596" i="70"/>
  <c r="I635" i="70"/>
  <c r="J635" i="70"/>
  <c r="I660" i="70"/>
  <c r="J660" i="70"/>
  <c r="I699" i="70"/>
  <c r="J699" i="70"/>
  <c r="I724" i="70"/>
  <c r="J724" i="70"/>
  <c r="I763" i="70"/>
  <c r="J763" i="70"/>
  <c r="I788" i="70"/>
  <c r="J788" i="70"/>
  <c r="I827" i="70"/>
  <c r="I852" i="70"/>
  <c r="J852" i="70"/>
  <c r="I891" i="70"/>
  <c r="J891" i="70"/>
  <c r="I916" i="70"/>
  <c r="J916" i="70"/>
  <c r="I955" i="70"/>
  <c r="J955" i="70"/>
  <c r="I980" i="70"/>
  <c r="J980" i="70"/>
  <c r="I1020" i="70"/>
  <c r="J1020" i="70"/>
  <c r="I1084" i="70"/>
  <c r="J1084" i="70"/>
  <c r="I1148" i="70"/>
  <c r="J1148" i="70"/>
  <c r="I1212" i="70"/>
  <c r="J1212" i="70"/>
  <c r="I887" i="70"/>
  <c r="J887" i="70"/>
  <c r="I408" i="70"/>
  <c r="J408" i="70"/>
  <c r="I922" i="70"/>
  <c r="J922" i="70"/>
  <c r="I342" i="70"/>
  <c r="J342" i="70"/>
  <c r="I382" i="70"/>
  <c r="J382" i="70"/>
  <c r="I412" i="70"/>
  <c r="J412" i="70"/>
  <c r="I437" i="70"/>
  <c r="J437" i="70"/>
  <c r="I442" i="70"/>
  <c r="J442" i="70"/>
  <c r="I478" i="70"/>
  <c r="J478" i="70"/>
  <c r="I502" i="70"/>
  <c r="J502" i="70"/>
  <c r="I542" i="70"/>
  <c r="J542" i="70"/>
  <c r="I566" i="70"/>
  <c r="J566" i="70"/>
  <c r="I606" i="70"/>
  <c r="J606" i="70"/>
  <c r="I630" i="70"/>
  <c r="J630" i="70"/>
  <c r="I670" i="70"/>
  <c r="J670" i="70"/>
  <c r="I694" i="70"/>
  <c r="J694" i="70"/>
  <c r="I734" i="70"/>
  <c r="J734" i="70"/>
  <c r="I758" i="70"/>
  <c r="J758" i="70"/>
  <c r="I798" i="70"/>
  <c r="J798" i="70"/>
  <c r="I822" i="70"/>
  <c r="J822" i="70"/>
  <c r="I862" i="70"/>
  <c r="J862" i="70"/>
  <c r="I886" i="70"/>
  <c r="J886" i="70"/>
  <c r="I926" i="70"/>
  <c r="J926" i="70"/>
  <c r="I950" i="70"/>
  <c r="J950" i="70"/>
  <c r="I1015" i="70"/>
  <c r="J1015" i="70"/>
  <c r="I1079" i="70"/>
  <c r="J1079" i="70"/>
  <c r="I1143" i="70"/>
  <c r="J1143" i="70"/>
  <c r="I1207" i="70"/>
  <c r="J1207" i="70"/>
  <c r="I373" i="70"/>
  <c r="J373" i="70"/>
  <c r="I853" i="70"/>
  <c r="J853" i="70"/>
  <c r="I347" i="70"/>
  <c r="J347" i="70"/>
  <c r="I372" i="70"/>
  <c r="J372" i="70"/>
  <c r="I377" i="70"/>
  <c r="J377" i="70"/>
  <c r="I407" i="70"/>
  <c r="J407" i="70"/>
  <c r="I473" i="70"/>
  <c r="J473" i="70"/>
  <c r="I537" i="70"/>
  <c r="J537" i="70"/>
  <c r="I601" i="70"/>
  <c r="J601" i="70"/>
  <c r="I665" i="70"/>
  <c r="J665" i="70"/>
  <c r="I729" i="70"/>
  <c r="J729" i="70"/>
  <c r="I793" i="70"/>
  <c r="J793" i="70"/>
  <c r="I857" i="70"/>
  <c r="J857" i="70"/>
  <c r="I921" i="70"/>
  <c r="J921" i="70"/>
  <c r="I985" i="70"/>
  <c r="J985" i="70"/>
  <c r="I1045" i="70"/>
  <c r="J1045" i="70"/>
  <c r="I1050" i="70"/>
  <c r="J1050" i="70"/>
  <c r="I1109" i="70"/>
  <c r="J1109" i="70"/>
  <c r="I1114" i="70"/>
  <c r="J1114" i="70"/>
  <c r="I1173" i="70"/>
  <c r="J1173" i="70"/>
  <c r="I1178" i="70"/>
  <c r="J1178" i="70"/>
  <c r="I413" i="70"/>
  <c r="J413" i="70"/>
  <c r="I981" i="70"/>
  <c r="J981" i="70"/>
  <c r="I508" i="70"/>
  <c r="J508" i="70"/>
  <c r="I572" i="70"/>
  <c r="J572" i="70"/>
  <c r="I636" i="70"/>
  <c r="J636" i="70"/>
  <c r="I700" i="70"/>
  <c r="J700" i="70"/>
  <c r="I764" i="70"/>
  <c r="J764" i="70"/>
  <c r="I828" i="70"/>
  <c r="J828" i="70"/>
  <c r="I892" i="70"/>
  <c r="J892" i="70"/>
  <c r="I956" i="70"/>
  <c r="J956" i="70"/>
  <c r="I1021" i="70"/>
  <c r="J1021" i="70"/>
  <c r="I1085" i="70"/>
  <c r="J1085" i="70"/>
  <c r="I1149" i="70"/>
  <c r="J1149" i="70"/>
  <c r="I1213" i="70"/>
  <c r="J1213" i="70"/>
  <c r="I18" i="56"/>
  <c r="I15" i="56"/>
  <c r="C6" i="70"/>
  <c r="G566" i="70"/>
  <c r="J598" i="56"/>
  <c r="G377" i="70"/>
  <c r="J373" i="56"/>
  <c r="G409" i="70"/>
  <c r="J411" i="56"/>
  <c r="G441" i="70"/>
  <c r="J449" i="56"/>
  <c r="G500" i="70"/>
  <c r="J520" i="56"/>
  <c r="G503" i="70"/>
  <c r="J523" i="56"/>
  <c r="G541" i="70"/>
  <c r="J567" i="56"/>
  <c r="G601" i="70"/>
  <c r="J639" i="56"/>
  <c r="G699" i="70"/>
  <c r="J755" i="56"/>
  <c r="G756" i="70"/>
  <c r="J824" i="56"/>
  <c r="G759" i="70"/>
  <c r="J827" i="56"/>
  <c r="G797" i="70"/>
  <c r="J871" i="56"/>
  <c r="G857" i="70"/>
  <c r="J943" i="56"/>
  <c r="G955" i="70"/>
  <c r="J1059" i="56"/>
  <c r="G1013" i="70"/>
  <c r="J1129" i="56"/>
  <c r="G1016" i="70"/>
  <c r="J1132" i="56"/>
  <c r="G1054" i="70"/>
  <c r="J1176" i="56"/>
  <c r="G1114" i="70"/>
  <c r="J1248" i="56"/>
  <c r="G1174" i="70"/>
  <c r="J1320" i="56"/>
  <c r="G1212" i="70"/>
  <c r="J1364" i="56"/>
  <c r="G506" i="70"/>
  <c r="J526" i="56"/>
  <c r="G664" i="70"/>
  <c r="J714" i="56"/>
  <c r="G374" i="70"/>
  <c r="J370" i="56"/>
  <c r="G406" i="70"/>
  <c r="J408" i="56"/>
  <c r="G438" i="70"/>
  <c r="J446" i="56"/>
  <c r="G478" i="70"/>
  <c r="J492" i="56"/>
  <c r="G538" i="70"/>
  <c r="J564" i="56"/>
  <c r="G598" i="70"/>
  <c r="J636" i="56"/>
  <c r="G636" i="70"/>
  <c r="J680" i="56"/>
  <c r="G693" i="70"/>
  <c r="J749" i="56"/>
  <c r="G696" i="70"/>
  <c r="J752" i="56"/>
  <c r="G734" i="70"/>
  <c r="J796" i="56"/>
  <c r="G794" i="70"/>
  <c r="J868" i="56"/>
  <c r="G854" i="70"/>
  <c r="J940" i="56"/>
  <c r="G892" i="70"/>
  <c r="J984" i="56"/>
  <c r="G949" i="70"/>
  <c r="J1053" i="56"/>
  <c r="G952" i="70"/>
  <c r="J1056" i="56"/>
  <c r="G1051" i="70"/>
  <c r="J1173" i="56"/>
  <c r="G1108" i="70"/>
  <c r="J1242" i="56"/>
  <c r="G1111" i="70"/>
  <c r="J1245" i="56"/>
  <c r="G1149" i="70"/>
  <c r="J1289" i="56"/>
  <c r="G1209" i="70"/>
  <c r="J1361" i="56"/>
  <c r="G444" i="70"/>
  <c r="J452" i="56"/>
  <c r="G475" i="70"/>
  <c r="J489" i="56"/>
  <c r="G532" i="70"/>
  <c r="J558" i="56"/>
  <c r="G535" i="70"/>
  <c r="J561" i="56"/>
  <c r="G573" i="70"/>
  <c r="J605" i="56"/>
  <c r="G633" i="70"/>
  <c r="J677" i="56"/>
  <c r="G731" i="70"/>
  <c r="J793" i="56"/>
  <c r="G788" i="70"/>
  <c r="J862" i="56"/>
  <c r="G791" i="70"/>
  <c r="J865" i="56"/>
  <c r="G829" i="70"/>
  <c r="J909" i="56"/>
  <c r="G889" i="70"/>
  <c r="J981" i="56"/>
  <c r="G987" i="70"/>
  <c r="J1097" i="56"/>
  <c r="G1045" i="70"/>
  <c r="J1167" i="56"/>
  <c r="G1048" i="70"/>
  <c r="J1170" i="56"/>
  <c r="G1086" i="70"/>
  <c r="J1214" i="56"/>
  <c r="G1146" i="70"/>
  <c r="J1286" i="56"/>
  <c r="G1206" i="70"/>
  <c r="J1358" i="56"/>
  <c r="G1079" i="70"/>
  <c r="J1207" i="56"/>
  <c r="G469" i="70"/>
  <c r="J483" i="56"/>
  <c r="G472" i="70"/>
  <c r="J486" i="56"/>
  <c r="G510" i="70"/>
  <c r="J530" i="56"/>
  <c r="G570" i="70"/>
  <c r="J602" i="56"/>
  <c r="G630" i="70"/>
  <c r="J674" i="56"/>
  <c r="G668" i="70"/>
  <c r="J718" i="56"/>
  <c r="G725" i="70"/>
  <c r="J787" i="56"/>
  <c r="G728" i="70"/>
  <c r="J790" i="56"/>
  <c r="G766" i="70"/>
  <c r="J834" i="56"/>
  <c r="G826" i="70"/>
  <c r="J906" i="56"/>
  <c r="G886" i="70"/>
  <c r="J978" i="56"/>
  <c r="G924" i="70"/>
  <c r="J1022" i="56"/>
  <c r="G981" i="70"/>
  <c r="J1091" i="56"/>
  <c r="G984" i="70"/>
  <c r="J1094" i="56"/>
  <c r="G1083" i="70"/>
  <c r="J1211" i="56"/>
  <c r="G1140" i="70"/>
  <c r="J1280" i="56"/>
  <c r="G1143" i="70"/>
  <c r="J1283" i="56"/>
  <c r="G1181" i="70"/>
  <c r="J1327" i="56"/>
  <c r="G380" i="70"/>
  <c r="J376" i="56"/>
  <c r="G604" i="70"/>
  <c r="J642" i="56"/>
  <c r="G762" i="70"/>
  <c r="J830" i="56"/>
  <c r="G860" i="70"/>
  <c r="J946" i="56"/>
  <c r="G1076" i="70"/>
  <c r="J1204" i="56"/>
  <c r="G381" i="70"/>
  <c r="J377" i="56"/>
  <c r="G413" i="70"/>
  <c r="J415" i="56"/>
  <c r="G445" i="70"/>
  <c r="J453" i="56"/>
  <c r="G507" i="70"/>
  <c r="J527" i="56"/>
  <c r="G564" i="70"/>
  <c r="J596" i="56"/>
  <c r="G567" i="70"/>
  <c r="J599" i="56"/>
  <c r="G605" i="70"/>
  <c r="J643" i="56"/>
  <c r="G665" i="70"/>
  <c r="J715" i="56"/>
  <c r="G763" i="70"/>
  <c r="J831" i="56"/>
  <c r="G820" i="70"/>
  <c r="J900" i="56"/>
  <c r="G823" i="70"/>
  <c r="J903" i="56"/>
  <c r="G861" i="70"/>
  <c r="J947" i="56"/>
  <c r="G921" i="70"/>
  <c r="J1019" i="56"/>
  <c r="G1020" i="70"/>
  <c r="J1136" i="56"/>
  <c r="G1077" i="70"/>
  <c r="J1205" i="56"/>
  <c r="G1080" i="70"/>
  <c r="J1208" i="56"/>
  <c r="G1118" i="70"/>
  <c r="J1252" i="56"/>
  <c r="G1178" i="70"/>
  <c r="J1324" i="56"/>
  <c r="G378" i="70"/>
  <c r="J374" i="56"/>
  <c r="G410" i="70"/>
  <c r="J412" i="56"/>
  <c r="G442" i="70"/>
  <c r="J450" i="56"/>
  <c r="G501" i="70"/>
  <c r="J521" i="56"/>
  <c r="G504" i="70"/>
  <c r="J524" i="56"/>
  <c r="G542" i="70"/>
  <c r="J568" i="56"/>
  <c r="G602" i="70"/>
  <c r="J640" i="56"/>
  <c r="G662" i="70"/>
  <c r="J712" i="56"/>
  <c r="G700" i="70"/>
  <c r="J756" i="56"/>
  <c r="G757" i="70"/>
  <c r="J825" i="56"/>
  <c r="G760" i="70"/>
  <c r="J828" i="56"/>
  <c r="G798" i="70"/>
  <c r="J872" i="56"/>
  <c r="G858" i="70"/>
  <c r="J944" i="56"/>
  <c r="G918" i="70"/>
  <c r="J1016" i="56"/>
  <c r="G956" i="70"/>
  <c r="J1060" i="56"/>
  <c r="G1017" i="70"/>
  <c r="J1133" i="56"/>
  <c r="G1115" i="70"/>
  <c r="J1249" i="56"/>
  <c r="G1172" i="70"/>
  <c r="J1318" i="56"/>
  <c r="G1175" i="70"/>
  <c r="J1321" i="56"/>
  <c r="G1213" i="70"/>
  <c r="J1365" i="56"/>
  <c r="G958" i="70"/>
  <c r="J1062" i="56"/>
  <c r="G372" i="70"/>
  <c r="J368" i="56"/>
  <c r="G375" i="70"/>
  <c r="J371" i="56"/>
  <c r="G404" i="70"/>
  <c r="J406" i="56"/>
  <c r="G407" i="70"/>
  <c r="J409" i="56"/>
  <c r="G436" i="70"/>
  <c r="J444" i="56"/>
  <c r="G439" i="70"/>
  <c r="J447" i="56"/>
  <c r="G539" i="70"/>
  <c r="J565" i="56"/>
  <c r="G596" i="70"/>
  <c r="J634" i="56"/>
  <c r="G599" i="70"/>
  <c r="J637" i="56"/>
  <c r="G637" i="70"/>
  <c r="J681" i="56"/>
  <c r="G697" i="70"/>
  <c r="J753" i="56"/>
  <c r="G795" i="70"/>
  <c r="J869" i="56"/>
  <c r="G852" i="70"/>
  <c r="J938" i="56"/>
  <c r="G855" i="70"/>
  <c r="J941" i="56"/>
  <c r="G893" i="70"/>
  <c r="J985" i="56"/>
  <c r="G953" i="70"/>
  <c r="J1057" i="56"/>
  <c r="G1014" i="70"/>
  <c r="J1130" i="56"/>
  <c r="G1052" i="70"/>
  <c r="J1174" i="56"/>
  <c r="G1109" i="70"/>
  <c r="J1243" i="56"/>
  <c r="G1112" i="70"/>
  <c r="J1246" i="56"/>
  <c r="G1150" i="70"/>
  <c r="J1290" i="56"/>
  <c r="G1210" i="70"/>
  <c r="J1362" i="56"/>
  <c r="G476" i="70"/>
  <c r="J490" i="56"/>
  <c r="G533" i="70"/>
  <c r="J559" i="56"/>
  <c r="G536" i="70"/>
  <c r="J562" i="56"/>
  <c r="G574" i="70"/>
  <c r="J606" i="56"/>
  <c r="G634" i="70"/>
  <c r="J678" i="56"/>
  <c r="G694" i="70"/>
  <c r="J750" i="56"/>
  <c r="G732" i="70"/>
  <c r="J794" i="56"/>
  <c r="G789" i="70"/>
  <c r="J863" i="56"/>
  <c r="G792" i="70"/>
  <c r="J866" i="56"/>
  <c r="G830" i="70"/>
  <c r="J910" i="56"/>
  <c r="G890" i="70"/>
  <c r="J982" i="56"/>
  <c r="G950" i="70"/>
  <c r="J1054" i="56"/>
  <c r="G988" i="70"/>
  <c r="J1098" i="56"/>
  <c r="G1049" i="70"/>
  <c r="J1171" i="56"/>
  <c r="G1147" i="70"/>
  <c r="J1287" i="56"/>
  <c r="G1204" i="70"/>
  <c r="J1356" i="56"/>
  <c r="G1207" i="70"/>
  <c r="J1359" i="56"/>
  <c r="G1177" i="70"/>
  <c r="J1323" i="56"/>
  <c r="G473" i="70"/>
  <c r="J487" i="56"/>
  <c r="G571" i="70"/>
  <c r="J603" i="56"/>
  <c r="G628" i="70"/>
  <c r="J672" i="56"/>
  <c r="G631" i="70"/>
  <c r="J675" i="56"/>
  <c r="G669" i="70"/>
  <c r="J719" i="56"/>
  <c r="G729" i="70"/>
  <c r="J791" i="56"/>
  <c r="G827" i="70"/>
  <c r="J907" i="56"/>
  <c r="G884" i="70"/>
  <c r="J976" i="56"/>
  <c r="G887" i="70"/>
  <c r="J979" i="56"/>
  <c r="G925" i="70"/>
  <c r="J1023" i="56"/>
  <c r="G985" i="70"/>
  <c r="J1095" i="56"/>
  <c r="G1046" i="70"/>
  <c r="J1168" i="56"/>
  <c r="G1084" i="70"/>
  <c r="J1212" i="56"/>
  <c r="G1141" i="70"/>
  <c r="J1281" i="56"/>
  <c r="G1144" i="70"/>
  <c r="J1284" i="56"/>
  <c r="G1182" i="70"/>
  <c r="J1328" i="56"/>
  <c r="G661" i="70"/>
  <c r="J711" i="56"/>
  <c r="G822" i="70"/>
  <c r="J902" i="56"/>
  <c r="G382" i="70"/>
  <c r="J378" i="56"/>
  <c r="G414" i="70"/>
  <c r="J416" i="56"/>
  <c r="G446" i="70"/>
  <c r="J454" i="56"/>
  <c r="G470" i="70"/>
  <c r="J484" i="56"/>
  <c r="G508" i="70"/>
  <c r="J528" i="56"/>
  <c r="G565" i="70"/>
  <c r="J597" i="56"/>
  <c r="G568" i="70"/>
  <c r="J600" i="56"/>
  <c r="G606" i="70"/>
  <c r="J644" i="56"/>
  <c r="G666" i="70"/>
  <c r="J716" i="56"/>
  <c r="G726" i="70"/>
  <c r="J788" i="56"/>
  <c r="G764" i="70"/>
  <c r="J832" i="56"/>
  <c r="G821" i="70"/>
  <c r="J901" i="56"/>
  <c r="G824" i="70"/>
  <c r="J904" i="56"/>
  <c r="G862" i="70"/>
  <c r="J948" i="56"/>
  <c r="G922" i="70"/>
  <c r="J1020" i="56"/>
  <c r="G982" i="70"/>
  <c r="J1092" i="56"/>
  <c r="G1021" i="70"/>
  <c r="J1137" i="56"/>
  <c r="G1081" i="70"/>
  <c r="J1209" i="56"/>
  <c r="G1179" i="70"/>
  <c r="J1325" i="56"/>
  <c r="G702" i="70"/>
  <c r="J758" i="56"/>
  <c r="G379" i="70"/>
  <c r="J375" i="56"/>
  <c r="G411" i="70"/>
  <c r="J413" i="56"/>
  <c r="G443" i="70"/>
  <c r="J451" i="56"/>
  <c r="G505" i="70"/>
  <c r="J525" i="56"/>
  <c r="G603" i="70"/>
  <c r="J641" i="56"/>
  <c r="G660" i="70"/>
  <c r="J710" i="56"/>
  <c r="G663" i="70"/>
  <c r="J713" i="56"/>
  <c r="G701" i="70"/>
  <c r="J757" i="56"/>
  <c r="G761" i="70"/>
  <c r="J829" i="56"/>
  <c r="G859" i="70"/>
  <c r="J945" i="56"/>
  <c r="G916" i="70"/>
  <c r="J1014" i="56"/>
  <c r="G919" i="70"/>
  <c r="J1017" i="56"/>
  <c r="G957" i="70"/>
  <c r="J1061" i="56"/>
  <c r="G1018" i="70"/>
  <c r="J1134" i="56"/>
  <c r="G1078" i="70"/>
  <c r="J1206" i="56"/>
  <c r="G1116" i="70"/>
  <c r="J1250" i="56"/>
  <c r="G1173" i="70"/>
  <c r="J1319" i="56"/>
  <c r="G1176" i="70"/>
  <c r="J1322" i="56"/>
  <c r="G1214" i="70"/>
  <c r="J1366" i="56"/>
  <c r="G373" i="70"/>
  <c r="J369" i="56"/>
  <c r="G376" i="70"/>
  <c r="J372" i="56"/>
  <c r="G405" i="70"/>
  <c r="J407" i="56"/>
  <c r="G408" i="70"/>
  <c r="J410" i="56"/>
  <c r="G437" i="70"/>
  <c r="J445" i="56"/>
  <c r="G440" i="70"/>
  <c r="J448" i="56"/>
  <c r="G502" i="70"/>
  <c r="J522" i="56"/>
  <c r="G540" i="70"/>
  <c r="J566" i="56"/>
  <c r="G597" i="70"/>
  <c r="J635" i="56"/>
  <c r="G600" i="70"/>
  <c r="J638" i="56"/>
  <c r="G638" i="70"/>
  <c r="J682" i="56"/>
  <c r="G698" i="70"/>
  <c r="J754" i="56"/>
  <c r="G758" i="70"/>
  <c r="J826" i="56"/>
  <c r="G796" i="70"/>
  <c r="J870" i="56"/>
  <c r="G853" i="70"/>
  <c r="J939" i="56"/>
  <c r="G856" i="70"/>
  <c r="J942" i="56"/>
  <c r="G894" i="70"/>
  <c r="J986" i="56"/>
  <c r="G954" i="70"/>
  <c r="J1058" i="56"/>
  <c r="G1012" i="70"/>
  <c r="J1128" i="56"/>
  <c r="G1015" i="70"/>
  <c r="J1131" i="56"/>
  <c r="G1053" i="70"/>
  <c r="J1175" i="56"/>
  <c r="G1113" i="70"/>
  <c r="J1247" i="56"/>
  <c r="G1211" i="70"/>
  <c r="J1363" i="56"/>
  <c r="G477" i="70"/>
  <c r="J491" i="56"/>
  <c r="G537" i="70"/>
  <c r="J563" i="56"/>
  <c r="G635" i="70"/>
  <c r="J679" i="56"/>
  <c r="G692" i="70"/>
  <c r="J748" i="56"/>
  <c r="G695" i="70"/>
  <c r="J751" i="56"/>
  <c r="G733" i="70"/>
  <c r="J795" i="56"/>
  <c r="G793" i="70"/>
  <c r="J867" i="56"/>
  <c r="G891" i="70"/>
  <c r="J983" i="56"/>
  <c r="G948" i="70"/>
  <c r="J1052" i="56"/>
  <c r="G951" i="70"/>
  <c r="J1055" i="56"/>
  <c r="G989" i="70"/>
  <c r="J1099" i="56"/>
  <c r="G1050" i="70"/>
  <c r="J1172" i="56"/>
  <c r="G1110" i="70"/>
  <c r="J1244" i="56"/>
  <c r="G1148" i="70"/>
  <c r="J1288" i="56"/>
  <c r="G1205" i="70"/>
  <c r="J1357" i="56"/>
  <c r="G1208" i="70"/>
  <c r="J1360" i="56"/>
  <c r="G917" i="70"/>
  <c r="J1015" i="56"/>
  <c r="G1019" i="70"/>
  <c r="J1135" i="56"/>
  <c r="G474" i="70"/>
  <c r="J488" i="56"/>
  <c r="G534" i="70"/>
  <c r="J560" i="56"/>
  <c r="G572" i="70"/>
  <c r="J604" i="56"/>
  <c r="G629" i="70"/>
  <c r="J673" i="56"/>
  <c r="G632" i="70"/>
  <c r="J676" i="56"/>
  <c r="G670" i="70"/>
  <c r="J720" i="56"/>
  <c r="G730" i="70"/>
  <c r="J792" i="56"/>
  <c r="G790" i="70"/>
  <c r="J864" i="56"/>
  <c r="G828" i="70"/>
  <c r="J908" i="56"/>
  <c r="G885" i="70"/>
  <c r="J977" i="56"/>
  <c r="G888" i="70"/>
  <c r="J980" i="56"/>
  <c r="G926" i="70"/>
  <c r="J1024" i="56"/>
  <c r="G986" i="70"/>
  <c r="J1096" i="56"/>
  <c r="G1044" i="70"/>
  <c r="J1166" i="56"/>
  <c r="G1047" i="70"/>
  <c r="J1169" i="56"/>
  <c r="G1085" i="70"/>
  <c r="J1213" i="56"/>
  <c r="G1145" i="70"/>
  <c r="J1285" i="56"/>
  <c r="G412" i="70"/>
  <c r="J414" i="56"/>
  <c r="G920" i="70"/>
  <c r="J1018" i="56"/>
  <c r="G1117" i="70"/>
  <c r="J1251" i="56"/>
  <c r="G468" i="70"/>
  <c r="J482" i="56"/>
  <c r="G471" i="70"/>
  <c r="J485" i="56"/>
  <c r="G509" i="70"/>
  <c r="J529" i="56"/>
  <c r="G569" i="70"/>
  <c r="J601" i="56"/>
  <c r="G667" i="70"/>
  <c r="J717" i="56"/>
  <c r="G724" i="70"/>
  <c r="J786" i="56"/>
  <c r="G727" i="70"/>
  <c r="J789" i="56"/>
  <c r="G765" i="70"/>
  <c r="J833" i="56"/>
  <c r="G825" i="70"/>
  <c r="J905" i="56"/>
  <c r="G923" i="70"/>
  <c r="J1021" i="56"/>
  <c r="G980" i="70"/>
  <c r="J1090" i="56"/>
  <c r="G983" i="70"/>
  <c r="J1093" i="56"/>
  <c r="G1022" i="70"/>
  <c r="J1138" i="56"/>
  <c r="G1082" i="70"/>
  <c r="J1210" i="56"/>
  <c r="G1142" i="70"/>
  <c r="J1282" i="56"/>
  <c r="G1180" i="70"/>
  <c r="J1326" i="56"/>
  <c r="G350" i="70"/>
  <c r="J340" i="56"/>
  <c r="G341" i="70"/>
  <c r="J331" i="56"/>
  <c r="G343" i="70"/>
  <c r="J333" i="56"/>
  <c r="G346" i="70"/>
  <c r="J336" i="56"/>
  <c r="G349" i="70"/>
  <c r="J339" i="56"/>
  <c r="G347" i="70"/>
  <c r="J337" i="56"/>
  <c r="G344" i="70"/>
  <c r="J334" i="56"/>
  <c r="G342" i="70"/>
  <c r="J332" i="56"/>
  <c r="G345" i="70"/>
  <c r="J335" i="56"/>
  <c r="G348" i="70"/>
  <c r="J338" i="56"/>
  <c r="G317" i="70"/>
  <c r="J301" i="56"/>
  <c r="G316" i="70"/>
  <c r="J300" i="56"/>
  <c r="G318" i="70"/>
  <c r="J302" i="56"/>
  <c r="A165" i="56"/>
  <c r="B15" i="49"/>
  <c r="J468" i="70"/>
  <c r="J500" i="70"/>
  <c r="J343" i="70"/>
  <c r="J409" i="70"/>
  <c r="J441" i="70"/>
  <c r="J597" i="70"/>
  <c r="J638" i="70"/>
  <c r="J698" i="70"/>
  <c r="J796" i="70"/>
  <c r="J954" i="70"/>
  <c r="J1012" i="70"/>
  <c r="J1211" i="70"/>
  <c r="J374" i="70"/>
  <c r="J438" i="70"/>
  <c r="J692" i="70"/>
  <c r="J733" i="70"/>
  <c r="J948" i="70"/>
  <c r="J1110" i="70"/>
  <c r="J1208" i="70"/>
  <c r="J474" i="70"/>
  <c r="J534" i="70"/>
  <c r="J629" i="70"/>
  <c r="J632" i="70"/>
  <c r="J790" i="70"/>
  <c r="J885" i="70"/>
  <c r="J986" i="70"/>
  <c r="J1047" i="70"/>
  <c r="J1145" i="70"/>
  <c r="J701" i="70"/>
  <c r="J471" i="70"/>
  <c r="J509" i="70"/>
  <c r="J569" i="70"/>
  <c r="J667" i="70"/>
  <c r="J765" i="70"/>
  <c r="J923" i="70"/>
  <c r="J983" i="70"/>
  <c r="J1082" i="70"/>
  <c r="J1142" i="70"/>
  <c r="J1180" i="70"/>
  <c r="J663" i="70"/>
  <c r="J313" i="70"/>
  <c r="I313" i="70"/>
  <c r="J381" i="70"/>
  <c r="J445" i="70"/>
  <c r="J506" i="70"/>
  <c r="J604" i="70"/>
  <c r="J702" i="70"/>
  <c r="J762" i="70"/>
  <c r="J860" i="70"/>
  <c r="J958" i="70"/>
  <c r="J1019" i="70"/>
  <c r="J1076" i="70"/>
  <c r="J1117" i="70"/>
  <c r="J316" i="70"/>
  <c r="I316" i="70"/>
  <c r="J378" i="70"/>
  <c r="J410" i="70"/>
  <c r="J756" i="70"/>
  <c r="J759" i="70"/>
  <c r="J797" i="70"/>
  <c r="J1013" i="70"/>
  <c r="J1174" i="70"/>
  <c r="J1214" i="70"/>
  <c r="J310" i="70"/>
  <c r="I310" i="70"/>
  <c r="J345" i="70"/>
  <c r="J375" i="70"/>
  <c r="J404" i="70"/>
  <c r="J436" i="70"/>
  <c r="J439" i="70"/>
  <c r="J538" i="70"/>
  <c r="J598" i="70"/>
  <c r="J693" i="70"/>
  <c r="J696" i="70"/>
  <c r="J854" i="70"/>
  <c r="J949" i="70"/>
  <c r="J952" i="70"/>
  <c r="J1051" i="70"/>
  <c r="J1111" i="70"/>
  <c r="J1209" i="70"/>
  <c r="J314" i="70"/>
  <c r="I314" i="70"/>
  <c r="J1018" i="70"/>
  <c r="J475" i="70"/>
  <c r="J532" i="70"/>
  <c r="J535" i="70"/>
  <c r="J633" i="70"/>
  <c r="J731" i="70"/>
  <c r="J829" i="70"/>
  <c r="J987" i="70"/>
  <c r="J1048" i="70"/>
  <c r="J1086" i="70"/>
  <c r="J1206" i="70"/>
  <c r="J957" i="70"/>
  <c r="J309" i="70"/>
  <c r="I309" i="70"/>
  <c r="J469" i="70"/>
  <c r="J510" i="70"/>
  <c r="J668" i="70"/>
  <c r="J725" i="70"/>
  <c r="J766" i="70"/>
  <c r="J924" i="70"/>
  <c r="J1140" i="70"/>
  <c r="J1181" i="70"/>
  <c r="J919" i="70"/>
  <c r="J312" i="70"/>
  <c r="I312" i="70"/>
  <c r="J446" i="70"/>
  <c r="J564" i="70"/>
  <c r="J567" i="70"/>
  <c r="J820" i="70"/>
  <c r="J823" i="70"/>
  <c r="J861" i="70"/>
  <c r="J1077" i="70"/>
  <c r="J1080" i="70"/>
  <c r="J1118" i="70"/>
  <c r="J761" i="70"/>
  <c r="J1116" i="70"/>
  <c r="J315" i="70"/>
  <c r="I315" i="70"/>
  <c r="J379" i="70"/>
  <c r="J411" i="70"/>
  <c r="J443" i="70"/>
  <c r="I140" i="70"/>
  <c r="J501" i="70"/>
  <c r="J504" i="70"/>
  <c r="J757" i="70"/>
  <c r="J760" i="70"/>
  <c r="J1017" i="70"/>
  <c r="J1115" i="70"/>
  <c r="J1172" i="70"/>
  <c r="J1175" i="70"/>
  <c r="J317" i="70"/>
  <c r="I317" i="70"/>
  <c r="J318" i="70"/>
  <c r="I318" i="70"/>
  <c r="J344" i="70"/>
  <c r="J341" i="70"/>
  <c r="J440" i="70"/>
  <c r="J539" i="70"/>
  <c r="J599" i="70"/>
  <c r="J637" i="70"/>
  <c r="J697" i="70"/>
  <c r="J795" i="70"/>
  <c r="J855" i="70"/>
  <c r="J893" i="70"/>
  <c r="J953" i="70"/>
  <c r="J1014" i="70"/>
  <c r="J1052" i="70"/>
  <c r="J1112" i="70"/>
  <c r="J1150" i="70"/>
  <c r="J1210" i="70"/>
  <c r="J444" i="70"/>
  <c r="J533" i="70"/>
  <c r="J536" i="70"/>
  <c r="J574" i="70"/>
  <c r="J634" i="70"/>
  <c r="J732" i="70"/>
  <c r="J830" i="70"/>
  <c r="J890" i="70"/>
  <c r="J1049" i="70"/>
  <c r="J1147" i="70"/>
  <c r="J380" i="70"/>
  <c r="J505" i="70"/>
  <c r="J1176" i="70"/>
  <c r="J571" i="70"/>
  <c r="J631" i="70"/>
  <c r="J827" i="70"/>
  <c r="J925" i="70"/>
  <c r="J1141" i="70"/>
  <c r="J1182" i="70"/>
  <c r="J311" i="70"/>
  <c r="I311" i="70"/>
  <c r="J470" i="70"/>
  <c r="J568" i="70"/>
  <c r="J666" i="70"/>
  <c r="J726" i="70"/>
  <c r="J824" i="70"/>
  <c r="J982" i="70"/>
  <c r="J1081" i="70"/>
  <c r="AE1274" i="49"/>
  <c r="AE1273" i="49"/>
  <c r="AE1272" i="49"/>
  <c r="AE1271" i="49"/>
  <c r="AE1270" i="49"/>
  <c r="AE1269" i="49"/>
  <c r="AE1236" i="49"/>
  <c r="AE1235" i="49"/>
  <c r="AE1234" i="49"/>
  <c r="AE1233" i="49"/>
  <c r="AE1232" i="49"/>
  <c r="AE1231" i="49"/>
  <c r="AE1198" i="49"/>
  <c r="AE1197" i="49"/>
  <c r="AE1196" i="49"/>
  <c r="AE1195" i="49"/>
  <c r="AE1194" i="49"/>
  <c r="AE1193" i="49"/>
  <c r="AE1160" i="49"/>
  <c r="AE1159" i="49"/>
  <c r="AE1158" i="49"/>
  <c r="AE1157" i="49"/>
  <c r="AE1156" i="49"/>
  <c r="AE1155" i="49"/>
  <c r="AE1122" i="49"/>
  <c r="AE1121" i="49"/>
  <c r="AE1120" i="49"/>
  <c r="AE1119" i="49"/>
  <c r="AE1118" i="49"/>
  <c r="AE1117" i="49"/>
  <c r="AE1084" i="49"/>
  <c r="AE1083" i="49"/>
  <c r="AE1082" i="49"/>
  <c r="AE1081" i="49"/>
  <c r="AE1080" i="49"/>
  <c r="AE1079" i="49"/>
  <c r="AE1046" i="49"/>
  <c r="AE1045" i="49"/>
  <c r="AE1044" i="49"/>
  <c r="AE1043" i="49"/>
  <c r="AE1042" i="49"/>
  <c r="AE1041" i="49"/>
  <c r="AE1008" i="49"/>
  <c r="AE1007" i="49"/>
  <c r="AE1006" i="49"/>
  <c r="AE1005" i="49"/>
  <c r="AE1004" i="49"/>
  <c r="AE1003" i="49"/>
  <c r="AE970" i="49"/>
  <c r="AE969" i="49"/>
  <c r="AE968" i="49"/>
  <c r="AE967" i="49"/>
  <c r="AE966" i="49"/>
  <c r="AE965" i="49"/>
  <c r="AE932" i="49"/>
  <c r="AE931" i="49"/>
  <c r="AE930" i="49"/>
  <c r="AE929" i="49"/>
  <c r="AE928" i="49"/>
  <c r="AE927" i="49"/>
  <c r="AE894" i="49"/>
  <c r="AE893" i="49"/>
  <c r="AE892" i="49"/>
  <c r="AE891" i="49"/>
  <c r="AE890" i="49"/>
  <c r="AE889" i="49"/>
  <c r="AE856" i="49"/>
  <c r="AE855" i="49"/>
  <c r="AE854" i="49"/>
  <c r="AE853" i="49"/>
  <c r="AE852" i="49"/>
  <c r="AE851" i="49"/>
  <c r="AE818" i="49"/>
  <c r="AE817" i="49"/>
  <c r="AE816" i="49"/>
  <c r="AE815" i="49"/>
  <c r="AE814" i="49"/>
  <c r="AE813" i="49"/>
  <c r="AE780" i="49"/>
  <c r="AE779" i="49"/>
  <c r="AE778" i="49"/>
  <c r="AE777" i="49"/>
  <c r="AE776" i="49"/>
  <c r="AE775" i="49"/>
  <c r="AE742" i="49"/>
  <c r="AE741" i="49"/>
  <c r="AE740" i="49"/>
  <c r="AE739" i="49"/>
  <c r="AE738" i="49"/>
  <c r="AE737" i="49"/>
  <c r="AE704" i="49"/>
  <c r="AE703" i="49"/>
  <c r="AE702" i="49"/>
  <c r="AE701" i="49"/>
  <c r="AE700" i="49"/>
  <c r="AE699" i="49"/>
  <c r="AE666" i="49"/>
  <c r="AE665" i="49"/>
  <c r="AE664" i="49"/>
  <c r="AE663" i="49"/>
  <c r="AE662" i="49"/>
  <c r="AE661" i="49"/>
  <c r="AE628" i="49"/>
  <c r="AE627" i="49"/>
  <c r="AE626" i="49"/>
  <c r="AE625" i="49"/>
  <c r="AE624" i="49"/>
  <c r="AE623" i="49"/>
  <c r="AE590" i="49"/>
  <c r="AE589" i="49"/>
  <c r="AE588" i="49"/>
  <c r="AE587" i="49"/>
  <c r="AE586" i="49"/>
  <c r="AE585" i="49"/>
  <c r="AE552" i="49"/>
  <c r="AE551" i="49"/>
  <c r="AE550" i="49"/>
  <c r="AE549" i="49"/>
  <c r="AE548" i="49"/>
  <c r="AE547" i="49"/>
  <c r="AE514" i="49"/>
  <c r="AE513" i="49"/>
  <c r="AE512" i="49"/>
  <c r="AE511" i="49"/>
  <c r="AE510" i="49"/>
  <c r="AE509" i="49"/>
  <c r="AE476" i="49"/>
  <c r="AE475" i="49"/>
  <c r="AE474" i="49"/>
  <c r="AE473" i="49"/>
  <c r="AE472" i="49"/>
  <c r="AE471" i="49"/>
  <c r="AE438" i="49"/>
  <c r="AE437" i="49"/>
  <c r="AE436" i="49"/>
  <c r="AE435" i="49"/>
  <c r="AE434" i="49"/>
  <c r="AE433" i="49"/>
  <c r="AE400" i="49"/>
  <c r="AE399" i="49"/>
  <c r="AE398" i="49"/>
  <c r="AE397" i="49"/>
  <c r="AE396" i="49"/>
  <c r="AE395" i="49"/>
  <c r="AE362" i="49"/>
  <c r="AE361" i="49"/>
  <c r="AE360" i="49"/>
  <c r="AE359" i="49"/>
  <c r="AE358" i="49"/>
  <c r="AE357" i="49"/>
  <c r="AE324" i="49"/>
  <c r="AE323" i="49"/>
  <c r="AE322" i="49"/>
  <c r="AE321" i="49"/>
  <c r="AE320" i="49"/>
  <c r="AE319" i="49"/>
  <c r="AE286" i="49"/>
  <c r="AE285" i="49"/>
  <c r="AE284" i="49"/>
  <c r="AE283" i="49"/>
  <c r="AE282" i="49"/>
  <c r="AE281" i="49"/>
  <c r="AE248" i="49"/>
  <c r="AE247" i="49"/>
  <c r="AE246" i="49"/>
  <c r="AE245" i="49"/>
  <c r="AE244" i="49"/>
  <c r="AE243" i="49"/>
  <c r="AE210" i="49"/>
  <c r="AE209" i="49"/>
  <c r="AE208" i="49"/>
  <c r="AE207" i="49"/>
  <c r="AE206" i="49"/>
  <c r="AE205" i="49"/>
  <c r="AE40" i="49"/>
  <c r="AE39" i="49"/>
  <c r="AE38" i="49"/>
  <c r="AE37" i="49"/>
  <c r="AE36" i="49"/>
  <c r="AE35" i="49"/>
  <c r="AE34" i="49"/>
  <c r="AE33" i="49"/>
  <c r="AE32" i="49"/>
  <c r="AE31" i="49"/>
  <c r="AE30" i="49"/>
  <c r="AE29" i="49"/>
  <c r="AE28" i="49"/>
  <c r="AE27" i="49"/>
  <c r="AE26" i="49"/>
  <c r="AE25" i="49"/>
  <c r="AE24" i="49"/>
  <c r="AE23" i="49"/>
  <c r="AE22" i="49"/>
  <c r="AE21" i="49"/>
  <c r="AE20" i="49"/>
  <c r="AE19" i="49"/>
  <c r="AE18" i="49"/>
  <c r="AE17" i="49"/>
  <c r="AE16" i="49"/>
  <c r="AE15" i="49"/>
  <c r="AE14" i="49"/>
  <c r="AE13" i="49"/>
  <c r="C1366" i="56" l="1"/>
  <c r="D1366" i="56"/>
  <c r="B1366" i="56"/>
  <c r="B1367" i="56"/>
  <c r="C1367" i="56"/>
  <c r="D1367" i="56"/>
  <c r="B1368" i="56"/>
  <c r="C1368" i="56"/>
  <c r="D1368" i="56"/>
  <c r="B1369" i="56"/>
  <c r="C1369" i="56"/>
  <c r="D1369" i="56"/>
  <c r="B1370" i="56"/>
  <c r="C1370" i="56"/>
  <c r="D1370" i="56"/>
  <c r="D1371" i="56"/>
  <c r="B1371" i="56"/>
  <c r="C1371" i="56"/>
  <c r="C1372" i="56"/>
  <c r="D1372" i="56"/>
  <c r="B1372" i="56"/>
  <c r="B1373" i="56"/>
  <c r="C1373" i="56"/>
  <c r="D1373" i="56"/>
  <c r="B1374" i="56"/>
  <c r="C1374" i="56"/>
  <c r="D1374" i="56"/>
  <c r="B1375" i="56"/>
  <c r="D1375" i="56"/>
  <c r="C1375" i="56"/>
  <c r="C1376" i="56"/>
  <c r="B1376" i="56"/>
  <c r="D1376" i="56"/>
  <c r="D606" i="56"/>
  <c r="B606" i="56"/>
  <c r="C606" i="56"/>
  <c r="D607" i="56"/>
  <c r="B607" i="56"/>
  <c r="C607" i="56"/>
  <c r="C608" i="56"/>
  <c r="D608" i="56"/>
  <c r="B608" i="56"/>
  <c r="B609" i="56"/>
  <c r="D609" i="56"/>
  <c r="C609" i="56"/>
  <c r="C610" i="56"/>
  <c r="D610" i="56"/>
  <c r="B610" i="56"/>
  <c r="C611" i="56"/>
  <c r="D611" i="56"/>
  <c r="B611" i="56"/>
  <c r="C612" i="56"/>
  <c r="B612" i="56"/>
  <c r="D612" i="56"/>
  <c r="D613" i="56"/>
  <c r="B613" i="56"/>
  <c r="C613" i="56"/>
  <c r="B614" i="56"/>
  <c r="C614" i="56"/>
  <c r="D614" i="56"/>
  <c r="B615" i="56"/>
  <c r="D615" i="56"/>
  <c r="C615" i="56"/>
  <c r="B616" i="56"/>
  <c r="C616" i="56"/>
  <c r="D616" i="56"/>
  <c r="B948" i="56"/>
  <c r="D948" i="56"/>
  <c r="C948" i="56"/>
  <c r="B949" i="56"/>
  <c r="D949" i="56"/>
  <c r="C949" i="56"/>
  <c r="B950" i="56"/>
  <c r="D950" i="56"/>
  <c r="C950" i="56"/>
  <c r="B951" i="56"/>
  <c r="C951" i="56"/>
  <c r="D951" i="56"/>
  <c r="B952" i="56"/>
  <c r="D952" i="56"/>
  <c r="C952" i="56"/>
  <c r="C953" i="56"/>
  <c r="D953" i="56"/>
  <c r="B953" i="56"/>
  <c r="B954" i="56"/>
  <c r="C954" i="56"/>
  <c r="D954" i="56"/>
  <c r="C955" i="56"/>
  <c r="D955" i="56"/>
  <c r="B955" i="56"/>
  <c r="D956" i="56"/>
  <c r="B956" i="56"/>
  <c r="C956" i="56"/>
  <c r="B957" i="56"/>
  <c r="C957" i="56"/>
  <c r="D957" i="56"/>
  <c r="C958" i="56"/>
  <c r="D958" i="56"/>
  <c r="B958" i="56"/>
  <c r="D454" i="56"/>
  <c r="C454" i="56"/>
  <c r="B454" i="56"/>
  <c r="D455" i="56"/>
  <c r="C455" i="56"/>
  <c r="B455" i="56"/>
  <c r="C456" i="56"/>
  <c r="D456" i="56"/>
  <c r="B456" i="56"/>
  <c r="D457" i="56"/>
  <c r="C457" i="56"/>
  <c r="B457" i="56"/>
  <c r="B458" i="56"/>
  <c r="D458" i="56"/>
  <c r="C458" i="56"/>
  <c r="D459" i="56"/>
  <c r="B459" i="56"/>
  <c r="C459" i="56"/>
  <c r="D460" i="56"/>
  <c r="B460" i="56"/>
  <c r="C460" i="56"/>
  <c r="C461" i="56"/>
  <c r="B461" i="56"/>
  <c r="D461" i="56"/>
  <c r="D462" i="56"/>
  <c r="B462" i="56"/>
  <c r="C462" i="56"/>
  <c r="B463" i="56"/>
  <c r="C463" i="56"/>
  <c r="D463" i="56"/>
  <c r="B464" i="56"/>
  <c r="C464" i="56"/>
  <c r="D464" i="56"/>
  <c r="C1328" i="56"/>
  <c r="D1328" i="56"/>
  <c r="B1328" i="56"/>
  <c r="C1329" i="56"/>
  <c r="B1329" i="56"/>
  <c r="D1329" i="56"/>
  <c r="D1330" i="56"/>
  <c r="B1330" i="56"/>
  <c r="C1330" i="56"/>
  <c r="B1331" i="56"/>
  <c r="C1331" i="56"/>
  <c r="D1331" i="56"/>
  <c r="D1332" i="56"/>
  <c r="B1332" i="56"/>
  <c r="C1332" i="56"/>
  <c r="B1333" i="56"/>
  <c r="C1333" i="56"/>
  <c r="D1333" i="56"/>
  <c r="C1334" i="56"/>
  <c r="B1334" i="56"/>
  <c r="D1334" i="56"/>
  <c r="C1335" i="56"/>
  <c r="B1335" i="56"/>
  <c r="D1335" i="56"/>
  <c r="B1336" i="56"/>
  <c r="C1336" i="56"/>
  <c r="D1336" i="56"/>
  <c r="C1337" i="56"/>
  <c r="B1337" i="56"/>
  <c r="D1337" i="56"/>
  <c r="D1338" i="56"/>
  <c r="B1338" i="56"/>
  <c r="C1338" i="56"/>
  <c r="B1252" i="56"/>
  <c r="C1252" i="56"/>
  <c r="D1252" i="56"/>
  <c r="D1253" i="56"/>
  <c r="B1253" i="56"/>
  <c r="C1253" i="56"/>
  <c r="D1254" i="56"/>
  <c r="B1254" i="56"/>
  <c r="C1254" i="56"/>
  <c r="B1255" i="56"/>
  <c r="C1255" i="56"/>
  <c r="D1255" i="56"/>
  <c r="B1256" i="56"/>
  <c r="C1256" i="56"/>
  <c r="D1256" i="56"/>
  <c r="C1257" i="56"/>
  <c r="B1257" i="56"/>
  <c r="D1257" i="56"/>
  <c r="B1258" i="56"/>
  <c r="C1258" i="56"/>
  <c r="D1258" i="56"/>
  <c r="D1259" i="56"/>
  <c r="C1259" i="56"/>
  <c r="B1259" i="56"/>
  <c r="D1260" i="56"/>
  <c r="B1260" i="56"/>
  <c r="C1260" i="56"/>
  <c r="B1261" i="56"/>
  <c r="C1261" i="56"/>
  <c r="D1261" i="56"/>
  <c r="D1262" i="56"/>
  <c r="B1262" i="56"/>
  <c r="C1262" i="56"/>
  <c r="B796" i="56"/>
  <c r="D796" i="56"/>
  <c r="C796" i="56"/>
  <c r="C797" i="56"/>
  <c r="D797" i="56"/>
  <c r="B797" i="56"/>
  <c r="B798" i="56"/>
  <c r="C798" i="56"/>
  <c r="D798" i="56"/>
  <c r="C799" i="56"/>
  <c r="D799" i="56"/>
  <c r="B799" i="56"/>
  <c r="B800" i="56"/>
  <c r="C800" i="56"/>
  <c r="D800" i="56"/>
  <c r="B801" i="56"/>
  <c r="C801" i="56"/>
  <c r="D801" i="56"/>
  <c r="D802" i="56"/>
  <c r="C802" i="56"/>
  <c r="B802" i="56"/>
  <c r="B803" i="56"/>
  <c r="C803" i="56"/>
  <c r="D803" i="56"/>
  <c r="B804" i="56"/>
  <c r="D804" i="56"/>
  <c r="C804" i="56"/>
  <c r="B805" i="56"/>
  <c r="C805" i="56"/>
  <c r="D805" i="56"/>
  <c r="B806" i="56"/>
  <c r="C806" i="56"/>
  <c r="D806" i="56"/>
  <c r="D758" i="56"/>
  <c r="C758" i="56"/>
  <c r="B758" i="56"/>
  <c r="B759" i="56"/>
  <c r="C759" i="56"/>
  <c r="D759" i="56"/>
  <c r="C760" i="56"/>
  <c r="D760" i="56"/>
  <c r="B760" i="56"/>
  <c r="B761" i="56"/>
  <c r="C761" i="56"/>
  <c r="D761" i="56"/>
  <c r="C762" i="56"/>
  <c r="B762" i="56"/>
  <c r="D762" i="56"/>
  <c r="B763" i="56"/>
  <c r="C763" i="56"/>
  <c r="D763" i="56"/>
  <c r="C764" i="56"/>
  <c r="B764" i="56"/>
  <c r="D764" i="56"/>
  <c r="C765" i="56"/>
  <c r="D765" i="56"/>
  <c r="B765" i="56"/>
  <c r="B766" i="56"/>
  <c r="C766" i="56"/>
  <c r="D766" i="56"/>
  <c r="B767" i="56"/>
  <c r="C767" i="56"/>
  <c r="D767" i="56"/>
  <c r="B768" i="56"/>
  <c r="D768" i="56"/>
  <c r="C768" i="56"/>
  <c r="B1138" i="56"/>
  <c r="C1138" i="56"/>
  <c r="D1138" i="56"/>
  <c r="C1139" i="56"/>
  <c r="B1139" i="56"/>
  <c r="D1139" i="56"/>
  <c r="B1140" i="56"/>
  <c r="C1140" i="56"/>
  <c r="D1140" i="56"/>
  <c r="B1141" i="56"/>
  <c r="C1141" i="56"/>
  <c r="D1141" i="56"/>
  <c r="C1142" i="56"/>
  <c r="B1142" i="56"/>
  <c r="D1142" i="56"/>
  <c r="B1143" i="56"/>
  <c r="C1143" i="56"/>
  <c r="D1143" i="56"/>
  <c r="B1144" i="56"/>
  <c r="C1144" i="56"/>
  <c r="D1144" i="56"/>
  <c r="B1145" i="56"/>
  <c r="D1145" i="56"/>
  <c r="C1145" i="56"/>
  <c r="B1146" i="56"/>
  <c r="C1146" i="56"/>
  <c r="D1146" i="56"/>
  <c r="D1147" i="56"/>
  <c r="B1147" i="56"/>
  <c r="C1147" i="56"/>
  <c r="B1148" i="56"/>
  <c r="C1148" i="56"/>
  <c r="D1148" i="56"/>
  <c r="B720" i="56"/>
  <c r="D720" i="56"/>
  <c r="C720" i="56"/>
  <c r="C721" i="56"/>
  <c r="D721" i="56"/>
  <c r="B721" i="56"/>
  <c r="B722" i="56"/>
  <c r="C722" i="56"/>
  <c r="D722" i="56"/>
  <c r="C723" i="56"/>
  <c r="B723" i="56"/>
  <c r="D723" i="56"/>
  <c r="D724" i="56"/>
  <c r="B724" i="56"/>
  <c r="C724" i="56"/>
  <c r="D725" i="56"/>
  <c r="B725" i="56"/>
  <c r="C725" i="56"/>
  <c r="D726" i="56"/>
  <c r="B726" i="56"/>
  <c r="C726" i="56"/>
  <c r="C727" i="56"/>
  <c r="D727" i="56"/>
  <c r="B727" i="56"/>
  <c r="B728" i="56"/>
  <c r="C728" i="56"/>
  <c r="D728" i="56"/>
  <c r="C729" i="56"/>
  <c r="D729" i="56"/>
  <c r="B729" i="56"/>
  <c r="B730" i="56"/>
  <c r="D730" i="56"/>
  <c r="C730" i="56"/>
  <c r="C682" i="56"/>
  <c r="D682" i="56"/>
  <c r="B682" i="56"/>
  <c r="C683" i="56"/>
  <c r="B683" i="56"/>
  <c r="D683" i="56"/>
  <c r="B684" i="56"/>
  <c r="C684" i="56"/>
  <c r="D684" i="56"/>
  <c r="D685" i="56"/>
  <c r="B685" i="56"/>
  <c r="C685" i="56"/>
  <c r="C686" i="56"/>
  <c r="D686" i="56"/>
  <c r="B686" i="56"/>
  <c r="D687" i="56"/>
  <c r="C687" i="56"/>
  <c r="B687" i="56"/>
  <c r="B688" i="56"/>
  <c r="D688" i="56"/>
  <c r="C688" i="56"/>
  <c r="B689" i="56"/>
  <c r="C689" i="56"/>
  <c r="D689" i="56"/>
  <c r="C690" i="56"/>
  <c r="B690" i="56"/>
  <c r="D690" i="56"/>
  <c r="D691" i="56"/>
  <c r="C691" i="56"/>
  <c r="B691" i="56"/>
  <c r="B692" i="56"/>
  <c r="C692" i="56"/>
  <c r="D692" i="56"/>
  <c r="D416" i="56"/>
  <c r="B416" i="56"/>
  <c r="C416" i="56"/>
  <c r="C417" i="56"/>
  <c r="D417" i="56"/>
  <c r="B417" i="56"/>
  <c r="D418" i="56"/>
  <c r="B418" i="56"/>
  <c r="C418" i="56"/>
  <c r="D419" i="56"/>
  <c r="B419" i="56"/>
  <c r="C419" i="56"/>
  <c r="C420" i="56"/>
  <c r="B420" i="56"/>
  <c r="D420" i="56"/>
  <c r="D421" i="56"/>
  <c r="B421" i="56"/>
  <c r="C421" i="56"/>
  <c r="C422" i="56"/>
  <c r="B422" i="56"/>
  <c r="D422" i="56"/>
  <c r="B423" i="56"/>
  <c r="D423" i="56"/>
  <c r="C423" i="56"/>
  <c r="B424" i="56"/>
  <c r="C424" i="56"/>
  <c r="D424" i="56"/>
  <c r="C425" i="56"/>
  <c r="D425" i="56"/>
  <c r="B425" i="56"/>
  <c r="B426" i="56"/>
  <c r="C426" i="56"/>
  <c r="D426" i="56"/>
  <c r="C910" i="56"/>
  <c r="B910" i="56"/>
  <c r="D910" i="56"/>
  <c r="C911" i="56"/>
  <c r="B911" i="56"/>
  <c r="D911" i="56"/>
  <c r="B912" i="56"/>
  <c r="C912" i="56"/>
  <c r="D912" i="56"/>
  <c r="B913" i="56"/>
  <c r="D913" i="56"/>
  <c r="C913" i="56"/>
  <c r="C914" i="56"/>
  <c r="B914" i="56"/>
  <c r="D914" i="56"/>
  <c r="B915" i="56"/>
  <c r="C915" i="56"/>
  <c r="D915" i="56"/>
  <c r="C916" i="56"/>
  <c r="D916" i="56"/>
  <c r="B916" i="56"/>
  <c r="D917" i="56"/>
  <c r="B917" i="56"/>
  <c r="C917" i="56"/>
  <c r="B918" i="56"/>
  <c r="C918" i="56"/>
  <c r="D918" i="56"/>
  <c r="B919" i="56"/>
  <c r="D919" i="56"/>
  <c r="C919" i="56"/>
  <c r="C920" i="56"/>
  <c r="D920" i="56"/>
  <c r="B920" i="56"/>
  <c r="D568" i="56"/>
  <c r="B568" i="56"/>
  <c r="C568" i="56"/>
  <c r="D569" i="56"/>
  <c r="C569" i="56"/>
  <c r="B569" i="56"/>
  <c r="B570" i="56"/>
  <c r="D570" i="56"/>
  <c r="C570" i="56"/>
  <c r="B571" i="56"/>
  <c r="C571" i="56"/>
  <c r="D571" i="56"/>
  <c r="B572" i="56"/>
  <c r="C572" i="56"/>
  <c r="D572" i="56"/>
  <c r="C573" i="56"/>
  <c r="D573" i="56"/>
  <c r="B573" i="56"/>
  <c r="B574" i="56"/>
  <c r="D574" i="56"/>
  <c r="C574" i="56"/>
  <c r="D575" i="56"/>
  <c r="B575" i="56"/>
  <c r="C575" i="56"/>
  <c r="B576" i="56"/>
  <c r="C576" i="56"/>
  <c r="D576" i="56"/>
  <c r="B577" i="56"/>
  <c r="D577" i="56"/>
  <c r="C577" i="56"/>
  <c r="B578" i="56"/>
  <c r="D578" i="56"/>
  <c r="C578" i="56"/>
  <c r="D530" i="56"/>
  <c r="C530" i="56"/>
  <c r="B530" i="56"/>
  <c r="B531" i="56"/>
  <c r="C531" i="56"/>
  <c r="D531" i="56"/>
  <c r="B532" i="56"/>
  <c r="C532" i="56"/>
  <c r="D532" i="56"/>
  <c r="B533" i="56"/>
  <c r="C533" i="56"/>
  <c r="D533" i="56"/>
  <c r="B534" i="56"/>
  <c r="C534" i="56"/>
  <c r="D534" i="56"/>
  <c r="B535" i="56"/>
  <c r="D535" i="56"/>
  <c r="C535" i="56"/>
  <c r="D536" i="56"/>
  <c r="B536" i="56"/>
  <c r="C536" i="56"/>
  <c r="B537" i="56"/>
  <c r="D537" i="56"/>
  <c r="C537" i="56"/>
  <c r="B538" i="56"/>
  <c r="C538" i="56"/>
  <c r="D538" i="56"/>
  <c r="C539" i="56"/>
  <c r="D539" i="56"/>
  <c r="B539" i="56"/>
  <c r="C540" i="56"/>
  <c r="B540" i="56"/>
  <c r="D540" i="56"/>
  <c r="B1290" i="56"/>
  <c r="C1290" i="56"/>
  <c r="D1290" i="56"/>
  <c r="B1291" i="56"/>
  <c r="C1291" i="56"/>
  <c r="D1291" i="56"/>
  <c r="B1292" i="56"/>
  <c r="C1292" i="56"/>
  <c r="D1292" i="56"/>
  <c r="D1293" i="56"/>
  <c r="B1293" i="56"/>
  <c r="C1293" i="56"/>
  <c r="B1294" i="56"/>
  <c r="C1294" i="56"/>
  <c r="D1294" i="56"/>
  <c r="B1295" i="56"/>
  <c r="D1295" i="56"/>
  <c r="C1295" i="56"/>
  <c r="D1296" i="56"/>
  <c r="B1296" i="56"/>
  <c r="C1296" i="56"/>
  <c r="B1297" i="56"/>
  <c r="C1297" i="56"/>
  <c r="D1297" i="56"/>
  <c r="C1298" i="56"/>
  <c r="B1298" i="56"/>
  <c r="D1298" i="56"/>
  <c r="C1299" i="56"/>
  <c r="D1299" i="56"/>
  <c r="B1299" i="56"/>
  <c r="B1300" i="56"/>
  <c r="C1300" i="56"/>
  <c r="D1300" i="56"/>
  <c r="B1100" i="56"/>
  <c r="C1100" i="56"/>
  <c r="D1100" i="56"/>
  <c r="D1101" i="56"/>
  <c r="B1101" i="56"/>
  <c r="C1101" i="56"/>
  <c r="B1102" i="56"/>
  <c r="C1102" i="56"/>
  <c r="D1102" i="56"/>
  <c r="B1103" i="56"/>
  <c r="D1103" i="56"/>
  <c r="C1103" i="56"/>
  <c r="B1104" i="56"/>
  <c r="C1104" i="56"/>
  <c r="D1104" i="56"/>
  <c r="B1105" i="56"/>
  <c r="D1105" i="56"/>
  <c r="C1105" i="56"/>
  <c r="D1106" i="56"/>
  <c r="B1106" i="56"/>
  <c r="C1106" i="56"/>
  <c r="C1107" i="56"/>
  <c r="B1107" i="56"/>
  <c r="D1107" i="56"/>
  <c r="C1108" i="56"/>
  <c r="B1108" i="56"/>
  <c r="D1108" i="56"/>
  <c r="C1109" i="56"/>
  <c r="D1109" i="56"/>
  <c r="B1109" i="56"/>
  <c r="B1110" i="56"/>
  <c r="C1110" i="56"/>
  <c r="D1110" i="56"/>
  <c r="D1062" i="56"/>
  <c r="B1062" i="56"/>
  <c r="C1062" i="56"/>
  <c r="B1063" i="56"/>
  <c r="C1063" i="56"/>
  <c r="D1063" i="56"/>
  <c r="C1064" i="56"/>
  <c r="B1064" i="56"/>
  <c r="D1064" i="56"/>
  <c r="D1065" i="56"/>
  <c r="C1065" i="56"/>
  <c r="B1065" i="56"/>
  <c r="B1066" i="56"/>
  <c r="C1066" i="56"/>
  <c r="D1066" i="56"/>
  <c r="B1067" i="56"/>
  <c r="D1067" i="56"/>
  <c r="C1067" i="56"/>
  <c r="B1068" i="56"/>
  <c r="D1068" i="56"/>
  <c r="C1068" i="56"/>
  <c r="C1069" i="56"/>
  <c r="D1069" i="56"/>
  <c r="B1069" i="56"/>
  <c r="C1070" i="56"/>
  <c r="B1070" i="56"/>
  <c r="D1070" i="56"/>
  <c r="B1071" i="56"/>
  <c r="C1071" i="56"/>
  <c r="D1071" i="56"/>
  <c r="C1072" i="56"/>
  <c r="D1072" i="56"/>
  <c r="B1072" i="56"/>
  <c r="D1024" i="56"/>
  <c r="B1024" i="56"/>
  <c r="C1024" i="56"/>
  <c r="D1025" i="56"/>
  <c r="B1025" i="56"/>
  <c r="C1025" i="56"/>
  <c r="B1026" i="56"/>
  <c r="D1026" i="56"/>
  <c r="C1026" i="56"/>
  <c r="B1027" i="56"/>
  <c r="C1027" i="56"/>
  <c r="D1027" i="56"/>
  <c r="D1028" i="56"/>
  <c r="C1028" i="56"/>
  <c r="B1028" i="56"/>
  <c r="C1029" i="56"/>
  <c r="D1029" i="56"/>
  <c r="B1029" i="56"/>
  <c r="D1030" i="56"/>
  <c r="B1030" i="56"/>
  <c r="C1030" i="56"/>
  <c r="C1031" i="56"/>
  <c r="B1031" i="56"/>
  <c r="D1031" i="56"/>
  <c r="B1032" i="56"/>
  <c r="C1032" i="56"/>
  <c r="D1032" i="56"/>
  <c r="D1033" i="56"/>
  <c r="B1033" i="56"/>
  <c r="C1033" i="56"/>
  <c r="B1034" i="56"/>
  <c r="C1034" i="56"/>
  <c r="D1034" i="56"/>
  <c r="C378" i="56"/>
  <c r="D378" i="56"/>
  <c r="B378" i="56"/>
  <c r="B379" i="56"/>
  <c r="C379" i="56"/>
  <c r="D379" i="56"/>
  <c r="C380" i="56"/>
  <c r="B380" i="56"/>
  <c r="D380" i="56"/>
  <c r="B381" i="56"/>
  <c r="C381" i="56"/>
  <c r="D381" i="56"/>
  <c r="B382" i="56"/>
  <c r="D382" i="56"/>
  <c r="C382" i="56"/>
  <c r="D383" i="56"/>
  <c r="C383" i="56"/>
  <c r="B383" i="56"/>
  <c r="C384" i="56"/>
  <c r="D384" i="56"/>
  <c r="B384" i="56"/>
  <c r="B385" i="56"/>
  <c r="C385" i="56"/>
  <c r="D385" i="56"/>
  <c r="B386" i="56"/>
  <c r="C386" i="56"/>
  <c r="D386" i="56"/>
  <c r="B387" i="56"/>
  <c r="D387" i="56"/>
  <c r="C387" i="56"/>
  <c r="B388" i="56"/>
  <c r="C388" i="56"/>
  <c r="D388" i="56"/>
  <c r="B1214" i="56"/>
  <c r="D1214" i="56"/>
  <c r="C1214" i="56"/>
  <c r="D1215" i="56"/>
  <c r="C1215" i="56"/>
  <c r="B1215" i="56"/>
  <c r="B1216" i="56"/>
  <c r="C1216" i="56"/>
  <c r="D1216" i="56"/>
  <c r="B1217" i="56"/>
  <c r="C1217" i="56"/>
  <c r="D1217" i="56"/>
  <c r="D1218" i="56"/>
  <c r="B1218" i="56"/>
  <c r="C1218" i="56"/>
  <c r="B1219" i="56"/>
  <c r="D1219" i="56"/>
  <c r="C1219" i="56"/>
  <c r="B1220" i="56"/>
  <c r="D1220" i="56"/>
  <c r="C1220" i="56"/>
  <c r="B1221" i="56"/>
  <c r="C1221" i="56"/>
  <c r="D1221" i="56"/>
  <c r="D1222" i="56"/>
  <c r="B1222" i="56"/>
  <c r="C1222" i="56"/>
  <c r="B1223" i="56"/>
  <c r="C1223" i="56"/>
  <c r="D1223" i="56"/>
  <c r="C1224" i="56"/>
  <c r="B1224" i="56"/>
  <c r="D1224" i="56"/>
  <c r="C1176" i="56"/>
  <c r="D1176" i="56"/>
  <c r="B1176" i="56"/>
  <c r="C1177" i="56"/>
  <c r="B1177" i="56"/>
  <c r="D1177" i="56"/>
  <c r="B1178" i="56"/>
  <c r="C1178" i="56"/>
  <c r="D1178" i="56"/>
  <c r="B1179" i="56"/>
  <c r="C1179" i="56"/>
  <c r="D1179" i="56"/>
  <c r="B1180" i="56"/>
  <c r="C1180" i="56"/>
  <c r="D1180" i="56"/>
  <c r="C1181" i="56"/>
  <c r="B1181" i="56"/>
  <c r="D1181" i="56"/>
  <c r="D1182" i="56"/>
  <c r="B1182" i="56"/>
  <c r="C1182" i="56"/>
  <c r="B1183" i="56"/>
  <c r="D1183" i="56"/>
  <c r="C1183" i="56"/>
  <c r="B1184" i="56"/>
  <c r="C1184" i="56"/>
  <c r="D1184" i="56"/>
  <c r="B1185" i="56"/>
  <c r="C1185" i="56"/>
  <c r="D1185" i="56"/>
  <c r="C1186" i="56"/>
  <c r="D1186" i="56"/>
  <c r="B1186" i="56"/>
  <c r="C986" i="56"/>
  <c r="D986" i="56"/>
  <c r="B986" i="56"/>
  <c r="C987" i="56"/>
  <c r="B987" i="56"/>
  <c r="D987" i="56"/>
  <c r="B988" i="56"/>
  <c r="D988" i="56"/>
  <c r="C988" i="56"/>
  <c r="B989" i="56"/>
  <c r="C989" i="56"/>
  <c r="D989" i="56"/>
  <c r="B990" i="56"/>
  <c r="D990" i="56"/>
  <c r="C990" i="56"/>
  <c r="C991" i="56"/>
  <c r="B991" i="56"/>
  <c r="D991" i="56"/>
  <c r="C992" i="56"/>
  <c r="D992" i="56"/>
  <c r="B992" i="56"/>
  <c r="C993" i="56"/>
  <c r="B993" i="56"/>
  <c r="D993" i="56"/>
  <c r="B994" i="56"/>
  <c r="C994" i="56"/>
  <c r="D994" i="56"/>
  <c r="B995" i="56"/>
  <c r="C995" i="56"/>
  <c r="D995" i="56"/>
  <c r="B996" i="56"/>
  <c r="C996" i="56"/>
  <c r="D996" i="56"/>
  <c r="B644" i="56"/>
  <c r="C644" i="56"/>
  <c r="D644" i="56"/>
  <c r="D645" i="56"/>
  <c r="C645" i="56"/>
  <c r="B645" i="56"/>
  <c r="D646" i="56"/>
  <c r="B646" i="56"/>
  <c r="C646" i="56"/>
  <c r="C647" i="56"/>
  <c r="D647" i="56"/>
  <c r="B647" i="56"/>
  <c r="C648" i="56"/>
  <c r="D648" i="56"/>
  <c r="B648" i="56"/>
  <c r="D649" i="56"/>
  <c r="B649" i="56"/>
  <c r="C649" i="56"/>
  <c r="B650" i="56"/>
  <c r="C650" i="56"/>
  <c r="D650" i="56"/>
  <c r="B651" i="56"/>
  <c r="C651" i="56"/>
  <c r="D651" i="56"/>
  <c r="B652" i="56"/>
  <c r="D652" i="56"/>
  <c r="C652" i="56"/>
  <c r="B653" i="56"/>
  <c r="C653" i="56"/>
  <c r="D653" i="56"/>
  <c r="B654" i="56"/>
  <c r="C654" i="56"/>
  <c r="D654" i="56"/>
  <c r="C872" i="56"/>
  <c r="B872" i="56"/>
  <c r="D872" i="56"/>
  <c r="B873" i="56"/>
  <c r="D873" i="56"/>
  <c r="C873" i="56"/>
  <c r="B874" i="56"/>
  <c r="D874" i="56"/>
  <c r="C874" i="56"/>
  <c r="B875" i="56"/>
  <c r="D875" i="56"/>
  <c r="C875" i="56"/>
  <c r="B876" i="56"/>
  <c r="C876" i="56"/>
  <c r="D876" i="56"/>
  <c r="D877" i="56"/>
  <c r="C877" i="56"/>
  <c r="B877" i="56"/>
  <c r="B878" i="56"/>
  <c r="C878" i="56"/>
  <c r="D878" i="56"/>
  <c r="C879" i="56"/>
  <c r="B879" i="56"/>
  <c r="D879" i="56"/>
  <c r="D880" i="56"/>
  <c r="B880" i="56"/>
  <c r="C880" i="56"/>
  <c r="D881" i="56"/>
  <c r="C881" i="56"/>
  <c r="B881" i="56"/>
  <c r="B882" i="56"/>
  <c r="D882" i="56"/>
  <c r="C882" i="56"/>
  <c r="B834" i="56"/>
  <c r="C834" i="56"/>
  <c r="D834" i="56"/>
  <c r="B835" i="56"/>
  <c r="D835" i="56"/>
  <c r="C835" i="56"/>
  <c r="C836" i="56"/>
  <c r="D836" i="56"/>
  <c r="B836" i="56"/>
  <c r="B837" i="56"/>
  <c r="C837" i="56"/>
  <c r="D837" i="56"/>
  <c r="C838" i="56"/>
  <c r="D838" i="56"/>
  <c r="B838" i="56"/>
  <c r="D839" i="56"/>
  <c r="B839" i="56"/>
  <c r="C839" i="56"/>
  <c r="D840" i="56"/>
  <c r="C840" i="56"/>
  <c r="B840" i="56"/>
  <c r="B841" i="56"/>
  <c r="C841" i="56"/>
  <c r="D841" i="56"/>
  <c r="C842" i="56"/>
  <c r="B842" i="56"/>
  <c r="D842" i="56"/>
  <c r="D843" i="56"/>
  <c r="C843" i="56"/>
  <c r="B843" i="56"/>
  <c r="C844" i="56"/>
  <c r="D844" i="56"/>
  <c r="B844" i="56"/>
  <c r="C492" i="56"/>
  <c r="B492" i="56"/>
  <c r="D492" i="56"/>
  <c r="B493" i="56"/>
  <c r="C493" i="56"/>
  <c r="D493" i="56"/>
  <c r="C494" i="56"/>
  <c r="D494" i="56"/>
  <c r="B494" i="56"/>
  <c r="B495" i="56"/>
  <c r="D495" i="56"/>
  <c r="C495" i="56"/>
  <c r="B496" i="56"/>
  <c r="D496" i="56"/>
  <c r="C496" i="56"/>
  <c r="B497" i="56"/>
  <c r="C497" i="56"/>
  <c r="D497" i="56"/>
  <c r="B498" i="56"/>
  <c r="C498" i="56"/>
  <c r="D498" i="56"/>
  <c r="B499" i="56"/>
  <c r="C499" i="56"/>
  <c r="D499" i="56"/>
  <c r="B500" i="56"/>
  <c r="D500" i="56"/>
  <c r="C500" i="56"/>
  <c r="C501" i="56"/>
  <c r="D501" i="56"/>
  <c r="B501" i="56"/>
  <c r="B502" i="56"/>
  <c r="C502" i="56"/>
  <c r="D502" i="56"/>
  <c r="D343" i="56"/>
  <c r="C343" i="56"/>
  <c r="B344" i="56"/>
  <c r="C344" i="56"/>
  <c r="D344" i="56"/>
  <c r="C345" i="56"/>
  <c r="B345" i="56"/>
  <c r="D345" i="56"/>
  <c r="C346" i="56"/>
  <c r="B346" i="56"/>
  <c r="D346" i="56"/>
  <c r="B347" i="56"/>
  <c r="D347" i="56"/>
  <c r="C347" i="56"/>
  <c r="B348" i="56"/>
  <c r="D348" i="56"/>
  <c r="C348" i="56"/>
  <c r="B349" i="56"/>
  <c r="C349" i="56"/>
  <c r="D349" i="56"/>
  <c r="B350" i="56"/>
  <c r="C350" i="56"/>
  <c r="D350" i="56"/>
  <c r="D341" i="56"/>
  <c r="C340" i="56"/>
  <c r="D342" i="56"/>
  <c r="D340" i="56"/>
  <c r="C341" i="56"/>
  <c r="B340" i="56"/>
  <c r="C342" i="56"/>
  <c r="B342" i="56"/>
  <c r="B341" i="56"/>
  <c r="B343" i="56"/>
  <c r="A166" i="56"/>
  <c r="C238" i="49"/>
  <c r="B327" i="56" s="1"/>
  <c r="C239" i="49"/>
  <c r="C240" i="49"/>
  <c r="G327" i="56" l="1"/>
  <c r="K330" i="56"/>
  <c r="K331" i="56" s="1"/>
  <c r="K332" i="56" s="1"/>
  <c r="K333" i="56" s="1"/>
  <c r="K334" i="56" s="1"/>
  <c r="K335" i="56" s="1"/>
  <c r="K336" i="56" s="1"/>
  <c r="K337" i="56" s="1"/>
  <c r="K338" i="56" s="1"/>
  <c r="K339" i="56" s="1"/>
  <c r="K340" i="56" s="1"/>
  <c r="A167" i="56"/>
  <c r="B328" i="70"/>
  <c r="I13" i="49"/>
  <c r="I14" i="49" s="1"/>
  <c r="I15" i="49" s="1"/>
  <c r="I16" i="49" s="1"/>
  <c r="I17" i="49" s="1"/>
  <c r="I18" i="49" s="1"/>
  <c r="I19" i="49" s="1"/>
  <c r="I20" i="49" s="1"/>
  <c r="I21" i="49" s="1"/>
  <c r="I22" i="49" s="1"/>
  <c r="I23" i="49" s="1"/>
  <c r="I24" i="49" s="1"/>
  <c r="I25" i="49" s="1"/>
  <c r="I26" i="49" s="1"/>
  <c r="I27" i="49" s="1"/>
  <c r="I28" i="49" s="1"/>
  <c r="I29" i="49" s="1"/>
  <c r="I30" i="49" s="1"/>
  <c r="I31" i="49" s="1"/>
  <c r="I32" i="49" s="1"/>
  <c r="I33" i="49" s="1"/>
  <c r="I34" i="49" s="1"/>
  <c r="I35" i="49" s="1"/>
  <c r="I36" i="49" s="1"/>
  <c r="I37" i="49" s="1"/>
  <c r="I38" i="49" s="1"/>
  <c r="I39" i="49" s="1"/>
  <c r="I40" i="49" s="1"/>
  <c r="A168" i="56" l="1"/>
  <c r="T57" i="51"/>
  <c r="U57" i="51"/>
  <c r="V57" i="51"/>
  <c r="W57" i="51"/>
  <c r="X57" i="51"/>
  <c r="Y57" i="51"/>
  <c r="Z57" i="51"/>
  <c r="AA57" i="51"/>
  <c r="AB57" i="51"/>
  <c r="AC57" i="51"/>
  <c r="AD57" i="51"/>
  <c r="AE57" i="51"/>
  <c r="AF57" i="51"/>
  <c r="AG57" i="51"/>
  <c r="AH57" i="51"/>
  <c r="AI57" i="51"/>
  <c r="AJ57" i="51"/>
  <c r="AK57" i="51"/>
  <c r="AL57" i="51"/>
  <c r="AM57" i="51"/>
  <c r="AN57" i="51"/>
  <c r="AO57" i="51"/>
  <c r="AP57" i="51"/>
  <c r="AQ57" i="51"/>
  <c r="AR57" i="51"/>
  <c r="AS57" i="51"/>
  <c r="AT57" i="51"/>
  <c r="AU57" i="51"/>
  <c r="AV57" i="51"/>
  <c r="AW57" i="51"/>
  <c r="AX57" i="51"/>
  <c r="AY57" i="51"/>
  <c r="AZ57" i="51"/>
  <c r="BA57" i="51"/>
  <c r="BB57" i="51"/>
  <c r="BC57" i="51"/>
  <c r="BD57" i="51"/>
  <c r="DM57" i="51"/>
  <c r="DN57" i="51"/>
  <c r="Q316" i="76"/>
  <c r="Q315" i="76"/>
  <c r="Q314" i="76"/>
  <c r="Q313" i="76"/>
  <c r="Q312" i="76"/>
  <c r="Q311" i="76"/>
  <c r="Q310" i="76"/>
  <c r="Q309" i="76"/>
  <c r="Q308" i="76"/>
  <c r="Q307" i="76"/>
  <c r="Q306" i="76"/>
  <c r="Q305" i="76"/>
  <c r="Q304" i="76"/>
  <c r="Q303" i="76"/>
  <c r="Q302" i="76"/>
  <c r="Q301" i="76"/>
  <c r="Q300" i="76"/>
  <c r="Q299" i="76"/>
  <c r="Q298" i="76"/>
  <c r="Q297" i="76"/>
  <c r="Q296" i="76"/>
  <c r="Q295" i="76"/>
  <c r="Q294" i="76"/>
  <c r="Q293" i="76"/>
  <c r="Q292" i="76"/>
  <c r="Q291" i="76"/>
  <c r="Q290" i="76"/>
  <c r="Q289" i="76"/>
  <c r="Q288" i="76"/>
  <c r="Q287" i="76"/>
  <c r="Q286" i="76"/>
  <c r="Q285" i="76"/>
  <c r="Q284" i="76"/>
  <c r="Q283" i="76"/>
  <c r="Q282" i="76"/>
  <c r="Q281" i="76"/>
  <c r="Q280" i="76"/>
  <c r="Q279" i="76"/>
  <c r="Q278" i="76"/>
  <c r="Q277" i="76"/>
  <c r="Q276" i="76"/>
  <c r="Q275" i="76"/>
  <c r="Q274" i="76"/>
  <c r="Q273" i="76"/>
  <c r="Q272" i="76"/>
  <c r="Q271" i="76"/>
  <c r="Q270" i="76"/>
  <c r="Q269" i="76"/>
  <c r="Q268" i="76"/>
  <c r="Q267" i="76"/>
  <c r="Q266" i="76"/>
  <c r="Q265" i="76"/>
  <c r="Q264" i="76"/>
  <c r="Q263" i="76"/>
  <c r="Q262" i="76"/>
  <c r="Q261" i="76"/>
  <c r="Q260" i="76"/>
  <c r="Q259" i="76"/>
  <c r="Q258" i="76"/>
  <c r="Q257" i="76"/>
  <c r="Q256" i="76"/>
  <c r="Q255" i="76"/>
  <c r="Q254" i="76"/>
  <c r="Q253" i="76"/>
  <c r="Q252" i="76"/>
  <c r="Q251" i="76"/>
  <c r="Q250" i="76"/>
  <c r="Q249" i="76"/>
  <c r="Q248" i="76"/>
  <c r="Q247" i="76"/>
  <c r="Q246" i="76"/>
  <c r="Q245" i="76"/>
  <c r="Q244" i="76"/>
  <c r="Q243" i="76"/>
  <c r="Q242" i="76"/>
  <c r="Q241" i="76"/>
  <c r="Q240" i="76"/>
  <c r="Q239" i="76"/>
  <c r="Q238" i="76"/>
  <c r="Q237" i="76"/>
  <c r="Q236" i="76"/>
  <c r="Q235" i="76"/>
  <c r="Q234" i="76"/>
  <c r="Q233" i="76"/>
  <c r="Q232" i="76"/>
  <c r="Q231" i="76"/>
  <c r="Q230" i="76"/>
  <c r="Q229" i="76"/>
  <c r="Q228" i="76"/>
  <c r="Q227" i="76"/>
  <c r="Q226" i="76"/>
  <c r="Q225" i="76"/>
  <c r="Q224" i="76"/>
  <c r="Q223" i="76"/>
  <c r="Q222" i="76"/>
  <c r="Q221" i="76"/>
  <c r="Q220" i="76"/>
  <c r="Q219" i="76"/>
  <c r="Q218" i="76"/>
  <c r="Q217" i="76"/>
  <c r="Q216" i="76"/>
  <c r="Q215" i="76"/>
  <c r="Q214" i="76"/>
  <c r="Q213" i="76"/>
  <c r="Q212" i="76"/>
  <c r="Q211" i="76"/>
  <c r="Q210" i="76"/>
  <c r="Q209" i="76"/>
  <c r="Q208" i="76"/>
  <c r="Q207" i="76"/>
  <c r="Q206" i="76"/>
  <c r="Q205" i="76"/>
  <c r="Q204" i="76"/>
  <c r="Q203" i="76"/>
  <c r="Q202" i="76"/>
  <c r="Q201" i="76"/>
  <c r="Q200" i="76"/>
  <c r="Q199" i="76"/>
  <c r="Q198" i="76"/>
  <c r="Q197" i="76"/>
  <c r="Q196" i="76"/>
  <c r="Q195" i="76"/>
  <c r="Q194" i="76"/>
  <c r="Q193" i="76"/>
  <c r="Q192" i="76"/>
  <c r="Q191" i="76"/>
  <c r="Q190" i="76"/>
  <c r="Q189" i="76"/>
  <c r="Q188" i="76"/>
  <c r="Q187" i="76"/>
  <c r="Q186" i="76"/>
  <c r="Q185" i="76"/>
  <c r="Q184" i="76"/>
  <c r="Q183" i="76"/>
  <c r="Q182" i="76"/>
  <c r="Q181" i="76"/>
  <c r="Q180" i="76"/>
  <c r="Q179" i="76"/>
  <c r="Q178" i="76"/>
  <c r="Q177" i="76"/>
  <c r="Q176" i="76"/>
  <c r="Q175" i="76"/>
  <c r="Q174" i="76"/>
  <c r="Q173" i="76"/>
  <c r="Q172" i="76"/>
  <c r="Q171" i="76"/>
  <c r="Q170" i="76"/>
  <c r="Q169" i="76"/>
  <c r="Q168" i="76"/>
  <c r="Q167" i="76"/>
  <c r="Q166" i="76"/>
  <c r="Q165" i="76"/>
  <c r="Q164" i="76"/>
  <c r="Q163" i="76"/>
  <c r="Q153" i="76"/>
  <c r="Q162" i="76"/>
  <c r="Q161" i="76"/>
  <c r="Q160" i="76"/>
  <c r="Q159" i="76"/>
  <c r="Q158" i="76"/>
  <c r="Q157" i="76"/>
  <c r="Q156" i="76"/>
  <c r="Q155" i="76"/>
  <c r="Q154" i="76"/>
  <c r="Q152" i="76"/>
  <c r="S16" i="49"/>
  <c r="AA16" i="49" s="1"/>
  <c r="I79" i="56" l="1"/>
  <c r="C144" i="70" s="1"/>
  <c r="A169" i="56"/>
  <c r="A170" i="56" l="1"/>
  <c r="A375" i="51"/>
  <c r="A376" i="51"/>
  <c r="A377" i="51"/>
  <c r="A378" i="51"/>
  <c r="A379" i="51"/>
  <c r="A380" i="51"/>
  <c r="A381" i="51"/>
  <c r="A382" i="51"/>
  <c r="A374" i="51"/>
  <c r="A327" i="51"/>
  <c r="A328" i="51"/>
  <c r="A329" i="51"/>
  <c r="A330" i="51"/>
  <c r="A331" i="51"/>
  <c r="A332" i="51"/>
  <c r="A333" i="51"/>
  <c r="A334" i="51"/>
  <c r="A326" i="51"/>
  <c r="A171" i="56" l="1"/>
  <c r="C1266" i="49"/>
  <c r="C1264" i="49"/>
  <c r="B1353" i="56" s="1"/>
  <c r="B1263" i="49"/>
  <c r="C1228" i="49"/>
  <c r="C1226" i="49"/>
  <c r="B1315" i="56" s="1"/>
  <c r="B1225" i="49"/>
  <c r="C1190" i="49"/>
  <c r="C1188" i="49"/>
  <c r="B1277" i="56" s="1"/>
  <c r="K1280" i="56" s="1"/>
  <c r="K1281" i="56" s="1"/>
  <c r="K1282" i="56" s="1"/>
  <c r="K1283" i="56" s="1"/>
  <c r="K1284" i="56" s="1"/>
  <c r="K1285" i="56" s="1"/>
  <c r="K1286" i="56" s="1"/>
  <c r="K1287" i="56" s="1"/>
  <c r="K1288" i="56" s="1"/>
  <c r="K1289" i="56" s="1"/>
  <c r="K1290" i="56" s="1"/>
  <c r="B1187" i="49"/>
  <c r="C1152" i="49"/>
  <c r="C1150" i="49"/>
  <c r="B1239" i="56" s="1"/>
  <c r="K1242" i="56" s="1"/>
  <c r="K1243" i="56" s="1"/>
  <c r="K1244" i="56" s="1"/>
  <c r="K1245" i="56" s="1"/>
  <c r="K1246" i="56" s="1"/>
  <c r="K1247" i="56" s="1"/>
  <c r="K1248" i="56" s="1"/>
  <c r="K1249" i="56" s="1"/>
  <c r="K1250" i="56" s="1"/>
  <c r="K1251" i="56" s="1"/>
  <c r="K1252" i="56" s="1"/>
  <c r="B1149" i="49"/>
  <c r="C1114" i="49"/>
  <c r="C1112" i="49"/>
  <c r="B1201" i="56" s="1"/>
  <c r="K1204" i="56" s="1"/>
  <c r="K1205" i="56" s="1"/>
  <c r="K1206" i="56" s="1"/>
  <c r="K1207" i="56" s="1"/>
  <c r="K1208" i="56" s="1"/>
  <c r="K1209" i="56" s="1"/>
  <c r="K1210" i="56" s="1"/>
  <c r="K1211" i="56" s="1"/>
  <c r="K1212" i="56" s="1"/>
  <c r="K1213" i="56" s="1"/>
  <c r="K1214" i="56" s="1"/>
  <c r="B1111" i="49"/>
  <c r="C886" i="49"/>
  <c r="C1076" i="49"/>
  <c r="C1074" i="49"/>
  <c r="B1163" i="56" s="1"/>
  <c r="K1166" i="56" s="1"/>
  <c r="K1167" i="56" s="1"/>
  <c r="K1168" i="56" s="1"/>
  <c r="K1169" i="56" s="1"/>
  <c r="K1170" i="56" s="1"/>
  <c r="K1171" i="56" s="1"/>
  <c r="K1172" i="56" s="1"/>
  <c r="K1173" i="56" s="1"/>
  <c r="K1174" i="56" s="1"/>
  <c r="K1175" i="56" s="1"/>
  <c r="K1176" i="56" s="1"/>
  <c r="B1073" i="49"/>
  <c r="C1038" i="49"/>
  <c r="C1036" i="49"/>
  <c r="B1125" i="56" s="1"/>
  <c r="K1128" i="56" s="1"/>
  <c r="K1129" i="56" s="1"/>
  <c r="K1130" i="56" s="1"/>
  <c r="K1131" i="56" s="1"/>
  <c r="K1132" i="56" s="1"/>
  <c r="K1133" i="56" s="1"/>
  <c r="K1134" i="56" s="1"/>
  <c r="K1135" i="56" s="1"/>
  <c r="K1136" i="56" s="1"/>
  <c r="K1137" i="56" s="1"/>
  <c r="K1138" i="56" s="1"/>
  <c r="B1035" i="49"/>
  <c r="C1000" i="49"/>
  <c r="C998" i="49"/>
  <c r="B1087" i="56" s="1"/>
  <c r="K1090" i="56" s="1"/>
  <c r="K1091" i="56" s="1"/>
  <c r="K1092" i="56" s="1"/>
  <c r="K1093" i="56" s="1"/>
  <c r="K1094" i="56" s="1"/>
  <c r="K1095" i="56" s="1"/>
  <c r="K1096" i="56" s="1"/>
  <c r="K1097" i="56" s="1"/>
  <c r="K1098" i="56" s="1"/>
  <c r="K1099" i="56" s="1"/>
  <c r="K1100" i="56" s="1"/>
  <c r="B997" i="49"/>
  <c r="C962" i="49"/>
  <c r="C960" i="49"/>
  <c r="B1049" i="56" s="1"/>
  <c r="K1052" i="56" s="1"/>
  <c r="K1053" i="56" s="1"/>
  <c r="K1054" i="56" s="1"/>
  <c r="K1055" i="56" s="1"/>
  <c r="K1056" i="56" s="1"/>
  <c r="K1057" i="56" s="1"/>
  <c r="K1058" i="56" s="1"/>
  <c r="K1059" i="56" s="1"/>
  <c r="K1060" i="56" s="1"/>
  <c r="K1061" i="56" s="1"/>
  <c r="K1062" i="56" s="1"/>
  <c r="B959" i="49"/>
  <c r="C924" i="49"/>
  <c r="C922" i="49"/>
  <c r="B1011" i="56" s="1"/>
  <c r="K1014" i="56" s="1"/>
  <c r="K1015" i="56" s="1"/>
  <c r="K1016" i="56" s="1"/>
  <c r="K1017" i="56" s="1"/>
  <c r="K1018" i="56" s="1"/>
  <c r="K1019" i="56" s="1"/>
  <c r="K1020" i="56" s="1"/>
  <c r="K1021" i="56" s="1"/>
  <c r="K1022" i="56" s="1"/>
  <c r="K1023" i="56" s="1"/>
  <c r="K1024" i="56" s="1"/>
  <c r="B921" i="49"/>
  <c r="E1292" i="49"/>
  <c r="D1290" i="49"/>
  <c r="T470" i="76"/>
  <c r="T469" i="76"/>
  <c r="T468" i="76"/>
  <c r="T467" i="76"/>
  <c r="T466" i="76"/>
  <c r="T465" i="76"/>
  <c r="T464" i="76"/>
  <c r="T463" i="76"/>
  <c r="T462" i="76"/>
  <c r="T461" i="76"/>
  <c r="T460" i="76"/>
  <c r="S1274" i="49"/>
  <c r="AA1274" i="49" s="1"/>
  <c r="N1274" i="49"/>
  <c r="M1274" i="49"/>
  <c r="L1274" i="49"/>
  <c r="S1273" i="49"/>
  <c r="AA1273" i="49" s="1"/>
  <c r="N1273" i="49"/>
  <c r="M1273" i="49"/>
  <c r="L1273" i="49"/>
  <c r="G1360" i="56" s="1"/>
  <c r="F1360" i="56" s="1"/>
  <c r="S1272" i="49"/>
  <c r="AA1272" i="49" s="1"/>
  <c r="N1272" i="49"/>
  <c r="M1272" i="49"/>
  <c r="L1272" i="49"/>
  <c r="S1271" i="49"/>
  <c r="AA1271" i="49" s="1"/>
  <c r="N1271" i="49"/>
  <c r="M1271" i="49"/>
  <c r="L1271" i="49"/>
  <c r="S1270" i="49"/>
  <c r="AA1270" i="49" s="1"/>
  <c r="N1270" i="49"/>
  <c r="M1270" i="49"/>
  <c r="L1270" i="49"/>
  <c r="S1269" i="49"/>
  <c r="AA1269" i="49" s="1"/>
  <c r="N1269" i="49"/>
  <c r="M1269" i="49"/>
  <c r="L1269" i="49"/>
  <c r="C1265" i="49"/>
  <c r="E1254" i="49"/>
  <c r="D1252" i="49"/>
  <c r="T459" i="76"/>
  <c r="T458" i="76"/>
  <c r="T457" i="76"/>
  <c r="T456" i="76"/>
  <c r="T455" i="76"/>
  <c r="T454" i="76"/>
  <c r="T453" i="76"/>
  <c r="T452" i="76"/>
  <c r="T451" i="76"/>
  <c r="T450" i="76"/>
  <c r="T449" i="76"/>
  <c r="S1236" i="49"/>
  <c r="AA1236" i="49" s="1"/>
  <c r="N1236" i="49"/>
  <c r="M1236" i="49"/>
  <c r="L1236" i="49"/>
  <c r="S1235" i="49"/>
  <c r="AA1235" i="49" s="1"/>
  <c r="N1235" i="49"/>
  <c r="M1235" i="49"/>
  <c r="L1235" i="49"/>
  <c r="S1234" i="49"/>
  <c r="AA1234" i="49" s="1"/>
  <c r="N1234" i="49"/>
  <c r="M1234" i="49"/>
  <c r="L1234" i="49"/>
  <c r="S1233" i="49"/>
  <c r="AA1233" i="49" s="1"/>
  <c r="N1233" i="49"/>
  <c r="M1233" i="49"/>
  <c r="L1233" i="49"/>
  <c r="S1232" i="49"/>
  <c r="AA1232" i="49" s="1"/>
  <c r="N1232" i="49"/>
  <c r="M1232" i="49"/>
  <c r="L1232" i="49"/>
  <c r="S1231" i="49"/>
  <c r="AA1231" i="49" s="1"/>
  <c r="N1231" i="49"/>
  <c r="M1231" i="49"/>
  <c r="L1231" i="49"/>
  <c r="C1227" i="49"/>
  <c r="E1216" i="49"/>
  <c r="D1214" i="49"/>
  <c r="T448" i="76"/>
  <c r="T447" i="76"/>
  <c r="T446" i="76"/>
  <c r="T445" i="76"/>
  <c r="T444" i="76"/>
  <c r="T443" i="76"/>
  <c r="T442" i="76"/>
  <c r="T441" i="76"/>
  <c r="T440" i="76"/>
  <c r="T439" i="76"/>
  <c r="T438" i="76"/>
  <c r="S1198" i="49"/>
  <c r="AA1198" i="49" s="1"/>
  <c r="N1198" i="49"/>
  <c r="M1198" i="49"/>
  <c r="L1198" i="49"/>
  <c r="S1197" i="49"/>
  <c r="AA1197" i="49" s="1"/>
  <c r="N1197" i="49"/>
  <c r="M1197" i="49"/>
  <c r="L1197" i="49"/>
  <c r="S1196" i="49"/>
  <c r="AA1196" i="49" s="1"/>
  <c r="N1196" i="49"/>
  <c r="M1196" i="49"/>
  <c r="L1196" i="49"/>
  <c r="S1195" i="49"/>
  <c r="AA1195" i="49" s="1"/>
  <c r="N1195" i="49"/>
  <c r="M1195" i="49"/>
  <c r="L1195" i="49"/>
  <c r="S1194" i="49"/>
  <c r="AA1194" i="49" s="1"/>
  <c r="N1194" i="49"/>
  <c r="M1194" i="49"/>
  <c r="L1194" i="49"/>
  <c r="S1193" i="49"/>
  <c r="AA1193" i="49" s="1"/>
  <c r="N1193" i="49"/>
  <c r="M1193" i="49"/>
  <c r="L1193" i="49"/>
  <c r="C1189" i="49"/>
  <c r="E1178" i="49"/>
  <c r="D1176" i="49"/>
  <c r="T437" i="76"/>
  <c r="T436" i="76"/>
  <c r="T435" i="76"/>
  <c r="T434" i="76"/>
  <c r="T433" i="76"/>
  <c r="T432" i="76"/>
  <c r="T431" i="76"/>
  <c r="T430" i="76"/>
  <c r="T429" i="76"/>
  <c r="T428" i="76"/>
  <c r="T427" i="76"/>
  <c r="S1160" i="49"/>
  <c r="AA1160" i="49" s="1"/>
  <c r="N1160" i="49"/>
  <c r="M1160" i="49"/>
  <c r="L1160" i="49"/>
  <c r="S1159" i="49"/>
  <c r="AA1159" i="49" s="1"/>
  <c r="N1159" i="49"/>
  <c r="M1159" i="49"/>
  <c r="L1159" i="49"/>
  <c r="S1158" i="49"/>
  <c r="AA1158" i="49" s="1"/>
  <c r="N1158" i="49"/>
  <c r="M1158" i="49"/>
  <c r="L1158" i="49"/>
  <c r="S1157" i="49"/>
  <c r="AA1157" i="49" s="1"/>
  <c r="N1157" i="49"/>
  <c r="M1157" i="49"/>
  <c r="L1157" i="49"/>
  <c r="S1156" i="49"/>
  <c r="AA1156" i="49" s="1"/>
  <c r="N1156" i="49"/>
  <c r="M1156" i="49"/>
  <c r="L1156" i="49"/>
  <c r="S1155" i="49"/>
  <c r="AA1155" i="49" s="1"/>
  <c r="N1155" i="49"/>
  <c r="M1155" i="49"/>
  <c r="L1155" i="49"/>
  <c r="C1151" i="49"/>
  <c r="E1140" i="49"/>
  <c r="D1138" i="49"/>
  <c r="T426" i="76"/>
  <c r="T425" i="76"/>
  <c r="T424" i="76"/>
  <c r="T423" i="76"/>
  <c r="T422" i="76"/>
  <c r="T421" i="76"/>
  <c r="T420" i="76"/>
  <c r="T419" i="76"/>
  <c r="T418" i="76"/>
  <c r="T417" i="76"/>
  <c r="T416" i="76"/>
  <c r="S1122" i="49"/>
  <c r="AA1122" i="49" s="1"/>
  <c r="N1122" i="49"/>
  <c r="M1122" i="49"/>
  <c r="L1122" i="49"/>
  <c r="S1121" i="49"/>
  <c r="AA1121" i="49" s="1"/>
  <c r="N1121" i="49"/>
  <c r="M1121" i="49"/>
  <c r="L1121" i="49"/>
  <c r="S1120" i="49"/>
  <c r="AA1120" i="49" s="1"/>
  <c r="N1120" i="49"/>
  <c r="M1120" i="49"/>
  <c r="L1120" i="49"/>
  <c r="S1119" i="49"/>
  <c r="AA1119" i="49" s="1"/>
  <c r="N1119" i="49"/>
  <c r="M1119" i="49"/>
  <c r="L1119" i="49"/>
  <c r="S1118" i="49"/>
  <c r="AA1118" i="49" s="1"/>
  <c r="N1118" i="49"/>
  <c r="M1118" i="49"/>
  <c r="L1118" i="49"/>
  <c r="S1117" i="49"/>
  <c r="AA1117" i="49" s="1"/>
  <c r="N1117" i="49"/>
  <c r="M1117" i="49"/>
  <c r="L1117" i="49"/>
  <c r="C1113" i="49"/>
  <c r="E1102" i="49"/>
  <c r="D1100" i="49"/>
  <c r="T415" i="76"/>
  <c r="T414" i="76"/>
  <c r="T413" i="76"/>
  <c r="T412" i="76"/>
  <c r="T411" i="76"/>
  <c r="T410" i="76"/>
  <c r="T409" i="76"/>
  <c r="T408" i="76"/>
  <c r="T407" i="76"/>
  <c r="T406" i="76"/>
  <c r="T405" i="76"/>
  <c r="S1084" i="49"/>
  <c r="AA1084" i="49" s="1"/>
  <c r="N1084" i="49"/>
  <c r="M1084" i="49"/>
  <c r="L1084" i="49"/>
  <c r="S1083" i="49"/>
  <c r="AA1083" i="49" s="1"/>
  <c r="N1083" i="49"/>
  <c r="M1083" i="49"/>
  <c r="L1083" i="49"/>
  <c r="S1082" i="49"/>
  <c r="AA1082" i="49" s="1"/>
  <c r="N1082" i="49"/>
  <c r="M1082" i="49"/>
  <c r="L1082" i="49"/>
  <c r="S1081" i="49"/>
  <c r="AA1081" i="49" s="1"/>
  <c r="N1081" i="49"/>
  <c r="M1081" i="49"/>
  <c r="L1081" i="49"/>
  <c r="S1080" i="49"/>
  <c r="AA1080" i="49" s="1"/>
  <c r="N1080" i="49"/>
  <c r="M1080" i="49"/>
  <c r="L1080" i="49"/>
  <c r="S1079" i="49"/>
  <c r="AA1079" i="49" s="1"/>
  <c r="N1079" i="49"/>
  <c r="M1079" i="49"/>
  <c r="L1079" i="49"/>
  <c r="C1075" i="49"/>
  <c r="E1064" i="49"/>
  <c r="D1062" i="49"/>
  <c r="T404" i="76"/>
  <c r="T403" i="76"/>
  <c r="T402" i="76"/>
  <c r="T401" i="76"/>
  <c r="T400" i="76"/>
  <c r="T399" i="76"/>
  <c r="T398" i="76"/>
  <c r="T397" i="76"/>
  <c r="T396" i="76"/>
  <c r="T395" i="76"/>
  <c r="T394" i="76"/>
  <c r="S1046" i="49"/>
  <c r="AA1046" i="49" s="1"/>
  <c r="N1046" i="49"/>
  <c r="M1046" i="49"/>
  <c r="L1046" i="49"/>
  <c r="S1045" i="49"/>
  <c r="AA1045" i="49" s="1"/>
  <c r="N1045" i="49"/>
  <c r="M1045" i="49"/>
  <c r="L1045" i="49"/>
  <c r="S1044" i="49"/>
  <c r="AA1044" i="49" s="1"/>
  <c r="N1044" i="49"/>
  <c r="M1044" i="49"/>
  <c r="L1044" i="49"/>
  <c r="S1043" i="49"/>
  <c r="AA1043" i="49" s="1"/>
  <c r="N1043" i="49"/>
  <c r="M1043" i="49"/>
  <c r="L1043" i="49"/>
  <c r="S1042" i="49"/>
  <c r="AA1042" i="49" s="1"/>
  <c r="N1042" i="49"/>
  <c r="M1042" i="49"/>
  <c r="L1042" i="49"/>
  <c r="S1041" i="49"/>
  <c r="AA1041" i="49" s="1"/>
  <c r="N1041" i="49"/>
  <c r="M1041" i="49"/>
  <c r="L1041" i="49"/>
  <c r="C1037" i="49"/>
  <c r="E1026" i="49"/>
  <c r="D1024" i="49"/>
  <c r="T393" i="76"/>
  <c r="T392" i="76"/>
  <c r="T391" i="76"/>
  <c r="T390" i="76"/>
  <c r="T389" i="76"/>
  <c r="T388" i="76"/>
  <c r="T387" i="76"/>
  <c r="T386" i="76"/>
  <c r="T385" i="76"/>
  <c r="T384" i="76"/>
  <c r="T383" i="76"/>
  <c r="S1008" i="49"/>
  <c r="AA1008" i="49" s="1"/>
  <c r="N1008" i="49"/>
  <c r="M1008" i="49"/>
  <c r="L1008" i="49"/>
  <c r="S1007" i="49"/>
  <c r="AA1007" i="49" s="1"/>
  <c r="N1007" i="49"/>
  <c r="M1007" i="49"/>
  <c r="L1007" i="49"/>
  <c r="S1006" i="49"/>
  <c r="AA1006" i="49" s="1"/>
  <c r="N1006" i="49"/>
  <c r="M1006" i="49"/>
  <c r="L1006" i="49"/>
  <c r="S1005" i="49"/>
  <c r="AA1005" i="49" s="1"/>
  <c r="N1005" i="49"/>
  <c r="M1005" i="49"/>
  <c r="L1005" i="49"/>
  <c r="S1004" i="49"/>
  <c r="AA1004" i="49" s="1"/>
  <c r="N1004" i="49"/>
  <c r="M1004" i="49"/>
  <c r="L1004" i="49"/>
  <c r="S1003" i="49"/>
  <c r="AA1003" i="49" s="1"/>
  <c r="N1003" i="49"/>
  <c r="M1003" i="49"/>
  <c r="L1003" i="49"/>
  <c r="C999" i="49"/>
  <c r="E988" i="49"/>
  <c r="D986" i="49"/>
  <c r="T382" i="76"/>
  <c r="T381" i="76"/>
  <c r="T380" i="76"/>
  <c r="T379" i="76"/>
  <c r="T378" i="76"/>
  <c r="T377" i="76"/>
  <c r="T376" i="76"/>
  <c r="T375" i="76"/>
  <c r="T374" i="76"/>
  <c r="T373" i="76"/>
  <c r="T372" i="76"/>
  <c r="S970" i="49"/>
  <c r="AA970" i="49" s="1"/>
  <c r="N970" i="49"/>
  <c r="M970" i="49"/>
  <c r="L970" i="49"/>
  <c r="S969" i="49"/>
  <c r="AA969" i="49" s="1"/>
  <c r="N969" i="49"/>
  <c r="M969" i="49"/>
  <c r="L969" i="49"/>
  <c r="S968" i="49"/>
  <c r="AA968" i="49" s="1"/>
  <c r="N968" i="49"/>
  <c r="M968" i="49"/>
  <c r="L968" i="49"/>
  <c r="S967" i="49"/>
  <c r="AA967" i="49" s="1"/>
  <c r="N967" i="49"/>
  <c r="M967" i="49"/>
  <c r="L967" i="49"/>
  <c r="S966" i="49"/>
  <c r="AA966" i="49" s="1"/>
  <c r="N966" i="49"/>
  <c r="M966" i="49"/>
  <c r="L966" i="49"/>
  <c r="S965" i="49"/>
  <c r="AA965" i="49" s="1"/>
  <c r="N965" i="49"/>
  <c r="M965" i="49"/>
  <c r="L965" i="49"/>
  <c r="C961" i="49"/>
  <c r="E950" i="49"/>
  <c r="D948" i="49"/>
  <c r="T371" i="76"/>
  <c r="T370" i="76"/>
  <c r="T369" i="76"/>
  <c r="T368" i="76"/>
  <c r="T367" i="76"/>
  <c r="T366" i="76"/>
  <c r="T365" i="76"/>
  <c r="T364" i="76"/>
  <c r="T363" i="76"/>
  <c r="T362" i="76"/>
  <c r="T361" i="76"/>
  <c r="S932" i="49"/>
  <c r="AA932" i="49" s="1"/>
  <c r="N932" i="49"/>
  <c r="M932" i="49"/>
  <c r="L932" i="49"/>
  <c r="S931" i="49"/>
  <c r="AA931" i="49" s="1"/>
  <c r="N931" i="49"/>
  <c r="M931" i="49"/>
  <c r="L931" i="49"/>
  <c r="S930" i="49"/>
  <c r="AA930" i="49" s="1"/>
  <c r="N930" i="49"/>
  <c r="M930" i="49"/>
  <c r="L930" i="49"/>
  <c r="S929" i="49"/>
  <c r="AA929" i="49" s="1"/>
  <c r="N929" i="49"/>
  <c r="M929" i="49"/>
  <c r="L929" i="49"/>
  <c r="S928" i="49"/>
  <c r="AA928" i="49" s="1"/>
  <c r="N928" i="49"/>
  <c r="M928" i="49"/>
  <c r="L928" i="49"/>
  <c r="S927" i="49"/>
  <c r="AA927" i="49" s="1"/>
  <c r="N927" i="49"/>
  <c r="M927" i="49"/>
  <c r="L927" i="49"/>
  <c r="C923" i="49"/>
  <c r="C884" i="49"/>
  <c r="B973" i="56" s="1"/>
  <c r="K976" i="56" s="1"/>
  <c r="K977" i="56" s="1"/>
  <c r="K978" i="56" s="1"/>
  <c r="K979" i="56" s="1"/>
  <c r="K980" i="56" s="1"/>
  <c r="K981" i="56" s="1"/>
  <c r="K982" i="56" s="1"/>
  <c r="K983" i="56" s="1"/>
  <c r="K984" i="56" s="1"/>
  <c r="K985" i="56" s="1"/>
  <c r="K986" i="56" s="1"/>
  <c r="B883" i="49"/>
  <c r="C848" i="49"/>
  <c r="C808" i="49"/>
  <c r="B897" i="56" s="1"/>
  <c r="K900" i="56" s="1"/>
  <c r="K901" i="56" s="1"/>
  <c r="K902" i="56" s="1"/>
  <c r="K903" i="56" s="1"/>
  <c r="K904" i="56" s="1"/>
  <c r="K905" i="56" s="1"/>
  <c r="K906" i="56" s="1"/>
  <c r="K907" i="56" s="1"/>
  <c r="K908" i="56" s="1"/>
  <c r="K909" i="56" s="1"/>
  <c r="K910" i="56" s="1"/>
  <c r="C846" i="49"/>
  <c r="B935" i="56" s="1"/>
  <c r="K938" i="56" s="1"/>
  <c r="K939" i="56" s="1"/>
  <c r="K940" i="56" s="1"/>
  <c r="K941" i="56" s="1"/>
  <c r="K942" i="56" s="1"/>
  <c r="K943" i="56" s="1"/>
  <c r="K944" i="56" s="1"/>
  <c r="K945" i="56" s="1"/>
  <c r="K946" i="56" s="1"/>
  <c r="K947" i="56" s="1"/>
  <c r="K948" i="56" s="1"/>
  <c r="B845" i="49"/>
  <c r="C810" i="49"/>
  <c r="B807" i="49"/>
  <c r="C772" i="49"/>
  <c r="C770" i="49"/>
  <c r="B859" i="56" s="1"/>
  <c r="K862" i="56" s="1"/>
  <c r="K863" i="56" s="1"/>
  <c r="K864" i="56" s="1"/>
  <c r="K865" i="56" s="1"/>
  <c r="K866" i="56" s="1"/>
  <c r="K867" i="56" s="1"/>
  <c r="K868" i="56" s="1"/>
  <c r="K869" i="56" s="1"/>
  <c r="K870" i="56" s="1"/>
  <c r="K871" i="56" s="1"/>
  <c r="K872" i="56" s="1"/>
  <c r="B769" i="49"/>
  <c r="C734" i="49"/>
  <c r="C732" i="49"/>
  <c r="B821" i="56" s="1"/>
  <c r="K824" i="56" s="1"/>
  <c r="K825" i="56" s="1"/>
  <c r="K826" i="56" s="1"/>
  <c r="K827" i="56" s="1"/>
  <c r="K828" i="56" s="1"/>
  <c r="K829" i="56" s="1"/>
  <c r="K830" i="56" s="1"/>
  <c r="K831" i="56" s="1"/>
  <c r="K832" i="56" s="1"/>
  <c r="K833" i="56" s="1"/>
  <c r="K834" i="56" s="1"/>
  <c r="B731" i="49"/>
  <c r="C696" i="49"/>
  <c r="C694" i="49"/>
  <c r="B783" i="56" s="1"/>
  <c r="K786" i="56" s="1"/>
  <c r="K787" i="56" s="1"/>
  <c r="K788" i="56" s="1"/>
  <c r="K789" i="56" s="1"/>
  <c r="K790" i="56" s="1"/>
  <c r="K791" i="56" s="1"/>
  <c r="K792" i="56" s="1"/>
  <c r="K793" i="56" s="1"/>
  <c r="K794" i="56" s="1"/>
  <c r="K795" i="56" s="1"/>
  <c r="K796" i="56" s="1"/>
  <c r="B693" i="49"/>
  <c r="AA1085" i="49" l="1"/>
  <c r="AA1199" i="49"/>
  <c r="AA1237" i="49"/>
  <c r="AA1275" i="49"/>
  <c r="AA1161" i="49"/>
  <c r="AA1123" i="49"/>
  <c r="AA1047" i="49"/>
  <c r="AA1009" i="49"/>
  <c r="AA971" i="49"/>
  <c r="AA933" i="49"/>
  <c r="I1053" i="56"/>
  <c r="H940" i="70" s="1"/>
  <c r="I1057" i="56"/>
  <c r="H944" i="70" s="1"/>
  <c r="I1130" i="56"/>
  <c r="H1005" i="70" s="1"/>
  <c r="I1207" i="56"/>
  <c r="H1070" i="70" s="1"/>
  <c r="I1280" i="56"/>
  <c r="H1131" i="70" s="1"/>
  <c r="I1284" i="56"/>
  <c r="H1135" i="70" s="1"/>
  <c r="I1357" i="56"/>
  <c r="H1196" i="70" s="1"/>
  <c r="I1361" i="56"/>
  <c r="H1200" i="70" s="1"/>
  <c r="I1016" i="56"/>
  <c r="H909" i="70" s="1"/>
  <c r="I1170" i="56"/>
  <c r="H1039" i="70" s="1"/>
  <c r="I1017" i="56"/>
  <c r="H910" i="70" s="1"/>
  <c r="I1090" i="56"/>
  <c r="H971" i="70" s="1"/>
  <c r="I1171" i="56"/>
  <c r="H1040" i="70" s="1"/>
  <c r="I1244" i="56"/>
  <c r="H1101" i="70" s="1"/>
  <c r="I1321" i="56"/>
  <c r="H1166" i="70" s="1"/>
  <c r="I1247" i="56"/>
  <c r="H1104" i="70" s="1"/>
  <c r="I1094" i="56"/>
  <c r="H975" i="70" s="1"/>
  <c r="I1167" i="56"/>
  <c r="H1036" i="70" s="1"/>
  <c r="I1054" i="56"/>
  <c r="H941" i="70" s="1"/>
  <c r="I1131" i="56"/>
  <c r="H1006" i="70" s="1"/>
  <c r="I1204" i="56"/>
  <c r="H1067" i="70" s="1"/>
  <c r="I1208" i="56"/>
  <c r="H1071" i="70" s="1"/>
  <c r="I1281" i="56"/>
  <c r="H1132" i="70" s="1"/>
  <c r="I1285" i="56"/>
  <c r="H1136" i="70" s="1"/>
  <c r="I1358" i="56"/>
  <c r="H1197" i="70" s="1"/>
  <c r="I1243" i="56"/>
  <c r="H1100" i="70" s="1"/>
  <c r="I1014" i="56"/>
  <c r="H907" i="70" s="1"/>
  <c r="I1018" i="56"/>
  <c r="H911" i="70" s="1"/>
  <c r="I1091" i="56"/>
  <c r="H972" i="70" s="1"/>
  <c r="I1095" i="56"/>
  <c r="H976" i="70" s="1"/>
  <c r="I1168" i="56"/>
  <c r="H1037" i="70" s="1"/>
  <c r="I1245" i="56"/>
  <c r="H1102" i="70" s="1"/>
  <c r="I1318" i="56"/>
  <c r="H1163" i="70" s="1"/>
  <c r="I1322" i="56"/>
  <c r="H1167" i="70" s="1"/>
  <c r="I1055" i="56"/>
  <c r="H942" i="70" s="1"/>
  <c r="I1128" i="56"/>
  <c r="H1003" i="70" s="1"/>
  <c r="I1132" i="56"/>
  <c r="H1007" i="70" s="1"/>
  <c r="I1205" i="56"/>
  <c r="H1068" i="70" s="1"/>
  <c r="I1209" i="56"/>
  <c r="H1072" i="70" s="1"/>
  <c r="I1282" i="56"/>
  <c r="H1133" i="70" s="1"/>
  <c r="I1359" i="56"/>
  <c r="H1198" i="70" s="1"/>
  <c r="I1320" i="56"/>
  <c r="H1165" i="70" s="1"/>
  <c r="I1093" i="56"/>
  <c r="H974" i="70" s="1"/>
  <c r="I1092" i="56"/>
  <c r="H973" i="70" s="1"/>
  <c r="I1169" i="56"/>
  <c r="H1038" i="70" s="1"/>
  <c r="I1242" i="56"/>
  <c r="H1099" i="70" s="1"/>
  <c r="I1246" i="56"/>
  <c r="H1103" i="70" s="1"/>
  <c r="I1319" i="56"/>
  <c r="H1164" i="70" s="1"/>
  <c r="I1323" i="56"/>
  <c r="H1168" i="70" s="1"/>
  <c r="I1166" i="56"/>
  <c r="H1035" i="70" s="1"/>
  <c r="I1019" i="56"/>
  <c r="H912" i="70" s="1"/>
  <c r="I1015" i="56"/>
  <c r="H908" i="70" s="1"/>
  <c r="I1052" i="56"/>
  <c r="H939" i="70" s="1"/>
  <c r="I1056" i="56"/>
  <c r="H943" i="70" s="1"/>
  <c r="I1129" i="56"/>
  <c r="H1004" i="70" s="1"/>
  <c r="I1133" i="56"/>
  <c r="H1008" i="70" s="1"/>
  <c r="I1206" i="56"/>
  <c r="H1069" i="70" s="1"/>
  <c r="I1283" i="56"/>
  <c r="H1134" i="70" s="1"/>
  <c r="I1356" i="56"/>
  <c r="H1195" i="70" s="1"/>
  <c r="I1360" i="56"/>
  <c r="H1199" i="70" s="1"/>
  <c r="G1315" i="56"/>
  <c r="K1318" i="56"/>
  <c r="K1319" i="56" s="1"/>
  <c r="K1320" i="56" s="1"/>
  <c r="K1321" i="56" s="1"/>
  <c r="K1322" i="56" s="1"/>
  <c r="K1323" i="56" s="1"/>
  <c r="K1324" i="56" s="1"/>
  <c r="K1325" i="56" s="1"/>
  <c r="K1326" i="56" s="1"/>
  <c r="K1327" i="56" s="1"/>
  <c r="K1328" i="56" s="1"/>
  <c r="G1353" i="56"/>
  <c r="K1356" i="56"/>
  <c r="K1357" i="56" s="1"/>
  <c r="K1358" i="56" s="1"/>
  <c r="K1359" i="56" s="1"/>
  <c r="K1360" i="56" s="1"/>
  <c r="K1361" i="56" s="1"/>
  <c r="K1362" i="56" s="1"/>
  <c r="K1363" i="56" s="1"/>
  <c r="K1364" i="56" s="1"/>
  <c r="K1365" i="56" s="1"/>
  <c r="K1366" i="56" s="1"/>
  <c r="G1283" i="56"/>
  <c r="F1283" i="56" s="1"/>
  <c r="G1356" i="56"/>
  <c r="F1356" i="56" s="1"/>
  <c r="B1364" i="56"/>
  <c r="C1364" i="56"/>
  <c r="D1364" i="56"/>
  <c r="G1093" i="56"/>
  <c r="F1093" i="56" s="1"/>
  <c r="G1166" i="56"/>
  <c r="F1166" i="56" s="1"/>
  <c r="G1170" i="56"/>
  <c r="F1170" i="56" s="1"/>
  <c r="G1243" i="56"/>
  <c r="F1243" i="56" s="1"/>
  <c r="G1247" i="56"/>
  <c r="F1247" i="56" s="1"/>
  <c r="G1320" i="56"/>
  <c r="F1320" i="56" s="1"/>
  <c r="G1133" i="56"/>
  <c r="F1133" i="56" s="1"/>
  <c r="G1014" i="56"/>
  <c r="F1014" i="56" s="1"/>
  <c r="G1130" i="56"/>
  <c r="F1130" i="56" s="1"/>
  <c r="G1207" i="56"/>
  <c r="F1207" i="56" s="1"/>
  <c r="G1280" i="56"/>
  <c r="F1280" i="56" s="1"/>
  <c r="G1284" i="56"/>
  <c r="F1284" i="56" s="1"/>
  <c r="G1357" i="56"/>
  <c r="F1357" i="56" s="1"/>
  <c r="G1361" i="56"/>
  <c r="F1361" i="56" s="1"/>
  <c r="G1090" i="56"/>
  <c r="F1090" i="56" s="1"/>
  <c r="G1094" i="56"/>
  <c r="F1094" i="56" s="1"/>
  <c r="G1167" i="56"/>
  <c r="F1167" i="56" s="1"/>
  <c r="G1171" i="56"/>
  <c r="F1171" i="56" s="1"/>
  <c r="G1244" i="56"/>
  <c r="F1244" i="56" s="1"/>
  <c r="G1321" i="56"/>
  <c r="F1321" i="56" s="1"/>
  <c r="G1057" i="56"/>
  <c r="F1057" i="56" s="1"/>
  <c r="G1016" i="56"/>
  <c r="F1016" i="56" s="1"/>
  <c r="G1054" i="56"/>
  <c r="F1054" i="56" s="1"/>
  <c r="G1131" i="56"/>
  <c r="F1131" i="56" s="1"/>
  <c r="G1204" i="56"/>
  <c r="F1204" i="56" s="1"/>
  <c r="G1208" i="56"/>
  <c r="F1208" i="56" s="1"/>
  <c r="G1281" i="56"/>
  <c r="F1281" i="56" s="1"/>
  <c r="G1285" i="56"/>
  <c r="F1285" i="56" s="1"/>
  <c r="G1358" i="56"/>
  <c r="F1358" i="56" s="1"/>
  <c r="G1052" i="56"/>
  <c r="F1052" i="56" s="1"/>
  <c r="G1053" i="56"/>
  <c r="F1053" i="56" s="1"/>
  <c r="G1129" i="56"/>
  <c r="F1129" i="56" s="1"/>
  <c r="G1091" i="56"/>
  <c r="F1091" i="56" s="1"/>
  <c r="G1095" i="56"/>
  <c r="F1095" i="56" s="1"/>
  <c r="G1168" i="56"/>
  <c r="F1168" i="56" s="1"/>
  <c r="G1245" i="56"/>
  <c r="F1245" i="56" s="1"/>
  <c r="G1318" i="56"/>
  <c r="F1318" i="56" s="1"/>
  <c r="G1322" i="56"/>
  <c r="F1322" i="56" s="1"/>
  <c r="G1018" i="56"/>
  <c r="F1018" i="56" s="1"/>
  <c r="G1056" i="56"/>
  <c r="F1056" i="56" s="1"/>
  <c r="G1017" i="56"/>
  <c r="F1017" i="56" s="1"/>
  <c r="G1055" i="56"/>
  <c r="F1055" i="56" s="1"/>
  <c r="G1128" i="56"/>
  <c r="F1128" i="56" s="1"/>
  <c r="G1132" i="56"/>
  <c r="F1132" i="56" s="1"/>
  <c r="G1205" i="56"/>
  <c r="F1205" i="56" s="1"/>
  <c r="G1209" i="56"/>
  <c r="F1209" i="56" s="1"/>
  <c r="G1282" i="56"/>
  <c r="F1282" i="56" s="1"/>
  <c r="G1359" i="56"/>
  <c r="F1359" i="56" s="1"/>
  <c r="G1015" i="56"/>
  <c r="F1015" i="56" s="1"/>
  <c r="G1206" i="56"/>
  <c r="F1206" i="56" s="1"/>
  <c r="G1019" i="56"/>
  <c r="F1019" i="56" s="1"/>
  <c r="G1092" i="56"/>
  <c r="F1092" i="56" s="1"/>
  <c r="G1169" i="56"/>
  <c r="F1169" i="56" s="1"/>
  <c r="G1242" i="56"/>
  <c r="F1242" i="56" s="1"/>
  <c r="G1246" i="56"/>
  <c r="F1246" i="56" s="1"/>
  <c r="G1319" i="56"/>
  <c r="F1319" i="56" s="1"/>
  <c r="G1323" i="56"/>
  <c r="F1323" i="56" s="1"/>
  <c r="A172" i="56"/>
  <c r="B904" i="70"/>
  <c r="B1064" i="70"/>
  <c r="B936" i="70"/>
  <c r="B1096" i="70"/>
  <c r="B744" i="70"/>
  <c r="B968" i="70"/>
  <c r="B1128" i="70"/>
  <c r="B712" i="70"/>
  <c r="B1000" i="70"/>
  <c r="B1160" i="70"/>
  <c r="B840" i="70"/>
  <c r="B872" i="70"/>
  <c r="B808" i="70"/>
  <c r="B1032" i="70"/>
  <c r="B1192" i="70"/>
  <c r="B776" i="70"/>
  <c r="G1199" i="70"/>
  <c r="G1125" i="56"/>
  <c r="G1163" i="56"/>
  <c r="G783" i="56"/>
  <c r="G1011" i="56"/>
  <c r="G1201" i="56"/>
  <c r="G973" i="56"/>
  <c r="G859" i="56"/>
  <c r="G1049" i="56"/>
  <c r="G1239" i="56"/>
  <c r="G821" i="56"/>
  <c r="G1087" i="56"/>
  <c r="G1277" i="56"/>
  <c r="G935" i="56"/>
  <c r="G897" i="56"/>
  <c r="AF986" i="49"/>
  <c r="C1079" i="56"/>
  <c r="C949" i="70" s="1"/>
  <c r="D949" i="70" s="1"/>
  <c r="C29" i="60"/>
  <c r="B820" i="56"/>
  <c r="B743" i="70" s="1"/>
  <c r="B762" i="70" s="1"/>
  <c r="C33" i="60"/>
  <c r="B972" i="56"/>
  <c r="B871" i="70" s="1"/>
  <c r="B890" i="70" s="1"/>
  <c r="E1256" i="49"/>
  <c r="C1345" i="56"/>
  <c r="C1173" i="70" s="1"/>
  <c r="D1173" i="70" s="1"/>
  <c r="AD1101" i="49"/>
  <c r="C38" i="60"/>
  <c r="B1162" i="56"/>
  <c r="B1031" i="70" s="1"/>
  <c r="B1050" i="70" s="1"/>
  <c r="AD1289" i="49"/>
  <c r="C43" i="60"/>
  <c r="B1352" i="56"/>
  <c r="AF1024" i="49"/>
  <c r="C1117" i="56"/>
  <c r="C981" i="70" s="1"/>
  <c r="D981" i="70" s="1"/>
  <c r="AD1025" i="49"/>
  <c r="C36" i="60"/>
  <c r="B1086" i="56"/>
  <c r="B967" i="70" s="1"/>
  <c r="B986" i="70" s="1"/>
  <c r="C28" i="60"/>
  <c r="B782" i="56"/>
  <c r="B711" i="70" s="1"/>
  <c r="B730" i="70" s="1"/>
  <c r="E1142" i="49"/>
  <c r="C1231" i="56"/>
  <c r="C1077" i="70" s="1"/>
  <c r="D1077" i="70" s="1"/>
  <c r="C32" i="60"/>
  <c r="B934" i="56"/>
  <c r="B839" i="70" s="1"/>
  <c r="B858" i="70" s="1"/>
  <c r="AF1100" i="49"/>
  <c r="C1193" i="56"/>
  <c r="C1045" i="70" s="1"/>
  <c r="D1045" i="70" s="1"/>
  <c r="AD949" i="49"/>
  <c r="C34" i="60"/>
  <c r="B1010" i="56"/>
  <c r="B903" i="70" s="1"/>
  <c r="B922" i="70" s="1"/>
  <c r="AD1137" i="49"/>
  <c r="C39" i="60"/>
  <c r="B1200" i="56"/>
  <c r="B1063" i="70" s="1"/>
  <c r="B1082" i="70" s="1"/>
  <c r="E952" i="49"/>
  <c r="C1041" i="56"/>
  <c r="C917" i="70" s="1"/>
  <c r="D917" i="70" s="1"/>
  <c r="AD1215" i="49"/>
  <c r="C41" i="60"/>
  <c r="B1276" i="56"/>
  <c r="B1127" i="70" s="1"/>
  <c r="B1146" i="70" s="1"/>
  <c r="B1055" i="49"/>
  <c r="C37" i="60"/>
  <c r="B1124" i="56"/>
  <c r="B999" i="70" s="1"/>
  <c r="B1018" i="70" s="1"/>
  <c r="AD1251" i="49"/>
  <c r="C42" i="60"/>
  <c r="B1314" i="56"/>
  <c r="E1180" i="49"/>
  <c r="C1269" i="56"/>
  <c r="C1109" i="70" s="1"/>
  <c r="D1109" i="70" s="1"/>
  <c r="C31" i="60"/>
  <c r="B896" i="56"/>
  <c r="B807" i="70" s="1"/>
  <c r="B826" i="70" s="1"/>
  <c r="AF1290" i="49"/>
  <c r="C1383" i="56"/>
  <c r="C1205" i="70" s="1"/>
  <c r="D1205" i="70" s="1"/>
  <c r="E1218" i="49"/>
  <c r="C1307" i="56"/>
  <c r="C1141" i="70" s="1"/>
  <c r="D1141" i="70" s="1"/>
  <c r="C30" i="60"/>
  <c r="B858" i="56"/>
  <c r="B775" i="70" s="1"/>
  <c r="B794" i="70" s="1"/>
  <c r="AF1062" i="49"/>
  <c r="C1155" i="56"/>
  <c r="C1013" i="70" s="1"/>
  <c r="D1013" i="70" s="1"/>
  <c r="AD987" i="49"/>
  <c r="C35" i="60"/>
  <c r="B1048" i="56"/>
  <c r="B935" i="70" s="1"/>
  <c r="B954" i="70" s="1"/>
  <c r="AD1175" i="49"/>
  <c r="C40" i="60"/>
  <c r="B1238" i="56"/>
  <c r="B1095" i="70" s="1"/>
  <c r="B1114" i="70" s="1"/>
  <c r="D1075" i="49"/>
  <c r="D1227" i="49"/>
  <c r="D1037" i="49"/>
  <c r="B941" i="49"/>
  <c r="B1138" i="49"/>
  <c r="AD1139" i="49"/>
  <c r="D1113" i="49"/>
  <c r="D1151" i="49"/>
  <c r="D999" i="49"/>
  <c r="D1189" i="49"/>
  <c r="D1265" i="49"/>
  <c r="B1093" i="49"/>
  <c r="D923" i="49"/>
  <c r="D961" i="49"/>
  <c r="B1017" i="49"/>
  <c r="AD1023" i="49"/>
  <c r="B1024" i="49"/>
  <c r="AD1099" i="49"/>
  <c r="B1100" i="49"/>
  <c r="B1176" i="49"/>
  <c r="AD1177" i="49"/>
  <c r="B1169" i="49"/>
  <c r="AD985" i="49"/>
  <c r="B986" i="49"/>
  <c r="E1104" i="49"/>
  <c r="E1066" i="49"/>
  <c r="AE1062" i="49"/>
  <c r="AD1253" i="49"/>
  <c r="E1028" i="49"/>
  <c r="AE1100" i="49"/>
  <c r="AD1061" i="49"/>
  <c r="E990" i="49"/>
  <c r="B1062" i="49"/>
  <c r="B1245" i="49"/>
  <c r="AE1138" i="49"/>
  <c r="AF1138" i="49"/>
  <c r="B1252" i="49"/>
  <c r="AD1063" i="49"/>
  <c r="AE1176" i="49"/>
  <c r="AF1176" i="49"/>
  <c r="AE1214" i="49"/>
  <c r="AF1214" i="49"/>
  <c r="AE948" i="49"/>
  <c r="AE1252" i="49"/>
  <c r="E1294" i="49"/>
  <c r="AF948" i="49"/>
  <c r="AF1252" i="49"/>
  <c r="AE986" i="49"/>
  <c r="AE1290" i="49"/>
  <c r="AE1024" i="49"/>
  <c r="E1272" i="49"/>
  <c r="D1359" i="56" s="1"/>
  <c r="D1198" i="70" s="1"/>
  <c r="E1082" i="49"/>
  <c r="D1169" i="56" s="1"/>
  <c r="D1038" i="70" s="1"/>
  <c r="E1158" i="49"/>
  <c r="D1245" i="56" s="1"/>
  <c r="D1102" i="70" s="1"/>
  <c r="E1196" i="49"/>
  <c r="D1283" i="56" s="1"/>
  <c r="D1134" i="70" s="1"/>
  <c r="E1006" i="49"/>
  <c r="D1093" i="56" s="1"/>
  <c r="D974" i="70" s="1"/>
  <c r="E1120" i="49"/>
  <c r="D1207" i="56" s="1"/>
  <c r="D1070" i="70" s="1"/>
  <c r="E968" i="49"/>
  <c r="D1055" i="56" s="1"/>
  <c r="D942" i="70" s="1"/>
  <c r="E1044" i="49"/>
  <c r="D1131" i="56" s="1"/>
  <c r="D1006" i="70" s="1"/>
  <c r="E930" i="49"/>
  <c r="D1017" i="56" s="1"/>
  <c r="D910" i="70" s="1"/>
  <c r="E1234" i="49"/>
  <c r="D1321" i="56" s="1"/>
  <c r="D1166" i="70" s="1"/>
  <c r="B1290" i="49"/>
  <c r="B1131" i="49"/>
  <c r="B1207" i="49"/>
  <c r="AD947" i="49"/>
  <c r="AD1213" i="49"/>
  <c r="B1283" i="49"/>
  <c r="B979" i="49"/>
  <c r="AD1291" i="49"/>
  <c r="B1214" i="49"/>
  <c r="B948" i="49"/>
  <c r="C468" i="49"/>
  <c r="C430" i="49"/>
  <c r="H945" i="70" l="1"/>
  <c r="F942" i="70" s="1"/>
  <c r="H913" i="70"/>
  <c r="F910" i="70" s="1"/>
  <c r="H977" i="70"/>
  <c r="F974" i="70" s="1"/>
  <c r="H1041" i="70"/>
  <c r="F1038" i="70" s="1"/>
  <c r="H1073" i="70"/>
  <c r="F1070" i="70" s="1"/>
  <c r="H1009" i="70"/>
  <c r="F1006" i="70" s="1"/>
  <c r="H1169" i="70"/>
  <c r="F1166" i="70" s="1"/>
  <c r="H1137" i="70"/>
  <c r="F1134" i="70" s="1"/>
  <c r="H1105" i="70"/>
  <c r="F1102" i="70" s="1"/>
  <c r="H1201" i="70"/>
  <c r="F1198" i="70" s="1"/>
  <c r="G1068" i="70"/>
  <c r="G1038" i="70"/>
  <c r="G1163" i="70"/>
  <c r="G1197" i="70"/>
  <c r="G944" i="70"/>
  <c r="G1104" i="70"/>
  <c r="G1196" i="70"/>
  <c r="B1136" i="56"/>
  <c r="C1136" i="56"/>
  <c r="D1136" i="56"/>
  <c r="D1249" i="56"/>
  <c r="B1249" i="56"/>
  <c r="C1249" i="56"/>
  <c r="B1325" i="56"/>
  <c r="C1325" i="56"/>
  <c r="D1325" i="56"/>
  <c r="B1288" i="56"/>
  <c r="C1288" i="56"/>
  <c r="D1288" i="56"/>
  <c r="B1247" i="56"/>
  <c r="D1247" i="56"/>
  <c r="C1247" i="56"/>
  <c r="B1096" i="56"/>
  <c r="C1096" i="56"/>
  <c r="D1096" i="56"/>
  <c r="C1289" i="56"/>
  <c r="D1289" i="56"/>
  <c r="B1289" i="56"/>
  <c r="G973" i="70"/>
  <c r="G1007" i="70"/>
  <c r="G1102" i="70"/>
  <c r="G1136" i="70"/>
  <c r="G1166" i="70"/>
  <c r="G1135" i="70"/>
  <c r="G1100" i="70"/>
  <c r="B1023" i="56"/>
  <c r="C1023" i="56"/>
  <c r="D1023" i="56"/>
  <c r="D1132" i="56"/>
  <c r="C1132" i="56"/>
  <c r="B1132" i="56"/>
  <c r="B1172" i="56"/>
  <c r="C1172" i="56"/>
  <c r="D1172" i="56"/>
  <c r="D1285" i="56"/>
  <c r="B1285" i="56"/>
  <c r="C1285" i="56"/>
  <c r="B1248" i="56"/>
  <c r="D1248" i="56"/>
  <c r="C1248" i="56"/>
  <c r="D1284" i="56"/>
  <c r="C1284" i="56"/>
  <c r="B1284" i="56"/>
  <c r="B1174" i="56"/>
  <c r="C1174" i="56"/>
  <c r="D1174" i="56"/>
  <c r="G912" i="70"/>
  <c r="G1003" i="70"/>
  <c r="G1037" i="70"/>
  <c r="G1132" i="70"/>
  <c r="G1101" i="70"/>
  <c r="G1131" i="70"/>
  <c r="G1039" i="70"/>
  <c r="C1059" i="56"/>
  <c r="B1059" i="56"/>
  <c r="D1059" i="56"/>
  <c r="D1099" i="56"/>
  <c r="C1099" i="56"/>
  <c r="B1099" i="56"/>
  <c r="D1212" i="56"/>
  <c r="C1212" i="56"/>
  <c r="B1212" i="56"/>
  <c r="D1211" i="56"/>
  <c r="C1211" i="56"/>
  <c r="B1211" i="56"/>
  <c r="D1170" i="56"/>
  <c r="C1170" i="56"/>
  <c r="B1170" i="56"/>
  <c r="B1175" i="56"/>
  <c r="C1175" i="56"/>
  <c r="D1175" i="56"/>
  <c r="G1069" i="70"/>
  <c r="G942" i="70"/>
  <c r="G976" i="70"/>
  <c r="G1071" i="70"/>
  <c r="G1040" i="70"/>
  <c r="G1070" i="70"/>
  <c r="G1035" i="70"/>
  <c r="D1019" i="56"/>
  <c r="B1019" i="56"/>
  <c r="C1019" i="56"/>
  <c r="B1021" i="56"/>
  <c r="C1021" i="56"/>
  <c r="D1021" i="56"/>
  <c r="D1095" i="56"/>
  <c r="C1095" i="56"/>
  <c r="B1095" i="56"/>
  <c r="C1208" i="56"/>
  <c r="D1208" i="56"/>
  <c r="B1208" i="56"/>
  <c r="B1171" i="56"/>
  <c r="C1171" i="56"/>
  <c r="D1171" i="56"/>
  <c r="D1134" i="56"/>
  <c r="B1134" i="56"/>
  <c r="C1134" i="56"/>
  <c r="B1097" i="56"/>
  <c r="D1097" i="56"/>
  <c r="C1097" i="56"/>
  <c r="C1327" i="56"/>
  <c r="D1327" i="56"/>
  <c r="B1327" i="56"/>
  <c r="G1168" i="70"/>
  <c r="G908" i="70"/>
  <c r="G910" i="70"/>
  <c r="G972" i="70"/>
  <c r="G1067" i="70"/>
  <c r="G1036" i="70"/>
  <c r="G1005" i="70"/>
  <c r="G974" i="70"/>
  <c r="B1363" i="56"/>
  <c r="C1363" i="56"/>
  <c r="D1363" i="56"/>
  <c r="B1060" i="56"/>
  <c r="D1060" i="56"/>
  <c r="C1060" i="56"/>
  <c r="D1133" i="56"/>
  <c r="C1133" i="56"/>
  <c r="B1133" i="56"/>
  <c r="B1135" i="56"/>
  <c r="D1135" i="56"/>
  <c r="C1135" i="56"/>
  <c r="D1098" i="56"/>
  <c r="B1098" i="56"/>
  <c r="C1098" i="56"/>
  <c r="C1018" i="56"/>
  <c r="D1018" i="56"/>
  <c r="B1018" i="56"/>
  <c r="B1323" i="56"/>
  <c r="C1323" i="56"/>
  <c r="D1323" i="56"/>
  <c r="G1164" i="70"/>
  <c r="G1198" i="70"/>
  <c r="G943" i="70"/>
  <c r="G1004" i="70"/>
  <c r="G1006" i="70"/>
  <c r="G975" i="70"/>
  <c r="G907" i="70"/>
  <c r="B1250" i="56"/>
  <c r="D1250" i="56"/>
  <c r="C1250" i="56"/>
  <c r="C1022" i="56"/>
  <c r="B1022" i="56"/>
  <c r="D1022" i="56"/>
  <c r="B1057" i="56"/>
  <c r="C1057" i="56"/>
  <c r="D1057" i="56"/>
  <c r="C1058" i="56"/>
  <c r="D1058" i="56"/>
  <c r="B1058" i="56"/>
  <c r="D1094" i="56"/>
  <c r="C1094" i="56"/>
  <c r="B1094" i="56"/>
  <c r="D1137" i="56"/>
  <c r="B1137" i="56"/>
  <c r="C1137" i="56"/>
  <c r="B1286" i="56"/>
  <c r="C1286" i="56"/>
  <c r="D1286" i="56"/>
  <c r="G1103" i="70"/>
  <c r="G1133" i="70"/>
  <c r="G911" i="70"/>
  <c r="G940" i="70"/>
  <c r="G941" i="70"/>
  <c r="G971" i="70"/>
  <c r="G1008" i="70"/>
  <c r="D1360" i="56"/>
  <c r="C1360" i="56"/>
  <c r="B1360" i="56"/>
  <c r="D1246" i="56"/>
  <c r="C1246" i="56"/>
  <c r="B1246" i="56"/>
  <c r="D1213" i="56"/>
  <c r="B1213" i="56"/>
  <c r="C1213" i="56"/>
  <c r="B1326" i="56"/>
  <c r="D1326" i="56"/>
  <c r="C1326" i="56"/>
  <c r="C1056" i="56"/>
  <c r="B1056" i="56"/>
  <c r="D1056" i="56"/>
  <c r="D1020" i="56"/>
  <c r="B1020" i="56"/>
  <c r="C1020" i="56"/>
  <c r="C1365" i="56"/>
  <c r="B1365" i="56"/>
  <c r="D1365" i="56"/>
  <c r="D1324" i="56"/>
  <c r="C1324" i="56"/>
  <c r="B1324" i="56"/>
  <c r="G1195" i="70"/>
  <c r="D1210" i="56"/>
  <c r="C1210" i="56"/>
  <c r="B1210" i="56"/>
  <c r="G1099" i="70"/>
  <c r="G1072" i="70"/>
  <c r="G1167" i="70"/>
  <c r="G939" i="70"/>
  <c r="G909" i="70"/>
  <c r="G1200" i="70"/>
  <c r="G1165" i="70"/>
  <c r="B1287" i="56"/>
  <c r="C1287" i="56"/>
  <c r="D1287" i="56"/>
  <c r="C1173" i="56"/>
  <c r="B1173" i="56"/>
  <c r="D1173" i="56"/>
  <c r="B1209" i="56"/>
  <c r="D1209" i="56"/>
  <c r="C1209" i="56"/>
  <c r="B1322" i="56"/>
  <c r="D1322" i="56"/>
  <c r="C1322" i="56"/>
  <c r="B1362" i="56"/>
  <c r="C1362" i="56"/>
  <c r="D1362" i="56"/>
  <c r="B1061" i="56"/>
  <c r="C1061" i="56"/>
  <c r="D1061" i="56"/>
  <c r="D1361" i="56"/>
  <c r="B1361" i="56"/>
  <c r="C1361" i="56"/>
  <c r="D1251" i="56"/>
  <c r="C1251" i="56"/>
  <c r="B1251" i="56"/>
  <c r="G1134" i="70"/>
  <c r="B1159" i="70"/>
  <c r="B1178" i="70" s="1"/>
  <c r="G1314" i="56"/>
  <c r="B1191" i="70"/>
  <c r="B1210" i="70" s="1"/>
  <c r="G1352" i="56"/>
  <c r="A173" i="56"/>
  <c r="G1162" i="56"/>
  <c r="G934" i="56"/>
  <c r="G1010" i="56"/>
  <c r="G972" i="56"/>
  <c r="G1238" i="56"/>
  <c r="G782" i="56"/>
  <c r="G820" i="56"/>
  <c r="G1124" i="56"/>
  <c r="G1276" i="56"/>
  <c r="G1086" i="56"/>
  <c r="G858" i="56"/>
  <c r="G1200" i="56"/>
  <c r="G1048" i="56"/>
  <c r="G896" i="56"/>
  <c r="AD911" i="49"/>
  <c r="AD909" i="49"/>
  <c r="AD873" i="49"/>
  <c r="AD871" i="49"/>
  <c r="AD835" i="49"/>
  <c r="AD833" i="49"/>
  <c r="AD797" i="49"/>
  <c r="AD795" i="49"/>
  <c r="AD759" i="49"/>
  <c r="AD757" i="49"/>
  <c r="AD721" i="49"/>
  <c r="AD719" i="49"/>
  <c r="A174" i="56" l="1"/>
  <c r="A399" i="51"/>
  <c r="A400" i="51"/>
  <c r="A401" i="51"/>
  <c r="A402" i="51"/>
  <c r="A403" i="51"/>
  <c r="A404" i="51"/>
  <c r="A405" i="51"/>
  <c r="A406" i="51"/>
  <c r="A398" i="51"/>
  <c r="A387" i="51"/>
  <c r="A388" i="51"/>
  <c r="A389" i="51"/>
  <c r="A390" i="51"/>
  <c r="A391" i="51"/>
  <c r="A392" i="51"/>
  <c r="A393" i="51"/>
  <c r="A394" i="51"/>
  <c r="A386" i="51"/>
  <c r="A363" i="51"/>
  <c r="A364" i="51"/>
  <c r="A365" i="51"/>
  <c r="A366" i="51"/>
  <c r="A367" i="51"/>
  <c r="A368" i="51"/>
  <c r="A369" i="51"/>
  <c r="A370" i="51"/>
  <c r="A362" i="51"/>
  <c r="A351" i="51"/>
  <c r="A352" i="51"/>
  <c r="A353" i="51"/>
  <c r="A354" i="51"/>
  <c r="A355" i="51"/>
  <c r="A356" i="51"/>
  <c r="A357" i="51"/>
  <c r="A358" i="51"/>
  <c r="A350" i="51"/>
  <c r="A339" i="51"/>
  <c r="A340" i="51"/>
  <c r="A341" i="51"/>
  <c r="A342" i="51"/>
  <c r="A343" i="51"/>
  <c r="A344" i="51"/>
  <c r="A345" i="51"/>
  <c r="A346" i="51"/>
  <c r="A338" i="51"/>
  <c r="A315" i="51"/>
  <c r="A316" i="51"/>
  <c r="A317" i="51"/>
  <c r="A318" i="51"/>
  <c r="A319" i="51"/>
  <c r="A320" i="51"/>
  <c r="A321" i="51"/>
  <c r="A322" i="51"/>
  <c r="A314" i="51"/>
  <c r="A303" i="51"/>
  <c r="A304" i="51"/>
  <c r="A305" i="51"/>
  <c r="A306" i="51"/>
  <c r="A307" i="51"/>
  <c r="A308" i="51"/>
  <c r="A309" i="51"/>
  <c r="A310" i="51"/>
  <c r="A302" i="51"/>
  <c r="A291" i="51"/>
  <c r="A292" i="51"/>
  <c r="A293" i="51"/>
  <c r="A294" i="51"/>
  <c r="A295" i="51"/>
  <c r="A296" i="51"/>
  <c r="A297" i="51"/>
  <c r="A298" i="51"/>
  <c r="A290" i="51"/>
  <c r="A279" i="51"/>
  <c r="A280" i="51"/>
  <c r="A281" i="51"/>
  <c r="A282" i="51"/>
  <c r="A283" i="51"/>
  <c r="A284" i="51"/>
  <c r="A285" i="51"/>
  <c r="A286" i="51"/>
  <c r="A278" i="51"/>
  <c r="A267" i="51"/>
  <c r="A268" i="51"/>
  <c r="A269" i="51"/>
  <c r="A270" i="51"/>
  <c r="A271" i="51"/>
  <c r="A272" i="51"/>
  <c r="A273" i="51"/>
  <c r="A274" i="51"/>
  <c r="A266" i="51"/>
  <c r="A255" i="51"/>
  <c r="A256" i="51"/>
  <c r="A257" i="51"/>
  <c r="A258" i="51"/>
  <c r="A259" i="51"/>
  <c r="A260" i="51"/>
  <c r="A261" i="51"/>
  <c r="A262" i="51"/>
  <c r="A254" i="51"/>
  <c r="A243" i="51"/>
  <c r="A244" i="51"/>
  <c r="A245" i="51"/>
  <c r="A246" i="51"/>
  <c r="A247" i="51"/>
  <c r="A248" i="51"/>
  <c r="A249" i="51"/>
  <c r="A250" i="51"/>
  <c r="A242" i="51"/>
  <c r="A219" i="51"/>
  <c r="A220" i="51"/>
  <c r="A221" i="51"/>
  <c r="A222" i="51"/>
  <c r="A223" i="51"/>
  <c r="A224" i="51"/>
  <c r="A225" i="51"/>
  <c r="A226" i="51"/>
  <c r="A218" i="51"/>
  <c r="A207" i="51"/>
  <c r="A208" i="51"/>
  <c r="A209" i="51"/>
  <c r="A210" i="51"/>
  <c r="A211" i="51"/>
  <c r="A212" i="51"/>
  <c r="A213" i="51"/>
  <c r="A214" i="51"/>
  <c r="A206" i="51"/>
  <c r="A195" i="51"/>
  <c r="A196" i="51"/>
  <c r="A197" i="51"/>
  <c r="A198" i="51"/>
  <c r="A199" i="51"/>
  <c r="A200" i="51"/>
  <c r="A201" i="51"/>
  <c r="A202" i="51"/>
  <c r="A194" i="51"/>
  <c r="A183" i="51"/>
  <c r="A184" i="51"/>
  <c r="A185" i="51"/>
  <c r="A186" i="51"/>
  <c r="A187" i="51"/>
  <c r="A188" i="51"/>
  <c r="A189" i="51"/>
  <c r="A190" i="51"/>
  <c r="A182" i="51"/>
  <c r="A171" i="51"/>
  <c r="A172" i="51"/>
  <c r="A173" i="51"/>
  <c r="A174" i="51"/>
  <c r="A175" i="51"/>
  <c r="A176" i="51"/>
  <c r="A177" i="51"/>
  <c r="A178" i="51"/>
  <c r="A170" i="51"/>
  <c r="A159" i="51"/>
  <c r="A160" i="51"/>
  <c r="A161" i="51"/>
  <c r="A162" i="51"/>
  <c r="A163" i="51"/>
  <c r="A164" i="51"/>
  <c r="A165" i="51"/>
  <c r="A166" i="51"/>
  <c r="A158" i="51"/>
  <c r="A147" i="51"/>
  <c r="A148" i="51"/>
  <c r="A149" i="51"/>
  <c r="A150" i="51"/>
  <c r="A151" i="51"/>
  <c r="A152" i="51"/>
  <c r="A153" i="51"/>
  <c r="A154" i="51"/>
  <c r="A146" i="51"/>
  <c r="A135" i="51"/>
  <c r="A136" i="51"/>
  <c r="A137" i="51"/>
  <c r="A138" i="51"/>
  <c r="A139" i="51"/>
  <c r="A140" i="51"/>
  <c r="A141" i="51"/>
  <c r="A142" i="51"/>
  <c r="A134" i="51"/>
  <c r="C658" i="49"/>
  <c r="C656" i="49"/>
  <c r="B745" i="56" s="1"/>
  <c r="K748" i="56" s="1"/>
  <c r="K749" i="56" s="1"/>
  <c r="K750" i="56" s="1"/>
  <c r="K751" i="56" s="1"/>
  <c r="K752" i="56" s="1"/>
  <c r="K753" i="56" s="1"/>
  <c r="K754" i="56" s="1"/>
  <c r="K755" i="56" s="1"/>
  <c r="K756" i="56" s="1"/>
  <c r="K757" i="56" s="1"/>
  <c r="K758" i="56" s="1"/>
  <c r="B655" i="49"/>
  <c r="D796" i="49"/>
  <c r="C889" i="56" s="1"/>
  <c r="C789" i="70" s="1"/>
  <c r="D789" i="70" s="1"/>
  <c r="D758" i="49"/>
  <c r="C851" i="56" s="1"/>
  <c r="C757" i="70" s="1"/>
  <c r="D757" i="70" s="1"/>
  <c r="D720" i="49"/>
  <c r="C813" i="56" s="1"/>
  <c r="C725" i="70" s="1"/>
  <c r="D725" i="70" s="1"/>
  <c r="D682" i="49"/>
  <c r="C775" i="56" s="1"/>
  <c r="C693" i="70" s="1"/>
  <c r="D693" i="70" s="1"/>
  <c r="D644" i="49"/>
  <c r="C737" i="56" s="1"/>
  <c r="C661" i="70" s="1"/>
  <c r="D661" i="70" s="1"/>
  <c r="C620" i="49"/>
  <c r="C618" i="49"/>
  <c r="B707" i="56" s="1"/>
  <c r="K710" i="56" s="1"/>
  <c r="K711" i="56" s="1"/>
  <c r="K712" i="56" s="1"/>
  <c r="K713" i="56" s="1"/>
  <c r="K714" i="56" s="1"/>
  <c r="K715" i="56" s="1"/>
  <c r="K716" i="56" s="1"/>
  <c r="K717" i="56" s="1"/>
  <c r="K718" i="56" s="1"/>
  <c r="K719" i="56" s="1"/>
  <c r="K720" i="56" s="1"/>
  <c r="B617" i="49"/>
  <c r="E912" i="49"/>
  <c r="D910" i="49"/>
  <c r="C1003" i="56" s="1"/>
  <c r="C885" i="70" s="1"/>
  <c r="D885" i="70" s="1"/>
  <c r="T360" i="76"/>
  <c r="T359" i="76"/>
  <c r="T358" i="76"/>
  <c r="T357" i="76"/>
  <c r="T356" i="76"/>
  <c r="T355" i="76"/>
  <c r="T354" i="76"/>
  <c r="T353" i="76"/>
  <c r="T352" i="76"/>
  <c r="T351" i="76"/>
  <c r="T350" i="76"/>
  <c r="S894" i="49"/>
  <c r="AA894" i="49" s="1"/>
  <c r="N894" i="49"/>
  <c r="M894" i="49"/>
  <c r="L894" i="49"/>
  <c r="S893" i="49"/>
  <c r="AA893" i="49" s="1"/>
  <c r="N893" i="49"/>
  <c r="M893" i="49"/>
  <c r="L893" i="49"/>
  <c r="S892" i="49"/>
  <c r="AA892" i="49" s="1"/>
  <c r="N892" i="49"/>
  <c r="M892" i="49"/>
  <c r="L892" i="49"/>
  <c r="S891" i="49"/>
  <c r="AA891" i="49" s="1"/>
  <c r="N891" i="49"/>
  <c r="M891" i="49"/>
  <c r="L891" i="49"/>
  <c r="S890" i="49"/>
  <c r="AA890" i="49" s="1"/>
  <c r="N890" i="49"/>
  <c r="M890" i="49"/>
  <c r="L890" i="49"/>
  <c r="S889" i="49"/>
  <c r="AA889" i="49" s="1"/>
  <c r="N889" i="49"/>
  <c r="M889" i="49"/>
  <c r="L889" i="49"/>
  <c r="C885" i="49"/>
  <c r="B910" i="49"/>
  <c r="E874" i="49"/>
  <c r="D872" i="49"/>
  <c r="C965" i="56" s="1"/>
  <c r="C853" i="70" s="1"/>
  <c r="D853" i="70" s="1"/>
  <c r="T349" i="76"/>
  <c r="T348" i="76"/>
  <c r="T347" i="76"/>
  <c r="T346" i="76"/>
  <c r="T345" i="76"/>
  <c r="T344" i="76"/>
  <c r="T343" i="76"/>
  <c r="T342" i="76"/>
  <c r="T341" i="76"/>
  <c r="T340" i="76"/>
  <c r="T339" i="76"/>
  <c r="S856" i="49"/>
  <c r="AA856" i="49" s="1"/>
  <c r="N856" i="49"/>
  <c r="M856" i="49"/>
  <c r="L856" i="49"/>
  <c r="S855" i="49"/>
  <c r="AA855" i="49" s="1"/>
  <c r="N855" i="49"/>
  <c r="M855" i="49"/>
  <c r="L855" i="49"/>
  <c r="S854" i="49"/>
  <c r="AA854" i="49" s="1"/>
  <c r="N854" i="49"/>
  <c r="M854" i="49"/>
  <c r="L854" i="49"/>
  <c r="S853" i="49"/>
  <c r="AA853" i="49" s="1"/>
  <c r="N853" i="49"/>
  <c r="M853" i="49"/>
  <c r="L853" i="49"/>
  <c r="S852" i="49"/>
  <c r="AA852" i="49" s="1"/>
  <c r="N852" i="49"/>
  <c r="M852" i="49"/>
  <c r="L852" i="49"/>
  <c r="S851" i="49"/>
  <c r="AA851" i="49" s="1"/>
  <c r="N851" i="49"/>
  <c r="M851" i="49"/>
  <c r="L851" i="49"/>
  <c r="C847" i="49"/>
  <c r="B872" i="49"/>
  <c r="E836" i="49"/>
  <c r="D834" i="49"/>
  <c r="C927" i="56" s="1"/>
  <c r="C821" i="70" s="1"/>
  <c r="D821" i="70" s="1"/>
  <c r="T338" i="76"/>
  <c r="T337" i="76"/>
  <c r="T336" i="76"/>
  <c r="T335" i="76"/>
  <c r="T334" i="76"/>
  <c r="T333" i="76"/>
  <c r="T332" i="76"/>
  <c r="T331" i="76"/>
  <c r="T330" i="76"/>
  <c r="T329" i="76"/>
  <c r="T328" i="76"/>
  <c r="S818" i="49"/>
  <c r="AA818" i="49" s="1"/>
  <c r="N818" i="49"/>
  <c r="M818" i="49"/>
  <c r="L818" i="49"/>
  <c r="S817" i="49"/>
  <c r="AA817" i="49" s="1"/>
  <c r="N817" i="49"/>
  <c r="M817" i="49"/>
  <c r="L817" i="49"/>
  <c r="S816" i="49"/>
  <c r="AA816" i="49" s="1"/>
  <c r="N816" i="49"/>
  <c r="M816" i="49"/>
  <c r="L816" i="49"/>
  <c r="S815" i="49"/>
  <c r="AA815" i="49" s="1"/>
  <c r="N815" i="49"/>
  <c r="M815" i="49"/>
  <c r="L815" i="49"/>
  <c r="S814" i="49"/>
  <c r="AA814" i="49" s="1"/>
  <c r="N814" i="49"/>
  <c r="M814" i="49"/>
  <c r="L814" i="49"/>
  <c r="S813" i="49"/>
  <c r="AA813" i="49" s="1"/>
  <c r="N813" i="49"/>
  <c r="M813" i="49"/>
  <c r="L813" i="49"/>
  <c r="C809" i="49"/>
  <c r="B834" i="49"/>
  <c r="E798" i="49"/>
  <c r="T327" i="76"/>
  <c r="T326" i="76"/>
  <c r="T325" i="76"/>
  <c r="T324" i="76"/>
  <c r="T323" i="76"/>
  <c r="T322" i="76"/>
  <c r="T321" i="76"/>
  <c r="T320" i="76"/>
  <c r="T319" i="76"/>
  <c r="T318" i="76"/>
  <c r="T317" i="76"/>
  <c r="S780" i="49"/>
  <c r="AA780" i="49" s="1"/>
  <c r="N780" i="49"/>
  <c r="M780" i="49"/>
  <c r="L780" i="49"/>
  <c r="S779" i="49"/>
  <c r="AA779" i="49" s="1"/>
  <c r="N779" i="49"/>
  <c r="M779" i="49"/>
  <c r="L779" i="49"/>
  <c r="S778" i="49"/>
  <c r="AA778" i="49" s="1"/>
  <c r="N778" i="49"/>
  <c r="M778" i="49"/>
  <c r="L778" i="49"/>
  <c r="S777" i="49"/>
  <c r="AA777" i="49" s="1"/>
  <c r="N777" i="49"/>
  <c r="M777" i="49"/>
  <c r="L777" i="49"/>
  <c r="S776" i="49"/>
  <c r="AA776" i="49" s="1"/>
  <c r="N776" i="49"/>
  <c r="M776" i="49"/>
  <c r="L776" i="49"/>
  <c r="S775" i="49"/>
  <c r="AA775" i="49" s="1"/>
  <c r="N775" i="49"/>
  <c r="M775" i="49"/>
  <c r="L775" i="49"/>
  <c r="C771" i="49"/>
  <c r="B796" i="49"/>
  <c r="E760" i="49"/>
  <c r="T316" i="76"/>
  <c r="T315" i="76"/>
  <c r="T314" i="76"/>
  <c r="T313" i="76"/>
  <c r="T312" i="76"/>
  <c r="T311" i="76"/>
  <c r="T310" i="76"/>
  <c r="T309" i="76"/>
  <c r="T308" i="76"/>
  <c r="T307" i="76"/>
  <c r="T306" i="76"/>
  <c r="S742" i="49"/>
  <c r="AA742" i="49" s="1"/>
  <c r="N742" i="49"/>
  <c r="M742" i="49"/>
  <c r="L742" i="49"/>
  <c r="S741" i="49"/>
  <c r="AA741" i="49" s="1"/>
  <c r="N741" i="49"/>
  <c r="M741" i="49"/>
  <c r="L741" i="49"/>
  <c r="S740" i="49"/>
  <c r="AA740" i="49" s="1"/>
  <c r="N740" i="49"/>
  <c r="M740" i="49"/>
  <c r="L740" i="49"/>
  <c r="S739" i="49"/>
  <c r="AA739" i="49" s="1"/>
  <c r="N739" i="49"/>
  <c r="M739" i="49"/>
  <c r="L739" i="49"/>
  <c r="S738" i="49"/>
  <c r="AA738" i="49" s="1"/>
  <c r="N738" i="49"/>
  <c r="M738" i="49"/>
  <c r="L738" i="49"/>
  <c r="S737" i="49"/>
  <c r="AA737" i="49" s="1"/>
  <c r="N737" i="49"/>
  <c r="M737" i="49"/>
  <c r="L737" i="49"/>
  <c r="C733" i="49"/>
  <c r="B758" i="49"/>
  <c r="E722" i="49"/>
  <c r="T305" i="76"/>
  <c r="T304" i="76"/>
  <c r="T303" i="76"/>
  <c r="T302" i="76"/>
  <c r="T301" i="76"/>
  <c r="T300" i="76"/>
  <c r="T299" i="76"/>
  <c r="T298" i="76"/>
  <c r="T297" i="76"/>
  <c r="T296" i="76"/>
  <c r="T295" i="76"/>
  <c r="S704" i="49"/>
  <c r="AA704" i="49" s="1"/>
  <c r="N704" i="49"/>
  <c r="M704" i="49"/>
  <c r="L704" i="49"/>
  <c r="S703" i="49"/>
  <c r="AA703" i="49" s="1"/>
  <c r="N703" i="49"/>
  <c r="M703" i="49"/>
  <c r="L703" i="49"/>
  <c r="S702" i="49"/>
  <c r="AA702" i="49" s="1"/>
  <c r="N702" i="49"/>
  <c r="M702" i="49"/>
  <c r="L702" i="49"/>
  <c r="S701" i="49"/>
  <c r="AA701" i="49" s="1"/>
  <c r="N701" i="49"/>
  <c r="M701" i="49"/>
  <c r="L701" i="49"/>
  <c r="S700" i="49"/>
  <c r="AA700" i="49" s="1"/>
  <c r="N700" i="49"/>
  <c r="M700" i="49"/>
  <c r="L700" i="49"/>
  <c r="S699" i="49"/>
  <c r="AA699" i="49" s="1"/>
  <c r="N699" i="49"/>
  <c r="M699" i="49"/>
  <c r="L699" i="49"/>
  <c r="C695" i="49"/>
  <c r="B720" i="49"/>
  <c r="E684" i="49"/>
  <c r="T294" i="76"/>
  <c r="T293" i="76"/>
  <c r="T292" i="76"/>
  <c r="T291" i="76"/>
  <c r="T290" i="76"/>
  <c r="T289" i="76"/>
  <c r="T288" i="76"/>
  <c r="T287" i="76"/>
  <c r="T286" i="76"/>
  <c r="T285" i="76"/>
  <c r="T284" i="76"/>
  <c r="S666" i="49"/>
  <c r="AA666" i="49" s="1"/>
  <c r="N666" i="49"/>
  <c r="M666" i="49"/>
  <c r="L666" i="49"/>
  <c r="S665" i="49"/>
  <c r="AA665" i="49" s="1"/>
  <c r="N665" i="49"/>
  <c r="M665" i="49"/>
  <c r="L665" i="49"/>
  <c r="S664" i="49"/>
  <c r="AA664" i="49" s="1"/>
  <c r="N664" i="49"/>
  <c r="M664" i="49"/>
  <c r="L664" i="49"/>
  <c r="N663" i="49"/>
  <c r="M663" i="49"/>
  <c r="L663" i="49"/>
  <c r="S662" i="49"/>
  <c r="AA662" i="49" s="1"/>
  <c r="N662" i="49"/>
  <c r="M662" i="49"/>
  <c r="L662" i="49"/>
  <c r="S661" i="49"/>
  <c r="AA661" i="49" s="1"/>
  <c r="N661" i="49"/>
  <c r="M661" i="49"/>
  <c r="L661" i="49"/>
  <c r="C657" i="49"/>
  <c r="E646" i="49"/>
  <c r="T283" i="76"/>
  <c r="T282" i="76"/>
  <c r="T281" i="76"/>
  <c r="T280" i="76"/>
  <c r="T279" i="76"/>
  <c r="T278" i="76"/>
  <c r="T277" i="76"/>
  <c r="T276" i="76"/>
  <c r="T275" i="76"/>
  <c r="T274" i="76"/>
  <c r="T273" i="76"/>
  <c r="N628" i="49"/>
  <c r="M628" i="49"/>
  <c r="L628" i="49"/>
  <c r="G715" i="56" s="1"/>
  <c r="F715" i="56" s="1"/>
  <c r="S627" i="49"/>
  <c r="AA627" i="49" s="1"/>
  <c r="N627" i="49"/>
  <c r="M627" i="49"/>
  <c r="L627" i="49"/>
  <c r="G714" i="56" s="1"/>
  <c r="F714" i="56" s="1"/>
  <c r="S626" i="49"/>
  <c r="AA626" i="49" s="1"/>
  <c r="N626" i="49"/>
  <c r="M626" i="49"/>
  <c r="L626" i="49"/>
  <c r="G713" i="56" s="1"/>
  <c r="F713" i="56" s="1"/>
  <c r="N625" i="49"/>
  <c r="M625" i="49"/>
  <c r="L625" i="49"/>
  <c r="G712" i="56" s="1"/>
  <c r="F712" i="56" s="1"/>
  <c r="S624" i="49"/>
  <c r="AA624" i="49" s="1"/>
  <c r="N624" i="49"/>
  <c r="M624" i="49"/>
  <c r="L624" i="49"/>
  <c r="G711" i="56" s="1"/>
  <c r="F711" i="56" s="1"/>
  <c r="N623" i="49"/>
  <c r="M623" i="49"/>
  <c r="L623" i="49"/>
  <c r="G710" i="56" s="1"/>
  <c r="F710" i="56" s="1"/>
  <c r="C619" i="49"/>
  <c r="D606" i="49"/>
  <c r="C699" i="56" s="1"/>
  <c r="C629" i="70" s="1"/>
  <c r="D629" i="70" s="1"/>
  <c r="C582" i="49"/>
  <c r="B579" i="49"/>
  <c r="C580" i="49"/>
  <c r="B669" i="56" s="1"/>
  <c r="K672" i="56" s="1"/>
  <c r="K673" i="56" s="1"/>
  <c r="K674" i="56" s="1"/>
  <c r="K675" i="56" s="1"/>
  <c r="K676" i="56" s="1"/>
  <c r="K677" i="56" s="1"/>
  <c r="K678" i="56" s="1"/>
  <c r="K679" i="56" s="1"/>
  <c r="K680" i="56" s="1"/>
  <c r="K681" i="56" s="1"/>
  <c r="K682" i="56" s="1"/>
  <c r="D568" i="49"/>
  <c r="C661" i="56" s="1"/>
  <c r="C597" i="70" s="1"/>
  <c r="D597" i="70" s="1"/>
  <c r="C544" i="49"/>
  <c r="C542" i="49"/>
  <c r="B631" i="56" s="1"/>
  <c r="K634" i="56" s="1"/>
  <c r="K635" i="56" s="1"/>
  <c r="K636" i="56" s="1"/>
  <c r="K637" i="56" s="1"/>
  <c r="K638" i="56" s="1"/>
  <c r="K639" i="56" s="1"/>
  <c r="K640" i="56" s="1"/>
  <c r="K641" i="56" s="1"/>
  <c r="K642" i="56" s="1"/>
  <c r="K643" i="56" s="1"/>
  <c r="K644" i="56" s="1"/>
  <c r="B541" i="49"/>
  <c r="D530" i="49"/>
  <c r="C623" i="56" s="1"/>
  <c r="C565" i="70" s="1"/>
  <c r="D565" i="70" s="1"/>
  <c r="C506" i="49"/>
  <c r="C504" i="49"/>
  <c r="B593" i="56" s="1"/>
  <c r="K596" i="56" s="1"/>
  <c r="K597" i="56" s="1"/>
  <c r="K598" i="56" s="1"/>
  <c r="K599" i="56" s="1"/>
  <c r="K600" i="56" s="1"/>
  <c r="K601" i="56" s="1"/>
  <c r="K602" i="56" s="1"/>
  <c r="K603" i="56" s="1"/>
  <c r="K604" i="56" s="1"/>
  <c r="K605" i="56" s="1"/>
  <c r="K606" i="56" s="1"/>
  <c r="B503" i="49"/>
  <c r="E532" i="49"/>
  <c r="T250" i="76"/>
  <c r="T249" i="76"/>
  <c r="T248" i="76"/>
  <c r="T247" i="76"/>
  <c r="T246" i="76"/>
  <c r="T245" i="76"/>
  <c r="T244" i="76"/>
  <c r="T243" i="76"/>
  <c r="T242" i="76"/>
  <c r="T241" i="76"/>
  <c r="T240" i="76"/>
  <c r="S514" i="49"/>
  <c r="AA514" i="49" s="1"/>
  <c r="N514" i="49"/>
  <c r="M514" i="49"/>
  <c r="L514" i="49"/>
  <c r="S513" i="49"/>
  <c r="AA513" i="49" s="1"/>
  <c r="N513" i="49"/>
  <c r="M513" i="49"/>
  <c r="L513" i="49"/>
  <c r="S512" i="49"/>
  <c r="AA512" i="49" s="1"/>
  <c r="N512" i="49"/>
  <c r="M512" i="49"/>
  <c r="L512" i="49"/>
  <c r="S511" i="49"/>
  <c r="AA511" i="49" s="1"/>
  <c r="N511" i="49"/>
  <c r="M511" i="49"/>
  <c r="L511" i="49"/>
  <c r="S510" i="49"/>
  <c r="AA510" i="49" s="1"/>
  <c r="N510" i="49"/>
  <c r="M510" i="49"/>
  <c r="L510" i="49"/>
  <c r="S509" i="49"/>
  <c r="AA509" i="49" s="1"/>
  <c r="N509" i="49"/>
  <c r="M509" i="49"/>
  <c r="L509" i="49"/>
  <c r="C505" i="49"/>
  <c r="E608" i="49"/>
  <c r="T272" i="76"/>
  <c r="T271" i="76"/>
  <c r="T270" i="76"/>
  <c r="T269" i="76"/>
  <c r="T268" i="76"/>
  <c r="T267" i="76"/>
  <c r="T266" i="76"/>
  <c r="T265" i="76"/>
  <c r="T264" i="76"/>
  <c r="T263" i="76"/>
  <c r="T262" i="76"/>
  <c r="S590" i="49"/>
  <c r="AA590" i="49" s="1"/>
  <c r="N590" i="49"/>
  <c r="M590" i="49"/>
  <c r="L590" i="49"/>
  <c r="S589" i="49"/>
  <c r="AA589" i="49" s="1"/>
  <c r="N589" i="49"/>
  <c r="M589" i="49"/>
  <c r="L589" i="49"/>
  <c r="S588" i="49"/>
  <c r="AA588" i="49" s="1"/>
  <c r="N588" i="49"/>
  <c r="M588" i="49"/>
  <c r="L588" i="49"/>
  <c r="S587" i="49"/>
  <c r="AA587" i="49" s="1"/>
  <c r="N587" i="49"/>
  <c r="M587" i="49"/>
  <c r="L587" i="49"/>
  <c r="S586" i="49"/>
  <c r="AA586" i="49" s="1"/>
  <c r="N586" i="49"/>
  <c r="M586" i="49"/>
  <c r="L586" i="49"/>
  <c r="S585" i="49"/>
  <c r="AA585" i="49" s="1"/>
  <c r="N585" i="49"/>
  <c r="M585" i="49"/>
  <c r="L585" i="49"/>
  <c r="C581" i="49"/>
  <c r="E570" i="49"/>
  <c r="T261" i="76"/>
  <c r="T260" i="76"/>
  <c r="T259" i="76"/>
  <c r="T258" i="76"/>
  <c r="T257" i="76"/>
  <c r="T256" i="76"/>
  <c r="T255" i="76"/>
  <c r="T254" i="76"/>
  <c r="T253" i="76"/>
  <c r="T252" i="76"/>
  <c r="T251" i="76"/>
  <c r="S552" i="49"/>
  <c r="AA552" i="49" s="1"/>
  <c r="N552" i="49"/>
  <c r="M552" i="49"/>
  <c r="L552" i="49"/>
  <c r="S551" i="49"/>
  <c r="AA551" i="49" s="1"/>
  <c r="N551" i="49"/>
  <c r="M551" i="49"/>
  <c r="L551" i="49"/>
  <c r="S550" i="49"/>
  <c r="AA550" i="49" s="1"/>
  <c r="N550" i="49"/>
  <c r="M550" i="49"/>
  <c r="L550" i="49"/>
  <c r="S549" i="49"/>
  <c r="AA549" i="49" s="1"/>
  <c r="N549" i="49"/>
  <c r="M549" i="49"/>
  <c r="L549" i="49"/>
  <c r="S548" i="49"/>
  <c r="AA548" i="49" s="1"/>
  <c r="N548" i="49"/>
  <c r="M548" i="49"/>
  <c r="L548" i="49"/>
  <c r="S547" i="49"/>
  <c r="AA547" i="49" s="1"/>
  <c r="N547" i="49"/>
  <c r="M547" i="49"/>
  <c r="L547" i="49"/>
  <c r="C543" i="49"/>
  <c r="BF85" i="52"/>
  <c r="BF84" i="52"/>
  <c r="AZ85" i="52"/>
  <c r="AZ84" i="52"/>
  <c r="AT85" i="52"/>
  <c r="AT84" i="52"/>
  <c r="V84" i="52"/>
  <c r="AB84" i="52"/>
  <c r="AH84" i="52"/>
  <c r="AN84" i="52"/>
  <c r="AH85" i="52"/>
  <c r="AB85" i="52"/>
  <c r="V85" i="52"/>
  <c r="P85" i="52"/>
  <c r="P84" i="52"/>
  <c r="J85" i="52"/>
  <c r="J84" i="52"/>
  <c r="D85" i="52"/>
  <c r="D84" i="52"/>
  <c r="C90" i="52"/>
  <c r="C91" i="52"/>
  <c r="C92" i="52"/>
  <c r="C93" i="52"/>
  <c r="C94" i="52"/>
  <c r="C95" i="52"/>
  <c r="C96" i="52"/>
  <c r="C97" i="52"/>
  <c r="C98" i="52"/>
  <c r="C99" i="52"/>
  <c r="C100" i="52"/>
  <c r="C101" i="52"/>
  <c r="C102" i="52"/>
  <c r="C103" i="52"/>
  <c r="C104" i="52"/>
  <c r="C105" i="52"/>
  <c r="C106" i="52"/>
  <c r="C107" i="52"/>
  <c r="C108" i="52"/>
  <c r="C109" i="52"/>
  <c r="C110" i="52"/>
  <c r="C111" i="52"/>
  <c r="C112" i="52"/>
  <c r="C113" i="52"/>
  <c r="C114" i="52"/>
  <c r="C115" i="52"/>
  <c r="C116" i="52"/>
  <c r="C117" i="52"/>
  <c r="C118" i="52"/>
  <c r="C119" i="52"/>
  <c r="C89" i="52"/>
  <c r="BF45" i="52"/>
  <c r="BF44" i="52"/>
  <c r="AZ45" i="52"/>
  <c r="AZ44" i="52"/>
  <c r="AT45" i="52"/>
  <c r="AT44" i="52"/>
  <c r="AN45" i="52"/>
  <c r="AN44" i="52"/>
  <c r="P45" i="52"/>
  <c r="AB45" i="52"/>
  <c r="AH45" i="52"/>
  <c r="AH44" i="52"/>
  <c r="AB44" i="52"/>
  <c r="P44" i="52"/>
  <c r="V44" i="52"/>
  <c r="J45" i="52"/>
  <c r="J44" i="52"/>
  <c r="D45" i="52"/>
  <c r="D44" i="52"/>
  <c r="BF4" i="52"/>
  <c r="BF5" i="52"/>
  <c r="C50" i="52"/>
  <c r="C51" i="52"/>
  <c r="C52" i="52"/>
  <c r="C53" i="52"/>
  <c r="C54" i="52"/>
  <c r="C55" i="52"/>
  <c r="C56" i="52"/>
  <c r="C57" i="52"/>
  <c r="C58" i="52"/>
  <c r="C59" i="52"/>
  <c r="C60" i="52"/>
  <c r="C61" i="52"/>
  <c r="C62" i="52"/>
  <c r="C63" i="52"/>
  <c r="C64" i="52"/>
  <c r="C65" i="52"/>
  <c r="C66" i="52"/>
  <c r="C67" i="52"/>
  <c r="C68" i="52"/>
  <c r="C69" i="52"/>
  <c r="C70" i="52"/>
  <c r="C71" i="52"/>
  <c r="C72" i="52"/>
  <c r="C73" i="52"/>
  <c r="C74" i="52"/>
  <c r="C75" i="52"/>
  <c r="C76" i="52"/>
  <c r="C77" i="52"/>
  <c r="C78" i="52"/>
  <c r="C79" i="52"/>
  <c r="C49" i="52"/>
  <c r="BE10" i="52"/>
  <c r="BE11" i="52"/>
  <c r="BE12" i="52"/>
  <c r="BE13" i="52"/>
  <c r="BE14" i="52"/>
  <c r="BE15" i="52"/>
  <c r="BE16" i="52"/>
  <c r="BE17" i="52"/>
  <c r="BE18" i="52"/>
  <c r="BE19" i="52"/>
  <c r="BE20" i="52"/>
  <c r="BE21" i="52"/>
  <c r="BE22" i="52"/>
  <c r="BE23" i="52"/>
  <c r="BE24" i="52"/>
  <c r="BE25" i="52"/>
  <c r="BE26" i="52"/>
  <c r="BE27" i="52"/>
  <c r="BE28" i="52"/>
  <c r="BE29" i="52"/>
  <c r="BE30" i="52"/>
  <c r="BE31" i="52"/>
  <c r="BE32" i="52"/>
  <c r="BE33" i="52"/>
  <c r="BE34" i="52"/>
  <c r="BE35" i="52"/>
  <c r="BE36" i="52"/>
  <c r="BE37" i="52"/>
  <c r="BE38" i="52"/>
  <c r="BE39" i="52"/>
  <c r="BE9" i="52"/>
  <c r="L396" i="49"/>
  <c r="M396" i="49"/>
  <c r="N396" i="49"/>
  <c r="S396" i="49"/>
  <c r="AA396" i="49" s="1"/>
  <c r="V396" i="49"/>
  <c r="L397" i="49"/>
  <c r="M397" i="49"/>
  <c r="N397" i="49"/>
  <c r="S397" i="49"/>
  <c r="AA397" i="49" s="1"/>
  <c r="V397" i="49"/>
  <c r="L398" i="49"/>
  <c r="M398" i="49"/>
  <c r="N398" i="49"/>
  <c r="S398" i="49"/>
  <c r="AA398" i="49" s="1"/>
  <c r="V398" i="49"/>
  <c r="L399" i="49"/>
  <c r="M399" i="49"/>
  <c r="N399" i="49"/>
  <c r="S399" i="49"/>
  <c r="AA399" i="49" s="1"/>
  <c r="V399" i="49"/>
  <c r="L400" i="49"/>
  <c r="M400" i="49"/>
  <c r="N400" i="49"/>
  <c r="S400" i="49"/>
  <c r="AA400" i="49" s="1"/>
  <c r="V400" i="49"/>
  <c r="L244" i="49"/>
  <c r="M244" i="49"/>
  <c r="N244" i="49"/>
  <c r="S244" i="49"/>
  <c r="AA244" i="49" s="1"/>
  <c r="L245" i="49"/>
  <c r="M245" i="49"/>
  <c r="N245" i="49"/>
  <c r="S245" i="49"/>
  <c r="AA245" i="49" s="1"/>
  <c r="L246" i="49"/>
  <c r="M246" i="49"/>
  <c r="N246" i="49"/>
  <c r="S246" i="49"/>
  <c r="AA246" i="49" s="1"/>
  <c r="L247" i="49"/>
  <c r="M247" i="49"/>
  <c r="N247" i="49"/>
  <c r="S247" i="49"/>
  <c r="AA247" i="49" s="1"/>
  <c r="L248" i="49"/>
  <c r="M248" i="49"/>
  <c r="N248" i="49"/>
  <c r="S248" i="49"/>
  <c r="AA248" i="49" s="1"/>
  <c r="L282" i="49"/>
  <c r="M282" i="49"/>
  <c r="N282" i="49"/>
  <c r="S282" i="49"/>
  <c r="AA282" i="49" s="1"/>
  <c r="V282" i="49"/>
  <c r="L283" i="49"/>
  <c r="M283" i="49"/>
  <c r="N283" i="49"/>
  <c r="S283" i="49"/>
  <c r="AA283" i="49" s="1"/>
  <c r="V283" i="49"/>
  <c r="L284" i="49"/>
  <c r="M284" i="49"/>
  <c r="N284" i="49"/>
  <c r="S284" i="49"/>
  <c r="AA284" i="49" s="1"/>
  <c r="V284" i="49"/>
  <c r="L285" i="49"/>
  <c r="M285" i="49"/>
  <c r="N285" i="49"/>
  <c r="S285" i="49"/>
  <c r="AA285" i="49" s="1"/>
  <c r="V285" i="49"/>
  <c r="L286" i="49"/>
  <c r="M286" i="49"/>
  <c r="N286" i="49"/>
  <c r="S286" i="49"/>
  <c r="AA286" i="49" s="1"/>
  <c r="V286" i="49"/>
  <c r="L320" i="49"/>
  <c r="M320" i="49"/>
  <c r="N320" i="49"/>
  <c r="S320" i="49"/>
  <c r="AA320" i="49" s="1"/>
  <c r="V320" i="49"/>
  <c r="L321" i="49"/>
  <c r="M321" i="49"/>
  <c r="N321" i="49"/>
  <c r="S321" i="49"/>
  <c r="AA321" i="49" s="1"/>
  <c r="V321" i="49"/>
  <c r="L322" i="49"/>
  <c r="M322" i="49"/>
  <c r="N322" i="49"/>
  <c r="S322" i="49"/>
  <c r="AA322" i="49" s="1"/>
  <c r="V322" i="49"/>
  <c r="L323" i="49"/>
  <c r="M323" i="49"/>
  <c r="N323" i="49"/>
  <c r="S323" i="49"/>
  <c r="AA323" i="49" s="1"/>
  <c r="V323" i="49"/>
  <c r="L324" i="49"/>
  <c r="M324" i="49"/>
  <c r="N324" i="49"/>
  <c r="S324" i="49"/>
  <c r="AA324" i="49" s="1"/>
  <c r="V324" i="49"/>
  <c r="L358" i="49"/>
  <c r="M358" i="49"/>
  <c r="N358" i="49"/>
  <c r="S358" i="49"/>
  <c r="AA358" i="49" s="1"/>
  <c r="V358" i="49"/>
  <c r="L359" i="49"/>
  <c r="M359" i="49"/>
  <c r="N359" i="49"/>
  <c r="S359" i="49"/>
  <c r="AA359" i="49" s="1"/>
  <c r="V359" i="49"/>
  <c r="L360" i="49"/>
  <c r="M360" i="49"/>
  <c r="N360" i="49"/>
  <c r="S360" i="49"/>
  <c r="AA360" i="49" s="1"/>
  <c r="V360" i="49"/>
  <c r="L361" i="49"/>
  <c r="M361" i="49"/>
  <c r="N361" i="49"/>
  <c r="S361" i="49"/>
  <c r="AA361" i="49" s="1"/>
  <c r="V361" i="49"/>
  <c r="L362" i="49"/>
  <c r="M362" i="49"/>
  <c r="N362" i="49"/>
  <c r="S362" i="49"/>
  <c r="AA362" i="49" s="1"/>
  <c r="V362" i="49"/>
  <c r="L434" i="49"/>
  <c r="M434" i="49"/>
  <c r="N434" i="49"/>
  <c r="S434" i="49"/>
  <c r="AA434" i="49" s="1"/>
  <c r="L435" i="49"/>
  <c r="M435" i="49"/>
  <c r="N435" i="49"/>
  <c r="S435" i="49"/>
  <c r="AA435" i="49" s="1"/>
  <c r="L436" i="49"/>
  <c r="M436" i="49"/>
  <c r="N436" i="49"/>
  <c r="S436" i="49"/>
  <c r="AA436" i="49" s="1"/>
  <c r="L437" i="49"/>
  <c r="M437" i="49"/>
  <c r="N437" i="49"/>
  <c r="S437" i="49"/>
  <c r="AA437" i="49" s="1"/>
  <c r="L438" i="49"/>
  <c r="M438" i="49"/>
  <c r="N438" i="49"/>
  <c r="S438" i="49"/>
  <c r="AA438" i="49" s="1"/>
  <c r="L472" i="49"/>
  <c r="M472" i="49"/>
  <c r="N472" i="49"/>
  <c r="S472" i="49"/>
  <c r="AA472" i="49" s="1"/>
  <c r="L473" i="49"/>
  <c r="M473" i="49"/>
  <c r="N473" i="49"/>
  <c r="S473" i="49"/>
  <c r="AA473" i="49" s="1"/>
  <c r="L474" i="49"/>
  <c r="M474" i="49"/>
  <c r="N474" i="49"/>
  <c r="S474" i="49"/>
  <c r="AA474" i="49" s="1"/>
  <c r="L475" i="49"/>
  <c r="M475" i="49"/>
  <c r="N475" i="49"/>
  <c r="S475" i="49"/>
  <c r="AA475" i="49" s="1"/>
  <c r="L476" i="49"/>
  <c r="M476" i="49"/>
  <c r="N476" i="49"/>
  <c r="S476" i="49"/>
  <c r="AA476" i="49" s="1"/>
  <c r="S471" i="49"/>
  <c r="AA471" i="49" s="1"/>
  <c r="N471" i="49"/>
  <c r="M471" i="49"/>
  <c r="L471" i="49"/>
  <c r="S433" i="49"/>
  <c r="AA433" i="49" s="1"/>
  <c r="N433" i="49"/>
  <c r="M433" i="49"/>
  <c r="L433" i="49"/>
  <c r="V395" i="49"/>
  <c r="S395" i="49"/>
  <c r="AA395" i="49" s="1"/>
  <c r="N395" i="49"/>
  <c r="M395" i="49"/>
  <c r="L395" i="49"/>
  <c r="V357" i="49"/>
  <c r="S357" i="49"/>
  <c r="AA357" i="49" s="1"/>
  <c r="N357" i="49"/>
  <c r="M357" i="49"/>
  <c r="L357" i="49"/>
  <c r="V319" i="49"/>
  <c r="S319" i="49"/>
  <c r="AA319" i="49" s="1"/>
  <c r="N319" i="49"/>
  <c r="M319" i="49"/>
  <c r="L319" i="49"/>
  <c r="V281" i="49"/>
  <c r="S281" i="49"/>
  <c r="AA281" i="49" s="1"/>
  <c r="N281" i="49"/>
  <c r="M281" i="49"/>
  <c r="L281" i="49"/>
  <c r="S243" i="49"/>
  <c r="AA243" i="49" s="1"/>
  <c r="N243" i="49"/>
  <c r="M243" i="49"/>
  <c r="L243" i="49"/>
  <c r="G330" i="56" s="1"/>
  <c r="F330" i="56" s="1"/>
  <c r="L206" i="49"/>
  <c r="G293" i="56" s="1"/>
  <c r="F293" i="56" s="1"/>
  <c r="M206" i="49"/>
  <c r="N206" i="49"/>
  <c r="S206" i="49"/>
  <c r="AA206" i="49" s="1"/>
  <c r="L207" i="49"/>
  <c r="G294" i="56" s="1"/>
  <c r="F294" i="56" s="1"/>
  <c r="M207" i="49"/>
  <c r="N207" i="49"/>
  <c r="S207" i="49"/>
  <c r="AA207" i="49" s="1"/>
  <c r="L208" i="49"/>
  <c r="G295" i="56" s="1"/>
  <c r="F295" i="56" s="1"/>
  <c r="M208" i="49"/>
  <c r="N208" i="49"/>
  <c r="S208" i="49"/>
  <c r="AA208" i="49" s="1"/>
  <c r="L209" i="49"/>
  <c r="G296" i="56" s="1"/>
  <c r="F296" i="56" s="1"/>
  <c r="M209" i="49"/>
  <c r="N209" i="49"/>
  <c r="S209" i="49"/>
  <c r="AA209" i="49" s="1"/>
  <c r="L210" i="49"/>
  <c r="G297" i="56" s="1"/>
  <c r="F297" i="56" s="1"/>
  <c r="M210" i="49"/>
  <c r="N210" i="49"/>
  <c r="S210" i="49"/>
  <c r="AA210" i="49" s="1"/>
  <c r="S205" i="49"/>
  <c r="AA205" i="49" s="1"/>
  <c r="N205" i="49"/>
  <c r="M205" i="49"/>
  <c r="L205" i="49"/>
  <c r="S14" i="49"/>
  <c r="AA14" i="49" s="1"/>
  <c r="S15" i="49"/>
  <c r="AA15" i="49" s="1"/>
  <c r="S17" i="49"/>
  <c r="AA17" i="49" s="1"/>
  <c r="S18" i="49"/>
  <c r="AA18" i="49" s="1"/>
  <c r="S19" i="49"/>
  <c r="AA19" i="49" s="1"/>
  <c r="S20" i="49"/>
  <c r="AA20" i="49" s="1"/>
  <c r="S21" i="49"/>
  <c r="AA21" i="49" s="1"/>
  <c r="S22" i="49"/>
  <c r="AA22" i="49" s="1"/>
  <c r="L23" i="49"/>
  <c r="G86" i="56" s="1"/>
  <c r="F86" i="56" s="1"/>
  <c r="M23" i="49"/>
  <c r="N23" i="49"/>
  <c r="S23" i="49"/>
  <c r="AA23" i="49" s="1"/>
  <c r="L24" i="49"/>
  <c r="G87" i="56" s="1"/>
  <c r="F87" i="56" s="1"/>
  <c r="M24" i="49"/>
  <c r="N24" i="49"/>
  <c r="S24" i="49"/>
  <c r="AA24" i="49" s="1"/>
  <c r="L25" i="49"/>
  <c r="G88" i="56" s="1"/>
  <c r="F88" i="56" s="1"/>
  <c r="M25" i="49"/>
  <c r="N25" i="49"/>
  <c r="S25" i="49"/>
  <c r="AA25" i="49" s="1"/>
  <c r="L26" i="49"/>
  <c r="G89" i="56" s="1"/>
  <c r="F89" i="56" s="1"/>
  <c r="M26" i="49"/>
  <c r="N26" i="49"/>
  <c r="S26" i="49"/>
  <c r="AA26" i="49" s="1"/>
  <c r="L27" i="49"/>
  <c r="G90" i="56" s="1"/>
  <c r="F90" i="56" s="1"/>
  <c r="M27" i="49"/>
  <c r="N27" i="49"/>
  <c r="S27" i="49"/>
  <c r="AA27" i="49" s="1"/>
  <c r="L28" i="49"/>
  <c r="G91" i="56" s="1"/>
  <c r="F91" i="56" s="1"/>
  <c r="M28" i="49"/>
  <c r="N28" i="49"/>
  <c r="S28" i="49"/>
  <c r="AA28" i="49" s="1"/>
  <c r="L29" i="49"/>
  <c r="G92" i="56" s="1"/>
  <c r="F92" i="56" s="1"/>
  <c r="M29" i="49"/>
  <c r="N29" i="49"/>
  <c r="S29" i="49"/>
  <c r="AA29" i="49" s="1"/>
  <c r="L30" i="49"/>
  <c r="G93" i="56" s="1"/>
  <c r="F93" i="56" s="1"/>
  <c r="M30" i="49"/>
  <c r="N30" i="49"/>
  <c r="S30" i="49"/>
  <c r="AA30" i="49" s="1"/>
  <c r="L31" i="49"/>
  <c r="G94" i="56" s="1"/>
  <c r="F94" i="56" s="1"/>
  <c r="M31" i="49"/>
  <c r="N31" i="49"/>
  <c r="S31" i="49"/>
  <c r="AA31" i="49" s="1"/>
  <c r="L32" i="49"/>
  <c r="G95" i="56" s="1"/>
  <c r="F95" i="56" s="1"/>
  <c r="M32" i="49"/>
  <c r="N32" i="49"/>
  <c r="S32" i="49"/>
  <c r="AA32" i="49" s="1"/>
  <c r="L33" i="49"/>
  <c r="G96" i="56" s="1"/>
  <c r="F96" i="56" s="1"/>
  <c r="M33" i="49"/>
  <c r="N33" i="49"/>
  <c r="S33" i="49"/>
  <c r="AA33" i="49" s="1"/>
  <c r="L34" i="49"/>
  <c r="G97" i="56" s="1"/>
  <c r="F97" i="56" s="1"/>
  <c r="M34" i="49"/>
  <c r="N34" i="49"/>
  <c r="S34" i="49"/>
  <c r="AA34" i="49" s="1"/>
  <c r="L35" i="49"/>
  <c r="G98" i="56" s="1"/>
  <c r="F98" i="56" s="1"/>
  <c r="M35" i="49"/>
  <c r="N35" i="49"/>
  <c r="S35" i="49"/>
  <c r="AA35" i="49" s="1"/>
  <c r="L36" i="49"/>
  <c r="G99" i="56" s="1"/>
  <c r="F99" i="56" s="1"/>
  <c r="M36" i="49"/>
  <c r="N36" i="49"/>
  <c r="S36" i="49"/>
  <c r="AA36" i="49" s="1"/>
  <c r="L37" i="49"/>
  <c r="G100" i="56" s="1"/>
  <c r="F100" i="56" s="1"/>
  <c r="M37" i="49"/>
  <c r="N37" i="49"/>
  <c r="S37" i="49"/>
  <c r="AA37" i="49" s="1"/>
  <c r="L38" i="49"/>
  <c r="G101" i="56" s="1"/>
  <c r="F101" i="56" s="1"/>
  <c r="M38" i="49"/>
  <c r="N38" i="49"/>
  <c r="S38" i="49"/>
  <c r="AA38" i="49" s="1"/>
  <c r="L39" i="49"/>
  <c r="G102" i="56" s="1"/>
  <c r="F102" i="56" s="1"/>
  <c r="M39" i="49"/>
  <c r="N39" i="49"/>
  <c r="S39" i="49"/>
  <c r="AA39" i="49" s="1"/>
  <c r="L40" i="49"/>
  <c r="G103" i="56" s="1"/>
  <c r="F103" i="56" s="1"/>
  <c r="M40" i="49"/>
  <c r="N40" i="49"/>
  <c r="S40" i="49"/>
  <c r="AA40" i="49" s="1"/>
  <c r="AA439" i="49" l="1"/>
  <c r="AA819" i="49"/>
  <c r="AA477" i="49"/>
  <c r="AA591" i="49"/>
  <c r="AA857" i="49"/>
  <c r="AA895" i="49"/>
  <c r="AA781" i="49"/>
  <c r="AA743" i="49"/>
  <c r="AA705" i="49"/>
  <c r="AA553" i="49"/>
  <c r="AA515" i="49"/>
  <c r="AA401" i="49"/>
  <c r="AA363" i="49"/>
  <c r="AA249" i="49"/>
  <c r="AA287" i="49"/>
  <c r="AA325" i="49"/>
  <c r="I827" i="56"/>
  <c r="H750" i="70" s="1"/>
  <c r="I672" i="56"/>
  <c r="I676" i="56"/>
  <c r="I824" i="56"/>
  <c r="H747" i="70" s="1"/>
  <c r="I828" i="56"/>
  <c r="H751" i="70" s="1"/>
  <c r="I673" i="56"/>
  <c r="I677" i="56"/>
  <c r="I825" i="56"/>
  <c r="H748" i="70" s="1"/>
  <c r="I829" i="56"/>
  <c r="H752" i="70" s="1"/>
  <c r="I674" i="56"/>
  <c r="G292" i="56"/>
  <c r="F292" i="56" s="1"/>
  <c r="I826" i="56"/>
  <c r="H749" i="70" s="1"/>
  <c r="I675" i="56"/>
  <c r="AA211" i="49"/>
  <c r="I486" i="56"/>
  <c r="H463" i="70" s="1"/>
  <c r="I93" i="56"/>
  <c r="C158" i="70" s="1"/>
  <c r="I369" i="56"/>
  <c r="H364" i="70" s="1"/>
  <c r="I332" i="56"/>
  <c r="H333" i="70" s="1"/>
  <c r="I599" i="56"/>
  <c r="H558" i="70" s="1"/>
  <c r="I787" i="56"/>
  <c r="H716" i="70" s="1"/>
  <c r="I791" i="56"/>
  <c r="H720" i="70" s="1"/>
  <c r="I864" i="56"/>
  <c r="H781" i="70" s="1"/>
  <c r="I977" i="56"/>
  <c r="H876" i="70" s="1"/>
  <c r="I981" i="56"/>
  <c r="H880" i="70" s="1"/>
  <c r="I635" i="56"/>
  <c r="H588" i="70" s="1"/>
  <c r="I904" i="56"/>
  <c r="H815" i="70" s="1"/>
  <c r="I89" i="56"/>
  <c r="C154" i="70" s="1"/>
  <c r="I558" i="56"/>
  <c r="H523" i="70" s="1"/>
  <c r="H623" i="70"/>
  <c r="I713" i="56"/>
  <c r="H654" i="70" s="1"/>
  <c r="I84" i="56"/>
  <c r="C149" i="70" s="1"/>
  <c r="I296" i="56"/>
  <c r="H303" i="70" s="1"/>
  <c r="I83" i="56"/>
  <c r="C148" i="70" s="1"/>
  <c r="I444" i="56"/>
  <c r="H427" i="70" s="1"/>
  <c r="I563" i="56"/>
  <c r="H528" i="70" s="1"/>
  <c r="I559" i="56"/>
  <c r="H524" i="70" s="1"/>
  <c r="I522" i="56"/>
  <c r="H493" i="70" s="1"/>
  <c r="I372" i="56"/>
  <c r="H367" i="70" s="1"/>
  <c r="I941" i="56"/>
  <c r="H846" i="70" s="1"/>
  <c r="I82" i="56"/>
  <c r="C147" i="70" s="1"/>
  <c r="I408" i="56"/>
  <c r="H397" i="70" s="1"/>
  <c r="I636" i="56"/>
  <c r="H589" i="70" s="1"/>
  <c r="I751" i="56"/>
  <c r="H686" i="70" s="1"/>
  <c r="I901" i="56"/>
  <c r="H812" i="70" s="1"/>
  <c r="I905" i="56"/>
  <c r="H816" i="70" s="1"/>
  <c r="I639" i="56"/>
  <c r="H592" i="70" s="1"/>
  <c r="I85" i="56"/>
  <c r="C150" i="70" s="1"/>
  <c r="I448" i="56"/>
  <c r="H431" i="70" s="1"/>
  <c r="H619" i="70"/>
  <c r="I100" i="56"/>
  <c r="C165" i="70" s="1"/>
  <c r="I96" i="56"/>
  <c r="C161" i="70" s="1"/>
  <c r="I92" i="56"/>
  <c r="C157" i="70" s="1"/>
  <c r="I88" i="56"/>
  <c r="C153" i="70" s="1"/>
  <c r="I81" i="56"/>
  <c r="C146" i="70" s="1"/>
  <c r="I330" i="56"/>
  <c r="H331" i="70" s="1"/>
  <c r="I411" i="56"/>
  <c r="H400" i="70" s="1"/>
  <c r="I485" i="56"/>
  <c r="H462" i="70" s="1"/>
  <c r="H620" i="70"/>
  <c r="H624" i="70"/>
  <c r="I714" i="56"/>
  <c r="H655" i="70" s="1"/>
  <c r="I447" i="56"/>
  <c r="H430" i="70" s="1"/>
  <c r="I335" i="56"/>
  <c r="H336" i="70" s="1"/>
  <c r="I331" i="56"/>
  <c r="H332" i="70" s="1"/>
  <c r="I596" i="56"/>
  <c r="H555" i="70" s="1"/>
  <c r="I600" i="56"/>
  <c r="H559" i="70" s="1"/>
  <c r="I788" i="56"/>
  <c r="H717" i="70" s="1"/>
  <c r="I865" i="56"/>
  <c r="H782" i="70" s="1"/>
  <c r="I978" i="56"/>
  <c r="H877" i="70" s="1"/>
  <c r="I445" i="56"/>
  <c r="H428" i="70" s="1"/>
  <c r="I80" i="56"/>
  <c r="C145" i="70" s="1"/>
  <c r="I295" i="56"/>
  <c r="H302" i="70" s="1"/>
  <c r="I78" i="56"/>
  <c r="C143" i="70" s="1"/>
  <c r="I562" i="56"/>
  <c r="H527" i="70" s="1"/>
  <c r="I525" i="56"/>
  <c r="H496" i="70" s="1"/>
  <c r="I521" i="56"/>
  <c r="H492" i="70" s="1"/>
  <c r="I938" i="56"/>
  <c r="H843" i="70" s="1"/>
  <c r="I942" i="56"/>
  <c r="H847" i="70" s="1"/>
  <c r="I77" i="56"/>
  <c r="C142" i="70" s="1"/>
  <c r="I482" i="56"/>
  <c r="H459" i="70" s="1"/>
  <c r="I371" i="56"/>
  <c r="H366" i="70" s="1"/>
  <c r="I637" i="56"/>
  <c r="H590" i="70" s="1"/>
  <c r="I752" i="56"/>
  <c r="H687" i="70" s="1"/>
  <c r="I902" i="56"/>
  <c r="H813" i="70" s="1"/>
  <c r="I101" i="56"/>
  <c r="C166" i="70" s="1"/>
  <c r="I368" i="56"/>
  <c r="H363" i="70" s="1"/>
  <c r="I407" i="56"/>
  <c r="H396" i="70" s="1"/>
  <c r="H621" i="70"/>
  <c r="I748" i="56"/>
  <c r="H683" i="70" s="1"/>
  <c r="I597" i="56"/>
  <c r="H556" i="70" s="1"/>
  <c r="I711" i="56"/>
  <c r="H652" i="70" s="1"/>
  <c r="I789" i="56"/>
  <c r="H718" i="70" s="1"/>
  <c r="I862" i="56"/>
  <c r="H779" i="70" s="1"/>
  <c r="I866" i="56"/>
  <c r="H783" i="70" s="1"/>
  <c r="I979" i="56"/>
  <c r="H878" i="70" s="1"/>
  <c r="I900" i="56"/>
  <c r="H811" i="70" s="1"/>
  <c r="I103" i="56"/>
  <c r="C168" i="70" s="1"/>
  <c r="I91" i="56"/>
  <c r="C156" i="70" s="1"/>
  <c r="I484" i="56"/>
  <c r="H461" i="70" s="1"/>
  <c r="I601" i="56"/>
  <c r="H560" i="70" s="1"/>
  <c r="I561" i="56"/>
  <c r="H526" i="70" s="1"/>
  <c r="I524" i="56"/>
  <c r="H495" i="70" s="1"/>
  <c r="I446" i="56"/>
  <c r="H429" i="70" s="1"/>
  <c r="I487" i="56"/>
  <c r="H464" i="70" s="1"/>
  <c r="I939" i="56"/>
  <c r="H844" i="70" s="1"/>
  <c r="I943" i="56"/>
  <c r="H848" i="70" s="1"/>
  <c r="I97" i="56"/>
  <c r="C162" i="70" s="1"/>
  <c r="I99" i="56"/>
  <c r="C164" i="70" s="1"/>
  <c r="I294" i="56"/>
  <c r="H301" i="70" s="1"/>
  <c r="I410" i="56"/>
  <c r="H399" i="70" s="1"/>
  <c r="I449" i="56"/>
  <c r="H432" i="70" s="1"/>
  <c r="I634" i="56"/>
  <c r="H587" i="70" s="1"/>
  <c r="I638" i="56"/>
  <c r="H591" i="70" s="1"/>
  <c r="I753" i="56"/>
  <c r="H688" i="70" s="1"/>
  <c r="I903" i="56"/>
  <c r="H814" i="70" s="1"/>
  <c r="I95" i="56"/>
  <c r="C160" i="70" s="1"/>
  <c r="I87" i="56"/>
  <c r="C152" i="70" s="1"/>
  <c r="I76" i="56"/>
  <c r="C141" i="70" s="1"/>
  <c r="I334" i="56"/>
  <c r="H335" i="70" s="1"/>
  <c r="I102" i="56"/>
  <c r="C167" i="70" s="1"/>
  <c r="I98" i="56"/>
  <c r="C163" i="70" s="1"/>
  <c r="I94" i="56"/>
  <c r="C159" i="70" s="1"/>
  <c r="I90" i="56"/>
  <c r="C155" i="70" s="1"/>
  <c r="I86" i="56"/>
  <c r="C151" i="70" s="1"/>
  <c r="I292" i="56"/>
  <c r="H299" i="70" s="1"/>
  <c r="I520" i="56"/>
  <c r="H491" i="70" s="1"/>
  <c r="I370" i="56"/>
  <c r="H365" i="70" s="1"/>
  <c r="H622" i="70"/>
  <c r="I749" i="56"/>
  <c r="H684" i="70" s="1"/>
  <c r="I297" i="56"/>
  <c r="H304" i="70" s="1"/>
  <c r="I293" i="56"/>
  <c r="H300" i="70" s="1"/>
  <c r="I406" i="56"/>
  <c r="H395" i="70" s="1"/>
  <c r="I373" i="56"/>
  <c r="H368" i="70" s="1"/>
  <c r="I333" i="56"/>
  <c r="H334" i="70" s="1"/>
  <c r="I598" i="56"/>
  <c r="H557" i="70" s="1"/>
  <c r="I786" i="56"/>
  <c r="H715" i="70" s="1"/>
  <c r="I790" i="56"/>
  <c r="H719" i="70" s="1"/>
  <c r="I863" i="56"/>
  <c r="H780" i="70" s="1"/>
  <c r="I867" i="56"/>
  <c r="H784" i="70" s="1"/>
  <c r="I976" i="56"/>
  <c r="H875" i="70" s="1"/>
  <c r="I980" i="56"/>
  <c r="H879" i="70" s="1"/>
  <c r="I560" i="56"/>
  <c r="H525" i="70" s="1"/>
  <c r="I523" i="56"/>
  <c r="H494" i="70" s="1"/>
  <c r="I409" i="56"/>
  <c r="H398" i="70" s="1"/>
  <c r="I483" i="56"/>
  <c r="H460" i="70" s="1"/>
  <c r="I940" i="56"/>
  <c r="H845" i="70" s="1"/>
  <c r="G449" i="56"/>
  <c r="F449" i="56" s="1"/>
  <c r="B716" i="56"/>
  <c r="C716" i="56"/>
  <c r="D716" i="56"/>
  <c r="G786" i="56"/>
  <c r="F786" i="56" s="1"/>
  <c r="G790" i="56"/>
  <c r="F790" i="56" s="1"/>
  <c r="G863" i="56"/>
  <c r="F863" i="56" s="1"/>
  <c r="G867" i="56"/>
  <c r="F867" i="56" s="1"/>
  <c r="G976" i="56"/>
  <c r="F976" i="56" s="1"/>
  <c r="G980" i="56"/>
  <c r="F980" i="56" s="1"/>
  <c r="G940" i="56"/>
  <c r="F940" i="56" s="1"/>
  <c r="G373" i="56"/>
  <c r="F373" i="56" s="1"/>
  <c r="G333" i="56"/>
  <c r="F333" i="56" s="1"/>
  <c r="G636" i="56"/>
  <c r="F636" i="56" s="1"/>
  <c r="G597" i="56"/>
  <c r="F597" i="56" s="1"/>
  <c r="G601" i="56"/>
  <c r="F601" i="56" s="1"/>
  <c r="G827" i="56"/>
  <c r="F827" i="56" s="1"/>
  <c r="G900" i="56"/>
  <c r="F900" i="56" s="1"/>
  <c r="G904" i="56"/>
  <c r="F904" i="56" s="1"/>
  <c r="G524" i="56"/>
  <c r="F524" i="56" s="1"/>
  <c r="G444" i="56"/>
  <c r="F444" i="56" s="1"/>
  <c r="B334" i="56"/>
  <c r="C334" i="56"/>
  <c r="D334" i="56"/>
  <c r="G560" i="56"/>
  <c r="F560" i="56" s="1"/>
  <c r="G523" i="56"/>
  <c r="F523" i="56" s="1"/>
  <c r="G409" i="56"/>
  <c r="F409" i="56" s="1"/>
  <c r="G483" i="56"/>
  <c r="F483" i="56" s="1"/>
  <c r="B717" i="56"/>
  <c r="D717" i="56"/>
  <c r="C717" i="56"/>
  <c r="G750" i="56"/>
  <c r="F750" i="56" s="1"/>
  <c r="G445" i="56"/>
  <c r="F445" i="56" s="1"/>
  <c r="G787" i="56"/>
  <c r="F787" i="56" s="1"/>
  <c r="G791" i="56"/>
  <c r="F791" i="56" s="1"/>
  <c r="G864" i="56"/>
  <c r="F864" i="56" s="1"/>
  <c r="G977" i="56"/>
  <c r="F977" i="56" s="1"/>
  <c r="G981" i="56"/>
  <c r="F981" i="56" s="1"/>
  <c r="G486" i="56"/>
  <c r="F486" i="56" s="1"/>
  <c r="G448" i="56"/>
  <c r="F448" i="56" s="1"/>
  <c r="G675" i="56"/>
  <c r="F675" i="56" s="1"/>
  <c r="G941" i="56"/>
  <c r="F941" i="56" s="1"/>
  <c r="G561" i="56"/>
  <c r="F561" i="56" s="1"/>
  <c r="G482" i="56"/>
  <c r="F482" i="56" s="1"/>
  <c r="G369" i="56"/>
  <c r="F369" i="56" s="1"/>
  <c r="G332" i="56"/>
  <c r="F332" i="56" s="1"/>
  <c r="G637" i="56"/>
  <c r="F637" i="56" s="1"/>
  <c r="G598" i="56"/>
  <c r="F598" i="56" s="1"/>
  <c r="G751" i="56"/>
  <c r="F751" i="56" s="1"/>
  <c r="G824" i="56"/>
  <c r="F824" i="56" s="1"/>
  <c r="G828" i="56"/>
  <c r="F828" i="56" s="1"/>
  <c r="G901" i="56"/>
  <c r="F901" i="56" s="1"/>
  <c r="G905" i="56"/>
  <c r="F905" i="56" s="1"/>
  <c r="G368" i="56"/>
  <c r="F368" i="56" s="1"/>
  <c r="G563" i="56"/>
  <c r="F563" i="56" s="1"/>
  <c r="G559" i="56"/>
  <c r="F559" i="56" s="1"/>
  <c r="G522" i="56"/>
  <c r="F522" i="56" s="1"/>
  <c r="G372" i="56"/>
  <c r="F372" i="56" s="1"/>
  <c r="B718" i="56"/>
  <c r="D718" i="56"/>
  <c r="C718" i="56"/>
  <c r="G487" i="56"/>
  <c r="F487" i="56" s="1"/>
  <c r="G749" i="56"/>
  <c r="F749" i="56" s="1"/>
  <c r="G408" i="56"/>
  <c r="F408" i="56" s="1"/>
  <c r="G788" i="56"/>
  <c r="F788" i="56" s="1"/>
  <c r="G865" i="56"/>
  <c r="F865" i="56" s="1"/>
  <c r="G978" i="56"/>
  <c r="F978" i="56" s="1"/>
  <c r="G446" i="56"/>
  <c r="F446" i="56" s="1"/>
  <c r="G938" i="56"/>
  <c r="F938" i="56" s="1"/>
  <c r="G942" i="56"/>
  <c r="F942" i="56" s="1"/>
  <c r="C714" i="56"/>
  <c r="D714" i="56"/>
  <c r="B714" i="56"/>
  <c r="G447" i="56"/>
  <c r="F447" i="56" s="1"/>
  <c r="G335" i="56"/>
  <c r="F335" i="56" s="1"/>
  <c r="G331" i="56"/>
  <c r="F331" i="56" s="1"/>
  <c r="G634" i="56"/>
  <c r="F634" i="56" s="1"/>
  <c r="G638" i="56"/>
  <c r="F638" i="56" s="1"/>
  <c r="G599" i="56"/>
  <c r="F599" i="56" s="1"/>
  <c r="G752" i="56"/>
  <c r="F752" i="56" s="1"/>
  <c r="G825" i="56"/>
  <c r="F825" i="56" s="1"/>
  <c r="G829" i="56"/>
  <c r="F829" i="56" s="1"/>
  <c r="G902" i="56"/>
  <c r="F902" i="56" s="1"/>
  <c r="G370" i="56"/>
  <c r="F370" i="56" s="1"/>
  <c r="G485" i="56"/>
  <c r="F485" i="56" s="1"/>
  <c r="G520" i="56"/>
  <c r="F520" i="56" s="1"/>
  <c r="G562" i="56"/>
  <c r="F562" i="56" s="1"/>
  <c r="G525" i="56"/>
  <c r="F525" i="56" s="1"/>
  <c r="G521" i="56"/>
  <c r="F521" i="56" s="1"/>
  <c r="C719" i="56"/>
  <c r="D719" i="56"/>
  <c r="B719" i="56"/>
  <c r="G748" i="56"/>
  <c r="F748" i="56" s="1"/>
  <c r="G674" i="56"/>
  <c r="F674" i="56" s="1"/>
  <c r="G411" i="56"/>
  <c r="F411" i="56" s="1"/>
  <c r="G672" i="56"/>
  <c r="F672" i="56" s="1"/>
  <c r="G676" i="56"/>
  <c r="F676" i="56" s="1"/>
  <c r="G406" i="56"/>
  <c r="F406" i="56" s="1"/>
  <c r="G371" i="56"/>
  <c r="F371" i="56" s="1"/>
  <c r="D715" i="56"/>
  <c r="B715" i="56"/>
  <c r="C715" i="56"/>
  <c r="G789" i="56"/>
  <c r="F789" i="56" s="1"/>
  <c r="G862" i="56"/>
  <c r="F862" i="56" s="1"/>
  <c r="G866" i="56"/>
  <c r="F866" i="56" s="1"/>
  <c r="G979" i="56"/>
  <c r="F979" i="56" s="1"/>
  <c r="G407" i="56"/>
  <c r="F407" i="56" s="1"/>
  <c r="G673" i="56"/>
  <c r="F673" i="56" s="1"/>
  <c r="G677" i="56"/>
  <c r="F677" i="56" s="1"/>
  <c r="G939" i="56"/>
  <c r="F939" i="56" s="1"/>
  <c r="G943" i="56"/>
  <c r="F943" i="56" s="1"/>
  <c r="G558" i="56"/>
  <c r="F558" i="56" s="1"/>
  <c r="G410" i="56"/>
  <c r="F410" i="56" s="1"/>
  <c r="G334" i="56"/>
  <c r="F334" i="56" s="1"/>
  <c r="G484" i="56"/>
  <c r="F484" i="56" s="1"/>
  <c r="G635" i="56"/>
  <c r="F635" i="56" s="1"/>
  <c r="G639" i="56"/>
  <c r="F639" i="56" s="1"/>
  <c r="G596" i="56"/>
  <c r="F596" i="56" s="1"/>
  <c r="G600" i="56"/>
  <c r="F600" i="56" s="1"/>
  <c r="G753" i="56"/>
  <c r="F753" i="56" s="1"/>
  <c r="G826" i="56"/>
  <c r="F826" i="56" s="1"/>
  <c r="G903" i="56"/>
  <c r="F903" i="56" s="1"/>
  <c r="G331" i="70"/>
  <c r="A175" i="56"/>
  <c r="B648" i="70"/>
  <c r="B584" i="70"/>
  <c r="B616" i="70"/>
  <c r="B680" i="70"/>
  <c r="B552" i="70"/>
  <c r="G654" i="70"/>
  <c r="G653" i="70"/>
  <c r="G655" i="70"/>
  <c r="G651" i="70"/>
  <c r="G656" i="70"/>
  <c r="G652" i="70"/>
  <c r="D657" i="49"/>
  <c r="G707" i="56"/>
  <c r="G593" i="56"/>
  <c r="G745" i="56"/>
  <c r="G631" i="56"/>
  <c r="G669" i="56"/>
  <c r="C24" i="60"/>
  <c r="B630" i="56"/>
  <c r="B583" i="70" s="1"/>
  <c r="B602" i="70" s="1"/>
  <c r="C23" i="60"/>
  <c r="B592" i="56"/>
  <c r="B551" i="70" s="1"/>
  <c r="B570" i="70" s="1"/>
  <c r="C25" i="60"/>
  <c r="B668" i="56"/>
  <c r="B615" i="70" s="1"/>
  <c r="B634" i="70" s="1"/>
  <c r="C26" i="60"/>
  <c r="B706" i="56"/>
  <c r="B647" i="70" s="1"/>
  <c r="B666" i="70" s="1"/>
  <c r="C27" i="60"/>
  <c r="B744" i="56"/>
  <c r="B679" i="70" s="1"/>
  <c r="B698" i="70" s="1"/>
  <c r="D505" i="49"/>
  <c r="D619" i="49"/>
  <c r="E512" i="49"/>
  <c r="D599" i="56" s="1"/>
  <c r="D558" i="70" s="1"/>
  <c r="AF568" i="49"/>
  <c r="AE568" i="49"/>
  <c r="E572" i="49"/>
  <c r="E876" i="49"/>
  <c r="AF872" i="49"/>
  <c r="AE872" i="49"/>
  <c r="E914" i="49"/>
  <c r="AF910" i="49"/>
  <c r="AE910" i="49"/>
  <c r="B606" i="49"/>
  <c r="AD607" i="49"/>
  <c r="AD605" i="49"/>
  <c r="B644" i="49"/>
  <c r="AD645" i="49"/>
  <c r="AD643" i="49"/>
  <c r="AF606" i="49"/>
  <c r="AE606" i="49"/>
  <c r="E610" i="49"/>
  <c r="E838" i="49"/>
  <c r="AF834" i="49"/>
  <c r="AE834" i="49"/>
  <c r="AF644" i="49"/>
  <c r="AE644" i="49"/>
  <c r="E648" i="49"/>
  <c r="AF682" i="49"/>
  <c r="AE682" i="49"/>
  <c r="E686" i="49"/>
  <c r="AF720" i="49"/>
  <c r="AE720" i="49"/>
  <c r="E724" i="49"/>
  <c r="E762" i="49"/>
  <c r="AF758" i="49"/>
  <c r="AE758" i="49"/>
  <c r="B530" i="49"/>
  <c r="AD531" i="49"/>
  <c r="AD529" i="49"/>
  <c r="E800" i="49"/>
  <c r="AF796" i="49"/>
  <c r="AE796" i="49"/>
  <c r="B682" i="49"/>
  <c r="AD681" i="49"/>
  <c r="AD683" i="49"/>
  <c r="AF530" i="49"/>
  <c r="AE530" i="49"/>
  <c r="E534" i="49"/>
  <c r="B561" i="49"/>
  <c r="AD569" i="49"/>
  <c r="AD567" i="49"/>
  <c r="D1275" i="49"/>
  <c r="D1271" i="49"/>
  <c r="D1270" i="49"/>
  <c r="C1357" i="56" s="1"/>
  <c r="C1196" i="70" s="1"/>
  <c r="D1272" i="49"/>
  <c r="B1272" i="49" s="1"/>
  <c r="D1285" i="49"/>
  <c r="E1285" i="49" s="1"/>
  <c r="D1284" i="49"/>
  <c r="E1284" i="49" s="1"/>
  <c r="D1283" i="49"/>
  <c r="E1283" i="49" s="1"/>
  <c r="Q397" i="51" s="1"/>
  <c r="D1281" i="49"/>
  <c r="E1281" i="49" s="1"/>
  <c r="D1280" i="49"/>
  <c r="D1278" i="49"/>
  <c r="E1278" i="49" s="1"/>
  <c r="D1277" i="49"/>
  <c r="E1277" i="49" s="1"/>
  <c r="D1276" i="49"/>
  <c r="E1276" i="49" s="1"/>
  <c r="D1233" i="49"/>
  <c r="D1232" i="49"/>
  <c r="C1319" i="56" s="1"/>
  <c r="C1164" i="70" s="1"/>
  <c r="D1247" i="49"/>
  <c r="E1247" i="49" s="1"/>
  <c r="D1234" i="49"/>
  <c r="B1234" i="49" s="1"/>
  <c r="D1246" i="49"/>
  <c r="E1246" i="49" s="1"/>
  <c r="D1245" i="49"/>
  <c r="E1245" i="49" s="1"/>
  <c r="Q385" i="51" s="1"/>
  <c r="D1243" i="49"/>
  <c r="E1243" i="49" s="1"/>
  <c r="D1242" i="49"/>
  <c r="D1240" i="49"/>
  <c r="E1240" i="49" s="1"/>
  <c r="D1239" i="49"/>
  <c r="E1239" i="49" s="1"/>
  <c r="D1238" i="49"/>
  <c r="E1238" i="49" s="1"/>
  <c r="D1237" i="49"/>
  <c r="D1195" i="49"/>
  <c r="D1200" i="49"/>
  <c r="E1200" i="49" s="1"/>
  <c r="D1209" i="49"/>
  <c r="E1209" i="49" s="1"/>
  <c r="D1208" i="49"/>
  <c r="E1208" i="49" s="1"/>
  <c r="D1207" i="49"/>
  <c r="E1207" i="49" s="1"/>
  <c r="Q373" i="51" s="1"/>
  <c r="D1204" i="49"/>
  <c r="D1202" i="49"/>
  <c r="E1202" i="49" s="1"/>
  <c r="D1201" i="49"/>
  <c r="E1201" i="49" s="1"/>
  <c r="D1199" i="49"/>
  <c r="D1194" i="49"/>
  <c r="C1281" i="56" s="1"/>
  <c r="C1132" i="70" s="1"/>
  <c r="D1205" i="49"/>
  <c r="E1205" i="49" s="1"/>
  <c r="D1196" i="49"/>
  <c r="B1196" i="49" s="1"/>
  <c r="D1157" i="49"/>
  <c r="D1171" i="49"/>
  <c r="E1171" i="49" s="1"/>
  <c r="D1170" i="49"/>
  <c r="E1170" i="49" s="1"/>
  <c r="D1169" i="49"/>
  <c r="E1169" i="49" s="1"/>
  <c r="Q361" i="51" s="1"/>
  <c r="D1163" i="49"/>
  <c r="E1163" i="49" s="1"/>
  <c r="D1167" i="49"/>
  <c r="E1167" i="49" s="1"/>
  <c r="D1166" i="49"/>
  <c r="D1164" i="49"/>
  <c r="E1164" i="49" s="1"/>
  <c r="D1162" i="49"/>
  <c r="E1162" i="49" s="1"/>
  <c r="D1156" i="49"/>
  <c r="C1243" i="56" s="1"/>
  <c r="C1100" i="70" s="1"/>
  <c r="D1161" i="49"/>
  <c r="D1158" i="49"/>
  <c r="B1158" i="49" s="1"/>
  <c r="D1119" i="49"/>
  <c r="D1133" i="49"/>
  <c r="E1133" i="49" s="1"/>
  <c r="D1132" i="49"/>
  <c r="E1132" i="49" s="1"/>
  <c r="D1131" i="49"/>
  <c r="E1131" i="49" s="1"/>
  <c r="Q349" i="51" s="1"/>
  <c r="D1128" i="49"/>
  <c r="D1126" i="49"/>
  <c r="E1126" i="49" s="1"/>
  <c r="D1125" i="49"/>
  <c r="E1125" i="49" s="1"/>
  <c r="D1124" i="49"/>
  <c r="E1124" i="49" s="1"/>
  <c r="D1123" i="49"/>
  <c r="D1118" i="49"/>
  <c r="C1205" i="56" s="1"/>
  <c r="C1068" i="70" s="1"/>
  <c r="D1129" i="49"/>
  <c r="E1129" i="49" s="1"/>
  <c r="D1120" i="49"/>
  <c r="B1120" i="49" s="1"/>
  <c r="D1095" i="49"/>
  <c r="E1095" i="49" s="1"/>
  <c r="D1094" i="49"/>
  <c r="E1094" i="49" s="1"/>
  <c r="D1093" i="49"/>
  <c r="E1093" i="49" s="1"/>
  <c r="Q337" i="51" s="1"/>
  <c r="D1090" i="49"/>
  <c r="D1088" i="49"/>
  <c r="E1088" i="49" s="1"/>
  <c r="D1087" i="49"/>
  <c r="E1087" i="49" s="1"/>
  <c r="D1086" i="49"/>
  <c r="E1086" i="49" s="1"/>
  <c r="D1085" i="49"/>
  <c r="D1080" i="49"/>
  <c r="C1167" i="56" s="1"/>
  <c r="C1036" i="70" s="1"/>
  <c r="D1091" i="49"/>
  <c r="E1091" i="49" s="1"/>
  <c r="D1082" i="49"/>
  <c r="B1082" i="49" s="1"/>
  <c r="D1081" i="49"/>
  <c r="D1057" i="49"/>
  <c r="E1057" i="49" s="1"/>
  <c r="D1056" i="49"/>
  <c r="E1056" i="49" s="1"/>
  <c r="D1055" i="49"/>
  <c r="E1055" i="49" s="1"/>
  <c r="Q325" i="51" s="1"/>
  <c r="D1049" i="49"/>
  <c r="E1049" i="49" s="1"/>
  <c r="D1052" i="49"/>
  <c r="D1050" i="49"/>
  <c r="E1050" i="49" s="1"/>
  <c r="D1048" i="49"/>
  <c r="E1048" i="49" s="1"/>
  <c r="D1047" i="49"/>
  <c r="D1042" i="49"/>
  <c r="C1129" i="56" s="1"/>
  <c r="C1004" i="70" s="1"/>
  <c r="D1053" i="49"/>
  <c r="E1053" i="49" s="1"/>
  <c r="D1044" i="49"/>
  <c r="B1044" i="49" s="1"/>
  <c r="D1043" i="49"/>
  <c r="D1019" i="49"/>
  <c r="E1019" i="49" s="1"/>
  <c r="D1018" i="49"/>
  <c r="E1018" i="49" s="1"/>
  <c r="D1017" i="49"/>
  <c r="E1017" i="49" s="1"/>
  <c r="Q313" i="51" s="1"/>
  <c r="D1014" i="49"/>
  <c r="D1012" i="49"/>
  <c r="E1012" i="49" s="1"/>
  <c r="D1011" i="49"/>
  <c r="E1011" i="49" s="1"/>
  <c r="D1010" i="49"/>
  <c r="E1010" i="49" s="1"/>
  <c r="D1009" i="49"/>
  <c r="D1004" i="49"/>
  <c r="C1091" i="56" s="1"/>
  <c r="C972" i="70" s="1"/>
  <c r="D1015" i="49"/>
  <c r="E1015" i="49" s="1"/>
  <c r="D1006" i="49"/>
  <c r="B1006" i="49" s="1"/>
  <c r="D1005" i="49"/>
  <c r="D981" i="49"/>
  <c r="E981" i="49" s="1"/>
  <c r="D979" i="49"/>
  <c r="E979" i="49" s="1"/>
  <c r="Q301" i="51" s="1"/>
  <c r="D977" i="49"/>
  <c r="E977" i="49" s="1"/>
  <c r="D976" i="49"/>
  <c r="D974" i="49"/>
  <c r="E974" i="49" s="1"/>
  <c r="D973" i="49"/>
  <c r="E973" i="49" s="1"/>
  <c r="D972" i="49"/>
  <c r="E972" i="49" s="1"/>
  <c r="D971" i="49"/>
  <c r="D968" i="49"/>
  <c r="B968" i="49" s="1"/>
  <c r="D967" i="49"/>
  <c r="C1054" i="56" s="1"/>
  <c r="C941" i="70" s="1"/>
  <c r="D980" i="49"/>
  <c r="E980" i="49" s="1"/>
  <c r="D966" i="49"/>
  <c r="C1053" i="56" s="1"/>
  <c r="C940" i="70" s="1"/>
  <c r="D943" i="49"/>
  <c r="E943" i="49" s="1"/>
  <c r="D941" i="49"/>
  <c r="E941" i="49" s="1"/>
  <c r="Q289" i="51" s="1"/>
  <c r="D939" i="49"/>
  <c r="E939" i="49" s="1"/>
  <c r="D938" i="49"/>
  <c r="D936" i="49"/>
  <c r="E936" i="49" s="1"/>
  <c r="D935" i="49"/>
  <c r="E935" i="49" s="1"/>
  <c r="D934" i="49"/>
  <c r="E934" i="49" s="1"/>
  <c r="D933" i="49"/>
  <c r="D930" i="49"/>
  <c r="B930" i="49" s="1"/>
  <c r="D929" i="49"/>
  <c r="D942" i="49"/>
  <c r="E942" i="49" s="1"/>
  <c r="D928" i="49"/>
  <c r="C1015" i="56" s="1"/>
  <c r="C908" i="70" s="1"/>
  <c r="D664" i="49"/>
  <c r="B664" i="49" s="1"/>
  <c r="D708" i="49"/>
  <c r="D707" i="49"/>
  <c r="D706" i="49"/>
  <c r="D705" i="49"/>
  <c r="D701" i="49"/>
  <c r="C788" i="56" s="1"/>
  <c r="C717" i="70" s="1"/>
  <c r="D714" i="49"/>
  <c r="D700" i="49"/>
  <c r="C787" i="56" s="1"/>
  <c r="C716" i="70" s="1"/>
  <c r="D702" i="49"/>
  <c r="B702" i="49" s="1"/>
  <c r="D715" i="49"/>
  <c r="D710" i="49"/>
  <c r="D713" i="49"/>
  <c r="D711" i="49"/>
  <c r="D740" i="49"/>
  <c r="B740" i="49" s="1"/>
  <c r="D739" i="49"/>
  <c r="C826" i="56" s="1"/>
  <c r="C749" i="70" s="1"/>
  <c r="D752" i="49"/>
  <c r="D738" i="49"/>
  <c r="C825" i="56" s="1"/>
  <c r="C748" i="70" s="1"/>
  <c r="D753" i="49"/>
  <c r="D751" i="49"/>
  <c r="D749" i="49"/>
  <c r="D748" i="49"/>
  <c r="D746" i="49"/>
  <c r="D745" i="49"/>
  <c r="D744" i="49"/>
  <c r="D743" i="49"/>
  <c r="D776" i="49"/>
  <c r="C863" i="56" s="1"/>
  <c r="C780" i="70" s="1"/>
  <c r="D782" i="49"/>
  <c r="D791" i="49"/>
  <c r="D789" i="49"/>
  <c r="D787" i="49"/>
  <c r="D786" i="49"/>
  <c r="D784" i="49"/>
  <c r="D783" i="49"/>
  <c r="D781" i="49"/>
  <c r="D778" i="49"/>
  <c r="B778" i="49" s="1"/>
  <c r="D777" i="49"/>
  <c r="C864" i="56" s="1"/>
  <c r="C781" i="70" s="1"/>
  <c r="D790" i="49"/>
  <c r="D829" i="49"/>
  <c r="D814" i="49"/>
  <c r="C901" i="56" s="1"/>
  <c r="C812" i="70" s="1"/>
  <c r="D827" i="49"/>
  <c r="D825" i="49"/>
  <c r="D822" i="49"/>
  <c r="D821" i="49"/>
  <c r="D820" i="49"/>
  <c r="D819" i="49"/>
  <c r="D816" i="49"/>
  <c r="B816" i="49" s="1"/>
  <c r="D815" i="49"/>
  <c r="C902" i="56" s="1"/>
  <c r="C813" i="70" s="1"/>
  <c r="D828" i="49"/>
  <c r="D824" i="49"/>
  <c r="D867" i="49"/>
  <c r="D859" i="49"/>
  <c r="D865" i="49"/>
  <c r="D860" i="49"/>
  <c r="D863" i="49"/>
  <c r="D862" i="49"/>
  <c r="D858" i="49"/>
  <c r="D854" i="49"/>
  <c r="B854" i="49" s="1"/>
  <c r="D857" i="49"/>
  <c r="D853" i="49"/>
  <c r="C940" i="56" s="1"/>
  <c r="C845" i="70" s="1"/>
  <c r="D866" i="49"/>
  <c r="D852" i="49"/>
  <c r="C939" i="56" s="1"/>
  <c r="C844" i="70" s="1"/>
  <c r="D900" i="49"/>
  <c r="E900" i="49" s="1"/>
  <c r="D898" i="49"/>
  <c r="E898" i="49" s="1"/>
  <c r="D897" i="49"/>
  <c r="E897" i="49" s="1"/>
  <c r="D896" i="49"/>
  <c r="E896" i="49" s="1"/>
  <c r="D895" i="49"/>
  <c r="E895" i="49" s="1"/>
  <c r="D892" i="49"/>
  <c r="B892" i="49" s="1"/>
  <c r="D891" i="49"/>
  <c r="D904" i="49"/>
  <c r="E904" i="49" s="1"/>
  <c r="D890" i="49"/>
  <c r="D905" i="49"/>
  <c r="E905" i="49" s="1"/>
  <c r="D903" i="49"/>
  <c r="E903" i="49" s="1"/>
  <c r="Q277" i="51" s="1"/>
  <c r="D901" i="49"/>
  <c r="E901" i="49" s="1"/>
  <c r="D543" i="49"/>
  <c r="D733" i="49"/>
  <c r="D581" i="49"/>
  <c r="D771" i="49"/>
  <c r="D695" i="49"/>
  <c r="B568" i="49"/>
  <c r="D809" i="49"/>
  <c r="D885" i="49"/>
  <c r="D847" i="49"/>
  <c r="D638" i="49"/>
  <c r="E638" i="49" s="1"/>
  <c r="D625" i="49"/>
  <c r="D677" i="49"/>
  <c r="E677" i="49" s="1"/>
  <c r="B637" i="49"/>
  <c r="B675" i="49"/>
  <c r="B827" i="49"/>
  <c r="B713" i="49"/>
  <c r="D626" i="49"/>
  <c r="B626" i="49" s="1"/>
  <c r="D629" i="49"/>
  <c r="E629" i="49" s="1"/>
  <c r="D662" i="49"/>
  <c r="C749" i="56" s="1"/>
  <c r="C684" i="70" s="1"/>
  <c r="D630" i="49"/>
  <c r="E630" i="49" s="1"/>
  <c r="D631" i="49"/>
  <c r="E631" i="49" s="1"/>
  <c r="D676" i="49"/>
  <c r="E676" i="49" s="1"/>
  <c r="D632" i="49"/>
  <c r="E632" i="49" s="1"/>
  <c r="D663" i="49"/>
  <c r="D634" i="49"/>
  <c r="E634" i="49" s="1"/>
  <c r="D667" i="49"/>
  <c r="D635" i="49"/>
  <c r="E635" i="49" s="1"/>
  <c r="D668" i="49"/>
  <c r="E668" i="49" s="1"/>
  <c r="B599" i="49"/>
  <c r="D637" i="49"/>
  <c r="E637" i="49" s="1"/>
  <c r="Q193" i="51" s="1"/>
  <c r="D669" i="49"/>
  <c r="E669" i="49" s="1"/>
  <c r="D639" i="49"/>
  <c r="E639" i="49" s="1"/>
  <c r="D670" i="49"/>
  <c r="E670" i="49" s="1"/>
  <c r="D672" i="49"/>
  <c r="E672" i="49" s="1"/>
  <c r="D673" i="49"/>
  <c r="E673" i="49" s="1"/>
  <c r="D675" i="49"/>
  <c r="E675" i="49" s="1"/>
  <c r="Q205" i="51" s="1"/>
  <c r="D624" i="49"/>
  <c r="B523" i="49"/>
  <c r="B903" i="49"/>
  <c r="B865" i="49"/>
  <c r="B789" i="49"/>
  <c r="B751" i="49"/>
  <c r="E854" i="49"/>
  <c r="D941" i="56" s="1"/>
  <c r="D846" i="70" s="1"/>
  <c r="E778" i="49"/>
  <c r="D865" i="56" s="1"/>
  <c r="D782" i="70" s="1"/>
  <c r="E816" i="49"/>
  <c r="D903" i="56" s="1"/>
  <c r="D814" i="70" s="1"/>
  <c r="E740" i="49"/>
  <c r="D827" i="56" s="1"/>
  <c r="D750" i="70" s="1"/>
  <c r="E702" i="49"/>
  <c r="D789" i="56" s="1"/>
  <c r="D718" i="70" s="1"/>
  <c r="D591" i="49"/>
  <c r="D563" i="49"/>
  <c r="D550" i="49"/>
  <c r="B550" i="49" s="1"/>
  <c r="D588" i="49"/>
  <c r="B588" i="49" s="1"/>
  <c r="D592" i="49"/>
  <c r="D593" i="49"/>
  <c r="D594" i="49"/>
  <c r="D596" i="49"/>
  <c r="D597" i="49"/>
  <c r="D599" i="49"/>
  <c r="D601" i="49"/>
  <c r="D586" i="49"/>
  <c r="C673" i="56" s="1"/>
  <c r="C620" i="70" s="1"/>
  <c r="D600" i="49"/>
  <c r="D587" i="49"/>
  <c r="C674" i="56" s="1"/>
  <c r="C621" i="70" s="1"/>
  <c r="D553" i="49"/>
  <c r="D554" i="49"/>
  <c r="D555" i="49"/>
  <c r="D556" i="49"/>
  <c r="D558" i="49"/>
  <c r="D548" i="49"/>
  <c r="C635" i="56" s="1"/>
  <c r="C588" i="70" s="1"/>
  <c r="D559" i="49"/>
  <c r="D562" i="49"/>
  <c r="D561" i="49"/>
  <c r="D549" i="49"/>
  <c r="C636" i="56" s="1"/>
  <c r="C589" i="70" s="1"/>
  <c r="D516" i="49"/>
  <c r="D515" i="49"/>
  <c r="D517" i="49"/>
  <c r="D518" i="49"/>
  <c r="D520" i="49"/>
  <c r="D521" i="49"/>
  <c r="D523" i="49"/>
  <c r="E523" i="49" s="1"/>
  <c r="Q157" i="51" s="1"/>
  <c r="D525" i="49"/>
  <c r="D524" i="49"/>
  <c r="D511" i="49"/>
  <c r="C598" i="56" s="1"/>
  <c r="C557" i="70" s="1"/>
  <c r="D512" i="49"/>
  <c r="B512" i="49" s="1"/>
  <c r="D510" i="49"/>
  <c r="E550" i="49"/>
  <c r="D637" i="56" s="1"/>
  <c r="D590" i="70" s="1"/>
  <c r="E588" i="49"/>
  <c r="D675" i="56" s="1"/>
  <c r="D622" i="70" s="1"/>
  <c r="H433" i="70" l="1"/>
  <c r="H529" i="70"/>
  <c r="H305" i="70"/>
  <c r="H465" i="70"/>
  <c r="H593" i="70"/>
  <c r="F590" i="70" s="1"/>
  <c r="H337" i="70"/>
  <c r="H881" i="70"/>
  <c r="H401" i="70"/>
  <c r="H817" i="70"/>
  <c r="F814" i="70" s="1"/>
  <c r="H721" i="70"/>
  <c r="F718" i="70" s="1"/>
  <c r="H849" i="70"/>
  <c r="F846" i="70" s="1"/>
  <c r="H561" i="70"/>
  <c r="F558" i="70" s="1"/>
  <c r="H753" i="70"/>
  <c r="F750" i="70" s="1"/>
  <c r="H497" i="70"/>
  <c r="H625" i="70"/>
  <c r="F622" i="70" s="1"/>
  <c r="H369" i="70"/>
  <c r="H785" i="70"/>
  <c r="F782" i="70" s="1"/>
  <c r="G397" i="70"/>
  <c r="G687" i="70"/>
  <c r="G496" i="70"/>
  <c r="G366" i="70"/>
  <c r="G429" i="70"/>
  <c r="G400" i="70"/>
  <c r="G877" i="70"/>
  <c r="G717" i="70"/>
  <c r="G621" i="70"/>
  <c r="G683" i="70"/>
  <c r="G494" i="70"/>
  <c r="G782" i="70"/>
  <c r="G816" i="70"/>
  <c r="G525" i="70"/>
  <c r="G461" i="70"/>
  <c r="G879" i="70"/>
  <c r="G876" i="70"/>
  <c r="G395" i="70"/>
  <c r="G684" i="70"/>
  <c r="G619" i="70"/>
  <c r="G811" i="70"/>
  <c r="G843" i="70"/>
  <c r="G364" i="70"/>
  <c r="G396" i="70"/>
  <c r="D907" i="56"/>
  <c r="B907" i="56"/>
  <c r="C907" i="56"/>
  <c r="B338" i="56"/>
  <c r="D338" i="56"/>
  <c r="C338" i="56"/>
  <c r="D983" i="56"/>
  <c r="C983" i="56"/>
  <c r="B983" i="56"/>
  <c r="G623" i="70"/>
  <c r="D566" i="56"/>
  <c r="C566" i="56"/>
  <c r="B566" i="56"/>
  <c r="B603" i="56"/>
  <c r="C603" i="56"/>
  <c r="D603" i="56"/>
  <c r="G847" i="70"/>
  <c r="G464" i="70"/>
  <c r="B905" i="56"/>
  <c r="D905" i="56"/>
  <c r="C905" i="56"/>
  <c r="C486" i="56"/>
  <c r="B486" i="56"/>
  <c r="D486" i="56"/>
  <c r="C868" i="56"/>
  <c r="D868" i="56"/>
  <c r="B868" i="56"/>
  <c r="G398" i="70"/>
  <c r="B831" i="56"/>
  <c r="C831" i="56"/>
  <c r="D831" i="56"/>
  <c r="B980" i="56"/>
  <c r="C980" i="56"/>
  <c r="D980" i="56"/>
  <c r="G814" i="70"/>
  <c r="G335" i="70"/>
  <c r="G878" i="70"/>
  <c r="C676" i="56"/>
  <c r="D676" i="56"/>
  <c r="B676" i="56"/>
  <c r="G527" i="70"/>
  <c r="G558" i="70"/>
  <c r="D942" i="56"/>
  <c r="B942" i="56"/>
  <c r="C942" i="56"/>
  <c r="G812" i="70"/>
  <c r="G459" i="70"/>
  <c r="G781" i="70"/>
  <c r="C527" i="56"/>
  <c r="B527" i="56"/>
  <c r="D527" i="56"/>
  <c r="G750" i="70"/>
  <c r="G875" i="70"/>
  <c r="B680" i="56"/>
  <c r="C680" i="56"/>
  <c r="D680" i="56"/>
  <c r="C830" i="56"/>
  <c r="B830" i="56"/>
  <c r="D830" i="56"/>
  <c r="C414" i="56"/>
  <c r="D414" i="56"/>
  <c r="B414" i="56"/>
  <c r="C870" i="56"/>
  <c r="B870" i="56"/>
  <c r="D870" i="56"/>
  <c r="C524" i="56"/>
  <c r="B524" i="56"/>
  <c r="D524" i="56"/>
  <c r="B642" i="56"/>
  <c r="C642" i="56"/>
  <c r="D642" i="56"/>
  <c r="D832" i="56"/>
  <c r="B832" i="56"/>
  <c r="C832" i="56"/>
  <c r="D565" i="56"/>
  <c r="C565" i="56"/>
  <c r="B565" i="56"/>
  <c r="B795" i="56"/>
  <c r="C795" i="56"/>
  <c r="D795" i="56"/>
  <c r="B605" i="56"/>
  <c r="C605" i="56"/>
  <c r="D605" i="56"/>
  <c r="C871" i="56"/>
  <c r="D871" i="56"/>
  <c r="B871" i="56"/>
  <c r="G749" i="70"/>
  <c r="G399" i="70"/>
  <c r="G783" i="70"/>
  <c r="C415" i="56"/>
  <c r="B415" i="56"/>
  <c r="D415" i="56"/>
  <c r="G491" i="70"/>
  <c r="G591" i="70"/>
  <c r="D450" i="56"/>
  <c r="C450" i="56"/>
  <c r="B450" i="56"/>
  <c r="G751" i="70"/>
  <c r="G526" i="70"/>
  <c r="G720" i="70"/>
  <c r="D564" i="56"/>
  <c r="B564" i="56"/>
  <c r="C564" i="56"/>
  <c r="G560" i="70"/>
  <c r="G784" i="70"/>
  <c r="D562" i="56"/>
  <c r="C562" i="56"/>
  <c r="B562" i="56"/>
  <c r="C866" i="56"/>
  <c r="B866" i="56"/>
  <c r="D866" i="56"/>
  <c r="B489" i="56"/>
  <c r="D489" i="56"/>
  <c r="C489" i="56"/>
  <c r="D638" i="56"/>
  <c r="B638" i="56"/>
  <c r="C638" i="56"/>
  <c r="B376" i="56"/>
  <c r="D376" i="56"/>
  <c r="C376" i="56"/>
  <c r="D828" i="56"/>
  <c r="C828" i="56"/>
  <c r="B828" i="56"/>
  <c r="D945" i="56"/>
  <c r="B945" i="56"/>
  <c r="C945" i="56"/>
  <c r="C791" i="56"/>
  <c r="B791" i="56"/>
  <c r="D791" i="56"/>
  <c r="B601" i="56"/>
  <c r="D601" i="56"/>
  <c r="C601" i="56"/>
  <c r="D867" i="56"/>
  <c r="B867" i="56"/>
  <c r="C867" i="56"/>
  <c r="D413" i="56"/>
  <c r="C413" i="56"/>
  <c r="B413" i="56"/>
  <c r="G688" i="70"/>
  <c r="G523" i="70"/>
  <c r="G779" i="70"/>
  <c r="C678" i="56"/>
  <c r="D678" i="56"/>
  <c r="B678" i="56"/>
  <c r="G462" i="70"/>
  <c r="G587" i="70"/>
  <c r="C982" i="56"/>
  <c r="D982" i="56"/>
  <c r="B982" i="56"/>
  <c r="G367" i="70"/>
  <c r="G747" i="70"/>
  <c r="G846" i="70"/>
  <c r="G716" i="70"/>
  <c r="G556" i="70"/>
  <c r="G780" i="70"/>
  <c r="C757" i="56"/>
  <c r="D757" i="56"/>
  <c r="B757" i="56"/>
  <c r="B604" i="56"/>
  <c r="D604" i="56"/>
  <c r="C604" i="56"/>
  <c r="C947" i="56"/>
  <c r="D947" i="56"/>
  <c r="B947" i="56"/>
  <c r="D793" i="56"/>
  <c r="B793" i="56"/>
  <c r="C793" i="56"/>
  <c r="D374" i="56"/>
  <c r="C374" i="56"/>
  <c r="B374" i="56"/>
  <c r="C335" i="56"/>
  <c r="D335" i="56"/>
  <c r="B335" i="56"/>
  <c r="B526" i="56"/>
  <c r="C526" i="56"/>
  <c r="D526" i="56"/>
  <c r="D755" i="56"/>
  <c r="C755" i="56"/>
  <c r="B755" i="56"/>
  <c r="D679" i="56"/>
  <c r="C679" i="56"/>
  <c r="B679" i="56"/>
  <c r="C449" i="56"/>
  <c r="B449" i="56"/>
  <c r="D449" i="56"/>
  <c r="D640" i="56"/>
  <c r="B640" i="56"/>
  <c r="C640" i="56"/>
  <c r="B794" i="56"/>
  <c r="C794" i="56"/>
  <c r="D794" i="56"/>
  <c r="G559" i="70"/>
  <c r="G848" i="70"/>
  <c r="G718" i="70"/>
  <c r="C752" i="56"/>
  <c r="D752" i="56"/>
  <c r="B752" i="56"/>
  <c r="G365" i="70"/>
  <c r="G332" i="70"/>
  <c r="C869" i="56"/>
  <c r="B869" i="56"/>
  <c r="D869" i="56"/>
  <c r="G493" i="70"/>
  <c r="G686" i="70"/>
  <c r="G622" i="70"/>
  <c r="G428" i="70"/>
  <c r="G589" i="70"/>
  <c r="G719" i="70"/>
  <c r="B600" i="56"/>
  <c r="D600" i="56"/>
  <c r="C600" i="56"/>
  <c r="B943" i="56"/>
  <c r="C943" i="56"/>
  <c r="D943" i="56"/>
  <c r="B906" i="56"/>
  <c r="C906" i="56"/>
  <c r="D906" i="56"/>
  <c r="C339" i="56"/>
  <c r="D339" i="56"/>
  <c r="B339" i="56"/>
  <c r="D563" i="56"/>
  <c r="B563" i="56"/>
  <c r="C563" i="56"/>
  <c r="B602" i="56"/>
  <c r="C602" i="56"/>
  <c r="D602" i="56"/>
  <c r="D452" i="56"/>
  <c r="B452" i="56"/>
  <c r="C452" i="56"/>
  <c r="D754" i="56"/>
  <c r="B754" i="56"/>
  <c r="C754" i="56"/>
  <c r="C448" i="56"/>
  <c r="D448" i="56"/>
  <c r="B448" i="56"/>
  <c r="C337" i="56"/>
  <c r="D337" i="56"/>
  <c r="B337" i="56"/>
  <c r="D790" i="56"/>
  <c r="C790" i="56"/>
  <c r="B790" i="56"/>
  <c r="G555" i="70"/>
  <c r="G844" i="70"/>
  <c r="G813" i="70"/>
  <c r="G336" i="70"/>
  <c r="D792" i="56"/>
  <c r="C792" i="56"/>
  <c r="B792" i="56"/>
  <c r="G524" i="70"/>
  <c r="G557" i="70"/>
  <c r="G431" i="70"/>
  <c r="G685" i="70"/>
  <c r="G427" i="70"/>
  <c r="G334" i="70"/>
  <c r="G715" i="70"/>
  <c r="D643" i="56"/>
  <c r="C643" i="56"/>
  <c r="B643" i="56"/>
  <c r="D681" i="56"/>
  <c r="B681" i="56"/>
  <c r="C681" i="56"/>
  <c r="B833" i="56"/>
  <c r="D833" i="56"/>
  <c r="C833" i="56"/>
  <c r="D451" i="56"/>
  <c r="B451" i="56"/>
  <c r="C451" i="56"/>
  <c r="D567" i="56"/>
  <c r="B567" i="56"/>
  <c r="C567" i="56"/>
  <c r="C641" i="56"/>
  <c r="B641" i="56"/>
  <c r="D641" i="56"/>
  <c r="C490" i="56"/>
  <c r="D490" i="56"/>
  <c r="B490" i="56"/>
  <c r="B528" i="56"/>
  <c r="C528" i="56"/>
  <c r="D528" i="56"/>
  <c r="C377" i="56"/>
  <c r="D377" i="56"/>
  <c r="B377" i="56"/>
  <c r="G592" i="70"/>
  <c r="G624" i="70"/>
  <c r="C375" i="56"/>
  <c r="D375" i="56"/>
  <c r="B375" i="56"/>
  <c r="G752" i="70"/>
  <c r="G430" i="70"/>
  <c r="D412" i="56"/>
  <c r="B412" i="56"/>
  <c r="C412" i="56"/>
  <c r="G528" i="70"/>
  <c r="G590" i="70"/>
  <c r="G463" i="70"/>
  <c r="G495" i="70"/>
  <c r="G368" i="70"/>
  <c r="B639" i="56"/>
  <c r="C639" i="56"/>
  <c r="D639" i="56"/>
  <c r="B677" i="56"/>
  <c r="C677" i="56"/>
  <c r="D677" i="56"/>
  <c r="C525" i="56"/>
  <c r="D525" i="56"/>
  <c r="B525" i="56"/>
  <c r="D829" i="56"/>
  <c r="C829" i="56"/>
  <c r="B829" i="56"/>
  <c r="B372" i="56"/>
  <c r="D372" i="56"/>
  <c r="C372" i="56"/>
  <c r="D336" i="56"/>
  <c r="C336" i="56"/>
  <c r="B336" i="56"/>
  <c r="B985" i="56"/>
  <c r="D985" i="56"/>
  <c r="C985" i="56"/>
  <c r="C908" i="56"/>
  <c r="D908" i="56"/>
  <c r="B908" i="56"/>
  <c r="B944" i="56"/>
  <c r="D944" i="56"/>
  <c r="C944" i="56"/>
  <c r="B946" i="56"/>
  <c r="C946" i="56"/>
  <c r="D946" i="56"/>
  <c r="G588" i="70"/>
  <c r="G620" i="70"/>
  <c r="B410" i="56"/>
  <c r="C410" i="56"/>
  <c r="D410" i="56"/>
  <c r="G492" i="70"/>
  <c r="G748" i="70"/>
  <c r="B753" i="56"/>
  <c r="D753" i="56"/>
  <c r="C753" i="56"/>
  <c r="G363" i="70"/>
  <c r="G333" i="70"/>
  <c r="G880" i="70"/>
  <c r="C487" i="56"/>
  <c r="B487" i="56"/>
  <c r="D487" i="56"/>
  <c r="G815" i="70"/>
  <c r="G845" i="70"/>
  <c r="B453" i="56"/>
  <c r="D453" i="56"/>
  <c r="C453" i="56"/>
  <c r="B491" i="56"/>
  <c r="C491" i="56"/>
  <c r="D491" i="56"/>
  <c r="B488" i="56"/>
  <c r="C488" i="56"/>
  <c r="D488" i="56"/>
  <c r="B411" i="56"/>
  <c r="C411" i="56"/>
  <c r="D411" i="56"/>
  <c r="B529" i="56"/>
  <c r="D529" i="56"/>
  <c r="C529" i="56"/>
  <c r="B756" i="56"/>
  <c r="C756" i="56"/>
  <c r="D756" i="56"/>
  <c r="C909" i="56"/>
  <c r="B909" i="56"/>
  <c r="D909" i="56"/>
  <c r="D373" i="56"/>
  <c r="B373" i="56"/>
  <c r="C373" i="56"/>
  <c r="C981" i="56"/>
  <c r="D981" i="56"/>
  <c r="B981" i="56"/>
  <c r="G460" i="70"/>
  <c r="B904" i="56"/>
  <c r="D904" i="56"/>
  <c r="C904" i="56"/>
  <c r="B984" i="56"/>
  <c r="D984" i="56"/>
  <c r="C984" i="56"/>
  <c r="G432" i="70"/>
  <c r="G301" i="70"/>
  <c r="J292" i="56"/>
  <c r="G299" i="70"/>
  <c r="G302" i="70"/>
  <c r="G303" i="70"/>
  <c r="G300" i="70"/>
  <c r="G304" i="70"/>
  <c r="A176" i="56"/>
  <c r="B159" i="70"/>
  <c r="D159" i="70" s="1"/>
  <c r="B167" i="70"/>
  <c r="D167" i="70" s="1"/>
  <c r="B165" i="70"/>
  <c r="D165" i="70" s="1"/>
  <c r="B157" i="70"/>
  <c r="D157" i="70" s="1"/>
  <c r="B152" i="70"/>
  <c r="D152" i="70" s="1"/>
  <c r="B160" i="70"/>
  <c r="D160" i="70" s="1"/>
  <c r="B154" i="70"/>
  <c r="D154" i="70" s="1"/>
  <c r="B164" i="70"/>
  <c r="D164" i="70" s="1"/>
  <c r="B163" i="70"/>
  <c r="D163" i="70" s="1"/>
  <c r="B158" i="70"/>
  <c r="D158" i="70" s="1"/>
  <c r="B162" i="70"/>
  <c r="D162" i="70" s="1"/>
  <c r="B156" i="70"/>
  <c r="D156" i="70" s="1"/>
  <c r="B166" i="70"/>
  <c r="D166" i="70" s="1"/>
  <c r="B168" i="70"/>
  <c r="D168" i="70" s="1"/>
  <c r="B151" i="70"/>
  <c r="D151" i="70" s="1"/>
  <c r="B153" i="70"/>
  <c r="D153" i="70" s="1"/>
  <c r="B155" i="70"/>
  <c r="D155" i="70" s="1"/>
  <c r="B161" i="70"/>
  <c r="D161" i="70" s="1"/>
  <c r="E892" i="49"/>
  <c r="D979" i="56" s="1"/>
  <c r="D878" i="70" s="1"/>
  <c r="F878" i="70" s="1"/>
  <c r="G592" i="56"/>
  <c r="G630" i="56"/>
  <c r="G744" i="56"/>
  <c r="G706" i="56"/>
  <c r="G668" i="56"/>
  <c r="C1052" i="56"/>
  <c r="C939" i="70" s="1"/>
  <c r="C672" i="56"/>
  <c r="C619" i="70" s="1"/>
  <c r="C634" i="56"/>
  <c r="C587" i="70" s="1"/>
  <c r="E510" i="49"/>
  <c r="D597" i="56" s="1"/>
  <c r="D556" i="70" s="1"/>
  <c r="C597" i="56"/>
  <c r="C556" i="70" s="1"/>
  <c r="W819" i="49"/>
  <c r="C903" i="56"/>
  <c r="C814" i="70" s="1"/>
  <c r="W743" i="49"/>
  <c r="C827" i="56"/>
  <c r="C750" i="70" s="1"/>
  <c r="E929" i="49"/>
  <c r="D1016" i="56" s="1"/>
  <c r="D909" i="70" s="1"/>
  <c r="C1016" i="56"/>
  <c r="C909" i="70" s="1"/>
  <c r="E625" i="49"/>
  <c r="D712" i="56" s="1"/>
  <c r="D653" i="70" s="1"/>
  <c r="C712" i="56"/>
  <c r="C653" i="70" s="1"/>
  <c r="C900" i="56"/>
  <c r="C811" i="70" s="1"/>
  <c r="E624" i="49"/>
  <c r="D711" i="56" s="1"/>
  <c r="D652" i="70" s="1"/>
  <c r="C711" i="56"/>
  <c r="C652" i="70" s="1"/>
  <c r="E890" i="49"/>
  <c r="D977" i="56" s="1"/>
  <c r="D876" i="70" s="1"/>
  <c r="C977" i="56"/>
  <c r="C876" i="70" s="1"/>
  <c r="C938" i="56"/>
  <c r="C843" i="70" s="1"/>
  <c r="W933" i="49"/>
  <c r="C1017" i="56"/>
  <c r="C910" i="70" s="1"/>
  <c r="E1157" i="49"/>
  <c r="D1244" i="56" s="1"/>
  <c r="D1101" i="70" s="1"/>
  <c r="C1244" i="56"/>
  <c r="C1101" i="70" s="1"/>
  <c r="E1233" i="49"/>
  <c r="D1320" i="56" s="1"/>
  <c r="D1165" i="70" s="1"/>
  <c r="C1320" i="56"/>
  <c r="C1165" i="70" s="1"/>
  <c r="W1123" i="49"/>
  <c r="C1207" i="56"/>
  <c r="C1070" i="70" s="1"/>
  <c r="W781" i="49"/>
  <c r="C865" i="56"/>
  <c r="C782" i="70" s="1"/>
  <c r="W1047" i="49"/>
  <c r="C1131" i="56"/>
  <c r="C1006" i="70" s="1"/>
  <c r="C862" i="56"/>
  <c r="C779" i="70" s="1"/>
  <c r="E1271" i="49"/>
  <c r="D1358" i="56" s="1"/>
  <c r="D1197" i="70" s="1"/>
  <c r="C1358" i="56"/>
  <c r="C1197" i="70" s="1"/>
  <c r="W591" i="49"/>
  <c r="C675" i="56"/>
  <c r="C622" i="70" s="1"/>
  <c r="E891" i="49"/>
  <c r="D978" i="56" s="1"/>
  <c r="D877" i="70" s="1"/>
  <c r="C978" i="56"/>
  <c r="C877" i="70" s="1"/>
  <c r="W515" i="49"/>
  <c r="C599" i="56"/>
  <c r="C558" i="70" s="1"/>
  <c r="W553" i="49"/>
  <c r="C637" i="56"/>
  <c r="C590" i="70" s="1"/>
  <c r="W895" i="49"/>
  <c r="C979" i="56"/>
  <c r="C878" i="70" s="1"/>
  <c r="W629" i="49"/>
  <c r="C713" i="56"/>
  <c r="C654" i="70" s="1"/>
  <c r="E663" i="49"/>
  <c r="D750" i="56" s="1"/>
  <c r="D685" i="70" s="1"/>
  <c r="C750" i="56"/>
  <c r="C685" i="70" s="1"/>
  <c r="W857" i="49"/>
  <c r="C941" i="56"/>
  <c r="C846" i="70" s="1"/>
  <c r="C824" i="56"/>
  <c r="C747" i="70" s="1"/>
  <c r="W705" i="49"/>
  <c r="C789" i="56"/>
  <c r="C718" i="70" s="1"/>
  <c r="W667" i="49"/>
  <c r="C751" i="56"/>
  <c r="C686" i="70" s="1"/>
  <c r="W971" i="49"/>
  <c r="C1055" i="56"/>
  <c r="C942" i="70" s="1"/>
  <c r="E1119" i="49"/>
  <c r="D1206" i="56" s="1"/>
  <c r="D1069" i="70" s="1"/>
  <c r="C1206" i="56"/>
  <c r="C1069" i="70" s="1"/>
  <c r="E1195" i="49"/>
  <c r="D1282" i="56" s="1"/>
  <c r="D1133" i="70" s="1"/>
  <c r="C1282" i="56"/>
  <c r="C1133" i="70" s="1"/>
  <c r="W1275" i="49"/>
  <c r="C1359" i="56"/>
  <c r="C1198" i="70" s="1"/>
  <c r="C786" i="56"/>
  <c r="C715" i="70" s="1"/>
  <c r="E1005" i="49"/>
  <c r="D1092" i="56" s="1"/>
  <c r="D973" i="70" s="1"/>
  <c r="C1092" i="56"/>
  <c r="C973" i="70" s="1"/>
  <c r="E1081" i="49"/>
  <c r="D1168" i="56" s="1"/>
  <c r="D1037" i="70" s="1"/>
  <c r="C1168" i="56"/>
  <c r="C1037" i="70" s="1"/>
  <c r="W1161" i="49"/>
  <c r="C1245" i="56"/>
  <c r="C1102" i="70" s="1"/>
  <c r="W1237" i="49"/>
  <c r="C1321" i="56"/>
  <c r="C1166" i="70" s="1"/>
  <c r="E1043" i="49"/>
  <c r="D1130" i="56" s="1"/>
  <c r="D1005" i="70" s="1"/>
  <c r="C1130" i="56"/>
  <c r="C1005" i="70" s="1"/>
  <c r="W1199" i="49"/>
  <c r="C1283" i="56"/>
  <c r="C1134" i="70" s="1"/>
  <c r="W1009" i="49"/>
  <c r="C1093" i="56"/>
  <c r="C974" i="70" s="1"/>
  <c r="W1085" i="49"/>
  <c r="C1169" i="56"/>
  <c r="C1038" i="70" s="1"/>
  <c r="E1280" i="49"/>
  <c r="E1279" i="49" s="1"/>
  <c r="D1279" i="49"/>
  <c r="D43" i="60"/>
  <c r="E1270" i="49"/>
  <c r="D1269" i="49"/>
  <c r="D1273" i="49" s="1"/>
  <c r="B1273" i="49" s="1"/>
  <c r="E43" i="60" s="1"/>
  <c r="E1275" i="49"/>
  <c r="E1274" i="49" s="1"/>
  <c r="D1274" i="49"/>
  <c r="D1236" i="49"/>
  <c r="E1237" i="49"/>
  <c r="E1236" i="49" s="1"/>
  <c r="D1241" i="49"/>
  <c r="E1242" i="49"/>
  <c r="E1241" i="49" s="1"/>
  <c r="D42" i="60"/>
  <c r="E1232" i="49"/>
  <c r="D1231" i="49"/>
  <c r="D1235" i="49" s="1"/>
  <c r="E1204" i="49"/>
  <c r="E1203" i="49" s="1"/>
  <c r="D1203" i="49"/>
  <c r="D41" i="60"/>
  <c r="E1194" i="49"/>
  <c r="D1193" i="49"/>
  <c r="D1197" i="49" s="1"/>
  <c r="E1199" i="49"/>
  <c r="E1198" i="49" s="1"/>
  <c r="D1198" i="49"/>
  <c r="D1160" i="49"/>
  <c r="E1161" i="49"/>
  <c r="E1160" i="49" s="1"/>
  <c r="D1155" i="49"/>
  <c r="D1159" i="49" s="1"/>
  <c r="E1156" i="49"/>
  <c r="E1166" i="49"/>
  <c r="E1165" i="49" s="1"/>
  <c r="D1165" i="49"/>
  <c r="E1118" i="49"/>
  <c r="D1117" i="49"/>
  <c r="D1121" i="49" s="1"/>
  <c r="B1121" i="49" s="1"/>
  <c r="E39" i="60" s="1"/>
  <c r="E1123" i="49"/>
  <c r="E1122" i="49" s="1"/>
  <c r="D1122" i="49"/>
  <c r="E1128" i="49"/>
  <c r="E1127" i="49" s="1"/>
  <c r="D1127" i="49"/>
  <c r="D39" i="60"/>
  <c r="D1089" i="49"/>
  <c r="E1090" i="49"/>
  <c r="E1089" i="49" s="1"/>
  <c r="D38" i="60"/>
  <c r="E1080" i="49"/>
  <c r="D1079" i="49"/>
  <c r="D1083" i="49" s="1"/>
  <c r="B1083" i="49" s="1"/>
  <c r="E1085" i="49"/>
  <c r="E1084" i="49" s="1"/>
  <c r="D1084" i="49"/>
  <c r="D37" i="60"/>
  <c r="D1041" i="49"/>
  <c r="D1045" i="49" s="1"/>
  <c r="B1045" i="49" s="1"/>
  <c r="E37" i="60" s="1"/>
  <c r="E1042" i="49"/>
  <c r="E1047" i="49"/>
  <c r="E1046" i="49" s="1"/>
  <c r="D1046" i="49"/>
  <c r="E1052" i="49"/>
  <c r="E1051" i="49" s="1"/>
  <c r="D1051" i="49"/>
  <c r="D36" i="60"/>
  <c r="E1004" i="49"/>
  <c r="D1003" i="49"/>
  <c r="D1007" i="49" s="1"/>
  <c r="E1009" i="49"/>
  <c r="E1008" i="49" s="1"/>
  <c r="D1008" i="49"/>
  <c r="D1013" i="49"/>
  <c r="E1014" i="49"/>
  <c r="E1013" i="49" s="1"/>
  <c r="E966" i="49"/>
  <c r="D1053" i="56" s="1"/>
  <c r="D940" i="70" s="1"/>
  <c r="D965" i="49"/>
  <c r="D969" i="49" s="1"/>
  <c r="B969" i="49" s="1"/>
  <c r="E35" i="60" s="1"/>
  <c r="E967" i="49"/>
  <c r="D1054" i="56" s="1"/>
  <c r="D941" i="70" s="1"/>
  <c r="D35" i="60"/>
  <c r="E971" i="49"/>
  <c r="E970" i="49" s="1"/>
  <c r="D970" i="49"/>
  <c r="E976" i="49"/>
  <c r="E975" i="49" s="1"/>
  <c r="D975" i="49"/>
  <c r="E928" i="49"/>
  <c r="D927" i="49"/>
  <c r="D931" i="49" s="1"/>
  <c r="D34" i="60"/>
  <c r="D932" i="49"/>
  <c r="E933" i="49"/>
  <c r="E932" i="49" s="1"/>
  <c r="E938" i="49"/>
  <c r="E937" i="49" s="1"/>
  <c r="D937" i="49"/>
  <c r="E633" i="49"/>
  <c r="D623" i="49"/>
  <c r="D627" i="49" s="1"/>
  <c r="E899" i="49"/>
  <c r="D671" i="49"/>
  <c r="D27" i="60"/>
  <c r="E662" i="49"/>
  <c r="D661" i="49"/>
  <c r="D665" i="49" s="1"/>
  <c r="D633" i="49"/>
  <c r="E671" i="49"/>
  <c r="D666" i="49"/>
  <c r="E667" i="49"/>
  <c r="E666" i="49" s="1"/>
  <c r="D26" i="60"/>
  <c r="D628" i="49"/>
  <c r="E628" i="49"/>
  <c r="D894" i="49"/>
  <c r="D899" i="49"/>
  <c r="D889" i="49"/>
  <c r="D893" i="49" s="1"/>
  <c r="B893" i="49" s="1"/>
  <c r="E33" i="60" s="1"/>
  <c r="E894" i="49"/>
  <c r="D33" i="60"/>
  <c r="D307" i="56" l="1"/>
  <c r="D308" i="56"/>
  <c r="D309" i="56"/>
  <c r="D310" i="56"/>
  <c r="D311" i="56"/>
  <c r="D312" i="56"/>
  <c r="C308" i="56"/>
  <c r="D297" i="56"/>
  <c r="C309" i="56"/>
  <c r="C312" i="56"/>
  <c r="C297" i="56"/>
  <c r="C310" i="56"/>
  <c r="C311" i="56"/>
  <c r="D296" i="56"/>
  <c r="D298" i="56"/>
  <c r="C298" i="56"/>
  <c r="C296" i="56"/>
  <c r="D299" i="56"/>
  <c r="C299" i="56"/>
  <c r="C306" i="56"/>
  <c r="D302" i="56"/>
  <c r="C302" i="56"/>
  <c r="D304" i="56"/>
  <c r="C305" i="56"/>
  <c r="D303" i="56"/>
  <c r="C303" i="56"/>
  <c r="C304" i="56"/>
  <c r="D305" i="56"/>
  <c r="C307" i="56"/>
  <c r="D306" i="56"/>
  <c r="D301" i="56"/>
  <c r="D300" i="56"/>
  <c r="C301" i="56"/>
  <c r="C300" i="56"/>
  <c r="B296" i="56"/>
  <c r="B306" i="56"/>
  <c r="B307" i="56"/>
  <c r="B308" i="56"/>
  <c r="B309" i="56"/>
  <c r="B310" i="56"/>
  <c r="B311" i="56"/>
  <c r="B303" i="56"/>
  <c r="B304" i="56"/>
  <c r="B305" i="56"/>
  <c r="B312" i="56"/>
  <c r="B302" i="56"/>
  <c r="B301" i="56"/>
  <c r="B297" i="56"/>
  <c r="B300" i="56"/>
  <c r="B299" i="56"/>
  <c r="B298" i="56"/>
  <c r="A177" i="56"/>
  <c r="C748" i="56"/>
  <c r="C683" i="70" s="1"/>
  <c r="C921" i="56"/>
  <c r="C815" i="70" s="1"/>
  <c r="C1014" i="56"/>
  <c r="C907" i="70" s="1"/>
  <c r="C1356" i="56"/>
  <c r="C1195" i="70" s="1"/>
  <c r="C1073" i="56"/>
  <c r="C943" i="70" s="1"/>
  <c r="C655" i="56"/>
  <c r="C591" i="70" s="1"/>
  <c r="C1280" i="56"/>
  <c r="C1131" i="70" s="1"/>
  <c r="C1204" i="56"/>
  <c r="C1067" i="70" s="1"/>
  <c r="C1318" i="56"/>
  <c r="C1163" i="70" s="1"/>
  <c r="C1242" i="56"/>
  <c r="C1099" i="70" s="1"/>
  <c r="C1128" i="56"/>
  <c r="C1003" i="70" s="1"/>
  <c r="C1166" i="56"/>
  <c r="C1035" i="70" s="1"/>
  <c r="C596" i="56"/>
  <c r="C555" i="70" s="1"/>
  <c r="C693" i="56"/>
  <c r="C623" i="70" s="1"/>
  <c r="C1090" i="56"/>
  <c r="C971" i="70" s="1"/>
  <c r="D710" i="56"/>
  <c r="D651" i="70" s="1"/>
  <c r="C959" i="56"/>
  <c r="C847" i="70" s="1"/>
  <c r="C976" i="56"/>
  <c r="C875" i="70" s="1"/>
  <c r="C845" i="56"/>
  <c r="C751" i="70" s="1"/>
  <c r="C807" i="56"/>
  <c r="C719" i="70" s="1"/>
  <c r="D1052" i="56"/>
  <c r="D939" i="70" s="1"/>
  <c r="D40" i="60"/>
  <c r="E1041" i="49"/>
  <c r="D1129" i="56"/>
  <c r="D1004" i="70" s="1"/>
  <c r="E1117" i="49"/>
  <c r="D1205" i="56"/>
  <c r="D1068" i="70" s="1"/>
  <c r="E1231" i="49"/>
  <c r="D1319" i="56"/>
  <c r="D1164" i="70" s="1"/>
  <c r="B627" i="49"/>
  <c r="E26" i="60" s="1"/>
  <c r="E1269" i="49"/>
  <c r="D1357" i="56"/>
  <c r="D1196" i="70" s="1"/>
  <c r="E661" i="49"/>
  <c r="D749" i="56"/>
  <c r="D684" i="70" s="1"/>
  <c r="E1003" i="49"/>
  <c r="D1091" i="56"/>
  <c r="D972" i="70" s="1"/>
  <c r="D976" i="56"/>
  <c r="D875" i="70" s="1"/>
  <c r="E889" i="49"/>
  <c r="E623" i="49"/>
  <c r="E1155" i="49"/>
  <c r="D1243" i="56"/>
  <c r="D1100" i="70" s="1"/>
  <c r="E1193" i="49"/>
  <c r="D1281" i="56"/>
  <c r="D1132" i="70" s="1"/>
  <c r="C710" i="56"/>
  <c r="C651" i="70" s="1"/>
  <c r="E927" i="49"/>
  <c r="D1015" i="56"/>
  <c r="D908" i="70" s="1"/>
  <c r="E38" i="60"/>
  <c r="F38" i="60"/>
  <c r="G38" i="60"/>
  <c r="C883" i="56"/>
  <c r="C783" i="70" s="1"/>
  <c r="E1079" i="49"/>
  <c r="D1167" i="56"/>
  <c r="D1036" i="70" s="1"/>
  <c r="D1092" i="49"/>
  <c r="D1096" i="49" s="1"/>
  <c r="B1096" i="49" s="1"/>
  <c r="E1092" i="49"/>
  <c r="E940" i="49"/>
  <c r="E978" i="49"/>
  <c r="C1074" i="56" s="1"/>
  <c r="C944" i="70" s="1"/>
  <c r="D944" i="70" s="1"/>
  <c r="E1130" i="49"/>
  <c r="C1226" i="56" s="1"/>
  <c r="C1072" i="70" s="1"/>
  <c r="D1072" i="70" s="1"/>
  <c r="E1206" i="49"/>
  <c r="D1206" i="49"/>
  <c r="B1206" i="49" s="1"/>
  <c r="F41" i="60" s="1"/>
  <c r="D1282" i="49"/>
  <c r="B1282" i="49" s="1"/>
  <c r="F43" i="60" s="1"/>
  <c r="E1282" i="49"/>
  <c r="B1235" i="49"/>
  <c r="E42" i="60" s="1"/>
  <c r="E1244" i="49"/>
  <c r="D1244" i="49"/>
  <c r="B1244" i="49" s="1"/>
  <c r="F42" i="60" s="1"/>
  <c r="B1197" i="49"/>
  <c r="E41" i="60" s="1"/>
  <c r="E1168" i="49"/>
  <c r="B1159" i="49"/>
  <c r="E40" i="60" s="1"/>
  <c r="D1168" i="49"/>
  <c r="B1168" i="49" s="1"/>
  <c r="F40" i="60" s="1"/>
  <c r="D1130" i="49"/>
  <c r="B1130" i="49" s="1"/>
  <c r="F39" i="60" s="1"/>
  <c r="D1054" i="49"/>
  <c r="B1054" i="49" s="1"/>
  <c r="F37" i="60" s="1"/>
  <c r="E1054" i="49"/>
  <c r="E1016" i="49"/>
  <c r="D1016" i="49"/>
  <c r="B1016" i="49" s="1"/>
  <c r="F36" i="60" s="1"/>
  <c r="B1007" i="49"/>
  <c r="E36" i="60" s="1"/>
  <c r="D978" i="49"/>
  <c r="E965" i="49"/>
  <c r="D940" i="49"/>
  <c r="B940" i="49" s="1"/>
  <c r="F34" i="60" s="1"/>
  <c r="B931" i="49"/>
  <c r="E34" i="60" s="1"/>
  <c r="E636" i="49"/>
  <c r="C732" i="56" s="1"/>
  <c r="C656" i="70" s="1"/>
  <c r="D656" i="70" s="1"/>
  <c r="E902" i="49"/>
  <c r="C998" i="56" s="1"/>
  <c r="C880" i="70" s="1"/>
  <c r="D880" i="70" s="1"/>
  <c r="D902" i="49"/>
  <c r="B902" i="49" s="1"/>
  <c r="F33" i="60" s="1"/>
  <c r="D636" i="49"/>
  <c r="D640" i="49" s="1"/>
  <c r="E674" i="49"/>
  <c r="C770" i="56" s="1"/>
  <c r="C688" i="70" s="1"/>
  <c r="D688" i="70" s="1"/>
  <c r="B665" i="49"/>
  <c r="E27" i="60" s="1"/>
  <c r="D674" i="49"/>
  <c r="B674" i="49" s="1"/>
  <c r="F27" i="60" s="1"/>
  <c r="A178" i="56" l="1"/>
  <c r="C1263" i="56"/>
  <c r="C1103" i="70" s="1"/>
  <c r="AF681" i="49"/>
  <c r="AE681" i="49"/>
  <c r="E1235" i="49"/>
  <c r="E1248" i="49" s="1"/>
  <c r="E1251" i="49" s="1"/>
  <c r="AF1251" i="49"/>
  <c r="AF1253" i="49" s="1"/>
  <c r="AE1251" i="49"/>
  <c r="AE1253" i="49" s="1"/>
  <c r="E1197" i="49"/>
  <c r="E1210" i="49" s="1"/>
  <c r="E1213" i="49" s="1"/>
  <c r="AF1213" i="49"/>
  <c r="AF1215" i="49" s="1"/>
  <c r="AE1213" i="49"/>
  <c r="AE1215" i="49" s="1"/>
  <c r="E1121" i="49"/>
  <c r="E1134" i="49" s="1"/>
  <c r="AF1137" i="49"/>
  <c r="AF1139" i="49" s="1"/>
  <c r="AE1137" i="49"/>
  <c r="AE1139" i="49" s="1"/>
  <c r="AF985" i="49"/>
  <c r="AF987" i="49" s="1"/>
  <c r="AE985" i="49"/>
  <c r="AE987" i="49" s="1"/>
  <c r="AF1175" i="49"/>
  <c r="AF1177" i="49" s="1"/>
  <c r="AE1175" i="49"/>
  <c r="AE1177" i="49" s="1"/>
  <c r="E1045" i="49"/>
  <c r="E1058" i="49" s="1"/>
  <c r="AF1061" i="49"/>
  <c r="AF1063" i="49" s="1"/>
  <c r="AE1061" i="49"/>
  <c r="AE1063" i="49" s="1"/>
  <c r="AF947" i="49"/>
  <c r="AF949" i="49" s="1"/>
  <c r="AE947" i="49"/>
  <c r="AE949" i="49" s="1"/>
  <c r="AF643" i="49"/>
  <c r="AE643" i="49"/>
  <c r="E1083" i="49"/>
  <c r="E1096" i="49" s="1"/>
  <c r="E1099" i="49" s="1"/>
  <c r="AF1099" i="49"/>
  <c r="AF1101" i="49" s="1"/>
  <c r="AE1099" i="49"/>
  <c r="AE1101" i="49" s="1"/>
  <c r="E1007" i="49"/>
  <c r="E1020" i="49" s="1"/>
  <c r="E1023" i="49" s="1"/>
  <c r="AF1023" i="49"/>
  <c r="AF1025" i="49" s="1"/>
  <c r="AE1023" i="49"/>
  <c r="AE1025" i="49" s="1"/>
  <c r="E1273" i="49"/>
  <c r="E1286" i="49" s="1"/>
  <c r="AF1289" i="49"/>
  <c r="AF1291" i="49" s="1"/>
  <c r="AE1289" i="49"/>
  <c r="AE1291" i="49" s="1"/>
  <c r="E893" i="49"/>
  <c r="E906" i="49" s="1"/>
  <c r="AF909" i="49"/>
  <c r="AF911" i="49" s="1"/>
  <c r="AE909" i="49"/>
  <c r="AE911" i="49" s="1"/>
  <c r="C997" i="56"/>
  <c r="C879" i="70" s="1"/>
  <c r="C881" i="70" s="1"/>
  <c r="C884" i="70" s="1"/>
  <c r="C886" i="70" s="1"/>
  <c r="C1301" i="56"/>
  <c r="C1135" i="70" s="1"/>
  <c r="C945" i="70"/>
  <c r="C948" i="70" s="1"/>
  <c r="C1035" i="56"/>
  <c r="C911" i="70" s="1"/>
  <c r="C1111" i="56"/>
  <c r="C975" i="70" s="1"/>
  <c r="C1339" i="56"/>
  <c r="C1167" i="70" s="1"/>
  <c r="C1187" i="56"/>
  <c r="C1039" i="70" s="1"/>
  <c r="C1377" i="56"/>
  <c r="C1199" i="70" s="1"/>
  <c r="D1166" i="56"/>
  <c r="D1035" i="70" s="1"/>
  <c r="D997" i="56"/>
  <c r="D879" i="70" s="1"/>
  <c r="D881" i="70" s="1"/>
  <c r="D884" i="70" s="1"/>
  <c r="C617" i="56"/>
  <c r="C559" i="70" s="1"/>
  <c r="D1090" i="56"/>
  <c r="D971" i="70" s="1"/>
  <c r="D748" i="56"/>
  <c r="D683" i="70" s="1"/>
  <c r="D1073" i="56"/>
  <c r="D943" i="70" s="1"/>
  <c r="D945" i="70" s="1"/>
  <c r="D948" i="70" s="1"/>
  <c r="C769" i="56"/>
  <c r="C687" i="70" s="1"/>
  <c r="C689" i="70" s="1"/>
  <c r="C692" i="70" s="1"/>
  <c r="C694" i="70" s="1"/>
  <c r="D1128" i="56"/>
  <c r="D1003" i="70" s="1"/>
  <c r="D1356" i="56"/>
  <c r="D1195" i="70" s="1"/>
  <c r="C1149" i="56"/>
  <c r="C1007" i="70" s="1"/>
  <c r="D1280" i="56"/>
  <c r="D1131" i="70" s="1"/>
  <c r="D1318" i="56"/>
  <c r="D1163" i="70" s="1"/>
  <c r="C1225" i="56"/>
  <c r="C1071" i="70" s="1"/>
  <c r="C1073" i="70" s="1"/>
  <c r="C1076" i="70" s="1"/>
  <c r="C1078" i="70" s="1"/>
  <c r="D1014" i="56"/>
  <c r="D907" i="70" s="1"/>
  <c r="C731" i="56"/>
  <c r="C655" i="70" s="1"/>
  <c r="C657" i="70" s="1"/>
  <c r="C660" i="70" s="1"/>
  <c r="D1242" i="56"/>
  <c r="D1099" i="70" s="1"/>
  <c r="D1204" i="56"/>
  <c r="D1067" i="70" s="1"/>
  <c r="E931" i="49"/>
  <c r="E944" i="49" s="1"/>
  <c r="E947" i="49" s="1"/>
  <c r="E1159" i="49"/>
  <c r="E1172" i="49" s="1"/>
  <c r="C1150" i="56"/>
  <c r="C1008" i="70" s="1"/>
  <c r="D1008" i="70" s="1"/>
  <c r="C1302" i="56"/>
  <c r="C1136" i="70" s="1"/>
  <c r="C1188" i="56"/>
  <c r="C1040" i="70" s="1"/>
  <c r="C1264" i="56"/>
  <c r="C1104" i="70" s="1"/>
  <c r="B1092" i="49"/>
  <c r="AD120" i="52" s="1"/>
  <c r="C1036" i="56"/>
  <c r="C912" i="70" s="1"/>
  <c r="D912" i="70" s="1"/>
  <c r="C1112" i="56"/>
  <c r="C976" i="70" s="1"/>
  <c r="C1378" i="56"/>
  <c r="C1200" i="70" s="1"/>
  <c r="B640" i="49"/>
  <c r="G26" i="60" s="1"/>
  <c r="C1340" i="56"/>
  <c r="C1168" i="70" s="1"/>
  <c r="D1168" i="70" s="1"/>
  <c r="D1099" i="49"/>
  <c r="D1020" i="49"/>
  <c r="D1023" i="49" s="1"/>
  <c r="B636" i="49"/>
  <c r="D944" i="49"/>
  <c r="B944" i="49" s="1"/>
  <c r="D1210" i="49"/>
  <c r="B1210" i="49" s="1"/>
  <c r="D1286" i="49"/>
  <c r="D1289" i="49" s="1"/>
  <c r="D1058" i="49"/>
  <c r="B1058" i="49" s="1"/>
  <c r="D1248" i="49"/>
  <c r="D1172" i="49"/>
  <c r="D1134" i="49"/>
  <c r="E969" i="49"/>
  <c r="E982" i="49" s="1"/>
  <c r="E985" i="49" s="1"/>
  <c r="D982" i="49"/>
  <c r="B978" i="49"/>
  <c r="F35" i="60" s="1"/>
  <c r="D643" i="49"/>
  <c r="D906" i="49"/>
  <c r="B906" i="49" s="1"/>
  <c r="D678" i="49"/>
  <c r="A179" i="56" l="1"/>
  <c r="C1192" i="56"/>
  <c r="DR339" i="51"/>
  <c r="DS339" i="51" s="1"/>
  <c r="C1306" i="56"/>
  <c r="DR375" i="51"/>
  <c r="DS375" i="51" s="1"/>
  <c r="C1116" i="56"/>
  <c r="DR315" i="51"/>
  <c r="DS315" i="51" s="1"/>
  <c r="C1344" i="56"/>
  <c r="DR387" i="51"/>
  <c r="DS387" i="51" s="1"/>
  <c r="C1078" i="56"/>
  <c r="DR303" i="51"/>
  <c r="DS303" i="51" s="1"/>
  <c r="C1040" i="56"/>
  <c r="DR291" i="51"/>
  <c r="DS291" i="51" s="1"/>
  <c r="C696" i="70"/>
  <c r="C1009" i="70"/>
  <c r="C1012" i="70" s="1"/>
  <c r="C1016" i="70" s="1"/>
  <c r="C888" i="70"/>
  <c r="C977" i="70"/>
  <c r="C980" i="70" s="1"/>
  <c r="C982" i="70" s="1"/>
  <c r="C913" i="70"/>
  <c r="C916" i="70" s="1"/>
  <c r="C918" i="70" s="1"/>
  <c r="C1080" i="70"/>
  <c r="D1136" i="70"/>
  <c r="D1200" i="70"/>
  <c r="C952" i="70"/>
  <c r="C950" i="70"/>
  <c r="D1104" i="70"/>
  <c r="C1137" i="70"/>
  <c r="C1140" i="70" s="1"/>
  <c r="C1142" i="70" s="1"/>
  <c r="C1105" i="70"/>
  <c r="C1108" i="70" s="1"/>
  <c r="C1110" i="70" s="1"/>
  <c r="D1040" i="70"/>
  <c r="D976" i="70"/>
  <c r="C1201" i="70"/>
  <c r="C1204" i="70" s="1"/>
  <c r="C1206" i="70" s="1"/>
  <c r="C662" i="70"/>
  <c r="C664" i="70"/>
  <c r="C1041" i="70"/>
  <c r="C1044" i="70" s="1"/>
  <c r="C1046" i="70" s="1"/>
  <c r="C1169" i="70"/>
  <c r="C1172" i="70" s="1"/>
  <c r="D950" i="70"/>
  <c r="D952" i="70"/>
  <c r="D886" i="70"/>
  <c r="D888" i="70"/>
  <c r="D1225" i="56"/>
  <c r="D1071" i="70" s="1"/>
  <c r="D1073" i="70" s="1"/>
  <c r="D1076" i="70" s="1"/>
  <c r="D1301" i="56"/>
  <c r="D1135" i="70" s="1"/>
  <c r="C1075" i="56"/>
  <c r="D1339" i="56"/>
  <c r="D1167" i="70" s="1"/>
  <c r="D1169" i="70" s="1"/>
  <c r="D1172" i="70" s="1"/>
  <c r="D1377" i="56"/>
  <c r="D1199" i="70" s="1"/>
  <c r="D1187" i="56"/>
  <c r="D1039" i="70" s="1"/>
  <c r="D1035" i="56"/>
  <c r="D911" i="70" s="1"/>
  <c r="D913" i="70" s="1"/>
  <c r="D916" i="70" s="1"/>
  <c r="D1263" i="56"/>
  <c r="D1103" i="70" s="1"/>
  <c r="C999" i="56"/>
  <c r="D1149" i="56"/>
  <c r="D1007" i="70" s="1"/>
  <c r="D1009" i="70" s="1"/>
  <c r="D1012" i="70" s="1"/>
  <c r="D1111" i="56"/>
  <c r="D975" i="70" s="1"/>
  <c r="A1078" i="49"/>
  <c r="E1103" i="49"/>
  <c r="F1103" i="49" s="1"/>
  <c r="E1100" i="49"/>
  <c r="C1194" i="56" s="1"/>
  <c r="A1040" i="49"/>
  <c r="G37" i="60"/>
  <c r="A1192" i="49"/>
  <c r="G41" i="60"/>
  <c r="A926" i="49"/>
  <c r="G34" i="60"/>
  <c r="R80" i="52"/>
  <c r="F26" i="60"/>
  <c r="A888" i="49"/>
  <c r="G33" i="60"/>
  <c r="A622" i="49"/>
  <c r="E1217" i="49"/>
  <c r="E1219" i="49" s="1"/>
  <c r="E948" i="49"/>
  <c r="C1042" i="56" s="1"/>
  <c r="E951" i="49"/>
  <c r="F951" i="49" s="1"/>
  <c r="B1020" i="49"/>
  <c r="D947" i="49"/>
  <c r="E1289" i="49"/>
  <c r="E1214" i="49"/>
  <c r="C1308" i="56" s="1"/>
  <c r="E1175" i="49"/>
  <c r="E1137" i="49"/>
  <c r="E1061" i="49"/>
  <c r="E909" i="49"/>
  <c r="D1213" i="49"/>
  <c r="D1061" i="49"/>
  <c r="F120" i="52"/>
  <c r="B1286" i="49"/>
  <c r="G43" i="60" s="1"/>
  <c r="X120" i="52"/>
  <c r="AV120" i="52"/>
  <c r="BH80" i="52"/>
  <c r="B1248" i="49"/>
  <c r="G42" i="60" s="1"/>
  <c r="D1251" i="49"/>
  <c r="E1255" i="49"/>
  <c r="E1252" i="49"/>
  <c r="C1346" i="56" s="1"/>
  <c r="B1172" i="49"/>
  <c r="D1175" i="49"/>
  <c r="B1134" i="49"/>
  <c r="G39" i="60" s="1"/>
  <c r="D1137" i="49"/>
  <c r="E1024" i="49"/>
  <c r="C1118" i="56" s="1"/>
  <c r="E1027" i="49"/>
  <c r="E989" i="49"/>
  <c r="E986" i="49"/>
  <c r="C1080" i="56" s="1"/>
  <c r="B982" i="49"/>
  <c r="D985" i="49"/>
  <c r="D909" i="49"/>
  <c r="B678" i="49"/>
  <c r="G27" i="60" s="1"/>
  <c r="D681" i="49"/>
  <c r="A180" i="56" l="1"/>
  <c r="D1137" i="70"/>
  <c r="D1140" i="70" s="1"/>
  <c r="D1142" i="70" s="1"/>
  <c r="C1014" i="70"/>
  <c r="C1382" i="56"/>
  <c r="DR399" i="51"/>
  <c r="DS399" i="51" s="1"/>
  <c r="DS300" i="51"/>
  <c r="I292" i="51"/>
  <c r="J292" i="51" s="1"/>
  <c r="DS324" i="51"/>
  <c r="I316" i="51"/>
  <c r="J316" i="51" s="1"/>
  <c r="C1268" i="56"/>
  <c r="DR363" i="51"/>
  <c r="DS363" i="51" s="1"/>
  <c r="DS312" i="51"/>
  <c r="I304" i="51"/>
  <c r="J304" i="51" s="1"/>
  <c r="DS384" i="51"/>
  <c r="I376" i="51"/>
  <c r="J376" i="51" s="1"/>
  <c r="I388" i="51"/>
  <c r="J388" i="51" s="1"/>
  <c r="DS396" i="51"/>
  <c r="C1002" i="56"/>
  <c r="DR279" i="51"/>
  <c r="DS279" i="51" s="1"/>
  <c r="I340" i="51"/>
  <c r="J340" i="51" s="1"/>
  <c r="DS348" i="51"/>
  <c r="C1154" i="56"/>
  <c r="DR327" i="51"/>
  <c r="DS327" i="51" s="1"/>
  <c r="C1230" i="56"/>
  <c r="DR351" i="51"/>
  <c r="DS351" i="51" s="1"/>
  <c r="C920" i="70"/>
  <c r="C984" i="70"/>
  <c r="D1105" i="70"/>
  <c r="D1108" i="70" s="1"/>
  <c r="D1110" i="70" s="1"/>
  <c r="D1201" i="70"/>
  <c r="D1204" i="70" s="1"/>
  <c r="D1208" i="70" s="1"/>
  <c r="D977" i="70"/>
  <c r="D980" i="70" s="1"/>
  <c r="D982" i="70" s="1"/>
  <c r="D1041" i="70"/>
  <c r="D1044" i="70" s="1"/>
  <c r="D1046" i="70" s="1"/>
  <c r="C1112" i="70"/>
  <c r="C1176" i="70"/>
  <c r="C1174" i="70"/>
  <c r="C1208" i="70"/>
  <c r="C1048" i="70"/>
  <c r="C1144" i="70"/>
  <c r="D918" i="70"/>
  <c r="D920" i="70"/>
  <c r="D1174" i="70"/>
  <c r="D1176" i="70"/>
  <c r="D1078" i="70"/>
  <c r="D1080" i="70"/>
  <c r="D1014" i="70"/>
  <c r="D1016" i="70"/>
  <c r="K290" i="70"/>
  <c r="C1379" i="56"/>
  <c r="C1113" i="56"/>
  <c r="C1227" i="56"/>
  <c r="C1037" i="56"/>
  <c r="C1303" i="56"/>
  <c r="C1189" i="56"/>
  <c r="C1265" i="56"/>
  <c r="C1151" i="56"/>
  <c r="C1341" i="56"/>
  <c r="E1105" i="49"/>
  <c r="F1105" i="49" s="1"/>
  <c r="G40" i="60"/>
  <c r="A964" i="49"/>
  <c r="G35" i="60"/>
  <c r="E953" i="49"/>
  <c r="E954" i="49" s="1"/>
  <c r="A1002" i="49"/>
  <c r="G36" i="60"/>
  <c r="F1217" i="49"/>
  <c r="E913" i="49"/>
  <c r="F913" i="49" s="1"/>
  <c r="E1290" i="49"/>
  <c r="C1384" i="56" s="1"/>
  <c r="E1141" i="49"/>
  <c r="E1143" i="49" s="1"/>
  <c r="F1143" i="49" s="1"/>
  <c r="E1062" i="49"/>
  <c r="C1156" i="56" s="1"/>
  <c r="E1176" i="49"/>
  <c r="C1270" i="56" s="1"/>
  <c r="E1179" i="49"/>
  <c r="E1181" i="49" s="1"/>
  <c r="E1065" i="49"/>
  <c r="F1065" i="49" s="1"/>
  <c r="R120" i="52"/>
  <c r="E1138" i="49"/>
  <c r="C1232" i="56" s="1"/>
  <c r="E910" i="49"/>
  <c r="C1004" i="56" s="1"/>
  <c r="E1293" i="49"/>
  <c r="E1295" i="49" s="1"/>
  <c r="F1295" i="49" s="1"/>
  <c r="L120" i="52"/>
  <c r="A1230" i="49"/>
  <c r="BB120" i="52"/>
  <c r="A1116" i="49"/>
  <c r="AJ120" i="52"/>
  <c r="A1268" i="49"/>
  <c r="BH120" i="52"/>
  <c r="A1154" i="49"/>
  <c r="AP120" i="52"/>
  <c r="A660" i="49"/>
  <c r="X80" i="52"/>
  <c r="F1255" i="49"/>
  <c r="E1257" i="49"/>
  <c r="E1220" i="49"/>
  <c r="F1219" i="49"/>
  <c r="F1027" i="49"/>
  <c r="E1029" i="49"/>
  <c r="E991" i="49"/>
  <c r="F989" i="49"/>
  <c r="A181" i="56" l="1"/>
  <c r="Q2" i="76"/>
  <c r="J140" i="70"/>
  <c r="D1144" i="70"/>
  <c r="I352" i="51"/>
  <c r="J352" i="51" s="1"/>
  <c r="DS360" i="51"/>
  <c r="DS336" i="51"/>
  <c r="I328" i="51"/>
  <c r="J328" i="51" s="1"/>
  <c r="DS372" i="51"/>
  <c r="I364" i="51"/>
  <c r="J364" i="51" s="1"/>
  <c r="I324" i="51"/>
  <c r="I313" i="51" s="1"/>
  <c r="I348" i="51"/>
  <c r="I337" i="51" s="1"/>
  <c r="I280" i="51"/>
  <c r="J280" i="51" s="1"/>
  <c r="DS288" i="51"/>
  <c r="I300" i="51"/>
  <c r="I289" i="51" s="1"/>
  <c r="I312" i="51"/>
  <c r="I301" i="51" s="1"/>
  <c r="DS408" i="51"/>
  <c r="I400" i="51"/>
  <c r="J400" i="51" s="1"/>
  <c r="D1048" i="70"/>
  <c r="D984" i="70"/>
  <c r="D1112" i="70"/>
  <c r="D1206" i="70"/>
  <c r="F953" i="49"/>
  <c r="E1106" i="49"/>
  <c r="F1179" i="49"/>
  <c r="E1182" i="49"/>
  <c r="E915" i="49"/>
  <c r="F915" i="49" s="1"/>
  <c r="F1141" i="49"/>
  <c r="F1181" i="49"/>
  <c r="E1067" i="49"/>
  <c r="F1067" i="49" s="1"/>
  <c r="E1144" i="49"/>
  <c r="E1296" i="49"/>
  <c r="F1293" i="49"/>
  <c r="E1258" i="49"/>
  <c r="F1257" i="49"/>
  <c r="E1030" i="49"/>
  <c r="F1029" i="49"/>
  <c r="E992" i="49"/>
  <c r="F991" i="49"/>
  <c r="A182" i="56" l="1"/>
  <c r="I360" i="51"/>
  <c r="I349" i="51" s="1"/>
  <c r="I372" i="51"/>
  <c r="I361" i="51" s="1"/>
  <c r="I336" i="51"/>
  <c r="I325" i="51" s="1"/>
  <c r="I288" i="51"/>
  <c r="I277" i="51" s="1"/>
  <c r="E1068" i="49"/>
  <c r="E916" i="49"/>
  <c r="D492" i="49"/>
  <c r="C585" i="56" s="1"/>
  <c r="C533" i="70" s="1"/>
  <c r="D533" i="70" s="1"/>
  <c r="D454" i="49"/>
  <c r="C547" i="56" s="1"/>
  <c r="C501" i="70" s="1"/>
  <c r="D501" i="70" s="1"/>
  <c r="DO7" i="51"/>
  <c r="O57" i="51"/>
  <c r="P57" i="51"/>
  <c r="Q57" i="51"/>
  <c r="N57" i="51"/>
  <c r="S57" i="51"/>
  <c r="DO10" i="51" l="1"/>
  <c r="DO14" i="51"/>
  <c r="DO16" i="51"/>
  <c r="DO11" i="51"/>
  <c r="DO12" i="51"/>
  <c r="DO15" i="51"/>
  <c r="DO18" i="51"/>
  <c r="DO9" i="51"/>
  <c r="DO13" i="51"/>
  <c r="DO17" i="51"/>
  <c r="DQ17" i="51" s="1"/>
  <c r="R57" i="51"/>
  <c r="R8" i="51"/>
  <c r="R14" i="51"/>
  <c r="R10" i="51"/>
  <c r="R37" i="51"/>
  <c r="R32" i="51"/>
  <c r="R29" i="51"/>
  <c r="R30" i="51"/>
  <c r="R45" i="51"/>
  <c r="R15" i="51"/>
  <c r="R21" i="51"/>
  <c r="R16" i="51"/>
  <c r="R41" i="51"/>
  <c r="R56" i="51"/>
  <c r="R13" i="51"/>
  <c r="R25" i="51"/>
  <c r="R52" i="51"/>
  <c r="R47" i="51"/>
  <c r="R9" i="51"/>
  <c r="R36" i="51"/>
  <c r="R44" i="51"/>
  <c r="R20" i="51"/>
  <c r="R28" i="51"/>
  <c r="R40" i="51"/>
  <c r="R51" i="51"/>
  <c r="R24" i="51"/>
  <c r="R35" i="51"/>
  <c r="R49" i="51"/>
  <c r="R38" i="51"/>
  <c r="R12" i="51"/>
  <c r="R55" i="51"/>
  <c r="R19" i="51"/>
  <c r="R54" i="51"/>
  <c r="R33" i="51"/>
  <c r="R31" i="51"/>
  <c r="R39" i="51"/>
  <c r="R50" i="51"/>
  <c r="R11" i="51"/>
  <c r="R43" i="51"/>
  <c r="R23" i="51"/>
  <c r="R34" i="51"/>
  <c r="R27" i="51"/>
  <c r="R46" i="51"/>
  <c r="R18" i="51"/>
  <c r="R42" i="51"/>
  <c r="R22" i="51"/>
  <c r="R17" i="51"/>
  <c r="R26" i="51"/>
  <c r="R53" i="51"/>
  <c r="R48" i="51"/>
  <c r="DO8" i="51"/>
  <c r="DQ56" i="51"/>
  <c r="DQ35" i="51"/>
  <c r="DQ14" i="51"/>
  <c r="DQ40" i="51"/>
  <c r="DQ19" i="51"/>
  <c r="DQ45" i="51"/>
  <c r="DQ24" i="51"/>
  <c r="DQ50" i="51"/>
  <c r="DQ29" i="51"/>
  <c r="DQ55" i="51"/>
  <c r="DQ34" i="51"/>
  <c r="DQ13" i="51"/>
  <c r="DQ9" i="51"/>
  <c r="DQ39" i="51"/>
  <c r="DQ18" i="51"/>
  <c r="DQ44" i="51"/>
  <c r="DQ23" i="51"/>
  <c r="DQ49" i="51"/>
  <c r="DQ28" i="51"/>
  <c r="DQ54" i="51"/>
  <c r="DQ33" i="51"/>
  <c r="DQ12" i="51"/>
  <c r="DQ38" i="51"/>
  <c r="DQ43" i="51"/>
  <c r="DQ22" i="51"/>
  <c r="DQ48" i="51"/>
  <c r="DQ27" i="51"/>
  <c r="DQ53" i="51"/>
  <c r="DQ32" i="51"/>
  <c r="DQ11" i="51"/>
  <c r="DQ37" i="51"/>
  <c r="DQ16" i="51"/>
  <c r="DQ42" i="51"/>
  <c r="DQ21" i="51"/>
  <c r="DQ47" i="51"/>
  <c r="DQ26" i="51"/>
  <c r="DQ52" i="51"/>
  <c r="DQ31" i="51"/>
  <c r="DQ10" i="51"/>
  <c r="DQ36" i="51"/>
  <c r="DQ15" i="51"/>
  <c r="DQ41" i="51"/>
  <c r="DQ20" i="51"/>
  <c r="DQ46" i="51"/>
  <c r="DQ25" i="51"/>
  <c r="DQ51" i="51"/>
  <c r="DQ30" i="51"/>
  <c r="A183" i="56"/>
  <c r="DO75" i="51"/>
  <c r="DO231" i="51"/>
  <c r="DO339" i="51"/>
  <c r="DO375" i="51"/>
  <c r="DO327" i="51"/>
  <c r="DO315" i="51"/>
  <c r="DO399" i="51"/>
  <c r="DO363" i="51"/>
  <c r="DO387" i="51"/>
  <c r="DO351" i="51"/>
  <c r="DO303" i="51"/>
  <c r="DO87" i="51"/>
  <c r="DO147" i="51"/>
  <c r="DO135" i="51"/>
  <c r="DO111" i="51"/>
  <c r="DO291" i="51"/>
  <c r="DO279" i="51"/>
  <c r="DO267" i="51"/>
  <c r="DO99" i="51"/>
  <c r="DO159" i="51"/>
  <c r="DO255" i="51"/>
  <c r="DO219" i="51"/>
  <c r="DO243" i="51"/>
  <c r="DO171" i="51"/>
  <c r="DO207" i="51"/>
  <c r="DO183" i="51"/>
  <c r="DO123" i="51"/>
  <c r="DO195" i="51"/>
  <c r="DO63" i="51"/>
  <c r="DQ68" i="51" s="1"/>
  <c r="C13" i="51"/>
  <c r="C11" i="70" s="1"/>
  <c r="E458" i="49"/>
  <c r="AF454" i="49"/>
  <c r="AE454" i="49"/>
  <c r="E496" i="49"/>
  <c r="AF492" i="49"/>
  <c r="AE492" i="49"/>
  <c r="C14" i="51"/>
  <c r="C12" i="70" s="1"/>
  <c r="AY10" i="52"/>
  <c r="AY11" i="52"/>
  <c r="AY12" i="52"/>
  <c r="AY13" i="52"/>
  <c r="AY14" i="52"/>
  <c r="AY15" i="52"/>
  <c r="AY16" i="52"/>
  <c r="AY17" i="52"/>
  <c r="AY18" i="52"/>
  <c r="AY19" i="52"/>
  <c r="AY20" i="52"/>
  <c r="AY21" i="52"/>
  <c r="AY22" i="52"/>
  <c r="AY23" i="52"/>
  <c r="AY24" i="52"/>
  <c r="AY25" i="52"/>
  <c r="AY26" i="52"/>
  <c r="AY27" i="52"/>
  <c r="AY28" i="52"/>
  <c r="AY29" i="52"/>
  <c r="AY30" i="52"/>
  <c r="AY31" i="52"/>
  <c r="AY32" i="52"/>
  <c r="AY33" i="52"/>
  <c r="AY34" i="52"/>
  <c r="AY35" i="52"/>
  <c r="AY36" i="52"/>
  <c r="AY37" i="52"/>
  <c r="AY38" i="52"/>
  <c r="AY39" i="52"/>
  <c r="AY9" i="52"/>
  <c r="AS10" i="52"/>
  <c r="AS11" i="52"/>
  <c r="AS12" i="52"/>
  <c r="AS13" i="52"/>
  <c r="AS14" i="52"/>
  <c r="AS15" i="52"/>
  <c r="AS16" i="52"/>
  <c r="AS17" i="52"/>
  <c r="AS18" i="52"/>
  <c r="AS19" i="52"/>
  <c r="AS20" i="52"/>
  <c r="AS21" i="52"/>
  <c r="AS22" i="52"/>
  <c r="AS23" i="52"/>
  <c r="AS24" i="52"/>
  <c r="AS25" i="52"/>
  <c r="AS26" i="52"/>
  <c r="AS27" i="52"/>
  <c r="AS28" i="52"/>
  <c r="AS29" i="52"/>
  <c r="AS30" i="52"/>
  <c r="AS31" i="52"/>
  <c r="AS32" i="52"/>
  <c r="AS33" i="52"/>
  <c r="AS34" i="52"/>
  <c r="AS35" i="52"/>
  <c r="AS36" i="52"/>
  <c r="AS37" i="52"/>
  <c r="AS38" i="52"/>
  <c r="AS39" i="52"/>
  <c r="AS9" i="52"/>
  <c r="AZ5" i="52"/>
  <c r="AZ4" i="52"/>
  <c r="AT5" i="52"/>
  <c r="AT4" i="52"/>
  <c r="C466" i="49"/>
  <c r="B555" i="56" s="1"/>
  <c r="K558" i="56" s="1"/>
  <c r="K559" i="56" s="1"/>
  <c r="K560" i="56" s="1"/>
  <c r="K561" i="56" s="1"/>
  <c r="K562" i="56" s="1"/>
  <c r="K563" i="56" s="1"/>
  <c r="K564" i="56" s="1"/>
  <c r="K565" i="56" s="1"/>
  <c r="K566" i="56" s="1"/>
  <c r="K567" i="56" s="1"/>
  <c r="K568" i="56" s="1"/>
  <c r="B465" i="49"/>
  <c r="C428" i="49"/>
  <c r="B517" i="56" s="1"/>
  <c r="K520" i="56" s="1"/>
  <c r="K521" i="56" s="1"/>
  <c r="K522" i="56" s="1"/>
  <c r="K523" i="56" s="1"/>
  <c r="K524" i="56" s="1"/>
  <c r="K525" i="56" s="1"/>
  <c r="K526" i="56" s="1"/>
  <c r="K527" i="56" s="1"/>
  <c r="K528" i="56" s="1"/>
  <c r="K529" i="56" s="1"/>
  <c r="K530" i="56" s="1"/>
  <c r="B427" i="49"/>
  <c r="E494" i="49"/>
  <c r="T239" i="76"/>
  <c r="T238" i="76"/>
  <c r="T237" i="76"/>
  <c r="T236" i="76"/>
  <c r="T235" i="76"/>
  <c r="T234" i="76"/>
  <c r="T233" i="76"/>
  <c r="T232" i="76"/>
  <c r="T231" i="76"/>
  <c r="T230" i="76"/>
  <c r="T229" i="76"/>
  <c r="E474" i="49"/>
  <c r="D561" i="56" s="1"/>
  <c r="D526" i="70" s="1"/>
  <c r="F526" i="70" s="1"/>
  <c r="C467" i="49"/>
  <c r="E456" i="49"/>
  <c r="T228" i="76"/>
  <c r="T227" i="76"/>
  <c r="T226" i="76"/>
  <c r="T225" i="76"/>
  <c r="T224" i="76"/>
  <c r="T223" i="76"/>
  <c r="T222" i="76"/>
  <c r="T221" i="76"/>
  <c r="T220" i="76"/>
  <c r="T219" i="76"/>
  <c r="T218" i="76"/>
  <c r="E436" i="49"/>
  <c r="C429" i="49"/>
  <c r="E134" i="81" l="1"/>
  <c r="E278" i="81"/>
  <c r="E206" i="81"/>
  <c r="E106" i="81"/>
  <c r="E178" i="81"/>
  <c r="E250" i="81"/>
  <c r="E184" i="81"/>
  <c r="E112" i="81"/>
  <c r="E256" i="81"/>
  <c r="E266" i="81"/>
  <c r="E122" i="81"/>
  <c r="E194" i="81"/>
  <c r="E175" i="81"/>
  <c r="E247" i="81"/>
  <c r="E103" i="81"/>
  <c r="E167" i="81"/>
  <c r="E239" i="81"/>
  <c r="E95" i="81"/>
  <c r="E108" i="81"/>
  <c r="E180" i="81"/>
  <c r="E252" i="81"/>
  <c r="E133" i="81"/>
  <c r="E277" i="81"/>
  <c r="E205" i="81"/>
  <c r="E182" i="81"/>
  <c r="E110" i="81"/>
  <c r="E254" i="81"/>
  <c r="E137" i="81"/>
  <c r="E281" i="81"/>
  <c r="E209" i="81"/>
  <c r="E198" i="81"/>
  <c r="E270" i="81"/>
  <c r="E126" i="81"/>
  <c r="E114" i="81"/>
  <c r="E186" i="81"/>
  <c r="E258" i="81"/>
  <c r="E139" i="81"/>
  <c r="E211" i="81"/>
  <c r="E283" i="81"/>
  <c r="E202" i="81"/>
  <c r="E274" i="81"/>
  <c r="E130" i="81"/>
  <c r="E200" i="81"/>
  <c r="E272" i="81"/>
  <c r="E128" i="81"/>
  <c r="E210" i="81"/>
  <c r="E138" i="81"/>
  <c r="E282" i="81"/>
  <c r="E248" i="81"/>
  <c r="E176" i="81"/>
  <c r="E104" i="81"/>
  <c r="E183" i="81"/>
  <c r="E111" i="81"/>
  <c r="E255" i="81"/>
  <c r="E132" i="81"/>
  <c r="E204" i="81"/>
  <c r="E276" i="81"/>
  <c r="E171" i="81"/>
  <c r="E243" i="81"/>
  <c r="E99" i="81"/>
  <c r="E280" i="81"/>
  <c r="E136" i="81"/>
  <c r="E208" i="81"/>
  <c r="E263" i="81"/>
  <c r="E191" i="81"/>
  <c r="E119" i="81"/>
  <c r="E118" i="81"/>
  <c r="E190" i="81"/>
  <c r="E262" i="81"/>
  <c r="E212" i="81"/>
  <c r="E140" i="81"/>
  <c r="E284" i="81"/>
  <c r="E285" i="81"/>
  <c r="E141" i="81"/>
  <c r="E213" i="81"/>
  <c r="E100" i="81"/>
  <c r="E172" i="81"/>
  <c r="E244" i="81"/>
  <c r="E97" i="81"/>
  <c r="E241" i="81"/>
  <c r="E169" i="81"/>
  <c r="E173" i="81"/>
  <c r="E245" i="81"/>
  <c r="E101" i="81"/>
  <c r="E189" i="81"/>
  <c r="E261" i="81"/>
  <c r="E117" i="81"/>
  <c r="E259" i="81"/>
  <c r="E115" i="81"/>
  <c r="E187" i="81"/>
  <c r="E267" i="81"/>
  <c r="E123" i="81"/>
  <c r="E195" i="81"/>
  <c r="E105" i="81"/>
  <c r="E249" i="81"/>
  <c r="E177" i="81"/>
  <c r="E170" i="81"/>
  <c r="E98" i="81"/>
  <c r="E242" i="81"/>
  <c r="E238" i="81"/>
  <c r="E94" i="81"/>
  <c r="E166" i="81"/>
  <c r="E279" i="81"/>
  <c r="E135" i="81"/>
  <c r="E207" i="81"/>
  <c r="E265" i="81"/>
  <c r="E121" i="81"/>
  <c r="E193" i="81"/>
  <c r="E185" i="81"/>
  <c r="E113" i="81"/>
  <c r="E257" i="81"/>
  <c r="E142" i="81"/>
  <c r="E214" i="81"/>
  <c r="E286" i="81"/>
  <c r="E264" i="81"/>
  <c r="E120" i="81"/>
  <c r="E192" i="81"/>
  <c r="E199" i="81"/>
  <c r="E127" i="81"/>
  <c r="E271" i="81"/>
  <c r="E109" i="81"/>
  <c r="E181" i="81"/>
  <c r="E253" i="81"/>
  <c r="E174" i="81"/>
  <c r="E246" i="81"/>
  <c r="E102" i="81"/>
  <c r="E201" i="81"/>
  <c r="E273" i="81"/>
  <c r="E129" i="81"/>
  <c r="E107" i="81"/>
  <c r="E179" i="81"/>
  <c r="E251" i="81"/>
  <c r="E131" i="81"/>
  <c r="E203" i="81"/>
  <c r="E275" i="81"/>
  <c r="E197" i="81"/>
  <c r="E269" i="81"/>
  <c r="E125" i="81"/>
  <c r="E260" i="81"/>
  <c r="E116" i="81"/>
  <c r="E188" i="81"/>
  <c r="E96" i="81"/>
  <c r="E168" i="81"/>
  <c r="E240" i="81"/>
  <c r="E268" i="81"/>
  <c r="E124" i="81"/>
  <c r="E196" i="81"/>
  <c r="DQ95" i="51"/>
  <c r="DQ94" i="51"/>
  <c r="DQ90" i="51"/>
  <c r="DQ92" i="51"/>
  <c r="DQ91" i="51"/>
  <c r="DQ89" i="51"/>
  <c r="DQ88" i="51"/>
  <c r="DQ93" i="51"/>
  <c r="DQ96" i="51"/>
  <c r="DQ131" i="51"/>
  <c r="DQ130" i="51"/>
  <c r="DQ129" i="51"/>
  <c r="DQ128" i="51"/>
  <c r="DQ127" i="51"/>
  <c r="DQ126" i="51"/>
  <c r="DQ125" i="51"/>
  <c r="DQ124" i="51"/>
  <c r="DQ132" i="51"/>
  <c r="DQ251" i="51"/>
  <c r="DQ250" i="51"/>
  <c r="DQ249" i="51"/>
  <c r="DQ248" i="51"/>
  <c r="DQ247" i="51"/>
  <c r="DQ246" i="51"/>
  <c r="DQ244" i="51"/>
  <c r="DQ245" i="51"/>
  <c r="DQ252" i="51"/>
  <c r="DQ405" i="51"/>
  <c r="DQ404" i="51"/>
  <c r="DQ403" i="51"/>
  <c r="DQ406" i="51"/>
  <c r="DQ407" i="51"/>
  <c r="DQ223" i="51"/>
  <c r="DQ222" i="51"/>
  <c r="DQ221" i="51"/>
  <c r="DQ227" i="51"/>
  <c r="DQ226" i="51"/>
  <c r="DQ225" i="51"/>
  <c r="DQ224" i="51"/>
  <c r="DQ220" i="51"/>
  <c r="DQ228" i="51"/>
  <c r="DQ323" i="51"/>
  <c r="DQ322" i="51"/>
  <c r="DQ321" i="51"/>
  <c r="DQ317" i="51"/>
  <c r="DQ320" i="51"/>
  <c r="DQ319" i="51"/>
  <c r="DQ318" i="51"/>
  <c r="DQ316" i="51"/>
  <c r="DQ324" i="51"/>
  <c r="DQ335" i="51"/>
  <c r="DQ334" i="51"/>
  <c r="DQ333" i="51"/>
  <c r="DQ332" i="51"/>
  <c r="DQ331" i="51"/>
  <c r="DQ329" i="51"/>
  <c r="DQ330" i="51"/>
  <c r="DQ328" i="51"/>
  <c r="DQ336" i="51"/>
  <c r="DQ167" i="51"/>
  <c r="DQ166" i="51"/>
  <c r="DQ165" i="51"/>
  <c r="DQ164" i="51"/>
  <c r="DQ163" i="51"/>
  <c r="DQ162" i="51"/>
  <c r="DQ161" i="51"/>
  <c r="DQ160" i="51"/>
  <c r="DQ379" i="51"/>
  <c r="DQ380" i="51"/>
  <c r="DQ383" i="51"/>
  <c r="DQ382" i="51"/>
  <c r="DQ381" i="51"/>
  <c r="DQ359" i="51"/>
  <c r="DQ358" i="51"/>
  <c r="DQ354" i="51"/>
  <c r="DQ353" i="51"/>
  <c r="DQ357" i="51"/>
  <c r="DQ356" i="51"/>
  <c r="DQ355" i="51"/>
  <c r="DQ352" i="51"/>
  <c r="DQ360" i="51"/>
  <c r="DQ177" i="51"/>
  <c r="DQ176" i="51"/>
  <c r="DQ175" i="51"/>
  <c r="DQ174" i="51"/>
  <c r="DQ173" i="51"/>
  <c r="DQ179" i="51"/>
  <c r="DQ178" i="51"/>
  <c r="DQ172" i="51"/>
  <c r="DQ180" i="51"/>
  <c r="DQ105" i="51"/>
  <c r="DQ104" i="51"/>
  <c r="DQ103" i="51"/>
  <c r="DQ102" i="51"/>
  <c r="DQ101" i="51"/>
  <c r="DQ106" i="51"/>
  <c r="DQ107" i="51"/>
  <c r="DQ100" i="51"/>
  <c r="DQ108" i="51"/>
  <c r="DQ344" i="51"/>
  <c r="DQ343" i="51"/>
  <c r="DQ341" i="51"/>
  <c r="DQ345" i="51"/>
  <c r="DQ347" i="51"/>
  <c r="DQ346" i="51"/>
  <c r="DQ342" i="51"/>
  <c r="DQ340" i="51"/>
  <c r="DQ348" i="51"/>
  <c r="DQ203" i="51"/>
  <c r="DQ202" i="51"/>
  <c r="DQ201" i="51"/>
  <c r="DQ200" i="51"/>
  <c r="DQ199" i="51"/>
  <c r="DQ198" i="51"/>
  <c r="DQ197" i="51"/>
  <c r="DQ196" i="51"/>
  <c r="DQ204" i="51"/>
  <c r="DQ308" i="51"/>
  <c r="DQ307" i="51"/>
  <c r="DQ305" i="51"/>
  <c r="DQ310" i="51"/>
  <c r="DQ309" i="51"/>
  <c r="DQ311" i="51"/>
  <c r="DQ306" i="51"/>
  <c r="DQ304" i="51"/>
  <c r="DQ312" i="51"/>
  <c r="DQ395" i="51"/>
  <c r="DQ394" i="51"/>
  <c r="DQ393" i="51"/>
  <c r="DQ392" i="51"/>
  <c r="DQ391" i="51"/>
  <c r="DQ272" i="51"/>
  <c r="DQ271" i="51"/>
  <c r="DQ270" i="51"/>
  <c r="DQ268" i="51"/>
  <c r="DQ275" i="51"/>
  <c r="DQ274" i="51"/>
  <c r="DQ273" i="51"/>
  <c r="DQ269" i="51"/>
  <c r="DQ276" i="51"/>
  <c r="DQ237" i="51"/>
  <c r="DQ238" i="51"/>
  <c r="DQ233" i="51"/>
  <c r="DQ239" i="51"/>
  <c r="DQ235" i="51"/>
  <c r="DQ234" i="51"/>
  <c r="DQ236" i="51"/>
  <c r="DQ232" i="51"/>
  <c r="DQ240" i="51"/>
  <c r="DQ284" i="51"/>
  <c r="DQ283" i="51"/>
  <c r="DQ287" i="51"/>
  <c r="DQ286" i="51"/>
  <c r="DQ285" i="51"/>
  <c r="DQ280" i="51"/>
  <c r="DQ281" i="51"/>
  <c r="DQ282" i="51"/>
  <c r="DQ288" i="51"/>
  <c r="DQ81" i="51"/>
  <c r="DQ78" i="51"/>
  <c r="DQ77" i="51"/>
  <c r="DQ79" i="51"/>
  <c r="DQ83" i="51"/>
  <c r="DQ76" i="51"/>
  <c r="DQ80" i="51"/>
  <c r="DQ82" i="51"/>
  <c r="DQ84" i="51"/>
  <c r="DQ214" i="51"/>
  <c r="DQ213" i="51"/>
  <c r="DQ212" i="51"/>
  <c r="DQ211" i="51"/>
  <c r="DQ210" i="51"/>
  <c r="DQ215" i="51"/>
  <c r="DQ208" i="51"/>
  <c r="DQ209" i="51"/>
  <c r="DQ216" i="51"/>
  <c r="DQ262" i="51"/>
  <c r="DQ261" i="51"/>
  <c r="DQ260" i="51"/>
  <c r="DQ259" i="51"/>
  <c r="DQ257" i="51"/>
  <c r="DQ263" i="51"/>
  <c r="DQ258" i="51"/>
  <c r="DQ256" i="51"/>
  <c r="DQ264" i="51"/>
  <c r="DQ299" i="51"/>
  <c r="DQ298" i="51"/>
  <c r="DQ297" i="51"/>
  <c r="DQ296" i="51"/>
  <c r="DQ295" i="51"/>
  <c r="DQ294" i="51"/>
  <c r="DQ293" i="51"/>
  <c r="DQ292" i="51"/>
  <c r="DQ300" i="51"/>
  <c r="DQ187" i="51"/>
  <c r="DQ186" i="51"/>
  <c r="DQ191" i="51"/>
  <c r="DQ188" i="51"/>
  <c r="DQ190" i="51"/>
  <c r="DQ189" i="51"/>
  <c r="DQ185" i="51"/>
  <c r="DQ184" i="51"/>
  <c r="DQ192" i="51"/>
  <c r="DQ369" i="51"/>
  <c r="DQ370" i="51"/>
  <c r="DQ371" i="51"/>
  <c r="DQ368" i="51"/>
  <c r="DQ367" i="51"/>
  <c r="DQ365" i="51"/>
  <c r="DQ366" i="51"/>
  <c r="DQ364" i="51"/>
  <c r="DQ372" i="51"/>
  <c r="DQ115" i="51"/>
  <c r="DQ114" i="51"/>
  <c r="DQ113" i="51"/>
  <c r="DQ116" i="51"/>
  <c r="DQ119" i="51"/>
  <c r="DQ118" i="51"/>
  <c r="DQ117" i="51"/>
  <c r="DQ112" i="51"/>
  <c r="DQ120" i="51"/>
  <c r="DQ141" i="51"/>
  <c r="DQ140" i="51"/>
  <c r="DQ139" i="51"/>
  <c r="DQ138" i="51"/>
  <c r="DQ137" i="51"/>
  <c r="DQ136" i="51"/>
  <c r="DQ142" i="51"/>
  <c r="DQ143" i="51"/>
  <c r="DQ144" i="51"/>
  <c r="DQ151" i="51"/>
  <c r="DQ150" i="51"/>
  <c r="DQ155" i="51"/>
  <c r="DQ154" i="51"/>
  <c r="DQ153" i="51"/>
  <c r="DQ152" i="51"/>
  <c r="DQ149" i="51"/>
  <c r="DQ148" i="51"/>
  <c r="DQ156" i="51"/>
  <c r="DQ8" i="51"/>
  <c r="DQ168" i="51"/>
  <c r="A184" i="56"/>
  <c r="B488" i="70"/>
  <c r="B520" i="70"/>
  <c r="DQ377" i="51"/>
  <c r="DQ401" i="51"/>
  <c r="DQ389" i="51"/>
  <c r="DQ376" i="51"/>
  <c r="DQ388" i="51"/>
  <c r="DQ400" i="51"/>
  <c r="DQ66" i="51"/>
  <c r="D523" i="56"/>
  <c r="D494" i="70" s="1"/>
  <c r="F494" i="70" s="1"/>
  <c r="DR84" i="51"/>
  <c r="DQ71" i="51"/>
  <c r="DQ70" i="51"/>
  <c r="DQ67" i="51"/>
  <c r="DQ69" i="51"/>
  <c r="C15" i="51"/>
  <c r="C17" i="51" s="1"/>
  <c r="E37" i="49" s="1"/>
  <c r="F6" i="60" s="1"/>
  <c r="G517" i="56"/>
  <c r="G555" i="56"/>
  <c r="C22" i="60"/>
  <c r="B554" i="56"/>
  <c r="B519" i="70" s="1"/>
  <c r="B538" i="70" s="1"/>
  <c r="C21" i="60"/>
  <c r="B516" i="56"/>
  <c r="B487" i="70" s="1"/>
  <c r="B506" i="70" s="1"/>
  <c r="D436" i="49"/>
  <c r="B436" i="49" s="1"/>
  <c r="AD453" i="49"/>
  <c r="AD455" i="49"/>
  <c r="AD493" i="49"/>
  <c r="AD491" i="49"/>
  <c r="E860" i="49"/>
  <c r="E865" i="49"/>
  <c r="Q265" i="51" s="1"/>
  <c r="E867" i="49"/>
  <c r="E866" i="49"/>
  <c r="E858" i="49"/>
  <c r="E853" i="49"/>
  <c r="D940" i="56" s="1"/>
  <c r="D845" i="70" s="1"/>
  <c r="E863" i="49"/>
  <c r="E827" i="49"/>
  <c r="Q253" i="51" s="1"/>
  <c r="E821" i="49"/>
  <c r="E829" i="49"/>
  <c r="E820" i="49"/>
  <c r="E815" i="49"/>
  <c r="D902" i="56" s="1"/>
  <c r="D813" i="70" s="1"/>
  <c r="E828" i="49"/>
  <c r="E825" i="49"/>
  <c r="E822" i="49"/>
  <c r="D445" i="49"/>
  <c r="E445" i="49" s="1"/>
  <c r="D444" i="49"/>
  <c r="D448" i="49"/>
  <c r="E448" i="49" s="1"/>
  <c r="D442" i="49"/>
  <c r="E442" i="49" s="1"/>
  <c r="D441" i="49"/>
  <c r="E441" i="49" s="1"/>
  <c r="D440" i="49"/>
  <c r="E440" i="49" s="1"/>
  <c r="D439" i="49"/>
  <c r="E439" i="49" s="1"/>
  <c r="D435" i="49"/>
  <c r="D434" i="49"/>
  <c r="C521" i="56" s="1"/>
  <c r="C492" i="70" s="1"/>
  <c r="D449" i="49"/>
  <c r="E449" i="49" s="1"/>
  <c r="D447" i="49"/>
  <c r="E447" i="49" s="1"/>
  <c r="Q133" i="51" s="1"/>
  <c r="D487" i="49"/>
  <c r="E487" i="49" s="1"/>
  <c r="D486" i="49"/>
  <c r="E486" i="49" s="1"/>
  <c r="D485" i="49"/>
  <c r="E485" i="49" s="1"/>
  <c r="Q145" i="51" s="1"/>
  <c r="D483" i="49"/>
  <c r="E483" i="49" s="1"/>
  <c r="D482" i="49"/>
  <c r="D480" i="49"/>
  <c r="E480" i="49" s="1"/>
  <c r="D479" i="49"/>
  <c r="E479" i="49" s="1"/>
  <c r="D478" i="49"/>
  <c r="E478" i="49" s="1"/>
  <c r="D477" i="49"/>
  <c r="E477" i="49" s="1"/>
  <c r="D474" i="49"/>
  <c r="B474" i="49" s="1"/>
  <c r="D473" i="49"/>
  <c r="D472" i="49"/>
  <c r="D429" i="49"/>
  <c r="B454" i="49"/>
  <c r="B492" i="49"/>
  <c r="D467" i="49"/>
  <c r="B447" i="49"/>
  <c r="B485" i="49"/>
  <c r="C390" i="49"/>
  <c r="B479" i="56" s="1"/>
  <c r="K482" i="56" s="1"/>
  <c r="K483" i="56" s="1"/>
  <c r="K484" i="56" s="1"/>
  <c r="K485" i="56" s="1"/>
  <c r="K486" i="56" s="1"/>
  <c r="K487" i="56" s="1"/>
  <c r="K488" i="56" s="1"/>
  <c r="K489" i="56" s="1"/>
  <c r="K490" i="56" s="1"/>
  <c r="K491" i="56" s="1"/>
  <c r="K492" i="56" s="1"/>
  <c r="C352" i="49"/>
  <c r="B441" i="56" s="1"/>
  <c r="K444" i="56" s="1"/>
  <c r="K445" i="56" s="1"/>
  <c r="K446" i="56" s="1"/>
  <c r="K447" i="56" s="1"/>
  <c r="K448" i="56" s="1"/>
  <c r="K449" i="56" s="1"/>
  <c r="K450" i="56" s="1"/>
  <c r="K451" i="56" s="1"/>
  <c r="K452" i="56" s="1"/>
  <c r="K453" i="56" s="1"/>
  <c r="K454" i="56" s="1"/>
  <c r="C314" i="49"/>
  <c r="B403" i="56" s="1"/>
  <c r="K406" i="56" s="1"/>
  <c r="K407" i="56" s="1"/>
  <c r="K408" i="56" s="1"/>
  <c r="K409" i="56" s="1"/>
  <c r="K410" i="56" s="1"/>
  <c r="K411" i="56" s="1"/>
  <c r="K412" i="56" s="1"/>
  <c r="K413" i="56" s="1"/>
  <c r="K414" i="56" s="1"/>
  <c r="K415" i="56" s="1"/>
  <c r="K416" i="56" s="1"/>
  <c r="C276" i="49"/>
  <c r="B365" i="56" s="1"/>
  <c r="K368" i="56" s="1"/>
  <c r="K369" i="56" s="1"/>
  <c r="K370" i="56" s="1"/>
  <c r="K371" i="56" s="1"/>
  <c r="K372" i="56" s="1"/>
  <c r="K373" i="56" s="1"/>
  <c r="K374" i="56" s="1"/>
  <c r="K375" i="56" s="1"/>
  <c r="K376" i="56" s="1"/>
  <c r="K377" i="56" s="1"/>
  <c r="K378" i="56" s="1"/>
  <c r="C200" i="49"/>
  <c r="B289" i="56" s="1"/>
  <c r="I402" i="51" l="1"/>
  <c r="J402" i="51" s="1"/>
  <c r="DQ402" i="51"/>
  <c r="DP397" i="51" s="1"/>
  <c r="I390" i="51"/>
  <c r="J390" i="51" s="1"/>
  <c r="DQ390" i="51"/>
  <c r="I378" i="51"/>
  <c r="J378" i="51" s="1"/>
  <c r="DQ378" i="51"/>
  <c r="DP373" i="51" s="1"/>
  <c r="DO396" i="51"/>
  <c r="DQ396" i="51" s="1"/>
  <c r="E287" i="81"/>
  <c r="DO408" i="51"/>
  <c r="DQ408" i="51" s="1"/>
  <c r="E215" i="81"/>
  <c r="E143" i="81"/>
  <c r="G289" i="56"/>
  <c r="K292" i="56"/>
  <c r="K293" i="56" s="1"/>
  <c r="K294" i="56" s="1"/>
  <c r="K295" i="56" s="1"/>
  <c r="K296" i="56" s="1"/>
  <c r="K297" i="56" s="1"/>
  <c r="K298" i="56" s="1"/>
  <c r="K299" i="56" s="1"/>
  <c r="K300" i="56" s="1"/>
  <c r="K301" i="56" s="1"/>
  <c r="K302" i="56" s="1"/>
  <c r="A185" i="56"/>
  <c r="DO384" i="51"/>
  <c r="DQ384" i="51" s="1"/>
  <c r="B456" i="70"/>
  <c r="B424" i="70"/>
  <c r="B392" i="70"/>
  <c r="B360" i="70"/>
  <c r="DP289" i="51"/>
  <c r="DP361" i="51"/>
  <c r="DP229" i="51"/>
  <c r="DP277" i="51"/>
  <c r="DP169" i="51"/>
  <c r="DP253" i="51"/>
  <c r="DP157" i="51"/>
  <c r="I396" i="51"/>
  <c r="I385" i="51" s="1"/>
  <c r="DP73" i="51"/>
  <c r="DP349" i="51"/>
  <c r="DP145" i="51"/>
  <c r="DP121" i="51"/>
  <c r="DP181" i="51"/>
  <c r="DP97" i="51"/>
  <c r="DP193" i="51"/>
  <c r="DP325" i="51"/>
  <c r="DP337" i="51"/>
  <c r="I408" i="51"/>
  <c r="I397" i="51" s="1"/>
  <c r="DP85" i="51"/>
  <c r="I384" i="51"/>
  <c r="I373" i="51" s="1"/>
  <c r="DP109" i="51"/>
  <c r="DP301" i="51"/>
  <c r="DP217" i="51"/>
  <c r="DP205" i="51"/>
  <c r="DP313" i="51"/>
  <c r="DP265" i="51"/>
  <c r="DP133" i="51"/>
  <c r="DP241" i="51"/>
  <c r="DO72" i="51"/>
  <c r="DQ72" i="51" s="1"/>
  <c r="I77" i="51"/>
  <c r="J77" i="51" s="1"/>
  <c r="DQ64" i="51"/>
  <c r="I78" i="51"/>
  <c r="J78" i="51" s="1"/>
  <c r="DQ65" i="51"/>
  <c r="I65" i="51"/>
  <c r="J65" i="51" s="1"/>
  <c r="G516" i="56"/>
  <c r="G365" i="56"/>
  <c r="G479" i="56"/>
  <c r="G403" i="56"/>
  <c r="G441" i="56"/>
  <c r="G554" i="56"/>
  <c r="B296" i="70"/>
  <c r="W477" i="49"/>
  <c r="C561" i="56"/>
  <c r="C526" i="70" s="1"/>
  <c r="W439" i="49"/>
  <c r="C523" i="56"/>
  <c r="C494" i="70" s="1"/>
  <c r="E435" i="49"/>
  <c r="D522" i="56" s="1"/>
  <c r="D493" i="70" s="1"/>
  <c r="C522" i="56"/>
  <c r="C493" i="70" s="1"/>
  <c r="E473" i="49"/>
  <c r="D560" i="56" s="1"/>
  <c r="D525" i="70" s="1"/>
  <c r="C560" i="56"/>
  <c r="C525" i="70" s="1"/>
  <c r="E472" i="49"/>
  <c r="C559" i="56"/>
  <c r="C524" i="70" s="1"/>
  <c r="D856" i="49"/>
  <c r="E859" i="49"/>
  <c r="E862" i="49"/>
  <c r="E861" i="49" s="1"/>
  <c r="D861" i="49"/>
  <c r="E852" i="49"/>
  <c r="D851" i="49"/>
  <c r="D855" i="49" s="1"/>
  <c r="D32" i="60"/>
  <c r="E857" i="49"/>
  <c r="E819" i="49"/>
  <c r="E818" i="49" s="1"/>
  <c r="D818" i="49"/>
  <c r="E824" i="49"/>
  <c r="E823" i="49" s="1"/>
  <c r="D823" i="49"/>
  <c r="D31" i="60"/>
  <c r="E814" i="49"/>
  <c r="D813" i="49"/>
  <c r="D817" i="49" s="1"/>
  <c r="D433" i="49"/>
  <c r="D437" i="49" s="1"/>
  <c r="B437" i="49" s="1"/>
  <c r="E21" i="60" s="1"/>
  <c r="D471" i="49"/>
  <c r="D475" i="49" s="1"/>
  <c r="B475" i="49" s="1"/>
  <c r="E22" i="60" s="1"/>
  <c r="D22" i="60"/>
  <c r="D443" i="49"/>
  <c r="E438" i="49"/>
  <c r="E476" i="49"/>
  <c r="E434" i="49"/>
  <c r="D481" i="49"/>
  <c r="D476" i="49"/>
  <c r="D21" i="60"/>
  <c r="E482" i="49"/>
  <c r="E481" i="49" s="1"/>
  <c r="D438" i="49"/>
  <c r="E444" i="49"/>
  <c r="E443" i="49" s="1"/>
  <c r="B275" i="49"/>
  <c r="F40" i="49"/>
  <c r="C2" i="51"/>
  <c r="A186" i="56" l="1"/>
  <c r="DP385" i="51"/>
  <c r="DP61" i="51"/>
  <c r="D559" i="56"/>
  <c r="D524" i="70" s="1"/>
  <c r="I64" i="51"/>
  <c r="J64" i="51" s="1"/>
  <c r="DR72" i="51"/>
  <c r="E471" i="49"/>
  <c r="E475" i="49" s="1"/>
  <c r="C520" i="56"/>
  <c r="C491" i="70" s="1"/>
  <c r="C558" i="56"/>
  <c r="C523" i="70" s="1"/>
  <c r="E851" i="49"/>
  <c r="D939" i="56"/>
  <c r="D844" i="70" s="1"/>
  <c r="E433" i="49"/>
  <c r="D521" i="56"/>
  <c r="D492" i="70" s="1"/>
  <c r="C17" i="60"/>
  <c r="B364" i="56"/>
  <c r="B359" i="70" s="1"/>
  <c r="B378" i="70" s="1"/>
  <c r="E813" i="49"/>
  <c r="D901" i="56"/>
  <c r="D812" i="70" s="1"/>
  <c r="AD303" i="49"/>
  <c r="AD301" i="49"/>
  <c r="B855" i="49"/>
  <c r="E32" i="60" s="1"/>
  <c r="E856" i="49"/>
  <c r="E864" i="49" s="1"/>
  <c r="D864" i="49"/>
  <c r="B864" i="49" s="1"/>
  <c r="F32" i="60" s="1"/>
  <c r="E826" i="49"/>
  <c r="B817" i="49"/>
  <c r="E31" i="60" s="1"/>
  <c r="D826" i="49"/>
  <c r="B826" i="49" s="1"/>
  <c r="F31" i="60" s="1"/>
  <c r="D484" i="49"/>
  <c r="B484" i="49" s="1"/>
  <c r="E446" i="49"/>
  <c r="D446" i="49"/>
  <c r="E484" i="49"/>
  <c r="D558" i="56" l="1"/>
  <c r="D523" i="70" s="1"/>
  <c r="A187" i="56"/>
  <c r="F22" i="60"/>
  <c r="C579" i="56"/>
  <c r="C527" i="70" s="1"/>
  <c r="C580" i="56"/>
  <c r="C528" i="70" s="1"/>
  <c r="D528" i="70" s="1"/>
  <c r="DS84" i="51"/>
  <c r="DS72" i="51"/>
  <c r="I76" i="51"/>
  <c r="J76" i="51" s="1"/>
  <c r="E817" i="49"/>
  <c r="E830" i="49" s="1"/>
  <c r="AF833" i="49"/>
  <c r="AF835" i="49" s="1"/>
  <c r="AE833" i="49"/>
  <c r="AE835" i="49" s="1"/>
  <c r="E855" i="49"/>
  <c r="E868" i="49" s="1"/>
  <c r="E871" i="49" s="1"/>
  <c r="AF871" i="49"/>
  <c r="AF873" i="49" s="1"/>
  <c r="AE871" i="49"/>
  <c r="AE873" i="49" s="1"/>
  <c r="E437" i="49"/>
  <c r="E450" i="49" s="1"/>
  <c r="E453" i="49" s="1"/>
  <c r="AF453" i="49"/>
  <c r="AF455" i="49" s="1"/>
  <c r="AE453" i="49"/>
  <c r="AE455" i="49" s="1"/>
  <c r="AF491" i="49"/>
  <c r="AF493" i="49" s="1"/>
  <c r="AE491" i="49"/>
  <c r="AE493" i="49" s="1"/>
  <c r="C541" i="56"/>
  <c r="C495" i="70" s="1"/>
  <c r="G364" i="56"/>
  <c r="D520" i="56"/>
  <c r="D491" i="70" s="1"/>
  <c r="D938" i="56"/>
  <c r="D843" i="70" s="1"/>
  <c r="D900" i="56"/>
  <c r="D811" i="70" s="1"/>
  <c r="C542" i="56"/>
  <c r="C496" i="70" s="1"/>
  <c r="C922" i="56"/>
  <c r="C816" i="70" s="1"/>
  <c r="C960" i="56"/>
  <c r="C848" i="70" s="1"/>
  <c r="E488" i="49"/>
  <c r="D868" i="49"/>
  <c r="D830" i="49"/>
  <c r="D488" i="49"/>
  <c r="B488" i="49" s="1"/>
  <c r="D450" i="49"/>
  <c r="B446" i="49"/>
  <c r="B389" i="49"/>
  <c r="B351" i="49"/>
  <c r="B313" i="49"/>
  <c r="B237" i="49"/>
  <c r="B199" i="49"/>
  <c r="D579" i="56" l="1"/>
  <c r="D527" i="70" s="1"/>
  <c r="D529" i="70" s="1"/>
  <c r="D532" i="70" s="1"/>
  <c r="D536" i="70" s="1"/>
  <c r="A188" i="56"/>
  <c r="B409" i="49"/>
  <c r="F21" i="60"/>
  <c r="C529" i="70"/>
  <c r="C532" i="70" s="1"/>
  <c r="C534" i="70" s="1"/>
  <c r="C546" i="56"/>
  <c r="DR135" i="51"/>
  <c r="DS135" i="51" s="1"/>
  <c r="C964" i="56"/>
  <c r="DR267" i="51"/>
  <c r="DS267" i="51" s="1"/>
  <c r="I84" i="51"/>
  <c r="I72" i="51"/>
  <c r="D848" i="70"/>
  <c r="C849" i="70"/>
  <c r="C852" i="70" s="1"/>
  <c r="C854" i="70" s="1"/>
  <c r="D816" i="70"/>
  <c r="C817" i="70"/>
  <c r="C820" i="70" s="1"/>
  <c r="C822" i="70" s="1"/>
  <c r="D496" i="70"/>
  <c r="C497" i="70"/>
  <c r="C500" i="70" s="1"/>
  <c r="C502" i="70" s="1"/>
  <c r="D541" i="56"/>
  <c r="D495" i="70" s="1"/>
  <c r="D959" i="56"/>
  <c r="D847" i="70" s="1"/>
  <c r="D921" i="56"/>
  <c r="D815" i="70" s="1"/>
  <c r="E872" i="49"/>
  <c r="C966" i="56" s="1"/>
  <c r="C16" i="60"/>
  <c r="B326" i="56"/>
  <c r="A470" i="49"/>
  <c r="G22" i="60"/>
  <c r="E457" i="49"/>
  <c r="F457" i="49" s="1"/>
  <c r="E454" i="49"/>
  <c r="C548" i="56" s="1"/>
  <c r="C15" i="60"/>
  <c r="B288" i="56"/>
  <c r="C19" i="60"/>
  <c r="B440" i="56"/>
  <c r="B423" i="70" s="1"/>
  <c r="B442" i="70" s="1"/>
  <c r="C20" i="60"/>
  <c r="B478" i="56"/>
  <c r="B455" i="70" s="1"/>
  <c r="B474" i="70" s="1"/>
  <c r="E875" i="49"/>
  <c r="E877" i="49" s="1"/>
  <c r="C18" i="60"/>
  <c r="B402" i="56"/>
  <c r="B391" i="70" s="1"/>
  <c r="B410" i="70" s="1"/>
  <c r="S625" i="49"/>
  <c r="AA625" i="49" s="1"/>
  <c r="E833" i="49"/>
  <c r="E491" i="49"/>
  <c r="AD341" i="49"/>
  <c r="AD339" i="49"/>
  <c r="AD265" i="49"/>
  <c r="AD263" i="49"/>
  <c r="AD377" i="49"/>
  <c r="AD379" i="49"/>
  <c r="AD225" i="49"/>
  <c r="AD227" i="49"/>
  <c r="AD415" i="49"/>
  <c r="AD417" i="49"/>
  <c r="BB40" i="52"/>
  <c r="B868" i="49"/>
  <c r="G32" i="60" s="1"/>
  <c r="D871" i="49"/>
  <c r="B830" i="49"/>
  <c r="G31" i="60" s="1"/>
  <c r="D833" i="49"/>
  <c r="D491" i="49"/>
  <c r="D453" i="49"/>
  <c r="B450" i="49"/>
  <c r="C21" i="56"/>
  <c r="C27" i="70" s="1"/>
  <c r="B21" i="56"/>
  <c r="B27" i="70" s="1"/>
  <c r="I712" i="56" l="1"/>
  <c r="H653" i="70" s="1"/>
  <c r="B295" i="70"/>
  <c r="B314" i="70" s="1"/>
  <c r="G288" i="56"/>
  <c r="B327" i="70"/>
  <c r="B346" i="70" s="1"/>
  <c r="G326" i="56"/>
  <c r="C581" i="56"/>
  <c r="D534" i="70"/>
  <c r="A189" i="56"/>
  <c r="C536" i="70"/>
  <c r="D497" i="70"/>
  <c r="D500" i="70" s="1"/>
  <c r="D502" i="70" s="1"/>
  <c r="DS276" i="51"/>
  <c r="I268" i="51"/>
  <c r="J268" i="51" s="1"/>
  <c r="C584" i="56"/>
  <c r="DR147" i="51"/>
  <c r="DS147" i="51" s="1"/>
  <c r="C926" i="56"/>
  <c r="DR255" i="51"/>
  <c r="DS255" i="51" s="1"/>
  <c r="I136" i="51"/>
  <c r="J136" i="51" s="1"/>
  <c r="DS144" i="51"/>
  <c r="D817" i="70"/>
  <c r="D820" i="70" s="1"/>
  <c r="D824" i="70" s="1"/>
  <c r="D849" i="70"/>
  <c r="D852" i="70" s="1"/>
  <c r="D856" i="70" s="1"/>
  <c r="C504" i="70"/>
  <c r="C824" i="70"/>
  <c r="C856" i="70"/>
  <c r="C543" i="56"/>
  <c r="G478" i="56"/>
  <c r="G440" i="56"/>
  <c r="G402" i="56"/>
  <c r="C923" i="56"/>
  <c r="C961" i="56"/>
  <c r="F875" i="49"/>
  <c r="A432" i="49"/>
  <c r="G21" i="60"/>
  <c r="AV40" i="52"/>
  <c r="E834" i="49"/>
  <c r="C928" i="56" s="1"/>
  <c r="E492" i="49"/>
  <c r="C586" i="56" s="1"/>
  <c r="E837" i="49"/>
  <c r="F837" i="49" s="1"/>
  <c r="E495" i="49"/>
  <c r="F495" i="49" s="1"/>
  <c r="A850" i="49"/>
  <c r="BB80" i="52"/>
  <c r="A812" i="49"/>
  <c r="AV80" i="52"/>
  <c r="E878" i="49"/>
  <c r="F877" i="49"/>
  <c r="C2" i="49"/>
  <c r="C53" i="49" s="1"/>
  <c r="A190" i="56" l="1"/>
  <c r="D504" i="70"/>
  <c r="DS264" i="51"/>
  <c r="I256" i="51"/>
  <c r="J256" i="51" s="1"/>
  <c r="I144" i="51"/>
  <c r="I133" i="51" s="1"/>
  <c r="DS156" i="51"/>
  <c r="I148" i="51"/>
  <c r="J148" i="51" s="1"/>
  <c r="D822" i="70"/>
  <c r="I276" i="51"/>
  <c r="I265" i="51" s="1"/>
  <c r="D854" i="70"/>
  <c r="E839" i="49"/>
  <c r="D4" i="52"/>
  <c r="A191" i="56" l="1"/>
  <c r="I156" i="51"/>
  <c r="I145" i="51" s="1"/>
  <c r="I264" i="51"/>
  <c r="I253" i="51" s="1"/>
  <c r="E840" i="49"/>
  <c r="F839" i="49"/>
  <c r="E418" i="49"/>
  <c r="E380" i="49"/>
  <c r="E342" i="49"/>
  <c r="E304" i="49"/>
  <c r="J4" i="52"/>
  <c r="A192" i="56" l="1"/>
  <c r="D416" i="49"/>
  <c r="C509" i="56" s="1"/>
  <c r="C469" i="70" s="1"/>
  <c r="D469" i="70" s="1"/>
  <c r="C392" i="49"/>
  <c r="AN5" i="52"/>
  <c r="AN4" i="52"/>
  <c r="AM10" i="52"/>
  <c r="AM11" i="52"/>
  <c r="AM12" i="52"/>
  <c r="AM13" i="52"/>
  <c r="AM14" i="52"/>
  <c r="AM15" i="52"/>
  <c r="AM16" i="52"/>
  <c r="AM17" i="52"/>
  <c r="AM18" i="52"/>
  <c r="AM19" i="52"/>
  <c r="AM20" i="52"/>
  <c r="AM21" i="52"/>
  <c r="AM22" i="52"/>
  <c r="AM23" i="52"/>
  <c r="AM24" i="52"/>
  <c r="AM25" i="52"/>
  <c r="AM26" i="52"/>
  <c r="AM27" i="52"/>
  <c r="AM28" i="52"/>
  <c r="AM29" i="52"/>
  <c r="AM30" i="52"/>
  <c r="AM31" i="52"/>
  <c r="AM32" i="52"/>
  <c r="AM33" i="52"/>
  <c r="AM34" i="52"/>
  <c r="AM35" i="52"/>
  <c r="AM36" i="52"/>
  <c r="AM37" i="52"/>
  <c r="AM38" i="52"/>
  <c r="AM39" i="52"/>
  <c r="AM9" i="52"/>
  <c r="A123" i="51"/>
  <c r="A124" i="51"/>
  <c r="A125" i="51"/>
  <c r="A126" i="51"/>
  <c r="A127" i="51"/>
  <c r="A128" i="51"/>
  <c r="A129" i="51"/>
  <c r="A130" i="51"/>
  <c r="A122" i="51"/>
  <c r="T217" i="76"/>
  <c r="T216" i="76"/>
  <c r="T215" i="76"/>
  <c r="T214" i="76"/>
  <c r="T213" i="76"/>
  <c r="T212" i="76"/>
  <c r="T211" i="76"/>
  <c r="T210" i="76"/>
  <c r="T209" i="76"/>
  <c r="T208" i="76"/>
  <c r="T207" i="76"/>
  <c r="E398" i="49"/>
  <c r="D485" i="56" s="1"/>
  <c r="D462" i="70" s="1"/>
  <c r="F462" i="70" s="1"/>
  <c r="C391" i="49"/>
  <c r="A193" i="56" l="1"/>
  <c r="AF416" i="49"/>
  <c r="AE416" i="49"/>
  <c r="E420" i="49"/>
  <c r="E777" i="49"/>
  <c r="D864" i="56" s="1"/>
  <c r="D781" i="70" s="1"/>
  <c r="E782" i="49"/>
  <c r="E790" i="49"/>
  <c r="E784" i="49"/>
  <c r="E789" i="49"/>
  <c r="Q241" i="51" s="1"/>
  <c r="E786" i="49"/>
  <c r="E791" i="49"/>
  <c r="E783" i="49"/>
  <c r="D406" i="49"/>
  <c r="D404" i="49"/>
  <c r="E404" i="49" s="1"/>
  <c r="D403" i="49"/>
  <c r="E403" i="49" s="1"/>
  <c r="D402" i="49"/>
  <c r="E402" i="49" s="1"/>
  <c r="D401" i="49"/>
  <c r="E401" i="49" s="1"/>
  <c r="D398" i="49"/>
  <c r="B398" i="49" s="1"/>
  <c r="D397" i="49"/>
  <c r="D411" i="49"/>
  <c r="E411" i="49" s="1"/>
  <c r="D409" i="49"/>
  <c r="E409" i="49" s="1"/>
  <c r="Q121" i="51" s="1"/>
  <c r="D407" i="49"/>
  <c r="E407" i="49" s="1"/>
  <c r="D396" i="49"/>
  <c r="D410" i="49"/>
  <c r="E410" i="49" s="1"/>
  <c r="D391" i="49"/>
  <c r="B416" i="49"/>
  <c r="AH4" i="52"/>
  <c r="AB4" i="52"/>
  <c r="V4" i="52"/>
  <c r="P4" i="52"/>
  <c r="A194" i="56" l="1"/>
  <c r="E396" i="49"/>
  <c r="D483" i="56" s="1"/>
  <c r="D460" i="70" s="1"/>
  <c r="C483" i="56"/>
  <c r="C460" i="70" s="1"/>
  <c r="E397" i="49"/>
  <c r="D484" i="56" s="1"/>
  <c r="D461" i="70" s="1"/>
  <c r="C484" i="56"/>
  <c r="C461" i="70" s="1"/>
  <c r="W401" i="49"/>
  <c r="C485" i="56"/>
  <c r="C462" i="70" s="1"/>
  <c r="E776" i="49"/>
  <c r="D775" i="49"/>
  <c r="D779" i="49" s="1"/>
  <c r="B779" i="49" s="1"/>
  <c r="E30" i="60" s="1"/>
  <c r="D30" i="60"/>
  <c r="D785" i="49"/>
  <c r="E787" i="49"/>
  <c r="E785" i="49" s="1"/>
  <c r="D780" i="49"/>
  <c r="E781" i="49"/>
  <c r="E780" i="49" s="1"/>
  <c r="D405" i="49"/>
  <c r="E400" i="49"/>
  <c r="D395" i="49"/>
  <c r="D399" i="49" s="1"/>
  <c r="B399" i="49" s="1"/>
  <c r="E20" i="60" s="1"/>
  <c r="D20" i="60"/>
  <c r="D400" i="49"/>
  <c r="E406" i="49"/>
  <c r="E405" i="49" s="1"/>
  <c r="A195" i="56" l="1"/>
  <c r="D482" i="56"/>
  <c r="D459" i="70" s="1"/>
  <c r="E395" i="49"/>
  <c r="E775" i="49"/>
  <c r="D863" i="56"/>
  <c r="D780" i="70" s="1"/>
  <c r="C482" i="56"/>
  <c r="C459" i="70" s="1"/>
  <c r="E779" i="49"/>
  <c r="E399" i="49"/>
  <c r="E788" i="49"/>
  <c r="D788" i="49"/>
  <c r="B788" i="49" s="1"/>
  <c r="F30" i="60" s="1"/>
  <c r="D408" i="49"/>
  <c r="B408" i="49" s="1"/>
  <c r="E408" i="49"/>
  <c r="C504" i="56" s="1"/>
  <c r="C464" i="70" s="1"/>
  <c r="D464" i="70" s="1"/>
  <c r="A196" i="56" l="1"/>
  <c r="F20" i="60"/>
  <c r="AF795" i="49"/>
  <c r="AF797" i="49" s="1"/>
  <c r="AE795" i="49"/>
  <c r="AE797" i="49" s="1"/>
  <c r="AF415" i="49"/>
  <c r="AF417" i="49" s="1"/>
  <c r="AE415" i="49"/>
  <c r="AE417" i="49" s="1"/>
  <c r="C503" i="56"/>
  <c r="C463" i="70" s="1"/>
  <c r="C465" i="70" s="1"/>
  <c r="C468" i="70" s="1"/>
  <c r="D503" i="56"/>
  <c r="D463" i="70" s="1"/>
  <c r="D465" i="70" s="1"/>
  <c r="D468" i="70" s="1"/>
  <c r="D862" i="56"/>
  <c r="D779" i="70" s="1"/>
  <c r="C884" i="56"/>
  <c r="C784" i="70" s="1"/>
  <c r="E792" i="49"/>
  <c r="E412" i="49"/>
  <c r="D792" i="49"/>
  <c r="B792" i="49" s="1"/>
  <c r="D412" i="49"/>
  <c r="B412" i="49" s="1"/>
  <c r="G20" i="60" s="1"/>
  <c r="A197" i="56" l="1"/>
  <c r="E415" i="49"/>
  <c r="E419" i="49" s="1"/>
  <c r="F419" i="49" s="1"/>
  <c r="D784" i="70"/>
  <c r="C785" i="70"/>
  <c r="C788" i="70" s="1"/>
  <c r="C790" i="70" s="1"/>
  <c r="C472" i="70"/>
  <c r="C470" i="70"/>
  <c r="C505" i="56"/>
  <c r="D470" i="70"/>
  <c r="D472" i="70"/>
  <c r="D883" i="56"/>
  <c r="D783" i="70" s="1"/>
  <c r="A774" i="49"/>
  <c r="G30" i="60"/>
  <c r="D795" i="49"/>
  <c r="E795" i="49"/>
  <c r="AP80" i="52"/>
  <c r="D415" i="49"/>
  <c r="A198" i="56" l="1"/>
  <c r="E416" i="49"/>
  <c r="C510" i="56" s="1"/>
  <c r="C888" i="56"/>
  <c r="DR243" i="51"/>
  <c r="DS243" i="51" s="1"/>
  <c r="C508" i="56"/>
  <c r="DR123" i="51"/>
  <c r="DS123" i="51" s="1"/>
  <c r="D785" i="70"/>
  <c r="D788" i="70" s="1"/>
  <c r="D792" i="70" s="1"/>
  <c r="C792" i="70"/>
  <c r="C885" i="56"/>
  <c r="E799" i="49"/>
  <c r="E801" i="49" s="1"/>
  <c r="F801" i="49" s="1"/>
  <c r="S623" i="49"/>
  <c r="AA623" i="49" s="1"/>
  <c r="E796" i="49"/>
  <c r="C890" i="56" s="1"/>
  <c r="E360" i="49"/>
  <c r="D447" i="56" s="1"/>
  <c r="D430" i="70" s="1"/>
  <c r="F430" i="70" s="1"/>
  <c r="E322" i="49"/>
  <c r="D409" i="56" s="1"/>
  <c r="D398" i="70" s="1"/>
  <c r="F398" i="70" s="1"/>
  <c r="E284" i="49"/>
  <c r="D371" i="56" s="1"/>
  <c r="D366" i="70" s="1"/>
  <c r="F366" i="70" s="1"/>
  <c r="E246" i="49"/>
  <c r="D333" i="56" s="1"/>
  <c r="D334" i="70" s="1"/>
  <c r="F334" i="70" s="1"/>
  <c r="C278" i="49"/>
  <c r="C316" i="49"/>
  <c r="C354" i="49"/>
  <c r="I710" i="56" l="1"/>
  <c r="H651" i="70" s="1"/>
  <c r="A199" i="56"/>
  <c r="DS132" i="51"/>
  <c r="I124" i="51"/>
  <c r="J124" i="51" s="1"/>
  <c r="DS252" i="51"/>
  <c r="I244" i="51"/>
  <c r="J244" i="51" s="1"/>
  <c r="D790" i="70"/>
  <c r="F799" i="49"/>
  <c r="E802" i="49"/>
  <c r="D378" i="49"/>
  <c r="C471" i="56" s="1"/>
  <c r="C437" i="70" s="1"/>
  <c r="D437" i="70" s="1"/>
  <c r="D340" i="49"/>
  <c r="C433" i="56" s="1"/>
  <c r="C405" i="70" s="1"/>
  <c r="D405" i="70" s="1"/>
  <c r="D302" i="49"/>
  <c r="C395" i="56" s="1"/>
  <c r="C373" i="70" s="1"/>
  <c r="D373" i="70" s="1"/>
  <c r="D226" i="49"/>
  <c r="C319" i="56" s="1"/>
  <c r="C309" i="70" s="1"/>
  <c r="D309" i="70" s="1"/>
  <c r="D264" i="49"/>
  <c r="C357" i="56" s="1"/>
  <c r="C341" i="70" s="1"/>
  <c r="D341" i="70" s="1"/>
  <c r="AH5" i="52"/>
  <c r="AB5" i="52"/>
  <c r="V5" i="52"/>
  <c r="P5" i="52"/>
  <c r="AG10" i="52"/>
  <c r="AG11" i="52"/>
  <c r="AG12" i="52"/>
  <c r="AG13" i="52"/>
  <c r="AG14" i="52"/>
  <c r="AG15" i="52"/>
  <c r="AG16" i="52"/>
  <c r="AG17" i="52"/>
  <c r="AG18" i="52"/>
  <c r="AG19" i="52"/>
  <c r="AG20" i="52"/>
  <c r="AG21" i="52"/>
  <c r="AG22" i="52"/>
  <c r="AG23" i="52"/>
  <c r="AG24" i="52"/>
  <c r="AG25" i="52"/>
  <c r="AG26" i="52"/>
  <c r="AG27" i="52"/>
  <c r="AG28" i="52"/>
  <c r="AG29" i="52"/>
  <c r="AG30" i="52"/>
  <c r="AG31" i="52"/>
  <c r="AG32" i="52"/>
  <c r="AG33" i="52"/>
  <c r="AG34" i="52"/>
  <c r="AG35" i="52"/>
  <c r="AG36" i="52"/>
  <c r="AG37" i="52"/>
  <c r="AG38" i="52"/>
  <c r="AG39" i="52"/>
  <c r="AG9" i="52"/>
  <c r="AA10" i="52"/>
  <c r="AA11" i="52"/>
  <c r="AA12" i="52"/>
  <c r="AA13" i="52"/>
  <c r="AA14" i="52"/>
  <c r="AA15" i="52"/>
  <c r="AA16" i="52"/>
  <c r="AA17" i="52"/>
  <c r="AA18" i="52"/>
  <c r="AA19" i="52"/>
  <c r="AA20" i="52"/>
  <c r="AA21" i="52"/>
  <c r="AA22" i="52"/>
  <c r="AA23" i="52"/>
  <c r="AA24" i="52"/>
  <c r="AA25" i="52"/>
  <c r="AA26" i="52"/>
  <c r="AA27" i="52"/>
  <c r="AA28" i="52"/>
  <c r="AA29" i="52"/>
  <c r="AA30" i="52"/>
  <c r="AA31" i="52"/>
  <c r="AA32" i="52"/>
  <c r="AA33" i="52"/>
  <c r="AA34" i="52"/>
  <c r="AA35" i="52"/>
  <c r="AA36" i="52"/>
  <c r="AA37" i="52"/>
  <c r="AA38" i="52"/>
  <c r="AA39" i="52"/>
  <c r="AA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36" i="52"/>
  <c r="U37" i="52"/>
  <c r="U38" i="52"/>
  <c r="U39" i="52"/>
  <c r="U9" i="52"/>
  <c r="O10" i="52"/>
  <c r="O11" i="52"/>
  <c r="O12" i="52"/>
  <c r="O13" i="52"/>
  <c r="O14" i="52"/>
  <c r="O15" i="52"/>
  <c r="O16" i="52"/>
  <c r="O17" i="52"/>
  <c r="O18" i="52"/>
  <c r="O19" i="52"/>
  <c r="O20" i="52"/>
  <c r="O21" i="52"/>
  <c r="O22" i="52"/>
  <c r="O23" i="52"/>
  <c r="O24" i="52"/>
  <c r="O25" i="52"/>
  <c r="O26" i="52"/>
  <c r="O27" i="52"/>
  <c r="O28" i="52"/>
  <c r="O29" i="52"/>
  <c r="O30" i="52"/>
  <c r="O31" i="52"/>
  <c r="O32" i="52"/>
  <c r="O33" i="52"/>
  <c r="O34" i="52"/>
  <c r="O35" i="52"/>
  <c r="O36" i="52"/>
  <c r="O37" i="52"/>
  <c r="O38" i="52"/>
  <c r="O39" i="52"/>
  <c r="O9" i="52"/>
  <c r="C202" i="49"/>
  <c r="A111" i="51"/>
  <c r="A112" i="51"/>
  <c r="A113" i="51"/>
  <c r="A114" i="51"/>
  <c r="A115" i="51"/>
  <c r="A116" i="51"/>
  <c r="A117" i="51"/>
  <c r="A118" i="51"/>
  <c r="A110" i="51"/>
  <c r="A99" i="51"/>
  <c r="A100" i="51"/>
  <c r="A101" i="51"/>
  <c r="A102" i="51"/>
  <c r="A103" i="51"/>
  <c r="A104" i="51"/>
  <c r="A105" i="51"/>
  <c r="A106" i="51"/>
  <c r="A98" i="51"/>
  <c r="A87" i="51"/>
  <c r="A88" i="51"/>
  <c r="A89" i="51"/>
  <c r="A90" i="51"/>
  <c r="A91" i="51"/>
  <c r="A92" i="51"/>
  <c r="A93" i="51"/>
  <c r="A94" i="51"/>
  <c r="A86" i="51"/>
  <c r="A75" i="51"/>
  <c r="A76" i="51"/>
  <c r="A77" i="51"/>
  <c r="A78" i="51"/>
  <c r="A79" i="51"/>
  <c r="A80" i="51"/>
  <c r="A81" i="51"/>
  <c r="A82" i="51"/>
  <c r="A74" i="51"/>
  <c r="T206" i="76"/>
  <c r="T205" i="76"/>
  <c r="T204" i="76"/>
  <c r="T203" i="76"/>
  <c r="T202" i="76"/>
  <c r="T201" i="76"/>
  <c r="T200" i="76"/>
  <c r="T199" i="76"/>
  <c r="T198" i="76"/>
  <c r="T197" i="76"/>
  <c r="T196" i="76"/>
  <c r="C353" i="49"/>
  <c r="D353" i="49" s="1"/>
  <c r="T195" i="76"/>
  <c r="T194" i="76"/>
  <c r="T193" i="76"/>
  <c r="T192" i="76"/>
  <c r="T191" i="76"/>
  <c r="T190" i="76"/>
  <c r="T189" i="76"/>
  <c r="T188" i="76"/>
  <c r="T187" i="76"/>
  <c r="T186" i="76"/>
  <c r="T185" i="76"/>
  <c r="C315" i="49"/>
  <c r="D315" i="49" s="1"/>
  <c r="T184" i="76"/>
  <c r="T183" i="76"/>
  <c r="T182" i="76"/>
  <c r="T181" i="76"/>
  <c r="T180" i="76"/>
  <c r="T179" i="76"/>
  <c r="T178" i="76"/>
  <c r="T177" i="76"/>
  <c r="T176" i="76"/>
  <c r="T175" i="76"/>
  <c r="T174" i="76"/>
  <c r="C277" i="49"/>
  <c r="D277" i="49" s="1"/>
  <c r="E266" i="49"/>
  <c r="T173" i="76"/>
  <c r="T172" i="76"/>
  <c r="T171" i="76"/>
  <c r="T170" i="76"/>
  <c r="T169" i="76"/>
  <c r="T168" i="76"/>
  <c r="T167" i="76"/>
  <c r="T166" i="76"/>
  <c r="T165" i="76"/>
  <c r="T164" i="76"/>
  <c r="T163" i="76"/>
  <c r="D239" i="49"/>
  <c r="A200" i="56" l="1"/>
  <c r="I252" i="51"/>
  <c r="I241" i="51" s="1"/>
  <c r="I132" i="51"/>
  <c r="I121" i="51" s="1"/>
  <c r="D284" i="49"/>
  <c r="B284" i="49" s="1"/>
  <c r="D252" i="49"/>
  <c r="E252" i="49" s="1"/>
  <c r="D249" i="49"/>
  <c r="E249" i="49" s="1"/>
  <c r="D251" i="49"/>
  <c r="E251" i="49" s="1"/>
  <c r="D250" i="49"/>
  <c r="E250" i="49" s="1"/>
  <c r="D255" i="49"/>
  <c r="E255" i="49" s="1"/>
  <c r="D259" i="49"/>
  <c r="E259" i="49" s="1"/>
  <c r="D257" i="49"/>
  <c r="E257" i="49" s="1"/>
  <c r="Q73" i="51" s="1"/>
  <c r="D258" i="49"/>
  <c r="E258" i="49" s="1"/>
  <c r="D254" i="49"/>
  <c r="E254" i="49" s="1"/>
  <c r="AF264" i="49"/>
  <c r="AE264" i="49"/>
  <c r="AF226" i="49"/>
  <c r="AE226" i="49"/>
  <c r="E306" i="49"/>
  <c r="AF302" i="49"/>
  <c r="AE302" i="49"/>
  <c r="E344" i="49"/>
  <c r="AF340" i="49"/>
  <c r="AE340" i="49"/>
  <c r="AF378" i="49"/>
  <c r="E382" i="49"/>
  <c r="AE378" i="49"/>
  <c r="E751" i="49"/>
  <c r="Q229" i="51" s="1"/>
  <c r="E753" i="49"/>
  <c r="E745" i="49"/>
  <c r="E744" i="49"/>
  <c r="E739" i="49"/>
  <c r="D826" i="56" s="1"/>
  <c r="D749" i="70" s="1"/>
  <c r="E752" i="49"/>
  <c r="E749" i="49"/>
  <c r="E746" i="49"/>
  <c r="E706" i="49"/>
  <c r="E701" i="49"/>
  <c r="D788" i="56" s="1"/>
  <c r="D717" i="70" s="1"/>
  <c r="E714" i="49"/>
  <c r="E711" i="49"/>
  <c r="E708" i="49"/>
  <c r="E713" i="49"/>
  <c r="Q217" i="51" s="1"/>
  <c r="E715" i="49"/>
  <c r="E707" i="49"/>
  <c r="D360" i="49"/>
  <c r="B360" i="49" s="1"/>
  <c r="D359" i="49"/>
  <c r="D358" i="49"/>
  <c r="E587" i="49"/>
  <c r="D674" i="56" s="1"/>
  <c r="D621" i="70" s="1"/>
  <c r="D373" i="49"/>
  <c r="E373" i="49" s="1"/>
  <c r="D371" i="49"/>
  <c r="E371" i="49" s="1"/>
  <c r="Q109" i="51" s="1"/>
  <c r="D369" i="49"/>
  <c r="E369" i="49" s="1"/>
  <c r="D368" i="49"/>
  <c r="D366" i="49"/>
  <c r="E366" i="49" s="1"/>
  <c r="D365" i="49"/>
  <c r="E365" i="49" s="1"/>
  <c r="D364" i="49"/>
  <c r="E364" i="49" s="1"/>
  <c r="D363" i="49"/>
  <c r="E363" i="49" s="1"/>
  <c r="D335" i="49"/>
  <c r="E335" i="49" s="1"/>
  <c r="D333" i="49"/>
  <c r="E333" i="49" s="1"/>
  <c r="Q97" i="51" s="1"/>
  <c r="D331" i="49"/>
  <c r="E331" i="49" s="1"/>
  <c r="D330" i="49"/>
  <c r="E330" i="49" s="1"/>
  <c r="D328" i="49"/>
  <c r="E328" i="49" s="1"/>
  <c r="D327" i="49"/>
  <c r="E327" i="49" s="1"/>
  <c r="D326" i="49"/>
  <c r="E326" i="49" s="1"/>
  <c r="D325" i="49"/>
  <c r="E325" i="49" s="1"/>
  <c r="D321" i="49"/>
  <c r="D322" i="49"/>
  <c r="B322" i="49" s="1"/>
  <c r="D289" i="49"/>
  <c r="E289" i="49" s="1"/>
  <c r="D288" i="49"/>
  <c r="E288" i="49" s="1"/>
  <c r="D287" i="49"/>
  <c r="E287" i="49" s="1"/>
  <c r="D283" i="49"/>
  <c r="D293" i="49"/>
  <c r="E293" i="49" s="1"/>
  <c r="D297" i="49"/>
  <c r="E297" i="49" s="1"/>
  <c r="D292" i="49"/>
  <c r="E292" i="49" s="1"/>
  <c r="D295" i="49"/>
  <c r="E295" i="49" s="1"/>
  <c r="Q85" i="51" s="1"/>
  <c r="D290" i="49"/>
  <c r="E290" i="49" s="1"/>
  <c r="D246" i="49"/>
  <c r="B246" i="49" s="1"/>
  <c r="D245" i="49"/>
  <c r="E268" i="49"/>
  <c r="E230" i="49"/>
  <c r="E459" i="49"/>
  <c r="E497" i="49"/>
  <c r="D244" i="49"/>
  <c r="E421" i="49"/>
  <c r="F421" i="49" s="1"/>
  <c r="B264" i="49"/>
  <c r="B302" i="49"/>
  <c r="B340" i="49"/>
  <c r="B378" i="49"/>
  <c r="AP40" i="52"/>
  <c r="D334" i="49"/>
  <c r="E334" i="49" s="1"/>
  <c r="D320" i="49"/>
  <c r="D372" i="49"/>
  <c r="E372" i="49" s="1"/>
  <c r="D282" i="49"/>
  <c r="C369" i="56" s="1"/>
  <c r="C364" i="70" s="1"/>
  <c r="D296" i="49"/>
  <c r="E296" i="49" s="1"/>
  <c r="B257" i="49"/>
  <c r="B295" i="49"/>
  <c r="B333" i="49"/>
  <c r="B371" i="49"/>
  <c r="A201" i="56" l="1"/>
  <c r="C371" i="56"/>
  <c r="C366" i="70" s="1"/>
  <c r="W287" i="49"/>
  <c r="W249" i="49"/>
  <c r="C333" i="56"/>
  <c r="C334" i="70" s="1"/>
  <c r="E320" i="49"/>
  <c r="D407" i="56" s="1"/>
  <c r="D396" i="70" s="1"/>
  <c r="C407" i="56"/>
  <c r="C396" i="70" s="1"/>
  <c r="E244" i="49"/>
  <c r="C331" i="56"/>
  <c r="C332" i="70" s="1"/>
  <c r="W325" i="49"/>
  <c r="C409" i="56"/>
  <c r="C398" i="70" s="1"/>
  <c r="E245" i="49"/>
  <c r="D332" i="56" s="1"/>
  <c r="D333" i="70" s="1"/>
  <c r="C332" i="56"/>
  <c r="C333" i="70" s="1"/>
  <c r="E358" i="49"/>
  <c r="D445" i="56" s="1"/>
  <c r="D428" i="70" s="1"/>
  <c r="C445" i="56"/>
  <c r="C428" i="70" s="1"/>
  <c r="E321" i="49"/>
  <c r="D408" i="56" s="1"/>
  <c r="D397" i="70" s="1"/>
  <c r="C408" i="56"/>
  <c r="C397" i="70" s="1"/>
  <c r="E283" i="49"/>
  <c r="D370" i="56" s="1"/>
  <c r="D365" i="70" s="1"/>
  <c r="C370" i="56"/>
  <c r="C365" i="70" s="1"/>
  <c r="E359" i="49"/>
  <c r="D446" i="56" s="1"/>
  <c r="D429" i="70" s="1"/>
  <c r="C446" i="56"/>
  <c r="C429" i="70" s="1"/>
  <c r="W363" i="49"/>
  <c r="C447" i="56"/>
  <c r="C430" i="70" s="1"/>
  <c r="E748" i="49"/>
  <c r="E747" i="49" s="1"/>
  <c r="D747" i="49"/>
  <c r="E738" i="49"/>
  <c r="D737" i="49"/>
  <c r="D741" i="49" s="1"/>
  <c r="B741" i="49" s="1"/>
  <c r="E29" i="60" s="1"/>
  <c r="D742" i="49"/>
  <c r="E743" i="49"/>
  <c r="E742" i="49" s="1"/>
  <c r="D29" i="60"/>
  <c r="E700" i="49"/>
  <c r="D699" i="49"/>
  <c r="D703" i="49" s="1"/>
  <c r="D28" i="60"/>
  <c r="E705" i="49"/>
  <c r="E704" i="49" s="1"/>
  <c r="D704" i="49"/>
  <c r="D709" i="49"/>
  <c r="E710" i="49"/>
  <c r="E709" i="49" s="1"/>
  <c r="D25" i="60"/>
  <c r="E586" i="49"/>
  <c r="D585" i="49"/>
  <c r="D589" i="49" s="1"/>
  <c r="E498" i="49"/>
  <c r="F497" i="49"/>
  <c r="E460" i="49"/>
  <c r="F459" i="49"/>
  <c r="D281" i="49"/>
  <c r="D285" i="49" s="1"/>
  <c r="B285" i="49" s="1"/>
  <c r="E17" i="60" s="1"/>
  <c r="D19" i="60"/>
  <c r="D17" i="60"/>
  <c r="E422" i="49"/>
  <c r="E324" i="49"/>
  <c r="A394" i="49"/>
  <c r="E286" i="49"/>
  <c r="E291" i="49"/>
  <c r="D367" i="49"/>
  <c r="E362" i="49"/>
  <c r="D319" i="49"/>
  <c r="D323" i="49" s="1"/>
  <c r="B323" i="49" s="1"/>
  <c r="E18" i="60" s="1"/>
  <c r="E329" i="49"/>
  <c r="D329" i="49"/>
  <c r="D18" i="60"/>
  <c r="D324" i="49"/>
  <c r="D243" i="49"/>
  <c r="D247" i="49" s="1"/>
  <c r="B247" i="49" s="1"/>
  <c r="E16" i="60" s="1"/>
  <c r="D16" i="60"/>
  <c r="D357" i="49"/>
  <c r="D361" i="49" s="1"/>
  <c r="B361" i="49" s="1"/>
  <c r="E19" i="60" s="1"/>
  <c r="E368" i="49"/>
  <c r="E367" i="49" s="1"/>
  <c r="D362" i="49"/>
  <c r="E282" i="49"/>
  <c r="D291" i="49"/>
  <c r="D286" i="49"/>
  <c r="A202" i="56" l="1"/>
  <c r="D331" i="56"/>
  <c r="D332" i="70" s="1"/>
  <c r="D444" i="56"/>
  <c r="D427" i="70" s="1"/>
  <c r="C444" i="56"/>
  <c r="C427" i="70" s="1"/>
  <c r="C368" i="56"/>
  <c r="C363" i="70" s="1"/>
  <c r="E357" i="49"/>
  <c r="C330" i="56"/>
  <c r="C331" i="70" s="1"/>
  <c r="C406" i="56"/>
  <c r="C395" i="70" s="1"/>
  <c r="E243" i="49"/>
  <c r="E737" i="49"/>
  <c r="D825" i="56"/>
  <c r="D748" i="70" s="1"/>
  <c r="E585" i="49"/>
  <c r="D673" i="56"/>
  <c r="D620" i="70" s="1"/>
  <c r="D406" i="56"/>
  <c r="D395" i="70" s="1"/>
  <c r="E699" i="49"/>
  <c r="D787" i="56"/>
  <c r="D716" i="70" s="1"/>
  <c r="E281" i="49"/>
  <c r="D369" i="56"/>
  <c r="D364" i="70" s="1"/>
  <c r="E319" i="49"/>
  <c r="E750" i="49"/>
  <c r="D750" i="49"/>
  <c r="B750" i="49" s="1"/>
  <c r="F29" i="60" s="1"/>
  <c r="D712" i="49"/>
  <c r="B712" i="49" s="1"/>
  <c r="F28" i="60" s="1"/>
  <c r="B703" i="49"/>
  <c r="E28" i="60" s="1"/>
  <c r="E712" i="49"/>
  <c r="C808" i="56" s="1"/>
  <c r="C720" i="70" s="1"/>
  <c r="B589" i="49"/>
  <c r="E294" i="49"/>
  <c r="C390" i="56" s="1"/>
  <c r="C368" i="70" s="1"/>
  <c r="D368" i="70" s="1"/>
  <c r="E332" i="49"/>
  <c r="C428" i="56" s="1"/>
  <c r="C400" i="70" s="1"/>
  <c r="D400" i="70" s="1"/>
  <c r="D332" i="49"/>
  <c r="B332" i="49" s="1"/>
  <c r="F18" i="60" s="1"/>
  <c r="D294" i="49"/>
  <c r="B294" i="49" s="1"/>
  <c r="F17" i="60" s="1"/>
  <c r="E370" i="49"/>
  <c r="C466" i="56" s="1"/>
  <c r="C432" i="70" s="1"/>
  <c r="D432" i="70" s="1"/>
  <c r="D370" i="49"/>
  <c r="B370" i="49" s="1"/>
  <c r="F19" i="60" s="1"/>
  <c r="A203" i="56" l="1"/>
  <c r="E25" i="60"/>
  <c r="D330" i="56"/>
  <c r="D331" i="70" s="1"/>
  <c r="E589" i="49"/>
  <c r="E703" i="49"/>
  <c r="E716" i="49" s="1"/>
  <c r="AF719" i="49"/>
  <c r="AF721" i="49" s="1"/>
  <c r="AE719" i="49"/>
  <c r="AE721" i="49" s="1"/>
  <c r="E247" i="49"/>
  <c r="E361" i="49"/>
  <c r="E374" i="49" s="1"/>
  <c r="AF377" i="49"/>
  <c r="AF379" i="49" s="1"/>
  <c r="AE377" i="49"/>
  <c r="AE379" i="49" s="1"/>
  <c r="E285" i="49"/>
  <c r="E298" i="49" s="1"/>
  <c r="AF301" i="49"/>
  <c r="AF303" i="49" s="1"/>
  <c r="AE301" i="49"/>
  <c r="AE303" i="49" s="1"/>
  <c r="E741" i="49"/>
  <c r="E754" i="49" s="1"/>
  <c r="E757" i="49" s="1"/>
  <c r="AF757" i="49"/>
  <c r="AF759" i="49" s="1"/>
  <c r="AE757" i="49"/>
  <c r="AE759" i="49" s="1"/>
  <c r="E323" i="49"/>
  <c r="E336" i="49" s="1"/>
  <c r="AF339" i="49"/>
  <c r="AF341" i="49" s="1"/>
  <c r="AE339" i="49"/>
  <c r="AE341" i="49" s="1"/>
  <c r="D720" i="70"/>
  <c r="C721" i="70"/>
  <c r="C724" i="70" s="1"/>
  <c r="C726" i="70" s="1"/>
  <c r="C465" i="56"/>
  <c r="C431" i="70" s="1"/>
  <c r="C433" i="70" s="1"/>
  <c r="C436" i="70" s="1"/>
  <c r="C438" i="70" s="1"/>
  <c r="D351" i="56"/>
  <c r="D335" i="70" s="1"/>
  <c r="D368" i="56"/>
  <c r="D363" i="70" s="1"/>
  <c r="C351" i="56"/>
  <c r="C335" i="70" s="1"/>
  <c r="D786" i="56"/>
  <c r="D715" i="70" s="1"/>
  <c r="D427" i="56"/>
  <c r="D399" i="70" s="1"/>
  <c r="D401" i="70" s="1"/>
  <c r="D404" i="70" s="1"/>
  <c r="C389" i="56"/>
  <c r="C367" i="70" s="1"/>
  <c r="C369" i="70" s="1"/>
  <c r="C372" i="70" s="1"/>
  <c r="C374" i="70" s="1"/>
  <c r="C427" i="56"/>
  <c r="C399" i="70" s="1"/>
  <c r="C401" i="70" s="1"/>
  <c r="C404" i="70" s="1"/>
  <c r="C406" i="70" s="1"/>
  <c r="D672" i="56"/>
  <c r="D619" i="70" s="1"/>
  <c r="D824" i="56"/>
  <c r="D747" i="70" s="1"/>
  <c r="D465" i="56"/>
  <c r="D431" i="70" s="1"/>
  <c r="D433" i="70" s="1"/>
  <c r="D436" i="70" s="1"/>
  <c r="C846" i="56"/>
  <c r="C752" i="70" s="1"/>
  <c r="D716" i="49"/>
  <c r="D719" i="49" s="1"/>
  <c r="D754" i="49"/>
  <c r="D757" i="49" s="1"/>
  <c r="D298" i="49"/>
  <c r="B298" i="49" s="1"/>
  <c r="D336" i="49"/>
  <c r="D339" i="49" s="1"/>
  <c r="D374" i="49"/>
  <c r="B374" i="49" s="1"/>
  <c r="A204" i="56" l="1"/>
  <c r="C850" i="56"/>
  <c r="DR231" i="51"/>
  <c r="DS231" i="51" s="1"/>
  <c r="C376" i="70"/>
  <c r="C440" i="70"/>
  <c r="C408" i="70"/>
  <c r="D752" i="70"/>
  <c r="C753" i="70"/>
  <c r="C756" i="70" s="1"/>
  <c r="C758" i="70" s="1"/>
  <c r="C728" i="70"/>
  <c r="D438" i="70"/>
  <c r="D440" i="70"/>
  <c r="D406" i="70"/>
  <c r="D408" i="70"/>
  <c r="C429" i="56"/>
  <c r="C467" i="56"/>
  <c r="D807" i="56"/>
  <c r="D719" i="70" s="1"/>
  <c r="D721" i="70" s="1"/>
  <c r="D724" i="70" s="1"/>
  <c r="D845" i="56"/>
  <c r="D751" i="70" s="1"/>
  <c r="D693" i="56"/>
  <c r="D623" i="70" s="1"/>
  <c r="D389" i="56"/>
  <c r="D367" i="70" s="1"/>
  <c r="D369" i="70" s="1"/>
  <c r="D372" i="70" s="1"/>
  <c r="E761" i="49"/>
  <c r="E763" i="49" s="1"/>
  <c r="E758" i="49"/>
  <c r="C852" i="56" s="1"/>
  <c r="A356" i="49"/>
  <c r="G19" i="60"/>
  <c r="A280" i="49"/>
  <c r="G17" i="60"/>
  <c r="E719" i="49"/>
  <c r="E377" i="49"/>
  <c r="DR111" i="51" s="1"/>
  <c r="DS111" i="51" s="1"/>
  <c r="E339" i="49"/>
  <c r="E301" i="49"/>
  <c r="DR87" i="51" s="1"/>
  <c r="B716" i="49"/>
  <c r="AD80" i="52" s="1"/>
  <c r="AJ40" i="52"/>
  <c r="X40" i="52"/>
  <c r="B754" i="49"/>
  <c r="G29" i="60" s="1"/>
  <c r="D301" i="49"/>
  <c r="B336" i="49"/>
  <c r="G18" i="60" s="1"/>
  <c r="D377" i="49"/>
  <c r="A205" i="56" l="1"/>
  <c r="I232" i="51"/>
  <c r="J232" i="51" s="1"/>
  <c r="DS240" i="51"/>
  <c r="C812" i="56"/>
  <c r="DR219" i="51"/>
  <c r="DS219" i="51" s="1"/>
  <c r="I112" i="51"/>
  <c r="J112" i="51" s="1"/>
  <c r="DS120" i="51"/>
  <c r="D753" i="70"/>
  <c r="D756" i="70" s="1"/>
  <c r="D760" i="70" s="1"/>
  <c r="E343" i="49"/>
  <c r="E345" i="49" s="1"/>
  <c r="F345" i="49" s="1"/>
  <c r="DR99" i="51"/>
  <c r="DS99" i="51" s="1"/>
  <c r="DS87" i="51"/>
  <c r="I85" i="51"/>
  <c r="C760" i="70"/>
  <c r="D374" i="70"/>
  <c r="D376" i="70"/>
  <c r="D726" i="70"/>
  <c r="D728" i="70"/>
  <c r="F761" i="49"/>
  <c r="C391" i="56"/>
  <c r="C847" i="56"/>
  <c r="C809" i="56"/>
  <c r="A698" i="49"/>
  <c r="G28" i="60"/>
  <c r="E720" i="49"/>
  <c r="C814" i="56" s="1"/>
  <c r="E302" i="49"/>
  <c r="C396" i="56" s="1"/>
  <c r="C394" i="56"/>
  <c r="E340" i="49"/>
  <c r="C432" i="56"/>
  <c r="E378" i="49"/>
  <c r="C472" i="56" s="1"/>
  <c r="C470" i="56"/>
  <c r="E723" i="49"/>
  <c r="E725" i="49" s="1"/>
  <c r="F725" i="49" s="1"/>
  <c r="E305" i="49"/>
  <c r="F305" i="49" s="1"/>
  <c r="E381" i="49"/>
  <c r="E383" i="49" s="1"/>
  <c r="F383" i="49" s="1"/>
  <c r="A318" i="49"/>
  <c r="AD40" i="52"/>
  <c r="A736" i="49"/>
  <c r="AJ80" i="52"/>
  <c r="E764" i="49"/>
  <c r="F763" i="49"/>
  <c r="D33" i="49"/>
  <c r="A206" i="56" l="1"/>
  <c r="DS228" i="51"/>
  <c r="I220" i="51"/>
  <c r="J220" i="51" s="1"/>
  <c r="F343" i="49"/>
  <c r="D758" i="70"/>
  <c r="I240" i="51"/>
  <c r="I229" i="51" s="1"/>
  <c r="I100" i="51"/>
  <c r="J100" i="51" s="1"/>
  <c r="DS108" i="51"/>
  <c r="I120" i="51"/>
  <c r="I109" i="51" s="1"/>
  <c r="E346" i="49"/>
  <c r="E307" i="49"/>
  <c r="F307" i="49" s="1"/>
  <c r="F723" i="49"/>
  <c r="E384" i="49"/>
  <c r="F381" i="49"/>
  <c r="S663" i="49"/>
  <c r="AA663" i="49" s="1"/>
  <c r="AA667" i="49" s="1"/>
  <c r="C434" i="56"/>
  <c r="E726" i="49"/>
  <c r="D21" i="56"/>
  <c r="D27" i="70" s="1"/>
  <c r="D76" i="70" s="1"/>
  <c r="E21" i="56"/>
  <c r="C33" i="51"/>
  <c r="C32" i="51"/>
  <c r="C31" i="51"/>
  <c r="I750" i="56" l="1"/>
  <c r="H685" i="70" s="1"/>
  <c r="H689" i="70" s="1"/>
  <c r="A207" i="56"/>
  <c r="E27" i="70"/>
  <c r="E76" i="70" s="1"/>
  <c r="I228" i="51"/>
  <c r="I217" i="51" s="1"/>
  <c r="I108" i="51"/>
  <c r="I97" i="51" s="1"/>
  <c r="E308" i="49"/>
  <c r="E664" i="49"/>
  <c r="D751" i="56" s="1"/>
  <c r="D686" i="70" s="1"/>
  <c r="C34" i="51"/>
  <c r="F686" i="70" l="1"/>
  <c r="A208" i="56"/>
  <c r="D769" i="56"/>
  <c r="D687" i="70" s="1"/>
  <c r="D689" i="70" s="1"/>
  <c r="D692" i="70" s="1"/>
  <c r="D694" i="70" s="1"/>
  <c r="E665" i="49"/>
  <c r="E678" i="49" s="1"/>
  <c r="E681" i="49" s="1"/>
  <c r="J5" i="52"/>
  <c r="A209" i="56" l="1"/>
  <c r="C774" i="56"/>
  <c r="DR207" i="51"/>
  <c r="DS207" i="51" s="1"/>
  <c r="D696" i="70"/>
  <c r="C771" i="56"/>
  <c r="E685" i="49"/>
  <c r="E682" i="49"/>
  <c r="C776" i="56" s="1"/>
  <c r="A70" i="51"/>
  <c r="A69" i="51"/>
  <c r="A68" i="51"/>
  <c r="A67" i="51"/>
  <c r="A66" i="51"/>
  <c r="A65" i="51"/>
  <c r="A64" i="51"/>
  <c r="A63" i="51"/>
  <c r="A62" i="51"/>
  <c r="A210" i="56" l="1"/>
  <c r="M12" i="49"/>
  <c r="L16" i="49"/>
  <c r="G79" i="56" s="1"/>
  <c r="F79" i="56" s="1"/>
  <c r="M14" i="49"/>
  <c r="M16" i="49"/>
  <c r="L15" i="49"/>
  <c r="G78" i="56" s="1"/>
  <c r="F78" i="56" s="1"/>
  <c r="L21" i="49"/>
  <c r="G84" i="56" s="1"/>
  <c r="F84" i="56" s="1"/>
  <c r="L17" i="49"/>
  <c r="G80" i="56" s="1"/>
  <c r="F80" i="56" s="1"/>
  <c r="M15" i="49"/>
  <c r="M17" i="49"/>
  <c r="L14" i="49"/>
  <c r="G77" i="56" s="1"/>
  <c r="F77" i="56" s="1"/>
  <c r="L19" i="49"/>
  <c r="G82" i="56" s="1"/>
  <c r="F82" i="56" s="1"/>
  <c r="L20" i="49"/>
  <c r="G83" i="56" s="1"/>
  <c r="F83" i="56" s="1"/>
  <c r="M20" i="49"/>
  <c r="M18" i="49"/>
  <c r="L13" i="49"/>
  <c r="G76" i="56" s="1"/>
  <c r="F76" i="56" s="1"/>
  <c r="L18" i="49"/>
  <c r="G81" i="56" s="1"/>
  <c r="F81" i="56" s="1"/>
  <c r="M13" i="49"/>
  <c r="M22" i="49"/>
  <c r="M19" i="49"/>
  <c r="L22" i="49"/>
  <c r="G85" i="56" s="1"/>
  <c r="F85" i="56" s="1"/>
  <c r="M21" i="49"/>
  <c r="I208" i="51"/>
  <c r="J208" i="51" s="1"/>
  <c r="DS216" i="51"/>
  <c r="L12" i="49"/>
  <c r="E687" i="49"/>
  <c r="F685" i="49"/>
  <c r="B226" i="49"/>
  <c r="B219" i="49"/>
  <c r="T162" i="76"/>
  <c r="T161" i="76"/>
  <c r="T160" i="76"/>
  <c r="T159" i="76"/>
  <c r="T158" i="76"/>
  <c r="T157" i="76"/>
  <c r="T156" i="76"/>
  <c r="T155" i="76"/>
  <c r="I10" i="52"/>
  <c r="I11" i="52"/>
  <c r="I12" i="52"/>
  <c r="I13" i="52"/>
  <c r="I14" i="52"/>
  <c r="I15" i="52"/>
  <c r="I16" i="52"/>
  <c r="I17" i="52"/>
  <c r="I18" i="52"/>
  <c r="I19" i="52"/>
  <c r="I20" i="52"/>
  <c r="I21" i="52"/>
  <c r="I22" i="52"/>
  <c r="I23" i="52"/>
  <c r="I24" i="52"/>
  <c r="I25" i="52"/>
  <c r="I26" i="52"/>
  <c r="I27" i="52"/>
  <c r="I28" i="52"/>
  <c r="I29" i="52"/>
  <c r="I30" i="52"/>
  <c r="I31" i="52"/>
  <c r="I32" i="52"/>
  <c r="I33" i="52"/>
  <c r="I34" i="52"/>
  <c r="I35" i="52"/>
  <c r="I36" i="52"/>
  <c r="I37" i="52"/>
  <c r="I38" i="52"/>
  <c r="I39" i="52"/>
  <c r="I9" i="52"/>
  <c r="D208" i="49" s="1"/>
  <c r="B208" i="49" s="1"/>
  <c r="G75" i="56" l="1"/>
  <c r="F75" i="56" s="1"/>
  <c r="A211" i="56"/>
  <c r="I216" i="51"/>
  <c r="I205" i="51" s="1"/>
  <c r="W211" i="49"/>
  <c r="C295" i="56"/>
  <c r="C302" i="70" s="1"/>
  <c r="F687" i="49"/>
  <c r="E688" i="49"/>
  <c r="E593" i="49"/>
  <c r="E601" i="49"/>
  <c r="E592" i="49"/>
  <c r="E559" i="49"/>
  <c r="E549" i="49"/>
  <c r="D636" i="56" s="1"/>
  <c r="D589" i="70" s="1"/>
  <c r="E561" i="49"/>
  <c r="Q169" i="51" s="1"/>
  <c r="E600" i="49"/>
  <c r="E556" i="49"/>
  <c r="E597" i="49"/>
  <c r="E563" i="49"/>
  <c r="E594" i="49"/>
  <c r="E599" i="49"/>
  <c r="Q181" i="51" s="1"/>
  <c r="E555" i="49"/>
  <c r="E562" i="49"/>
  <c r="E554" i="49"/>
  <c r="D219" i="49"/>
  <c r="D216" i="49"/>
  <c r="D214" i="49"/>
  <c r="D212" i="49"/>
  <c r="D207" i="49"/>
  <c r="C294" i="56" s="1"/>
  <c r="C301" i="70" s="1"/>
  <c r="D217" i="49"/>
  <c r="D213" i="49"/>
  <c r="D211" i="49"/>
  <c r="D221" i="49"/>
  <c r="D206" i="49"/>
  <c r="C293" i="56" s="1"/>
  <c r="D220" i="49"/>
  <c r="T154" i="76"/>
  <c r="T153" i="76"/>
  <c r="A212" i="56" l="1"/>
  <c r="B143" i="70"/>
  <c r="D143" i="70" s="1"/>
  <c r="B141" i="70"/>
  <c r="D141" i="70" s="1"/>
  <c r="B149" i="70"/>
  <c r="D149" i="70" s="1"/>
  <c r="B148" i="70"/>
  <c r="D148" i="70" s="1"/>
  <c r="B145" i="70"/>
  <c r="D145" i="70" s="1"/>
  <c r="B147" i="70"/>
  <c r="D147" i="70" s="1"/>
  <c r="B144" i="70"/>
  <c r="D144" i="70" s="1"/>
  <c r="B146" i="70"/>
  <c r="D146" i="70" s="1"/>
  <c r="B150" i="70"/>
  <c r="D150" i="70" s="1"/>
  <c r="B142" i="70"/>
  <c r="D142" i="70" s="1"/>
  <c r="B140" i="70"/>
  <c r="D140" i="70" s="1"/>
  <c r="C292" i="56"/>
  <c r="C300" i="70"/>
  <c r="E558" i="49"/>
  <c r="E557" i="49" s="1"/>
  <c r="D557" i="49"/>
  <c r="E591" i="49"/>
  <c r="E590" i="49" s="1"/>
  <c r="D590" i="49"/>
  <c r="E548" i="49"/>
  <c r="D547" i="49"/>
  <c r="D551" i="49" s="1"/>
  <c r="B551" i="49" s="1"/>
  <c r="D24" i="60"/>
  <c r="E596" i="49"/>
  <c r="E595" i="49" s="1"/>
  <c r="D595" i="49"/>
  <c r="E553" i="49"/>
  <c r="E552" i="49" s="1"/>
  <c r="D552" i="49"/>
  <c r="D253" i="49"/>
  <c r="E253" i="49"/>
  <c r="E248" i="49"/>
  <c r="D248" i="49"/>
  <c r="D5" i="52"/>
  <c r="E560" i="49" l="1"/>
  <c r="C656" i="56" s="1"/>
  <c r="C592" i="70" s="1"/>
  <c r="A213" i="56"/>
  <c r="E24" i="60"/>
  <c r="J81" i="56"/>
  <c r="J179" i="56"/>
  <c r="J166" i="56"/>
  <c r="J153" i="56"/>
  <c r="J172" i="56"/>
  <c r="J175" i="56"/>
  <c r="J162" i="56"/>
  <c r="J149" i="56"/>
  <c r="J168" i="56"/>
  <c r="J171" i="56"/>
  <c r="J190" i="56"/>
  <c r="J177" i="56"/>
  <c r="J180" i="56"/>
  <c r="J199" i="56"/>
  <c r="J186" i="56"/>
  <c r="J221" i="56"/>
  <c r="J96" i="56"/>
  <c r="J98" i="56"/>
  <c r="J164" i="56"/>
  <c r="J173" i="56"/>
  <c r="J224" i="56"/>
  <c r="J80" i="56"/>
  <c r="J82" i="56"/>
  <c r="J100" i="56"/>
  <c r="J163" i="56"/>
  <c r="J150" i="56"/>
  <c r="J137" i="56"/>
  <c r="J156" i="56"/>
  <c r="J159" i="56"/>
  <c r="J146" i="56"/>
  <c r="J133" i="56"/>
  <c r="J152" i="56"/>
  <c r="J155" i="56"/>
  <c r="J174" i="56"/>
  <c r="J161" i="56"/>
  <c r="J183" i="56"/>
  <c r="J170" i="56"/>
  <c r="J84" i="56"/>
  <c r="J148" i="56"/>
  <c r="J157" i="56"/>
  <c r="J176" i="56"/>
  <c r="J99" i="56"/>
  <c r="J101" i="56"/>
  <c r="J147" i="56"/>
  <c r="J134" i="56"/>
  <c r="J121" i="56"/>
  <c r="J140" i="56"/>
  <c r="J143" i="56"/>
  <c r="J130" i="56"/>
  <c r="J117" i="56"/>
  <c r="J136" i="56"/>
  <c r="J139" i="56"/>
  <c r="J158" i="56"/>
  <c r="J145" i="56"/>
  <c r="J167" i="56"/>
  <c r="J154" i="56"/>
  <c r="J83" i="56"/>
  <c r="J85" i="56"/>
  <c r="J103" i="56"/>
  <c r="J132" i="56"/>
  <c r="J141" i="56"/>
  <c r="J109" i="56"/>
  <c r="J205" i="56"/>
  <c r="J87" i="56"/>
  <c r="J131" i="56"/>
  <c r="J118" i="56"/>
  <c r="J105" i="56"/>
  <c r="J124" i="56"/>
  <c r="J127" i="56"/>
  <c r="J114" i="56"/>
  <c r="J160" i="56"/>
  <c r="J120" i="56"/>
  <c r="J123" i="56"/>
  <c r="J142" i="56"/>
  <c r="J129" i="56"/>
  <c r="J151" i="56"/>
  <c r="J138" i="56"/>
  <c r="J102" i="56"/>
  <c r="J104" i="56"/>
  <c r="J128" i="56"/>
  <c r="J126" i="56"/>
  <c r="J135" i="56"/>
  <c r="J125" i="56"/>
  <c r="J119" i="56"/>
  <c r="J86" i="56"/>
  <c r="J90" i="56"/>
  <c r="J115" i="56"/>
  <c r="J217" i="56"/>
  <c r="J208" i="56"/>
  <c r="J108" i="56"/>
  <c r="J111" i="56"/>
  <c r="J213" i="56"/>
  <c r="J192" i="56"/>
  <c r="J107" i="56"/>
  <c r="J113" i="56"/>
  <c r="J116" i="56"/>
  <c r="J122" i="56"/>
  <c r="J218" i="56"/>
  <c r="J88" i="56"/>
  <c r="J219" i="56"/>
  <c r="J89" i="56"/>
  <c r="J93" i="56"/>
  <c r="J214" i="56"/>
  <c r="J201" i="56"/>
  <c r="J220" i="56"/>
  <c r="J223" i="56"/>
  <c r="J210" i="56"/>
  <c r="J197" i="56"/>
  <c r="J216" i="56"/>
  <c r="J112" i="56"/>
  <c r="J110" i="56"/>
  <c r="J106" i="56"/>
  <c r="J91" i="56"/>
  <c r="J194" i="56"/>
  <c r="J222" i="56"/>
  <c r="J212" i="56"/>
  <c r="J92" i="56"/>
  <c r="J211" i="56"/>
  <c r="J198" i="56"/>
  <c r="J185" i="56"/>
  <c r="J204" i="56"/>
  <c r="J207" i="56"/>
  <c r="J181" i="56"/>
  <c r="J200" i="56"/>
  <c r="J203" i="56"/>
  <c r="J209" i="56"/>
  <c r="J144" i="56"/>
  <c r="J94" i="56"/>
  <c r="J165" i="56"/>
  <c r="J206" i="56"/>
  <c r="J196" i="56"/>
  <c r="J202" i="56"/>
  <c r="J95" i="56"/>
  <c r="J195" i="56"/>
  <c r="J182" i="56"/>
  <c r="J169" i="56"/>
  <c r="J188" i="56"/>
  <c r="J191" i="56"/>
  <c r="J178" i="56"/>
  <c r="J184" i="56"/>
  <c r="J187" i="56"/>
  <c r="J193" i="56"/>
  <c r="J215" i="56"/>
  <c r="J79" i="56"/>
  <c r="J97" i="56"/>
  <c r="J189" i="56"/>
  <c r="J77" i="56"/>
  <c r="J78" i="56"/>
  <c r="J75" i="56"/>
  <c r="J76" i="56"/>
  <c r="D560" i="49"/>
  <c r="B560" i="49" s="1"/>
  <c r="F24" i="60" s="1"/>
  <c r="D592" i="70"/>
  <c r="C593" i="70"/>
  <c r="C596" i="70" s="1"/>
  <c r="C598" i="70" s="1"/>
  <c r="C313" i="56"/>
  <c r="C303" i="70" s="1"/>
  <c r="C299" i="70"/>
  <c r="E547" i="49"/>
  <c r="D635" i="56"/>
  <c r="D588" i="70" s="1"/>
  <c r="D598" i="49"/>
  <c r="D602" i="49" s="1"/>
  <c r="B602" i="49" s="1"/>
  <c r="G25" i="60" s="1"/>
  <c r="E598" i="49"/>
  <c r="D256" i="49"/>
  <c r="B256" i="49" s="1"/>
  <c r="E256" i="49"/>
  <c r="E228" i="49"/>
  <c r="C201" i="49"/>
  <c r="D201" i="49" s="1"/>
  <c r="E38" i="49"/>
  <c r="E47" i="49" s="1"/>
  <c r="C5" i="56"/>
  <c r="C6" i="49"/>
  <c r="C12" i="81" s="1"/>
  <c r="C26" i="51"/>
  <c r="E15" i="81" s="1"/>
  <c r="K77" i="56" l="1"/>
  <c r="K75" i="56"/>
  <c r="K78" i="56"/>
  <c r="K76" i="56"/>
  <c r="K79" i="56"/>
  <c r="B108" i="56"/>
  <c r="B90" i="56"/>
  <c r="B107" i="56"/>
  <c r="B94" i="56"/>
  <c r="B99" i="56"/>
  <c r="B102" i="56"/>
  <c r="B106" i="56"/>
  <c r="B105" i="56"/>
  <c r="B97" i="56"/>
  <c r="B93" i="56"/>
  <c r="B98" i="56"/>
  <c r="B101" i="56"/>
  <c r="B96" i="56"/>
  <c r="B92" i="56"/>
  <c r="B104" i="56"/>
  <c r="B100" i="56"/>
  <c r="B103" i="56"/>
  <c r="B95" i="56"/>
  <c r="B91" i="56"/>
  <c r="B86" i="56"/>
  <c r="B82" i="56"/>
  <c r="B84" i="56"/>
  <c r="B81" i="56"/>
  <c r="B80" i="56"/>
  <c r="B83" i="56"/>
  <c r="B87" i="56"/>
  <c r="B89" i="56"/>
  <c r="B79" i="56"/>
  <c r="B88" i="56"/>
  <c r="B85" i="56"/>
  <c r="B109" i="56"/>
  <c r="B110" i="56"/>
  <c r="B111" i="56"/>
  <c r="B112" i="56"/>
  <c r="B113" i="56"/>
  <c r="B114" i="56"/>
  <c r="B115" i="56"/>
  <c r="B116" i="56"/>
  <c r="B117" i="56"/>
  <c r="B118" i="56"/>
  <c r="B119" i="56"/>
  <c r="B120" i="56"/>
  <c r="B121" i="56"/>
  <c r="B122" i="56"/>
  <c r="B123" i="56"/>
  <c r="B124" i="56"/>
  <c r="B125" i="56"/>
  <c r="B126" i="56"/>
  <c r="B127" i="56"/>
  <c r="B128" i="56"/>
  <c r="B129" i="56"/>
  <c r="B130" i="56"/>
  <c r="B131" i="56"/>
  <c r="B132" i="56"/>
  <c r="B133" i="56"/>
  <c r="B134" i="56"/>
  <c r="B135" i="56"/>
  <c r="B136" i="56"/>
  <c r="B137" i="56"/>
  <c r="B138" i="56"/>
  <c r="B139" i="56"/>
  <c r="B140" i="56"/>
  <c r="B141" i="56"/>
  <c r="B142" i="56"/>
  <c r="B143" i="56"/>
  <c r="B144" i="56"/>
  <c r="B145" i="56"/>
  <c r="B146" i="56"/>
  <c r="B147" i="56"/>
  <c r="B148" i="56"/>
  <c r="B149" i="56"/>
  <c r="B150" i="56"/>
  <c r="B151" i="56"/>
  <c r="B152" i="56"/>
  <c r="B153" i="56"/>
  <c r="B154" i="56"/>
  <c r="B155" i="56"/>
  <c r="B156" i="56"/>
  <c r="B157" i="56"/>
  <c r="B158" i="56"/>
  <c r="B159" i="56"/>
  <c r="B160" i="56"/>
  <c r="B161" i="56"/>
  <c r="B162" i="56"/>
  <c r="B163" i="56"/>
  <c r="B164" i="56"/>
  <c r="B165" i="56"/>
  <c r="B166" i="56"/>
  <c r="B167" i="56"/>
  <c r="B168" i="56"/>
  <c r="B169" i="56"/>
  <c r="B170" i="56"/>
  <c r="B171" i="56"/>
  <c r="B172" i="56"/>
  <c r="B173" i="56"/>
  <c r="B174" i="56"/>
  <c r="B175" i="56"/>
  <c r="B176" i="56"/>
  <c r="B177" i="56"/>
  <c r="B178" i="56"/>
  <c r="B179" i="56"/>
  <c r="B180" i="56"/>
  <c r="B181" i="56"/>
  <c r="B182" i="56"/>
  <c r="B183" i="56"/>
  <c r="B184" i="56"/>
  <c r="B185" i="56"/>
  <c r="B186" i="56"/>
  <c r="B187" i="56"/>
  <c r="B188" i="56"/>
  <c r="B189" i="56"/>
  <c r="B190" i="56"/>
  <c r="B191" i="56"/>
  <c r="B192" i="56"/>
  <c r="B193" i="56"/>
  <c r="B194" i="56"/>
  <c r="B195" i="56"/>
  <c r="B196" i="56"/>
  <c r="B197" i="56"/>
  <c r="B198" i="56"/>
  <c r="B199" i="56"/>
  <c r="B200" i="56"/>
  <c r="B201" i="56"/>
  <c r="B202" i="56"/>
  <c r="B203" i="56"/>
  <c r="B204" i="56"/>
  <c r="B205" i="56"/>
  <c r="B206" i="56"/>
  <c r="B207" i="56"/>
  <c r="B208" i="56"/>
  <c r="B209" i="56"/>
  <c r="B210" i="56"/>
  <c r="B211" i="56"/>
  <c r="B213" i="56"/>
  <c r="B212" i="56"/>
  <c r="D80" i="56"/>
  <c r="D96" i="56"/>
  <c r="C93" i="56"/>
  <c r="C109" i="56"/>
  <c r="D81" i="56"/>
  <c r="D97" i="56"/>
  <c r="C94" i="56"/>
  <c r="D82" i="56"/>
  <c r="D98" i="56"/>
  <c r="C95" i="56"/>
  <c r="D83" i="56"/>
  <c r="D99" i="56"/>
  <c r="C80" i="56"/>
  <c r="C96" i="56"/>
  <c r="D84" i="56"/>
  <c r="D100" i="56"/>
  <c r="C81" i="56"/>
  <c r="C97" i="56"/>
  <c r="D85" i="56"/>
  <c r="D101" i="56"/>
  <c r="C82" i="56"/>
  <c r="C98" i="56"/>
  <c r="C79" i="56"/>
  <c r="D86" i="56"/>
  <c r="D102" i="56"/>
  <c r="C83" i="56"/>
  <c r="C99" i="56"/>
  <c r="D87" i="56"/>
  <c r="D103" i="56"/>
  <c r="C84" i="56"/>
  <c r="C100" i="56"/>
  <c r="D88" i="56"/>
  <c r="D104" i="56"/>
  <c r="C85" i="56"/>
  <c r="C101" i="56"/>
  <c r="D89" i="56"/>
  <c r="D105" i="56"/>
  <c r="C86" i="56"/>
  <c r="C102" i="56"/>
  <c r="C103" i="56"/>
  <c r="C92" i="56"/>
  <c r="D90" i="56"/>
  <c r="D106" i="56"/>
  <c r="C87" i="56"/>
  <c r="D91" i="56"/>
  <c r="D107" i="56"/>
  <c r="C88" i="56"/>
  <c r="C104" i="56"/>
  <c r="C105" i="56"/>
  <c r="D92" i="56"/>
  <c r="D108" i="56"/>
  <c r="C89" i="56"/>
  <c r="C108" i="56"/>
  <c r="D93" i="56"/>
  <c r="D109" i="56"/>
  <c r="C90" i="56"/>
  <c r="C106" i="56"/>
  <c r="C91" i="56"/>
  <c r="D95" i="56"/>
  <c r="D94" i="56"/>
  <c r="C107" i="56"/>
  <c r="C110" i="56"/>
  <c r="D110" i="56"/>
  <c r="C111" i="56"/>
  <c r="D111" i="56"/>
  <c r="D112" i="56"/>
  <c r="C112" i="56"/>
  <c r="D113" i="56"/>
  <c r="C113" i="56"/>
  <c r="D114" i="56"/>
  <c r="C114" i="56"/>
  <c r="D115" i="56"/>
  <c r="C115" i="56"/>
  <c r="D116" i="56"/>
  <c r="C116" i="56"/>
  <c r="D117" i="56"/>
  <c r="C117" i="56"/>
  <c r="D118" i="56"/>
  <c r="C118" i="56"/>
  <c r="D119" i="56"/>
  <c r="C119" i="56"/>
  <c r="D120" i="56"/>
  <c r="C120" i="56"/>
  <c r="D121" i="56"/>
  <c r="C121" i="56"/>
  <c r="D122" i="56"/>
  <c r="C122" i="56"/>
  <c r="D123" i="56"/>
  <c r="C123" i="56"/>
  <c r="C124" i="56"/>
  <c r="D124" i="56"/>
  <c r="C125" i="56"/>
  <c r="D125" i="56"/>
  <c r="C126" i="56"/>
  <c r="D126" i="56"/>
  <c r="C127" i="56"/>
  <c r="D127" i="56"/>
  <c r="D128" i="56"/>
  <c r="C128" i="56"/>
  <c r="D129" i="56"/>
  <c r="C129" i="56"/>
  <c r="D130" i="56"/>
  <c r="C130" i="56"/>
  <c r="D131" i="56"/>
  <c r="C131" i="56"/>
  <c r="D132" i="56"/>
  <c r="C132" i="56"/>
  <c r="D133" i="56"/>
  <c r="C133" i="56"/>
  <c r="D134" i="56"/>
  <c r="C134" i="56"/>
  <c r="D135" i="56"/>
  <c r="C135" i="56"/>
  <c r="D136" i="56"/>
  <c r="C136" i="56"/>
  <c r="D137" i="56"/>
  <c r="C137" i="56"/>
  <c r="D138" i="56"/>
  <c r="C138" i="56"/>
  <c r="D139" i="56"/>
  <c r="C139" i="56"/>
  <c r="D140" i="56"/>
  <c r="C140" i="56"/>
  <c r="C141" i="56"/>
  <c r="D141" i="56"/>
  <c r="C142" i="56"/>
  <c r="D142" i="56"/>
  <c r="C143" i="56"/>
  <c r="D143" i="56"/>
  <c r="D144" i="56"/>
  <c r="C144" i="56"/>
  <c r="D145" i="56"/>
  <c r="C145" i="56"/>
  <c r="D146" i="56"/>
  <c r="C146" i="56"/>
  <c r="D147" i="56"/>
  <c r="C147" i="56"/>
  <c r="D148" i="56"/>
  <c r="C148" i="56"/>
  <c r="D149" i="56"/>
  <c r="C149" i="56"/>
  <c r="D150" i="56"/>
  <c r="C150" i="56"/>
  <c r="D151" i="56"/>
  <c r="C151" i="56"/>
  <c r="D152" i="56"/>
  <c r="C152" i="56"/>
  <c r="D153" i="56"/>
  <c r="C153" i="56"/>
  <c r="C154" i="56"/>
  <c r="D154" i="56"/>
  <c r="D155" i="56"/>
  <c r="C155" i="56"/>
  <c r="D156" i="56"/>
  <c r="C156" i="56"/>
  <c r="C157" i="56"/>
  <c r="D157" i="56"/>
  <c r="C158" i="56"/>
  <c r="D158" i="56"/>
  <c r="C159" i="56"/>
  <c r="D159" i="56"/>
  <c r="D160" i="56"/>
  <c r="C160" i="56"/>
  <c r="D161" i="56"/>
  <c r="C161" i="56"/>
  <c r="D162" i="56"/>
  <c r="C162" i="56"/>
  <c r="D163" i="56"/>
  <c r="C163" i="56"/>
  <c r="D164" i="56"/>
  <c r="C164" i="56"/>
  <c r="D165" i="56"/>
  <c r="C165" i="56"/>
  <c r="D166" i="56"/>
  <c r="C166" i="56"/>
  <c r="D167" i="56"/>
  <c r="C167" i="56"/>
  <c r="D168" i="56"/>
  <c r="C168" i="56"/>
  <c r="D169" i="56"/>
  <c r="C169" i="56"/>
  <c r="D170" i="56"/>
  <c r="C170" i="56"/>
  <c r="D171" i="56"/>
  <c r="C171" i="56"/>
  <c r="C172" i="56"/>
  <c r="D172" i="56"/>
  <c r="C173" i="56"/>
  <c r="D173" i="56"/>
  <c r="C174" i="56"/>
  <c r="D174" i="56"/>
  <c r="C175" i="56"/>
  <c r="D175" i="56"/>
  <c r="D176" i="56"/>
  <c r="C176" i="56"/>
  <c r="D177" i="56"/>
  <c r="C177" i="56"/>
  <c r="D178" i="56"/>
  <c r="C178" i="56"/>
  <c r="D179" i="56"/>
  <c r="C179" i="56"/>
  <c r="D180" i="56"/>
  <c r="C180" i="56"/>
  <c r="D181" i="56"/>
  <c r="C181" i="56"/>
  <c r="D182" i="56"/>
  <c r="C182" i="56"/>
  <c r="D183" i="56"/>
  <c r="C183" i="56"/>
  <c r="D184" i="56"/>
  <c r="C184" i="56"/>
  <c r="D185" i="56"/>
  <c r="C185" i="56"/>
  <c r="D186" i="56"/>
  <c r="C186" i="56"/>
  <c r="D187" i="56"/>
  <c r="C187" i="56"/>
  <c r="C188" i="56"/>
  <c r="D188" i="56"/>
  <c r="C189" i="56"/>
  <c r="D189" i="56"/>
  <c r="C190" i="56"/>
  <c r="D190" i="56"/>
  <c r="C191" i="56"/>
  <c r="D191" i="56"/>
  <c r="D192" i="56"/>
  <c r="C192" i="56"/>
  <c r="D193" i="56"/>
  <c r="C193" i="56"/>
  <c r="D194" i="56"/>
  <c r="C194" i="56"/>
  <c r="D195" i="56"/>
  <c r="C195" i="56"/>
  <c r="D196" i="56"/>
  <c r="C196" i="56"/>
  <c r="D197" i="56"/>
  <c r="C197" i="56"/>
  <c r="D198" i="56"/>
  <c r="C198" i="56"/>
  <c r="D199" i="56"/>
  <c r="C199" i="56"/>
  <c r="D200" i="56"/>
  <c r="C200" i="56"/>
  <c r="D201" i="56"/>
  <c r="C201" i="56"/>
  <c r="D202" i="56"/>
  <c r="C202" i="56"/>
  <c r="D203" i="56"/>
  <c r="C203" i="56"/>
  <c r="D204" i="56"/>
  <c r="C204" i="56"/>
  <c r="C205" i="56"/>
  <c r="D205" i="56"/>
  <c r="C206" i="56"/>
  <c r="D206" i="56"/>
  <c r="C207" i="56"/>
  <c r="D207" i="56"/>
  <c r="D208" i="56"/>
  <c r="C208" i="56"/>
  <c r="D209" i="56"/>
  <c r="C209" i="56"/>
  <c r="D210" i="56"/>
  <c r="C210" i="56"/>
  <c r="D211" i="56"/>
  <c r="C211" i="56"/>
  <c r="D213" i="56"/>
  <c r="C213" i="56"/>
  <c r="C212" i="56"/>
  <c r="D212" i="56"/>
  <c r="A214" i="56"/>
  <c r="B214" i="56" s="1"/>
  <c r="F16" i="60"/>
  <c r="D564" i="49"/>
  <c r="B564" i="49" s="1"/>
  <c r="G24" i="60" s="1"/>
  <c r="K81" i="56"/>
  <c r="K97" i="56"/>
  <c r="K113" i="56"/>
  <c r="K129" i="56"/>
  <c r="K145" i="56"/>
  <c r="K161" i="56"/>
  <c r="K177" i="56"/>
  <c r="K193" i="56"/>
  <c r="K209" i="56"/>
  <c r="K99" i="56"/>
  <c r="K131" i="56"/>
  <c r="K163" i="56"/>
  <c r="K211" i="56"/>
  <c r="K84" i="56"/>
  <c r="K116" i="56"/>
  <c r="K148" i="56"/>
  <c r="K180" i="56"/>
  <c r="K212" i="56"/>
  <c r="K101" i="56"/>
  <c r="K117" i="56"/>
  <c r="K133" i="56"/>
  <c r="K149" i="56"/>
  <c r="K181" i="56"/>
  <c r="K197" i="56"/>
  <c r="K86" i="56"/>
  <c r="K118" i="56"/>
  <c r="K150" i="56"/>
  <c r="K198" i="56"/>
  <c r="K126" i="56"/>
  <c r="K206" i="56"/>
  <c r="K207" i="56"/>
  <c r="K128" i="56"/>
  <c r="K208" i="56"/>
  <c r="K82" i="56"/>
  <c r="K98" i="56"/>
  <c r="K114" i="56"/>
  <c r="K130" i="56"/>
  <c r="K146" i="56"/>
  <c r="K162" i="56"/>
  <c r="K178" i="56"/>
  <c r="K194" i="56"/>
  <c r="K210" i="56"/>
  <c r="K83" i="56"/>
  <c r="K115" i="56"/>
  <c r="K147" i="56"/>
  <c r="K179" i="56"/>
  <c r="K195" i="56"/>
  <c r="K100" i="56"/>
  <c r="K132" i="56"/>
  <c r="K164" i="56"/>
  <c r="K196" i="56"/>
  <c r="K85" i="56"/>
  <c r="K165" i="56"/>
  <c r="K213" i="56"/>
  <c r="K102" i="56"/>
  <c r="K134" i="56"/>
  <c r="K166" i="56"/>
  <c r="K182" i="56"/>
  <c r="K214" i="56"/>
  <c r="K142" i="56"/>
  <c r="K143" i="56"/>
  <c r="K223" i="56"/>
  <c r="K144" i="56"/>
  <c r="K224" i="56"/>
  <c r="K87" i="56"/>
  <c r="K103" i="56"/>
  <c r="K119" i="56"/>
  <c r="K135" i="56"/>
  <c r="K151" i="56"/>
  <c r="K167" i="56"/>
  <c r="K183" i="56"/>
  <c r="K199" i="56"/>
  <c r="K215" i="56"/>
  <c r="K88" i="56"/>
  <c r="K104" i="56"/>
  <c r="K120" i="56"/>
  <c r="K136" i="56"/>
  <c r="K152" i="56"/>
  <c r="K168" i="56"/>
  <c r="K184" i="56"/>
  <c r="K200" i="56"/>
  <c r="K216" i="56"/>
  <c r="K91" i="56"/>
  <c r="K171" i="56"/>
  <c r="K124" i="56"/>
  <c r="K172" i="56"/>
  <c r="K220" i="56"/>
  <c r="K109" i="56"/>
  <c r="K125" i="56"/>
  <c r="K173" i="56"/>
  <c r="K221" i="56"/>
  <c r="K94" i="56"/>
  <c r="K158" i="56"/>
  <c r="K222" i="56"/>
  <c r="K111" i="56"/>
  <c r="K175" i="56"/>
  <c r="K112" i="56"/>
  <c r="K176" i="56"/>
  <c r="K89" i="56"/>
  <c r="K105" i="56"/>
  <c r="K121" i="56"/>
  <c r="K137" i="56"/>
  <c r="K153" i="56"/>
  <c r="K169" i="56"/>
  <c r="K185" i="56"/>
  <c r="K201" i="56"/>
  <c r="K217" i="56"/>
  <c r="K90" i="56"/>
  <c r="K106" i="56"/>
  <c r="K138" i="56"/>
  <c r="K154" i="56"/>
  <c r="K170" i="56"/>
  <c r="K186" i="56"/>
  <c r="K218" i="56"/>
  <c r="K123" i="56"/>
  <c r="K139" i="56"/>
  <c r="K187" i="56"/>
  <c r="K219" i="56"/>
  <c r="K92" i="56"/>
  <c r="K140" i="56"/>
  <c r="K188" i="56"/>
  <c r="K93" i="56"/>
  <c r="K157" i="56"/>
  <c r="K205" i="56"/>
  <c r="K110" i="56"/>
  <c r="K174" i="56"/>
  <c r="K127" i="56"/>
  <c r="K191" i="56"/>
  <c r="K80" i="56"/>
  <c r="K160" i="56"/>
  <c r="K122" i="56"/>
  <c r="K202" i="56"/>
  <c r="K107" i="56"/>
  <c r="K155" i="56"/>
  <c r="K203" i="56"/>
  <c r="K108" i="56"/>
  <c r="K156" i="56"/>
  <c r="K204" i="56"/>
  <c r="K141" i="56"/>
  <c r="K189" i="56"/>
  <c r="K190" i="56"/>
  <c r="K95" i="56"/>
  <c r="K159" i="56"/>
  <c r="K96" i="56"/>
  <c r="K192" i="56"/>
  <c r="C694" i="56"/>
  <c r="C624" i="70" s="1"/>
  <c r="C625" i="70" s="1"/>
  <c r="C628" i="70" s="1"/>
  <c r="C630" i="70" s="1"/>
  <c r="AF605" i="49"/>
  <c r="AF607" i="49" s="1"/>
  <c r="AE605" i="49"/>
  <c r="AE607" i="49" s="1"/>
  <c r="E551" i="49"/>
  <c r="E564" i="49" s="1"/>
  <c r="E567" i="49" s="1"/>
  <c r="AF567" i="49"/>
  <c r="AF569" i="49" s="1"/>
  <c r="AE567" i="49"/>
  <c r="AE569" i="49" s="1"/>
  <c r="C352" i="56"/>
  <c r="C336" i="70" s="1"/>
  <c r="D336" i="70" s="1"/>
  <c r="AF263" i="49"/>
  <c r="AF265" i="49" s="1"/>
  <c r="AE263" i="49"/>
  <c r="AE265" i="49" s="1"/>
  <c r="C600" i="70"/>
  <c r="C8" i="70"/>
  <c r="B21" i="70" s="1"/>
  <c r="D634" i="56"/>
  <c r="D587" i="70" s="1"/>
  <c r="B598" i="49"/>
  <c r="D605" i="49"/>
  <c r="E602" i="49"/>
  <c r="E260" i="49"/>
  <c r="D260" i="49"/>
  <c r="B260" i="49" s="1"/>
  <c r="C264" i="56"/>
  <c r="D567" i="49" l="1"/>
  <c r="D214" i="56"/>
  <c r="C214" i="56"/>
  <c r="A215" i="56"/>
  <c r="B215" i="56" s="1"/>
  <c r="F25" i="60"/>
  <c r="C695" i="56"/>
  <c r="D624" i="70"/>
  <c r="C337" i="70"/>
  <c r="C340" i="70" s="1"/>
  <c r="C342" i="70" s="1"/>
  <c r="C660" i="56"/>
  <c r="DR171" i="51"/>
  <c r="DS171" i="51" s="1"/>
  <c r="C353" i="56"/>
  <c r="C632" i="70"/>
  <c r="D625" i="70"/>
  <c r="D628" i="70" s="1"/>
  <c r="D630" i="70" s="1"/>
  <c r="C344" i="70"/>
  <c r="D337" i="70"/>
  <c r="D340" i="70" s="1"/>
  <c r="D342" i="70" s="1"/>
  <c r="C274" i="56"/>
  <c r="D280" i="56" s="1"/>
  <c r="C280" i="56" s="1"/>
  <c r="C93" i="70"/>
  <c r="D655" i="56"/>
  <c r="D591" i="70" s="1"/>
  <c r="D593" i="70" s="1"/>
  <c r="D596" i="70" s="1"/>
  <c r="A242" i="49"/>
  <c r="G16" i="60"/>
  <c r="E568" i="49"/>
  <c r="E571" i="49"/>
  <c r="F571" i="49" s="1"/>
  <c r="E605" i="49"/>
  <c r="E263" i="49"/>
  <c r="L80" i="52"/>
  <c r="A584" i="49"/>
  <c r="A546" i="49"/>
  <c r="F80" i="52"/>
  <c r="R40" i="52"/>
  <c r="D263" i="49"/>
  <c r="E221" i="49"/>
  <c r="E220" i="49"/>
  <c r="E219" i="49"/>
  <c r="Q61" i="51" s="1"/>
  <c r="E217" i="49"/>
  <c r="E216" i="49"/>
  <c r="E214" i="49"/>
  <c r="E213" i="49"/>
  <c r="E212" i="49"/>
  <c r="E211" i="49"/>
  <c r="D15" i="60"/>
  <c r="E207" i="49"/>
  <c r="D294" i="56" s="1"/>
  <c r="D301" i="70" s="1"/>
  <c r="D215" i="56" l="1"/>
  <c r="C215" i="56"/>
  <c r="A216" i="56"/>
  <c r="B216" i="56" s="1"/>
  <c r="DS180" i="51"/>
  <c r="I172" i="51"/>
  <c r="J172" i="51" s="1"/>
  <c r="C698" i="56"/>
  <c r="DR183" i="51"/>
  <c r="DS183" i="51" s="1"/>
  <c r="C662" i="56"/>
  <c r="C356" i="56"/>
  <c r="DR75" i="51"/>
  <c r="D632" i="70"/>
  <c r="D598" i="70"/>
  <c r="D600" i="70"/>
  <c r="D344" i="70"/>
  <c r="C657" i="56"/>
  <c r="D93" i="70"/>
  <c r="E77" i="70" s="1"/>
  <c r="E606" i="49"/>
  <c r="C700" i="56" s="1"/>
  <c r="E280" i="56"/>
  <c r="E264" i="49"/>
  <c r="C358" i="56" s="1"/>
  <c r="E573" i="49"/>
  <c r="F573" i="49" s="1"/>
  <c r="E267" i="49"/>
  <c r="E609" i="49"/>
  <c r="E215" i="49"/>
  <c r="E210" i="49"/>
  <c r="D205" i="49"/>
  <c r="D209" i="49" s="1"/>
  <c r="D210" i="49"/>
  <c r="E206" i="49"/>
  <c r="D215" i="49"/>
  <c r="D216" i="56" l="1"/>
  <c r="C216" i="56"/>
  <c r="A217" i="56"/>
  <c r="B217" i="56" s="1"/>
  <c r="DS192" i="51"/>
  <c r="I184" i="51"/>
  <c r="J184" i="51" s="1"/>
  <c r="I180" i="51"/>
  <c r="I169" i="51" s="1"/>
  <c r="DS75" i="51"/>
  <c r="I73" i="51"/>
  <c r="E205" i="49"/>
  <c r="D293" i="56"/>
  <c r="S628" i="49"/>
  <c r="AA628" i="49" s="1"/>
  <c r="AA629" i="49" s="1"/>
  <c r="E574" i="49"/>
  <c r="F267" i="49"/>
  <c r="E269" i="49"/>
  <c r="F609" i="49"/>
  <c r="E611" i="49"/>
  <c r="E218" i="49"/>
  <c r="C314" i="56" s="1"/>
  <c r="C304" i="70" s="1"/>
  <c r="D218" i="49"/>
  <c r="B218" i="49" s="1"/>
  <c r="F15" i="60" s="1"/>
  <c r="B209" i="49"/>
  <c r="E35" i="49"/>
  <c r="I715" i="56" l="1"/>
  <c r="H656" i="70" s="1"/>
  <c r="H657" i="70" s="1"/>
  <c r="D217" i="56"/>
  <c r="C217" i="56"/>
  <c r="A218" i="56"/>
  <c r="B218" i="56" s="1"/>
  <c r="I192" i="51"/>
  <c r="I181" i="51" s="1"/>
  <c r="AF225" i="49"/>
  <c r="AF227" i="49" s="1"/>
  <c r="AF12" i="49" s="1"/>
  <c r="AE225" i="49"/>
  <c r="AE227" i="49" s="1"/>
  <c r="E15" i="60"/>
  <c r="D304" i="70"/>
  <c r="C305" i="70"/>
  <c r="C308" i="70" s="1"/>
  <c r="C310" i="70" s="1"/>
  <c r="D292" i="56"/>
  <c r="D299" i="70" s="1"/>
  <c r="D300" i="70"/>
  <c r="C6" i="56"/>
  <c r="C9" i="70" s="1"/>
  <c r="E626" i="49"/>
  <c r="D713" i="56" s="1"/>
  <c r="D654" i="70" s="1"/>
  <c r="F269" i="49"/>
  <c r="E270" i="49"/>
  <c r="E612" i="49"/>
  <c r="F611" i="49"/>
  <c r="E524" i="49"/>
  <c r="E521" i="49"/>
  <c r="E518" i="49"/>
  <c r="E517" i="49"/>
  <c r="E516" i="49"/>
  <c r="E525" i="49"/>
  <c r="E28" i="49"/>
  <c r="E24" i="49"/>
  <c r="C39" i="49"/>
  <c r="E27" i="49"/>
  <c r="D222" i="49"/>
  <c r="D225" i="49" s="1"/>
  <c r="F654" i="70" l="1"/>
  <c r="D218" i="56"/>
  <c r="C218" i="56"/>
  <c r="A219" i="56"/>
  <c r="B219" i="56" s="1"/>
  <c r="C312" i="70"/>
  <c r="D731" i="56"/>
  <c r="D655" i="70" s="1"/>
  <c r="D657" i="70" s="1"/>
  <c r="D660" i="70" s="1"/>
  <c r="D662" i="70" s="1"/>
  <c r="AE12" i="49"/>
  <c r="D14" i="60"/>
  <c r="C78" i="56"/>
  <c r="C86" i="70" s="1"/>
  <c r="E627" i="49"/>
  <c r="Q58" i="51"/>
  <c r="D6" i="60" s="1"/>
  <c r="Q59" i="51"/>
  <c r="AF683" i="49"/>
  <c r="AE683" i="49"/>
  <c r="E511" i="49"/>
  <c r="D509" i="49"/>
  <c r="D513" i="49" s="1"/>
  <c r="B513" i="49" s="1"/>
  <c r="D23" i="60"/>
  <c r="D514" i="49"/>
  <c r="E515" i="49"/>
  <c r="E514" i="49" s="1"/>
  <c r="E520" i="49"/>
  <c r="D519" i="49"/>
  <c r="D22" i="49"/>
  <c r="E23" i="49"/>
  <c r="E22" i="49" s="1"/>
  <c r="D17" i="49"/>
  <c r="B222" i="49"/>
  <c r="D219" i="56" l="1"/>
  <c r="C219" i="56"/>
  <c r="A220" i="56"/>
  <c r="B220" i="56" s="1"/>
  <c r="E23" i="60"/>
  <c r="E519" i="49"/>
  <c r="E522" i="49" s="1"/>
  <c r="C618" i="56" s="1"/>
  <c r="C560" i="70" s="1"/>
  <c r="D664" i="70"/>
  <c r="C733" i="56"/>
  <c r="E509" i="49"/>
  <c r="E513" i="49" s="1"/>
  <c r="D598" i="56"/>
  <c r="D557" i="70" s="1"/>
  <c r="L40" i="52"/>
  <c r="G15" i="60"/>
  <c r="E640" i="49"/>
  <c r="E643" i="49" s="1"/>
  <c r="DR195" i="51" s="1"/>
  <c r="DS195" i="51" s="1"/>
  <c r="AE645" i="49"/>
  <c r="AF645" i="49"/>
  <c r="D522" i="49"/>
  <c r="B522" i="49" s="1"/>
  <c r="F23" i="60" s="1"/>
  <c r="A204" i="49"/>
  <c r="B15" i="56"/>
  <c r="C220" i="56" l="1"/>
  <c r="D220" i="56"/>
  <c r="A221" i="56"/>
  <c r="B221" i="56" s="1"/>
  <c r="DS204" i="51"/>
  <c r="I196" i="51"/>
  <c r="J196" i="51" s="1"/>
  <c r="AF529" i="49"/>
  <c r="AF531" i="49" s="1"/>
  <c r="AE529" i="49"/>
  <c r="AE531" i="49" s="1"/>
  <c r="D560" i="70"/>
  <c r="C561" i="70"/>
  <c r="C564" i="70" s="1"/>
  <c r="C566" i="70" s="1"/>
  <c r="D596" i="56"/>
  <c r="D555" i="70" s="1"/>
  <c r="C736" i="56"/>
  <c r="E644" i="49"/>
  <c r="C738" i="56" s="1"/>
  <c r="E647" i="49"/>
  <c r="E649" i="49" s="1"/>
  <c r="D526" i="49"/>
  <c r="B526" i="49" s="1"/>
  <c r="E526" i="49"/>
  <c r="D70" i="56"/>
  <c r="C221" i="56" l="1"/>
  <c r="D221" i="56"/>
  <c r="A222" i="56"/>
  <c r="B222" i="56" s="1"/>
  <c r="I204" i="51"/>
  <c r="I193" i="51" s="1"/>
  <c r="C568" i="70"/>
  <c r="D617" i="56"/>
  <c r="D559" i="70" s="1"/>
  <c r="D561" i="70" s="1"/>
  <c r="D564" i="70" s="1"/>
  <c r="A508" i="49"/>
  <c r="G23" i="60"/>
  <c r="D529" i="49"/>
  <c r="F647" i="49"/>
  <c r="F649" i="49"/>
  <c r="E650" i="49"/>
  <c r="E529" i="49"/>
  <c r="BH40" i="52"/>
  <c r="D47" i="49"/>
  <c r="C222" i="56" l="1"/>
  <c r="D222" i="56"/>
  <c r="A223" i="56"/>
  <c r="B223" i="56" s="1"/>
  <c r="C622" i="56"/>
  <c r="DR159" i="51"/>
  <c r="DS159" i="51" s="1"/>
  <c r="D566" i="70"/>
  <c r="D568" i="70"/>
  <c r="C619" i="56"/>
  <c r="E533" i="49"/>
  <c r="F533" i="49" s="1"/>
  <c r="E530" i="49"/>
  <c r="C624" i="56" s="1"/>
  <c r="C223" i="56" l="1"/>
  <c r="D223" i="56"/>
  <c r="A224" i="56"/>
  <c r="B224" i="56" s="1"/>
  <c r="DS168" i="51"/>
  <c r="I160" i="51"/>
  <c r="J160" i="51" s="1"/>
  <c r="E535" i="49"/>
  <c r="F535" i="49" s="1"/>
  <c r="E70" i="56"/>
  <c r="C76" i="56"/>
  <c r="C84" i="70" s="1"/>
  <c r="C77" i="56"/>
  <c r="C85" i="70" s="1"/>
  <c r="D224" i="56" l="1"/>
  <c r="C224" i="56"/>
  <c r="A225" i="56"/>
  <c r="B225" i="56" s="1"/>
  <c r="F66" i="56"/>
  <c r="F72" i="70" s="1"/>
  <c r="F60" i="56"/>
  <c r="F66" i="70" s="1"/>
  <c r="F23" i="56"/>
  <c r="F29" i="70" s="1"/>
  <c r="F64" i="56"/>
  <c r="F70" i="70" s="1"/>
  <c r="F67" i="56"/>
  <c r="F73" i="70" s="1"/>
  <c r="F68" i="56"/>
  <c r="F74" i="70" s="1"/>
  <c r="F34" i="56"/>
  <c r="F40" i="70" s="1"/>
  <c r="F30" i="56"/>
  <c r="F36" i="70" s="1"/>
  <c r="F54" i="56"/>
  <c r="F60" i="70" s="1"/>
  <c r="F24" i="56"/>
  <c r="F30" i="70" s="1"/>
  <c r="F53" i="56"/>
  <c r="F59" i="70" s="1"/>
  <c r="F27" i="56"/>
  <c r="F33" i="70" s="1"/>
  <c r="F51" i="56"/>
  <c r="F57" i="70" s="1"/>
  <c r="F38" i="56"/>
  <c r="F44" i="70" s="1"/>
  <c r="F32" i="56"/>
  <c r="F38" i="70" s="1"/>
  <c r="F42" i="56"/>
  <c r="F48" i="70" s="1"/>
  <c r="F29" i="56"/>
  <c r="F35" i="70" s="1"/>
  <c r="F58" i="56"/>
  <c r="F64" i="70" s="1"/>
  <c r="F36" i="56"/>
  <c r="F42" i="70" s="1"/>
  <c r="F48" i="56"/>
  <c r="F54" i="70" s="1"/>
  <c r="F43" i="56"/>
  <c r="F49" i="70" s="1"/>
  <c r="F44" i="56"/>
  <c r="F50" i="70" s="1"/>
  <c r="F50" i="56"/>
  <c r="F56" i="70" s="1"/>
  <c r="F57" i="56"/>
  <c r="F63" i="70" s="1"/>
  <c r="F69" i="56"/>
  <c r="F75" i="70" s="1"/>
  <c r="F52" i="56"/>
  <c r="F58" i="70" s="1"/>
  <c r="F56" i="56"/>
  <c r="F62" i="70" s="1"/>
  <c r="F65" i="56"/>
  <c r="F71" i="70" s="1"/>
  <c r="F28" i="56"/>
  <c r="F34" i="70" s="1"/>
  <c r="F46" i="56"/>
  <c r="F52" i="70" s="1"/>
  <c r="F25" i="56"/>
  <c r="F31" i="70" s="1"/>
  <c r="F62" i="56"/>
  <c r="F68" i="70" s="1"/>
  <c r="F45" i="56"/>
  <c r="F51" i="70" s="1"/>
  <c r="F61" i="56"/>
  <c r="F67" i="70" s="1"/>
  <c r="F39" i="56"/>
  <c r="F45" i="70" s="1"/>
  <c r="F59" i="56"/>
  <c r="F65" i="70" s="1"/>
  <c r="F41" i="56"/>
  <c r="F47" i="70" s="1"/>
  <c r="F40" i="56"/>
  <c r="F46" i="70" s="1"/>
  <c r="F26" i="56"/>
  <c r="F32" i="70" s="1"/>
  <c r="F49" i="56"/>
  <c r="F55" i="70" s="1"/>
  <c r="F55" i="56"/>
  <c r="F61" i="70" s="1"/>
  <c r="F22" i="56"/>
  <c r="F28" i="70" s="1"/>
  <c r="F47" i="56"/>
  <c r="F53" i="70" s="1"/>
  <c r="F31" i="56"/>
  <c r="F37" i="70" s="1"/>
  <c r="F33" i="56"/>
  <c r="F39" i="70" s="1"/>
  <c r="F35" i="56"/>
  <c r="F41" i="70" s="1"/>
  <c r="F63" i="56"/>
  <c r="F69" i="70" s="1"/>
  <c r="F37" i="56"/>
  <c r="F43" i="70" s="1"/>
  <c r="F21" i="56"/>
  <c r="F27" i="70" s="1"/>
  <c r="I168" i="51"/>
  <c r="I157" i="51" s="1"/>
  <c r="E536" i="49"/>
  <c r="C75" i="56"/>
  <c r="C83" i="70" s="1"/>
  <c r="D76" i="56"/>
  <c r="D84" i="70" s="1"/>
  <c r="D225" i="56" l="1"/>
  <c r="C225" i="56"/>
  <c r="A226" i="56"/>
  <c r="B226" i="56" s="1"/>
  <c r="F76" i="70"/>
  <c r="F70" i="56"/>
  <c r="E46" i="49"/>
  <c r="D46" i="49"/>
  <c r="C258" i="56"/>
  <c r="C87" i="70" s="1"/>
  <c r="D226" i="56" l="1"/>
  <c r="C226" i="56"/>
  <c r="A227" i="56"/>
  <c r="B227" i="56" s="1"/>
  <c r="E18" i="49"/>
  <c r="E21" i="49"/>
  <c r="E20" i="49"/>
  <c r="E19" i="49"/>
  <c r="E14" i="49"/>
  <c r="D77" i="56" s="1"/>
  <c r="D227" i="56" l="1"/>
  <c r="C227" i="56"/>
  <c r="A228" i="56"/>
  <c r="B228" i="56" s="1"/>
  <c r="D75" i="56"/>
  <c r="D83" i="70" s="1"/>
  <c r="D85" i="70"/>
  <c r="D25" i="49"/>
  <c r="B25" i="49" s="1"/>
  <c r="F14" i="60" s="1"/>
  <c r="D12" i="49"/>
  <c r="E17" i="49"/>
  <c r="E25" i="49" s="1"/>
  <c r="C259" i="56" s="1"/>
  <c r="C88" i="70" s="1"/>
  <c r="D228" i="56" l="1"/>
  <c r="C228" i="56"/>
  <c r="A229" i="56"/>
  <c r="B229" i="56" s="1"/>
  <c r="D88" i="70"/>
  <c r="C89" i="70"/>
  <c r="E12" i="49"/>
  <c r="D16" i="49"/>
  <c r="D229" i="56" l="1"/>
  <c r="C229" i="56"/>
  <c r="A230" i="56"/>
  <c r="B230" i="56" s="1"/>
  <c r="C92" i="70"/>
  <c r="C94" i="70" s="1"/>
  <c r="C98" i="70" s="1"/>
  <c r="D45" i="49"/>
  <c r="E45" i="49"/>
  <c r="D29" i="49"/>
  <c r="B16" i="49"/>
  <c r="D230" i="56" l="1"/>
  <c r="C230" i="56"/>
  <c r="A231" i="56"/>
  <c r="B231" i="56" s="1"/>
  <c r="N16" i="49"/>
  <c r="N17" i="49"/>
  <c r="N18" i="49"/>
  <c r="N19" i="49"/>
  <c r="N13" i="49"/>
  <c r="N15" i="49"/>
  <c r="N22" i="49"/>
  <c r="N20" i="49"/>
  <c r="N21" i="49"/>
  <c r="E279" i="56"/>
  <c r="E281" i="56" s="1"/>
  <c r="E48" i="49"/>
  <c r="C279" i="56"/>
  <c r="C281" i="56" s="1"/>
  <c r="E14" i="60"/>
  <c r="N12" i="49"/>
  <c r="D32" i="49"/>
  <c r="B29" i="49"/>
  <c r="N14" i="49" s="1"/>
  <c r="D48" i="49"/>
  <c r="D231" i="56" l="1"/>
  <c r="C231" i="56"/>
  <c r="A232" i="56"/>
  <c r="B232" i="56" s="1"/>
  <c r="A11" i="49"/>
  <c r="G14" i="60"/>
  <c r="F40" i="52"/>
  <c r="D232" i="56" l="1"/>
  <c r="C232" i="56"/>
  <c r="A233" i="56"/>
  <c r="B233" i="56" s="1"/>
  <c r="T2" i="76"/>
  <c r="J308" i="70"/>
  <c r="T152" i="76"/>
  <c r="E208" i="49"/>
  <c r="D233" i="56" l="1"/>
  <c r="C233" i="56"/>
  <c r="A234" i="56"/>
  <c r="B234" i="56" s="1"/>
  <c r="D295" i="56"/>
  <c r="D302" i="70" s="1"/>
  <c r="F302" i="70" s="1"/>
  <c r="E209" i="49"/>
  <c r="E222" i="49" s="1"/>
  <c r="E225" i="49" s="1"/>
  <c r="DR63" i="51" s="1"/>
  <c r="D234" i="56" l="1"/>
  <c r="C234" i="56"/>
  <c r="A235" i="56"/>
  <c r="B235" i="56" s="1"/>
  <c r="DS63" i="51"/>
  <c r="I61" i="51"/>
  <c r="C318" i="56"/>
  <c r="D313" i="56"/>
  <c r="E226" i="49"/>
  <c r="E229" i="49"/>
  <c r="D235" i="56" l="1"/>
  <c r="C235" i="56"/>
  <c r="A236" i="56"/>
  <c r="B236" i="56" s="1"/>
  <c r="C315" i="56"/>
  <c r="D303" i="70"/>
  <c r="D305" i="70" s="1"/>
  <c r="D308" i="70" s="1"/>
  <c r="D310" i="70" s="1"/>
  <c r="C320" i="56"/>
  <c r="S12" i="49"/>
  <c r="AA12" i="49" s="1"/>
  <c r="E231" i="49"/>
  <c r="F229" i="49"/>
  <c r="AA41" i="49" l="1"/>
  <c r="E15" i="49"/>
  <c r="F10" i="60" s="1"/>
  <c r="C236" i="56"/>
  <c r="D236" i="56"/>
  <c r="A237" i="56"/>
  <c r="B237" i="56" s="1"/>
  <c r="D312" i="70"/>
  <c r="I75" i="56"/>
  <c r="D79" i="56" s="1"/>
  <c r="F231" i="49"/>
  <c r="E232" i="49"/>
  <c r="E10" i="60" l="1"/>
  <c r="C237" i="56"/>
  <c r="D237" i="56"/>
  <c r="C140" i="70"/>
  <c r="C169" i="70" s="1"/>
  <c r="A238" i="56"/>
  <c r="B238" i="56" s="1"/>
  <c r="D78" i="56"/>
  <c r="E16" i="49"/>
  <c r="E29" i="49" s="1"/>
  <c r="E32" i="49" s="1"/>
  <c r="C15" i="81" s="1"/>
  <c r="C231" i="81" s="1"/>
  <c r="C232" i="81" l="1"/>
  <c r="C233" i="81" s="1"/>
  <c r="C159" i="81"/>
  <c r="C87" i="81"/>
  <c r="C238" i="56"/>
  <c r="D238" i="56"/>
  <c r="A239" i="56"/>
  <c r="B239" i="56" s="1"/>
  <c r="E36" i="49"/>
  <c r="D86" i="70"/>
  <c r="D258" i="56"/>
  <c r="D87" i="70" s="1"/>
  <c r="D89" i="70" s="1"/>
  <c r="D92" i="70" s="1"/>
  <c r="D53" i="49"/>
  <c r="C263" i="56"/>
  <c r="C265" i="56" s="1"/>
  <c r="K240" i="81" l="1"/>
  <c r="K248" i="81"/>
  <c r="D94" i="70"/>
  <c r="C14" i="70" s="1"/>
  <c r="K238" i="81"/>
  <c r="K244" i="81"/>
  <c r="K241" i="81"/>
  <c r="K242" i="81"/>
  <c r="K247" i="81"/>
  <c r="K243" i="81"/>
  <c r="K245" i="81"/>
  <c r="K246" i="81"/>
  <c r="C88" i="81"/>
  <c r="C89" i="81" s="1"/>
  <c r="C160" i="81"/>
  <c r="C161" i="81" s="1"/>
  <c r="C239" i="56"/>
  <c r="D239" i="56"/>
  <c r="A240" i="56"/>
  <c r="B240" i="56" s="1"/>
  <c r="E33" i="49"/>
  <c r="C37" i="51"/>
  <c r="D35" i="71"/>
  <c r="D21" i="70"/>
  <c r="C260" i="56"/>
  <c r="D15" i="56"/>
  <c r="F36" i="49"/>
  <c r="DR6" i="51"/>
  <c r="E39" i="49"/>
  <c r="DR8" i="51" l="1"/>
  <c r="DR11" i="51"/>
  <c r="DR15" i="51"/>
  <c r="DR13" i="51"/>
  <c r="DR12" i="51"/>
  <c r="DR17" i="51"/>
  <c r="DR16" i="51"/>
  <c r="DR14" i="51"/>
  <c r="DR18" i="51"/>
  <c r="DR10" i="51"/>
  <c r="K96" i="81"/>
  <c r="K176" i="81"/>
  <c r="K168" i="81"/>
  <c r="K104" i="81"/>
  <c r="D98" i="70"/>
  <c r="D101" i="70"/>
  <c r="K94" i="81"/>
  <c r="K166" i="81"/>
  <c r="K97" i="81"/>
  <c r="K98" i="81"/>
  <c r="K99" i="81"/>
  <c r="K100" i="81"/>
  <c r="K101" i="81"/>
  <c r="K102" i="81"/>
  <c r="K103" i="81"/>
  <c r="K169" i="81"/>
  <c r="K171" i="81"/>
  <c r="K172" i="81"/>
  <c r="K175" i="81"/>
  <c r="K173" i="81"/>
  <c r="K174" i="81"/>
  <c r="K170" i="81"/>
  <c r="D86" i="81"/>
  <c r="D158" i="81"/>
  <c r="D240" i="56"/>
  <c r="C240" i="56"/>
  <c r="A241" i="56"/>
  <c r="B241" i="56" s="1"/>
  <c r="D22" i="70"/>
  <c r="D271" i="56"/>
  <c r="B274" i="56" s="1"/>
  <c r="D279" i="56" s="1"/>
  <c r="D281" i="56" s="1"/>
  <c r="F39" i="49"/>
  <c r="E2" i="51" s="1"/>
  <c r="D43" i="71" l="1"/>
  <c r="D44" i="71" s="1"/>
  <c r="D45" i="71" s="1"/>
  <c r="D103" i="70"/>
  <c r="D104" i="70" s="1"/>
  <c r="D107" i="70" s="1"/>
  <c r="E42" i="71" s="1"/>
  <c r="K143" i="81"/>
  <c r="C90" i="81"/>
  <c r="D87" i="81"/>
  <c r="C162" i="81"/>
  <c r="D159" i="81"/>
  <c r="K215" i="81"/>
  <c r="D241" i="56"/>
  <c r="C241" i="56"/>
  <c r="A242" i="56"/>
  <c r="B242" i="56" s="1"/>
  <c r="D160" i="81" l="1"/>
  <c r="L168" i="81" s="1"/>
  <c r="D242" i="56"/>
  <c r="C242" i="56"/>
  <c r="A243" i="56"/>
  <c r="B243" i="56" s="1"/>
  <c r="B112" i="70"/>
  <c r="L166" i="81" l="1"/>
  <c r="L174" i="81"/>
  <c r="L173" i="81"/>
  <c r="D161" i="81"/>
  <c r="E158" i="81" s="1"/>
  <c r="D243" i="56"/>
  <c r="C243" i="56"/>
  <c r="A244" i="56"/>
  <c r="B244" i="56" s="1"/>
  <c r="DP5" i="51"/>
  <c r="E6" i="60" s="1"/>
  <c r="DO57" i="51"/>
  <c r="DQ57" i="51" s="1"/>
  <c r="DR57" i="51"/>
  <c r="D162" i="81" l="1"/>
  <c r="E159" i="81"/>
  <c r="DS6" i="51"/>
  <c r="DS8" i="51" s="1"/>
  <c r="L215" i="81"/>
  <c r="D244" i="56"/>
  <c r="C244" i="56"/>
  <c r="A245" i="56"/>
  <c r="B245" i="56" s="1"/>
  <c r="E160" i="81" l="1"/>
  <c r="E161" i="81" s="1"/>
  <c r="F158" i="81" s="1"/>
  <c r="D245" i="56"/>
  <c r="C245" i="56"/>
  <c r="A246" i="56"/>
  <c r="B246" i="56" s="1"/>
  <c r="M174" i="81" l="1"/>
  <c r="M175" i="81"/>
  <c r="M166" i="81"/>
  <c r="M167" i="81"/>
  <c r="E162" i="81"/>
  <c r="F159" i="81"/>
  <c r="F160" i="81" s="1"/>
  <c r="DS57" i="51"/>
  <c r="G158" i="81"/>
  <c r="H158" i="81" s="1"/>
  <c r="D246" i="56"/>
  <c r="C246" i="56"/>
  <c r="A247" i="56"/>
  <c r="B247" i="56" s="1"/>
  <c r="DT6" i="51" l="1"/>
  <c r="N202" i="81"/>
  <c r="N185" i="81"/>
  <c r="N208" i="81"/>
  <c r="N189" i="81"/>
  <c r="N213" i="81"/>
  <c r="N201" i="81"/>
  <c r="N193" i="81"/>
  <c r="N198" i="81"/>
  <c r="N170" i="81"/>
  <c r="N178" i="81"/>
  <c r="N206" i="81"/>
  <c r="N214" i="81"/>
  <c r="N192" i="81"/>
  <c r="N204" i="81"/>
  <c r="N195" i="81"/>
  <c r="N177" i="81"/>
  <c r="N173" i="81"/>
  <c r="N181" i="81"/>
  <c r="N205" i="81"/>
  <c r="N199" i="81"/>
  <c r="N171" i="81"/>
  <c r="N166" i="81"/>
  <c r="N203" i="81"/>
  <c r="N196" i="81"/>
  <c r="N169" i="81"/>
  <c r="N174" i="81"/>
  <c r="N211" i="81"/>
  <c r="N209" i="81"/>
  <c r="N183" i="81"/>
  <c r="N190" i="81"/>
  <c r="N187" i="81"/>
  <c r="N184" i="81"/>
  <c r="N197" i="81"/>
  <c r="N186" i="81"/>
  <c r="N210" i="81"/>
  <c r="N200" i="81"/>
  <c r="N168" i="81"/>
  <c r="N182" i="81"/>
  <c r="N179" i="81"/>
  <c r="N175" i="81"/>
  <c r="N191" i="81"/>
  <c r="N172" i="81"/>
  <c r="N176" i="81"/>
  <c r="N167" i="81"/>
  <c r="N180" i="81"/>
  <c r="N207" i="81"/>
  <c r="N188" i="81"/>
  <c r="N194" i="81"/>
  <c r="N212" i="81"/>
  <c r="F161" i="81"/>
  <c r="G159" i="81" s="1"/>
  <c r="G160" i="81" s="1"/>
  <c r="D247" i="56"/>
  <c r="C247" i="56"/>
  <c r="A248" i="56"/>
  <c r="B248" i="56" s="1"/>
  <c r="DT8" i="51" l="1"/>
  <c r="DT9" i="51"/>
  <c r="F162" i="81"/>
  <c r="O193" i="81"/>
  <c r="O173" i="81"/>
  <c r="O177" i="81"/>
  <c r="O175" i="81"/>
  <c r="O191" i="81"/>
  <c r="O184" i="81"/>
  <c r="O205" i="81"/>
  <c r="O187" i="81"/>
  <c r="O211" i="81"/>
  <c r="O202" i="81"/>
  <c r="O201" i="81"/>
  <c r="O183" i="81"/>
  <c r="O190" i="81"/>
  <c r="O186" i="81"/>
  <c r="O200" i="81"/>
  <c r="O197" i="81"/>
  <c r="O213" i="81"/>
  <c r="O181" i="81"/>
  <c r="O176" i="81"/>
  <c r="O204" i="81"/>
  <c r="O168" i="81"/>
  <c r="O195" i="81"/>
  <c r="O188" i="81"/>
  <c r="O179" i="81"/>
  <c r="O172" i="81"/>
  <c r="O209" i="81"/>
  <c r="O189" i="81"/>
  <c r="O208" i="81"/>
  <c r="O167" i="81"/>
  <c r="O174" i="81"/>
  <c r="O171" i="81"/>
  <c r="O166" i="81"/>
  <c r="O199" i="81"/>
  <c r="O169" i="81"/>
  <c r="O214" i="81"/>
  <c r="O196" i="81"/>
  <c r="O170" i="81"/>
  <c r="O206" i="81"/>
  <c r="O185" i="81"/>
  <c r="O212" i="81"/>
  <c r="O210" i="81"/>
  <c r="O203" i="81"/>
  <c r="O194" i="81"/>
  <c r="O192" i="81"/>
  <c r="O198" i="81"/>
  <c r="O180" i="81"/>
  <c r="O178" i="81"/>
  <c r="O207" i="81"/>
  <c r="O182" i="81"/>
  <c r="G161" i="81"/>
  <c r="G162" i="81" s="1"/>
  <c r="M215" i="81"/>
  <c r="D248" i="56"/>
  <c r="C248" i="56"/>
  <c r="A249" i="56"/>
  <c r="B249" i="56" s="1"/>
  <c r="DT57" i="51" l="1"/>
  <c r="DU6" i="51" s="1"/>
  <c r="H159" i="81"/>
  <c r="P188" i="81" s="1"/>
  <c r="Q188" i="81" s="1"/>
  <c r="R188" i="81" s="1"/>
  <c r="N215" i="81"/>
  <c r="D249" i="56"/>
  <c r="C249" i="56"/>
  <c r="A250" i="56"/>
  <c r="B250" i="56" s="1"/>
  <c r="DU23" i="51" l="1"/>
  <c r="DU35" i="51"/>
  <c r="DU47" i="51"/>
  <c r="DU50" i="51"/>
  <c r="DU9" i="51"/>
  <c r="DU51" i="51"/>
  <c r="DU40" i="51"/>
  <c r="DU29" i="51"/>
  <c r="DU18" i="51"/>
  <c r="DU54" i="51"/>
  <c r="DU43" i="51"/>
  <c r="DU32" i="51"/>
  <c r="DU21" i="51"/>
  <c r="DU8" i="51"/>
  <c r="DU46" i="51"/>
  <c r="DU24" i="51"/>
  <c r="DU36" i="51"/>
  <c r="DU48" i="51"/>
  <c r="DU38" i="51"/>
  <c r="DU39" i="51"/>
  <c r="DU28" i="51"/>
  <c r="DU17" i="51"/>
  <c r="DU53" i="51"/>
  <c r="DU42" i="51"/>
  <c r="DU31" i="51"/>
  <c r="DU20" i="51"/>
  <c r="DU56" i="51"/>
  <c r="DU45" i="51"/>
  <c r="DU34" i="51"/>
  <c r="DU25" i="51"/>
  <c r="DU37" i="51"/>
  <c r="DU49" i="51"/>
  <c r="DU26" i="51"/>
  <c r="DU27" i="51"/>
  <c r="DU10" i="51"/>
  <c r="DU52" i="51"/>
  <c r="DU41" i="51"/>
  <c r="DU30" i="51"/>
  <c r="DU19" i="51"/>
  <c r="DU55" i="51"/>
  <c r="DU44" i="51"/>
  <c r="DU33" i="51"/>
  <c r="DU22" i="51"/>
  <c r="DU11" i="51"/>
  <c r="DU12" i="51"/>
  <c r="DU13" i="51"/>
  <c r="DU14" i="51"/>
  <c r="DU15" i="51"/>
  <c r="DU16" i="51"/>
  <c r="P195" i="81"/>
  <c r="Q195" i="81" s="1"/>
  <c r="R195" i="81" s="1"/>
  <c r="P192" i="81"/>
  <c r="Q192" i="81" s="1"/>
  <c r="R192" i="81" s="1"/>
  <c r="P190" i="81"/>
  <c r="Q190" i="81" s="1"/>
  <c r="R190" i="81" s="1"/>
  <c r="P201" i="81"/>
  <c r="Q201" i="81" s="1"/>
  <c r="R201" i="81" s="1"/>
  <c r="P179" i="81"/>
  <c r="Q179" i="81" s="1"/>
  <c r="R179" i="81" s="1"/>
  <c r="P168" i="81"/>
  <c r="Q168" i="81" s="1"/>
  <c r="R168" i="81" s="1"/>
  <c r="P207" i="81"/>
  <c r="Q207" i="81" s="1"/>
  <c r="R207" i="81" s="1"/>
  <c r="H160" i="81"/>
  <c r="H161" i="81" s="1"/>
  <c r="H162" i="81" s="1"/>
  <c r="P214" i="81"/>
  <c r="Q214" i="81" s="1"/>
  <c r="P197" i="81"/>
  <c r="Q197" i="81" s="1"/>
  <c r="R197" i="81" s="1"/>
  <c r="P213" i="81"/>
  <c r="Q213" i="81" s="1"/>
  <c r="R213" i="81" s="1"/>
  <c r="P198" i="81"/>
  <c r="Q198" i="81" s="1"/>
  <c r="R198" i="81" s="1"/>
  <c r="P183" i="81"/>
  <c r="Q183" i="81" s="1"/>
  <c r="R183" i="81" s="1"/>
  <c r="P209" i="81"/>
  <c r="Q209" i="81" s="1"/>
  <c r="R209" i="81" s="1"/>
  <c r="P182" i="81"/>
  <c r="Q182" i="81" s="1"/>
  <c r="R182" i="81" s="1"/>
  <c r="P212" i="81"/>
  <c r="Q212" i="81" s="1"/>
  <c r="R212" i="81" s="1"/>
  <c r="P200" i="81"/>
  <c r="Q200" i="81" s="1"/>
  <c r="R200" i="81" s="1"/>
  <c r="P204" i="81"/>
  <c r="Q204" i="81" s="1"/>
  <c r="R204" i="81" s="1"/>
  <c r="P187" i="81"/>
  <c r="Q187" i="81" s="1"/>
  <c r="R187" i="81" s="1"/>
  <c r="P178" i="81"/>
  <c r="Q178" i="81" s="1"/>
  <c r="R178" i="81" s="1"/>
  <c r="P203" i="81"/>
  <c r="Q203" i="81" s="1"/>
  <c r="R203" i="81" s="1"/>
  <c r="P196" i="81"/>
  <c r="Q196" i="81" s="1"/>
  <c r="R196" i="81" s="1"/>
  <c r="P189" i="81"/>
  <c r="Q189" i="81" s="1"/>
  <c r="R189" i="81" s="1"/>
  <c r="P193" i="81"/>
  <c r="Q193" i="81" s="1"/>
  <c r="R193" i="81" s="1"/>
  <c r="P180" i="81"/>
  <c r="Q180" i="81" s="1"/>
  <c r="R180" i="81" s="1"/>
  <c r="P172" i="81"/>
  <c r="Q172" i="81" s="1"/>
  <c r="R172" i="81" s="1"/>
  <c r="P167" i="81"/>
  <c r="Q167" i="81" s="1"/>
  <c r="R167" i="81" s="1"/>
  <c r="P211" i="81"/>
  <c r="Q211" i="81" s="1"/>
  <c r="R211" i="81" s="1"/>
  <c r="P173" i="81"/>
  <c r="Q173" i="81" s="1"/>
  <c r="R173" i="81" s="1"/>
  <c r="P175" i="81"/>
  <c r="Q175" i="81" s="1"/>
  <c r="R175" i="81" s="1"/>
  <c r="P171" i="81"/>
  <c r="Q171" i="81" s="1"/>
  <c r="R171" i="81" s="1"/>
  <c r="P169" i="81"/>
  <c r="Q169" i="81" s="1"/>
  <c r="R169" i="81" s="1"/>
  <c r="P199" i="81"/>
  <c r="Q199" i="81" s="1"/>
  <c r="R199" i="81" s="1"/>
  <c r="P170" i="81"/>
  <c r="Q170" i="81" s="1"/>
  <c r="R170" i="81" s="1"/>
  <c r="P205" i="81"/>
  <c r="Q205" i="81" s="1"/>
  <c r="R205" i="81" s="1"/>
  <c r="P184" i="81"/>
  <c r="Q184" i="81" s="1"/>
  <c r="R184" i="81" s="1"/>
  <c r="P191" i="81"/>
  <c r="Q191" i="81" s="1"/>
  <c r="R191" i="81" s="1"/>
  <c r="P176" i="81"/>
  <c r="Q176" i="81" s="1"/>
  <c r="R176" i="81" s="1"/>
  <c r="P185" i="81"/>
  <c r="Q185" i="81" s="1"/>
  <c r="R185" i="81" s="1"/>
  <c r="P177" i="81"/>
  <c r="Q177" i="81" s="1"/>
  <c r="R177" i="81" s="1"/>
  <c r="P194" i="81"/>
  <c r="Q194" i="81" s="1"/>
  <c r="R194" i="81" s="1"/>
  <c r="P210" i="81"/>
  <c r="Q210" i="81" s="1"/>
  <c r="R210" i="81" s="1"/>
  <c r="P206" i="81"/>
  <c r="Q206" i="81" s="1"/>
  <c r="R206" i="81" s="1"/>
  <c r="P202" i="81"/>
  <c r="Q202" i="81" s="1"/>
  <c r="R202" i="81" s="1"/>
  <c r="P166" i="81"/>
  <c r="Q166" i="81" s="1"/>
  <c r="R166" i="81" s="1"/>
  <c r="P174" i="81"/>
  <c r="Q174" i="81" s="1"/>
  <c r="R174" i="81" s="1"/>
  <c r="P181" i="81"/>
  <c r="Q181" i="81" s="1"/>
  <c r="R181" i="81" s="1"/>
  <c r="P186" i="81"/>
  <c r="Q186" i="81" s="1"/>
  <c r="R186" i="81" s="1"/>
  <c r="P208" i="81"/>
  <c r="Q208" i="81" s="1"/>
  <c r="R208" i="81" s="1"/>
  <c r="D250" i="56"/>
  <c r="C250" i="56"/>
  <c r="A251" i="56"/>
  <c r="B251" i="56" s="1"/>
  <c r="DU57" i="51" l="1"/>
  <c r="DV6" i="51" s="1"/>
  <c r="D251" i="56"/>
  <c r="C251" i="56"/>
  <c r="A252" i="56"/>
  <c r="B252" i="56" s="1"/>
  <c r="DV8" i="51" l="1"/>
  <c r="DV9" i="51"/>
  <c r="DV25" i="51"/>
  <c r="DV41" i="51"/>
  <c r="DV11" i="51"/>
  <c r="DV27" i="51"/>
  <c r="DV43" i="51"/>
  <c r="DV12" i="51"/>
  <c r="DV28" i="51"/>
  <c r="DV44" i="51"/>
  <c r="DV13" i="51"/>
  <c r="DV29" i="51"/>
  <c r="DV45" i="51"/>
  <c r="DV55" i="51"/>
  <c r="DV10" i="51"/>
  <c r="DV14" i="51"/>
  <c r="DV30" i="51"/>
  <c r="DV46" i="51"/>
  <c r="DV34" i="51"/>
  <c r="DV37" i="51"/>
  <c r="DV23" i="51"/>
  <c r="DV15" i="51"/>
  <c r="DV31" i="51"/>
  <c r="DV47" i="51"/>
  <c r="DV21" i="51"/>
  <c r="DV39" i="51"/>
  <c r="DV16" i="51"/>
  <c r="DV32" i="51"/>
  <c r="DV48" i="51"/>
  <c r="DV50" i="51"/>
  <c r="DV17" i="51"/>
  <c r="DV33" i="51"/>
  <c r="DV49" i="51"/>
  <c r="DV18" i="51"/>
  <c r="DV42" i="51"/>
  <c r="DV19" i="51"/>
  <c r="DV35" i="51"/>
  <c r="DV51" i="51"/>
  <c r="DV53" i="51"/>
  <c r="DV20" i="51"/>
  <c r="DV36" i="51"/>
  <c r="DV52" i="51"/>
  <c r="DV22" i="51"/>
  <c r="DV38" i="51"/>
  <c r="DV54" i="51"/>
  <c r="DV26" i="51"/>
  <c r="DV24" i="51"/>
  <c r="DV40" i="51"/>
  <c r="DV56" i="51"/>
  <c r="O215" i="81"/>
  <c r="C252" i="56"/>
  <c r="D252" i="56"/>
  <c r="A253" i="56"/>
  <c r="B253" i="56" s="1"/>
  <c r="DV57" i="51" l="1"/>
  <c r="DW6" i="51" s="1"/>
  <c r="H11" i="51"/>
  <c r="H12" i="51"/>
  <c r="H10" i="51"/>
  <c r="C253" i="56"/>
  <c r="D253" i="56"/>
  <c r="A254" i="56"/>
  <c r="B254" i="56" s="1"/>
  <c r="DW8" i="51" l="1"/>
  <c r="DW53" i="51"/>
  <c r="DW44" i="51"/>
  <c r="DW15" i="51"/>
  <c r="DW31" i="51"/>
  <c r="DW47" i="51"/>
  <c r="DW16" i="51"/>
  <c r="DW32" i="51"/>
  <c r="DW48" i="51"/>
  <c r="DW17" i="51"/>
  <c r="DW33" i="51"/>
  <c r="DW49" i="51"/>
  <c r="DW18" i="51"/>
  <c r="DW34" i="51"/>
  <c r="DW50" i="51"/>
  <c r="DW35" i="51"/>
  <c r="DW51" i="51"/>
  <c r="DW37" i="51"/>
  <c r="DW19" i="51"/>
  <c r="DW36" i="51"/>
  <c r="DW20" i="51"/>
  <c r="DW22" i="51"/>
  <c r="DW38" i="51"/>
  <c r="DW54" i="51"/>
  <c r="DW40" i="51"/>
  <c r="DW9" i="51"/>
  <c r="DW41" i="51"/>
  <c r="DW10" i="51"/>
  <c r="DW26" i="51"/>
  <c r="DW11" i="51"/>
  <c r="DW43" i="51"/>
  <c r="DW13" i="51"/>
  <c r="DW45" i="51"/>
  <c r="DW30" i="51"/>
  <c r="DW23" i="51"/>
  <c r="DW39" i="51"/>
  <c r="DW55" i="51"/>
  <c r="DW24" i="51"/>
  <c r="DW56" i="51"/>
  <c r="DW25" i="51"/>
  <c r="DW42" i="51"/>
  <c r="DW27" i="51"/>
  <c r="DW12" i="51"/>
  <c r="DW28" i="51"/>
  <c r="DW29" i="51"/>
  <c r="DW14" i="51"/>
  <c r="DW46" i="51"/>
  <c r="DW52" i="51"/>
  <c r="DW21" i="51"/>
  <c r="H13" i="51"/>
  <c r="P215" i="81"/>
  <c r="C254" i="56"/>
  <c r="D254" i="56"/>
  <c r="A255" i="56"/>
  <c r="B255" i="56" s="1"/>
  <c r="DW57" i="51" l="1"/>
  <c r="DX6" i="51" s="1"/>
  <c r="DX7" i="51" s="1"/>
  <c r="Q215" i="81"/>
  <c r="C255" i="56"/>
  <c r="D255" i="56"/>
  <c r="A256" i="56"/>
  <c r="B256" i="56" s="1"/>
  <c r="DX9" i="51" l="1"/>
  <c r="H9" i="51" s="1"/>
  <c r="DX8" i="51"/>
  <c r="C21" i="51"/>
  <c r="D256" i="56"/>
  <c r="C256" i="56"/>
  <c r="A257" i="56"/>
  <c r="B257" i="56" s="1"/>
  <c r="D34" i="49" l="1"/>
  <c r="L2" i="49"/>
  <c r="J2" i="51"/>
  <c r="C11" i="56"/>
  <c r="C16" i="70" s="1"/>
  <c r="D28" i="71" s="1"/>
  <c r="H8" i="51"/>
  <c r="DX57" i="51"/>
  <c r="DY6" i="51" s="1"/>
  <c r="DY7" i="51" s="1"/>
  <c r="D257" i="56"/>
  <c r="C257" i="56"/>
  <c r="D10" i="60" s="1"/>
  <c r="DY26" i="51" l="1"/>
  <c r="DZ26" i="51" s="1"/>
  <c r="EA26" i="51" s="1"/>
  <c r="J26" i="51" s="1"/>
  <c r="DY11" i="51"/>
  <c r="DZ11" i="51" s="1"/>
  <c r="EA11" i="51" s="1"/>
  <c r="J11" i="51" s="1"/>
  <c r="DY43" i="51"/>
  <c r="DZ43" i="51" s="1"/>
  <c r="EA43" i="51" s="1"/>
  <c r="J43" i="51" s="1"/>
  <c r="DY28" i="51"/>
  <c r="DZ28" i="51" s="1"/>
  <c r="EA28" i="51" s="1"/>
  <c r="J28" i="51" s="1"/>
  <c r="DY44" i="51"/>
  <c r="DZ44" i="51" s="1"/>
  <c r="EA44" i="51" s="1"/>
  <c r="J44" i="51" s="1"/>
  <c r="DY14" i="51"/>
  <c r="DZ14" i="51" s="1"/>
  <c r="EA14" i="51" s="1"/>
  <c r="J14" i="51" s="1"/>
  <c r="DY30" i="51"/>
  <c r="DZ30" i="51" s="1"/>
  <c r="EA30" i="51" s="1"/>
  <c r="J30" i="51" s="1"/>
  <c r="DY46" i="51"/>
  <c r="DZ46" i="51" s="1"/>
  <c r="EA46" i="51" s="1"/>
  <c r="J46" i="51" s="1"/>
  <c r="DY15" i="51"/>
  <c r="DZ15" i="51" s="1"/>
  <c r="EA15" i="51" s="1"/>
  <c r="J15" i="51" s="1"/>
  <c r="DY31" i="51"/>
  <c r="DZ31" i="51" s="1"/>
  <c r="EA31" i="51" s="1"/>
  <c r="J31" i="51" s="1"/>
  <c r="DY47" i="51"/>
  <c r="DZ47" i="51" s="1"/>
  <c r="EA47" i="51" s="1"/>
  <c r="J47" i="51" s="1"/>
  <c r="DY17" i="51"/>
  <c r="DZ17" i="51" s="1"/>
  <c r="EA17" i="51" s="1"/>
  <c r="J17" i="51" s="1"/>
  <c r="DY49" i="51"/>
  <c r="DZ49" i="51" s="1"/>
  <c r="EA49" i="51" s="1"/>
  <c r="J49" i="51" s="1"/>
  <c r="DY19" i="51"/>
  <c r="DZ19" i="51" s="1"/>
  <c r="EA19" i="51" s="1"/>
  <c r="J19" i="51" s="1"/>
  <c r="DY51" i="51"/>
  <c r="DZ51" i="51" s="1"/>
  <c r="EA51" i="51" s="1"/>
  <c r="J51" i="51" s="1"/>
  <c r="DY16" i="51"/>
  <c r="DZ16" i="51" s="1"/>
  <c r="EA16" i="51" s="1"/>
  <c r="J16" i="51" s="1"/>
  <c r="DY32" i="51"/>
  <c r="DZ32" i="51" s="1"/>
  <c r="EA32" i="51" s="1"/>
  <c r="J32" i="51" s="1"/>
  <c r="DY48" i="51"/>
  <c r="DZ48" i="51" s="1"/>
  <c r="EA48" i="51" s="1"/>
  <c r="J48" i="51" s="1"/>
  <c r="DY33" i="51"/>
  <c r="DZ33" i="51" s="1"/>
  <c r="EA33" i="51" s="1"/>
  <c r="J33" i="51" s="1"/>
  <c r="DY18" i="51"/>
  <c r="DZ18" i="51" s="1"/>
  <c r="EA18" i="51" s="1"/>
  <c r="J18" i="51" s="1"/>
  <c r="DY34" i="51"/>
  <c r="DZ34" i="51" s="1"/>
  <c r="EA34" i="51" s="1"/>
  <c r="J34" i="51" s="1"/>
  <c r="DY50" i="51"/>
  <c r="DZ50" i="51" s="1"/>
  <c r="EA50" i="51" s="1"/>
  <c r="J50" i="51" s="1"/>
  <c r="DY35" i="51"/>
  <c r="DZ35" i="51" s="1"/>
  <c r="EA35" i="51" s="1"/>
  <c r="J35" i="51" s="1"/>
  <c r="DY20" i="51"/>
  <c r="DZ20" i="51" s="1"/>
  <c r="EA20" i="51" s="1"/>
  <c r="J20" i="51" s="1"/>
  <c r="DY36" i="51"/>
  <c r="DZ36" i="51" s="1"/>
  <c r="EA36" i="51" s="1"/>
  <c r="J36" i="51" s="1"/>
  <c r="DY52" i="51"/>
  <c r="DZ52" i="51" s="1"/>
  <c r="EA52" i="51" s="1"/>
  <c r="J52" i="51" s="1"/>
  <c r="DY21" i="51"/>
  <c r="DZ21" i="51" s="1"/>
  <c r="EA21" i="51" s="1"/>
  <c r="J21" i="51" s="1"/>
  <c r="DY37" i="51"/>
  <c r="DZ37" i="51" s="1"/>
  <c r="EA37" i="51" s="1"/>
  <c r="J37" i="51" s="1"/>
  <c r="DY53" i="51"/>
  <c r="DZ53" i="51" s="1"/>
  <c r="EA53" i="51" s="1"/>
  <c r="J53" i="51" s="1"/>
  <c r="DY39" i="51"/>
  <c r="DZ39" i="51" s="1"/>
  <c r="EA39" i="51" s="1"/>
  <c r="J39" i="51" s="1"/>
  <c r="DY40" i="51"/>
  <c r="DZ40" i="51" s="1"/>
  <c r="EA40" i="51" s="1"/>
  <c r="J40" i="51" s="1"/>
  <c r="DY13" i="51"/>
  <c r="DZ13" i="51" s="1"/>
  <c r="EA13" i="51" s="1"/>
  <c r="J13" i="51" s="1"/>
  <c r="DY22" i="51"/>
  <c r="DZ22" i="51" s="1"/>
  <c r="EA22" i="51" s="1"/>
  <c r="J22" i="51" s="1"/>
  <c r="DY38" i="51"/>
  <c r="DZ38" i="51" s="1"/>
  <c r="EA38" i="51" s="1"/>
  <c r="J38" i="51" s="1"/>
  <c r="DY54" i="51"/>
  <c r="DZ54" i="51" s="1"/>
  <c r="EA54" i="51" s="1"/>
  <c r="J54" i="51" s="1"/>
  <c r="DY23" i="51"/>
  <c r="DZ23" i="51" s="1"/>
  <c r="EA23" i="51" s="1"/>
  <c r="J23" i="51" s="1"/>
  <c r="DY55" i="51"/>
  <c r="DZ55" i="51" s="1"/>
  <c r="EA55" i="51" s="1"/>
  <c r="J55" i="51" s="1"/>
  <c r="DY24" i="51"/>
  <c r="DZ24" i="51" s="1"/>
  <c r="EA24" i="51" s="1"/>
  <c r="J24" i="51" s="1"/>
  <c r="DY56" i="51"/>
  <c r="DZ56" i="51" s="1"/>
  <c r="EA56" i="51" s="1"/>
  <c r="J56" i="51" s="1"/>
  <c r="DY9" i="51"/>
  <c r="DZ9" i="51" s="1"/>
  <c r="EA9" i="51" s="1"/>
  <c r="J9" i="51" s="1"/>
  <c r="DY25" i="51"/>
  <c r="DZ25" i="51" s="1"/>
  <c r="EA25" i="51" s="1"/>
  <c r="J25" i="51" s="1"/>
  <c r="DY41" i="51"/>
  <c r="DZ41" i="51" s="1"/>
  <c r="EA41" i="51" s="1"/>
  <c r="J41" i="51" s="1"/>
  <c r="DY8" i="51"/>
  <c r="DZ8" i="51" s="1"/>
  <c r="DY10" i="51"/>
  <c r="DZ10" i="51" s="1"/>
  <c r="EA10" i="51" s="1"/>
  <c r="J10" i="51" s="1"/>
  <c r="DY42" i="51"/>
  <c r="DZ42" i="51" s="1"/>
  <c r="EA42" i="51" s="1"/>
  <c r="J42" i="51" s="1"/>
  <c r="DY27" i="51"/>
  <c r="DZ27" i="51" s="1"/>
  <c r="EA27" i="51" s="1"/>
  <c r="J27" i="51" s="1"/>
  <c r="DY12" i="51"/>
  <c r="DZ12" i="51" s="1"/>
  <c r="EA12" i="51" s="1"/>
  <c r="J12" i="51" s="1"/>
  <c r="DY29" i="51"/>
  <c r="DZ29" i="51" s="1"/>
  <c r="EA29" i="51" s="1"/>
  <c r="J29" i="51" s="1"/>
  <c r="DY45" i="51"/>
  <c r="DZ45" i="51" s="1"/>
  <c r="EA45" i="51" s="1"/>
  <c r="J45" i="51" s="1"/>
  <c r="DY57" i="51"/>
  <c r="D88" i="81"/>
  <c r="E283" i="56" l="1"/>
  <c r="E41" i="49"/>
  <c r="L94" i="81"/>
  <c r="L104" i="81"/>
  <c r="L96" i="81"/>
  <c r="L98" i="81"/>
  <c r="L102" i="81"/>
  <c r="L97" i="81"/>
  <c r="L99" i="81"/>
  <c r="L100" i="81"/>
  <c r="L103" i="81"/>
  <c r="L101" i="81"/>
  <c r="D32" i="51"/>
  <c r="E32" i="51" s="1"/>
  <c r="D31" i="51"/>
  <c r="EA8" i="51"/>
  <c r="J8" i="51" s="1"/>
  <c r="D33" i="51"/>
  <c r="E33" i="51" s="1"/>
  <c r="D89" i="81"/>
  <c r="D283" i="56" l="1"/>
  <c r="F41" i="49"/>
  <c r="D2" i="49"/>
  <c r="C267" i="56"/>
  <c r="C96" i="70" s="1"/>
  <c r="D96" i="70" s="1"/>
  <c r="DZ57" i="51"/>
  <c r="DZ6" i="51" s="1"/>
  <c r="U283" i="81"/>
  <c r="S211" i="81"/>
  <c r="U139" i="81"/>
  <c r="U133" i="81"/>
  <c r="S205" i="81"/>
  <c r="U277" i="81"/>
  <c r="I47" i="51"/>
  <c r="U137" i="81"/>
  <c r="I51" i="51"/>
  <c r="S209" i="81"/>
  <c r="U281" i="81"/>
  <c r="I37" i="51"/>
  <c r="U267" i="81"/>
  <c r="S195" i="81"/>
  <c r="U123" i="81"/>
  <c r="I25" i="51"/>
  <c r="S183" i="81"/>
  <c r="U111" i="81"/>
  <c r="U255" i="81"/>
  <c r="U119" i="81"/>
  <c r="I33" i="51"/>
  <c r="U263" i="81"/>
  <c r="S191" i="81"/>
  <c r="I35" i="51"/>
  <c r="U265" i="81"/>
  <c r="S193" i="81"/>
  <c r="U121" i="81"/>
  <c r="S189" i="81"/>
  <c r="U261" i="81"/>
  <c r="I31" i="51"/>
  <c r="U117" i="81"/>
  <c r="I38" i="51"/>
  <c r="U268" i="81"/>
  <c r="S196" i="81"/>
  <c r="U124" i="81"/>
  <c r="I55" i="51"/>
  <c r="S213" i="81"/>
  <c r="U285" i="81"/>
  <c r="U141" i="81"/>
  <c r="I42" i="51"/>
  <c r="U128" i="81"/>
  <c r="S200" i="81"/>
  <c r="U272" i="81"/>
  <c r="I45" i="51"/>
  <c r="U131" i="81"/>
  <c r="U275" i="81"/>
  <c r="S203" i="81"/>
  <c r="I28" i="51"/>
  <c r="U258" i="81"/>
  <c r="U114" i="81"/>
  <c r="S186" i="81"/>
  <c r="I20" i="51"/>
  <c r="U250" i="81"/>
  <c r="S178" i="81"/>
  <c r="U106" i="81"/>
  <c r="I12" i="51"/>
  <c r="S170" i="81"/>
  <c r="S194" i="81"/>
  <c r="U266" i="81"/>
  <c r="I36" i="51"/>
  <c r="U122" i="81"/>
  <c r="I22" i="51"/>
  <c r="S180" i="81"/>
  <c r="U252" i="81"/>
  <c r="U108" i="81"/>
  <c r="U278" i="81"/>
  <c r="U134" i="81"/>
  <c r="I48" i="51"/>
  <c r="S206" i="81"/>
  <c r="I17" i="51"/>
  <c r="S175" i="81"/>
  <c r="I52" i="51"/>
  <c r="U282" i="81"/>
  <c r="S210" i="81"/>
  <c r="U138" i="81"/>
  <c r="U130" i="81"/>
  <c r="U274" i="81"/>
  <c r="I44" i="51"/>
  <c r="S202" i="81"/>
  <c r="I27" i="51"/>
  <c r="U113" i="81"/>
  <c r="S185" i="81"/>
  <c r="U257" i="81"/>
  <c r="I13" i="51"/>
  <c r="S171" i="81"/>
  <c r="S167" i="81"/>
  <c r="I9" i="51"/>
  <c r="I18" i="51"/>
  <c r="S176" i="81"/>
  <c r="I50" i="51"/>
  <c r="U280" i="81"/>
  <c r="S208" i="81"/>
  <c r="U136" i="81"/>
  <c r="U116" i="81"/>
  <c r="U260" i="81"/>
  <c r="S188" i="81"/>
  <c r="I30" i="51"/>
  <c r="U269" i="81"/>
  <c r="U125" i="81"/>
  <c r="I39" i="51"/>
  <c r="S197" i="81"/>
  <c r="U264" i="81"/>
  <c r="S192" i="81"/>
  <c r="I34" i="51"/>
  <c r="U120" i="81"/>
  <c r="S181" i="81"/>
  <c r="U109" i="81"/>
  <c r="I23" i="51"/>
  <c r="U253" i="81"/>
  <c r="I40" i="51"/>
  <c r="U270" i="81"/>
  <c r="U126" i="81"/>
  <c r="S198" i="81"/>
  <c r="I19" i="51"/>
  <c r="S177" i="81"/>
  <c r="U249" i="81"/>
  <c r="U105" i="81"/>
  <c r="S173" i="81"/>
  <c r="I15" i="51"/>
  <c r="I26" i="51"/>
  <c r="U112" i="81"/>
  <c r="U256" i="81"/>
  <c r="S184" i="81"/>
  <c r="S199" i="81"/>
  <c r="I41" i="51"/>
  <c r="U271" i="81"/>
  <c r="U127" i="81"/>
  <c r="I46" i="51"/>
  <c r="U132" i="81"/>
  <c r="U276" i="81"/>
  <c r="S204" i="81"/>
  <c r="S169" i="81"/>
  <c r="I11" i="51"/>
  <c r="I21" i="51"/>
  <c r="U251" i="81"/>
  <c r="S179" i="81"/>
  <c r="U107" i="81"/>
  <c r="U115" i="81"/>
  <c r="S187" i="81"/>
  <c r="I29" i="51"/>
  <c r="U259" i="81"/>
  <c r="I16" i="51"/>
  <c r="S174" i="81"/>
  <c r="U129" i="81"/>
  <c r="U273" i="81"/>
  <c r="S201" i="81"/>
  <c r="I43" i="51"/>
  <c r="I49" i="51"/>
  <c r="U279" i="81"/>
  <c r="S207" i="81"/>
  <c r="U135" i="81"/>
  <c r="I24" i="51"/>
  <c r="U254" i="81"/>
  <c r="U110" i="81"/>
  <c r="S182" i="81"/>
  <c r="U286" i="81"/>
  <c r="I56" i="51"/>
  <c r="U142" i="81"/>
  <c r="S214" i="81"/>
  <c r="I32" i="51"/>
  <c r="U262" i="81"/>
  <c r="U118" i="81"/>
  <c r="S190" i="81"/>
  <c r="S212" i="81"/>
  <c r="U140" i="81"/>
  <c r="I54" i="51"/>
  <c r="U284" i="81"/>
  <c r="S166" i="81"/>
  <c r="S172" i="81"/>
  <c r="S168" i="81"/>
  <c r="L143" i="81"/>
  <c r="I53" i="51"/>
  <c r="R215" i="81"/>
  <c r="E31" i="51"/>
  <c r="D34" i="51"/>
  <c r="D90" i="81"/>
  <c r="E86" i="81"/>
  <c r="E87" i="81"/>
  <c r="C8" i="56" l="1"/>
  <c r="D16" i="56" s="1"/>
  <c r="E53" i="49"/>
  <c r="F53" i="49" s="1"/>
  <c r="E2" i="49" s="1"/>
  <c r="D2" i="51"/>
  <c r="I14" i="51"/>
  <c r="I8" i="51"/>
  <c r="I10" i="51"/>
  <c r="E88" i="81"/>
  <c r="M96" i="81" s="1"/>
  <c r="E265" i="56" l="1"/>
  <c r="D274" i="56"/>
  <c r="M94" i="81"/>
  <c r="M102" i="81"/>
  <c r="M101" i="81"/>
  <c r="E89" i="81"/>
  <c r="F86" i="81" s="1"/>
  <c r="E90" i="81" l="1"/>
  <c r="F87" i="81"/>
  <c r="F88" i="81" s="1"/>
  <c r="N96" i="81" s="1"/>
  <c r="M143" i="81"/>
  <c r="N94" i="81" l="1"/>
  <c r="N102" i="81"/>
  <c r="N101" i="81"/>
  <c r="F89" i="81"/>
  <c r="G86" i="81" s="1"/>
  <c r="F90" i="81" l="1"/>
  <c r="G87" i="81"/>
  <c r="N143" i="81"/>
  <c r="G88" i="81" l="1"/>
  <c r="G89" i="81" s="1"/>
  <c r="H86" i="81" s="1"/>
  <c r="O102" i="81" l="1"/>
  <c r="O103" i="81"/>
  <c r="G90" i="81"/>
  <c r="H87" i="81"/>
  <c r="H88" i="81" s="1"/>
  <c r="P95" i="81" s="1"/>
  <c r="O94" i="81"/>
  <c r="O95" i="81"/>
  <c r="I86" i="81"/>
  <c r="P102" i="81" l="1"/>
  <c r="P103" i="81"/>
  <c r="O143" i="81"/>
  <c r="P94" i="81"/>
  <c r="J86" i="81"/>
  <c r="H89" i="81"/>
  <c r="H90" i="81" s="1"/>
  <c r="P143" i="81" l="1"/>
  <c r="I87" i="81"/>
  <c r="Q116" i="81" l="1"/>
  <c r="Q119" i="81"/>
  <c r="Q118" i="81"/>
  <c r="Q100" i="81"/>
  <c r="Q103" i="81"/>
  <c r="Q128" i="81"/>
  <c r="Q115" i="81"/>
  <c r="Q121" i="81"/>
  <c r="Q140" i="81"/>
  <c r="Q112" i="81"/>
  <c r="Q132" i="81"/>
  <c r="Q98" i="81"/>
  <c r="Q105" i="81"/>
  <c r="Q124" i="81"/>
  <c r="Q96" i="81"/>
  <c r="Q110" i="81"/>
  <c r="Q108" i="81"/>
  <c r="Q137" i="81"/>
  <c r="Q141" i="81"/>
  <c r="Q99" i="81"/>
  <c r="Q129" i="81"/>
  <c r="Q133" i="81"/>
  <c r="Q120" i="81"/>
  <c r="Q113" i="81"/>
  <c r="Q117" i="81"/>
  <c r="Q123" i="81"/>
  <c r="Q104" i="81"/>
  <c r="Q97" i="81"/>
  <c r="Q101" i="81"/>
  <c r="Q131" i="81"/>
  <c r="Q102" i="81"/>
  <c r="Q136" i="81"/>
  <c r="Q125" i="81"/>
  <c r="Q130" i="81"/>
  <c r="Q138" i="81"/>
  <c r="Q109" i="81"/>
  <c r="Q134" i="81"/>
  <c r="Q122" i="81"/>
  <c r="Q127" i="81"/>
  <c r="Q114" i="81"/>
  <c r="Q139" i="81"/>
  <c r="Q106" i="81"/>
  <c r="Q142" i="81"/>
  <c r="Q107" i="81"/>
  <c r="Q111" i="81"/>
  <c r="Q135" i="81"/>
  <c r="Q126" i="81"/>
  <c r="Q95" i="81"/>
  <c r="Q94" i="81"/>
  <c r="I88" i="81"/>
  <c r="I89" i="81" s="1"/>
  <c r="J87" i="81" l="1"/>
  <c r="I90" i="81"/>
  <c r="Q143" i="81"/>
  <c r="R96" i="81" l="1"/>
  <c r="R104" i="81"/>
  <c r="S104" i="81" s="1"/>
  <c r="T104" i="81" s="1"/>
  <c r="U104" i="81" s="1"/>
  <c r="R112" i="81"/>
  <c r="S112" i="81" s="1"/>
  <c r="T112" i="81" s="1"/>
  <c r="R120" i="81"/>
  <c r="S120" i="81" s="1"/>
  <c r="T120" i="81" s="1"/>
  <c r="R128" i="81"/>
  <c r="S128" i="81" s="1"/>
  <c r="T128" i="81" s="1"/>
  <c r="R136" i="81"/>
  <c r="S136" i="81" s="1"/>
  <c r="T136" i="81" s="1"/>
  <c r="R97" i="81"/>
  <c r="R105" i="81"/>
  <c r="S105" i="81" s="1"/>
  <c r="T105" i="81" s="1"/>
  <c r="R113" i="81"/>
  <c r="S113" i="81" s="1"/>
  <c r="T113" i="81" s="1"/>
  <c r="R121" i="81"/>
  <c r="S121" i="81" s="1"/>
  <c r="T121" i="81" s="1"/>
  <c r="R129" i="81"/>
  <c r="S129" i="81" s="1"/>
  <c r="T129" i="81" s="1"/>
  <c r="R137" i="81"/>
  <c r="S137" i="81" s="1"/>
  <c r="T137" i="81" s="1"/>
  <c r="R138" i="81"/>
  <c r="S138" i="81" s="1"/>
  <c r="T138" i="81" s="1"/>
  <c r="R98" i="81"/>
  <c r="R106" i="81"/>
  <c r="S106" i="81" s="1"/>
  <c r="T106" i="81" s="1"/>
  <c r="R114" i="81"/>
  <c r="S114" i="81" s="1"/>
  <c r="T114" i="81" s="1"/>
  <c r="R122" i="81"/>
  <c r="S122" i="81" s="1"/>
  <c r="T122" i="81" s="1"/>
  <c r="R130" i="81"/>
  <c r="S130" i="81" s="1"/>
  <c r="T130" i="81" s="1"/>
  <c r="R99" i="81"/>
  <c r="R107" i="81"/>
  <c r="S107" i="81" s="1"/>
  <c r="T107" i="81" s="1"/>
  <c r="R115" i="81"/>
  <c r="S115" i="81" s="1"/>
  <c r="T115" i="81" s="1"/>
  <c r="R123" i="81"/>
  <c r="S123" i="81" s="1"/>
  <c r="T123" i="81" s="1"/>
  <c r="R131" i="81"/>
  <c r="S131" i="81" s="1"/>
  <c r="T131" i="81" s="1"/>
  <c r="R139" i="81"/>
  <c r="S139" i="81" s="1"/>
  <c r="T139" i="81" s="1"/>
  <c r="R100" i="81"/>
  <c r="R108" i="81"/>
  <c r="S108" i="81" s="1"/>
  <c r="T108" i="81" s="1"/>
  <c r="R124" i="81"/>
  <c r="S124" i="81" s="1"/>
  <c r="T124" i="81" s="1"/>
  <c r="R116" i="81"/>
  <c r="S116" i="81" s="1"/>
  <c r="T116" i="81" s="1"/>
  <c r="R132" i="81"/>
  <c r="S132" i="81" s="1"/>
  <c r="T132" i="81" s="1"/>
  <c r="R140" i="81"/>
  <c r="S140" i="81" s="1"/>
  <c r="T140" i="81" s="1"/>
  <c r="R101" i="81"/>
  <c r="S101" i="81" s="1"/>
  <c r="T101" i="81" s="1"/>
  <c r="U101" i="81" s="1"/>
  <c r="R109" i="81"/>
  <c r="S109" i="81" s="1"/>
  <c r="T109" i="81" s="1"/>
  <c r="R117" i="81"/>
  <c r="S117" i="81" s="1"/>
  <c r="T117" i="81" s="1"/>
  <c r="R125" i="81"/>
  <c r="S125" i="81" s="1"/>
  <c r="T125" i="81" s="1"/>
  <c r="R133" i="81"/>
  <c r="S133" i="81" s="1"/>
  <c r="T133" i="81" s="1"/>
  <c r="R141" i="81"/>
  <c r="S141" i="81" s="1"/>
  <c r="T141" i="81" s="1"/>
  <c r="R142" i="81"/>
  <c r="S142" i="81" s="1"/>
  <c r="R102" i="81"/>
  <c r="S102" i="81" s="1"/>
  <c r="T102" i="81" s="1"/>
  <c r="U102" i="81" s="1"/>
  <c r="R110" i="81"/>
  <c r="S110" i="81" s="1"/>
  <c r="T110" i="81" s="1"/>
  <c r="R118" i="81"/>
  <c r="S118" i="81" s="1"/>
  <c r="T118" i="81" s="1"/>
  <c r="R126" i="81"/>
  <c r="S126" i="81" s="1"/>
  <c r="T126" i="81" s="1"/>
  <c r="R134" i="81"/>
  <c r="S134" i="81" s="1"/>
  <c r="T134" i="81" s="1"/>
  <c r="R95" i="81"/>
  <c r="R103" i="81"/>
  <c r="S103" i="81" s="1"/>
  <c r="T103" i="81" s="1"/>
  <c r="U103" i="81" s="1"/>
  <c r="R111" i="81"/>
  <c r="S111" i="81" s="1"/>
  <c r="T111" i="81" s="1"/>
  <c r="R119" i="81"/>
  <c r="S119" i="81" s="1"/>
  <c r="T119" i="81" s="1"/>
  <c r="R127" i="81"/>
  <c r="S127" i="81" s="1"/>
  <c r="T127" i="81" s="1"/>
  <c r="R135" i="81"/>
  <c r="S135" i="81" s="1"/>
  <c r="T135" i="81" s="1"/>
  <c r="R94" i="81"/>
  <c r="J88" i="81"/>
  <c r="J89" i="81" s="1"/>
  <c r="J90" i="81" s="1"/>
  <c r="S98" i="81" l="1"/>
  <c r="T98" i="81" s="1"/>
  <c r="U98" i="81" s="1"/>
  <c r="S100" i="81"/>
  <c r="T100" i="81" s="1"/>
  <c r="U100" i="81" s="1"/>
  <c r="S97" i="81"/>
  <c r="T97" i="81" s="1"/>
  <c r="U97" i="81" s="1"/>
  <c r="S99" i="81"/>
  <c r="T99" i="81" s="1"/>
  <c r="U99" i="81" s="1"/>
  <c r="S95" i="81"/>
  <c r="T95" i="81" s="1"/>
  <c r="U95" i="81" s="1"/>
  <c r="S94" i="81"/>
  <c r="T94" i="81" s="1"/>
  <c r="U94" i="81" s="1"/>
  <c r="S96" i="81"/>
  <c r="T96" i="81" s="1"/>
  <c r="U96" i="81" s="1"/>
  <c r="R143" i="81"/>
  <c r="T143" i="81" l="1"/>
  <c r="S143" i="81"/>
  <c r="S286" i="81" l="1"/>
  <c r="C234" i="81"/>
  <c r="D231" i="81" l="1"/>
  <c r="K287" i="81"/>
  <c r="D230" i="81"/>
  <c r="D232" i="81" l="1"/>
  <c r="L240" i="81" s="1"/>
  <c r="L238" i="81" l="1"/>
  <c r="L246" i="81"/>
  <c r="L245" i="81"/>
  <c r="D233" i="81"/>
  <c r="D234" i="81" s="1"/>
  <c r="E231" i="81" l="1"/>
  <c r="E230" i="81"/>
  <c r="L287" i="81"/>
  <c r="E232" i="81" l="1"/>
  <c r="E233" i="81" s="1"/>
  <c r="E234" i="81" s="1"/>
  <c r="M246" i="81" l="1"/>
  <c r="M247" i="81"/>
  <c r="M238" i="81"/>
  <c r="M239" i="81"/>
  <c r="F230" i="81"/>
  <c r="F231" i="81"/>
  <c r="M287" i="81" l="1"/>
  <c r="F232" i="81"/>
  <c r="F233" i="81" s="1"/>
  <c r="F234" i="81" s="1"/>
  <c r="N242" i="81" l="1"/>
  <c r="N244" i="81"/>
  <c r="N243" i="81"/>
  <c r="N246" i="81"/>
  <c r="N240" i="81"/>
  <c r="N248" i="81"/>
  <c r="N241" i="81"/>
  <c r="N245" i="81"/>
  <c r="N247" i="81"/>
  <c r="G230" i="81"/>
  <c r="G231" i="81"/>
  <c r="N287" i="81" l="1"/>
  <c r="G232" i="81"/>
  <c r="G233" i="81" l="1"/>
  <c r="G234" i="81" s="1"/>
  <c r="O287" i="81" l="1"/>
  <c r="H230" i="81"/>
  <c r="H231" i="81"/>
  <c r="H232" i="81" l="1"/>
  <c r="H233" i="81" s="1"/>
  <c r="I230" i="81"/>
  <c r="J230" i="81" s="1"/>
  <c r="P239" i="81" l="1"/>
  <c r="P238" i="81"/>
  <c r="I231" i="81"/>
  <c r="I232" i="81" s="1"/>
  <c r="I233" i="81" s="1"/>
  <c r="I234" i="81" s="1"/>
  <c r="H234" i="81"/>
  <c r="Q276" i="81" l="1"/>
  <c r="Q242" i="81"/>
  <c r="Q267" i="81"/>
  <c r="Q239" i="81"/>
  <c r="Q260" i="81"/>
  <c r="Q279" i="81"/>
  <c r="Q251" i="81"/>
  <c r="Q244" i="81"/>
  <c r="Q263" i="81"/>
  <c r="Q272" i="81"/>
  <c r="Q281" i="81"/>
  <c r="Q247" i="81"/>
  <c r="Q256" i="81"/>
  <c r="Q265" i="81"/>
  <c r="Q270" i="81"/>
  <c r="Q240" i="81"/>
  <c r="Q249" i="81"/>
  <c r="Q284" i="81"/>
  <c r="Q264" i="81"/>
  <c r="Q254" i="81"/>
  <c r="Q268" i="81"/>
  <c r="Q277" i="81"/>
  <c r="Q275" i="81"/>
  <c r="Q252" i="81"/>
  <c r="Q261" i="81"/>
  <c r="Q259" i="81"/>
  <c r="Q280" i="81"/>
  <c r="Q245" i="81"/>
  <c r="Q243" i="81"/>
  <c r="Q273" i="81"/>
  <c r="Q282" i="81"/>
  <c r="Q248" i="81"/>
  <c r="Q257" i="81"/>
  <c r="Q266" i="81"/>
  <c r="Q285" i="81"/>
  <c r="Q241" i="81"/>
  <c r="Q250" i="81"/>
  <c r="Q269" i="81"/>
  <c r="Q278" i="81"/>
  <c r="Q286" i="81"/>
  <c r="Q253" i="81"/>
  <c r="Q262" i="81"/>
  <c r="Q238" i="81"/>
  <c r="Q274" i="81"/>
  <c r="Q246" i="81"/>
  <c r="Q271" i="81"/>
  <c r="Q258" i="81"/>
  <c r="Q283" i="81"/>
  <c r="Q255" i="81"/>
  <c r="J231" i="81"/>
  <c r="P287" i="81"/>
  <c r="Q287" i="81" l="1"/>
  <c r="R258" i="81"/>
  <c r="S258" i="81" s="1"/>
  <c r="T258" i="81" s="1"/>
  <c r="R242" i="81"/>
  <c r="S242" i="81" s="1"/>
  <c r="T242" i="81" s="1"/>
  <c r="U242" i="81" s="1"/>
  <c r="R261" i="81"/>
  <c r="S261" i="81" s="1"/>
  <c r="T261" i="81" s="1"/>
  <c r="R240" i="81"/>
  <c r="S240" i="81" s="1"/>
  <c r="T240" i="81" s="1"/>
  <c r="U240" i="81" s="1"/>
  <c r="R265" i="81"/>
  <c r="S265" i="81" s="1"/>
  <c r="T265" i="81" s="1"/>
  <c r="R250" i="81"/>
  <c r="S250" i="81" s="1"/>
  <c r="T250" i="81" s="1"/>
  <c r="R254" i="81"/>
  <c r="S254" i="81" s="1"/>
  <c r="T254" i="81" s="1"/>
  <c r="R248" i="81"/>
  <c r="S248" i="81" s="1"/>
  <c r="T248" i="81" s="1"/>
  <c r="U248" i="81" s="1"/>
  <c r="R243" i="81"/>
  <c r="S243" i="81" s="1"/>
  <c r="T243" i="81" s="1"/>
  <c r="U243" i="81" s="1"/>
  <c r="R264" i="81"/>
  <c r="S264" i="81" s="1"/>
  <c r="T264" i="81" s="1"/>
  <c r="R266" i="81"/>
  <c r="S266" i="81" s="1"/>
  <c r="T266" i="81" s="1"/>
  <c r="R245" i="81"/>
  <c r="S245" i="81" s="1"/>
  <c r="T245" i="81" s="1"/>
  <c r="U245" i="81" s="1"/>
  <c r="R249" i="81"/>
  <c r="S249" i="81" s="1"/>
  <c r="T249" i="81" s="1"/>
  <c r="R259" i="81"/>
  <c r="S259" i="81" s="1"/>
  <c r="T259" i="81" s="1"/>
  <c r="R241" i="81"/>
  <c r="S241" i="81" s="1"/>
  <c r="T241" i="81" s="1"/>
  <c r="U241" i="81" s="1"/>
  <c r="R246" i="81"/>
  <c r="S246" i="81" s="1"/>
  <c r="T246" i="81" s="1"/>
  <c r="U246" i="81" s="1"/>
  <c r="R238" i="81"/>
  <c r="R275" i="81"/>
  <c r="S275" i="81" s="1"/>
  <c r="T275" i="81" s="1"/>
  <c r="R274" i="81"/>
  <c r="S274" i="81" s="1"/>
  <c r="T274" i="81" s="1"/>
  <c r="R285" i="81"/>
  <c r="S285" i="81" s="1"/>
  <c r="T285" i="81" s="1"/>
  <c r="R272" i="81"/>
  <c r="S272" i="81" s="1"/>
  <c r="T272" i="81" s="1"/>
  <c r="R282" i="81"/>
  <c r="S282" i="81" s="1"/>
  <c r="T282" i="81" s="1"/>
  <c r="R279" i="81"/>
  <c r="S279" i="81" s="1"/>
  <c r="T279" i="81" s="1"/>
  <c r="R260" i="81"/>
  <c r="S260" i="81" s="1"/>
  <c r="T260" i="81" s="1"/>
  <c r="R263" i="81"/>
  <c r="S263" i="81" s="1"/>
  <c r="T263" i="81" s="1"/>
  <c r="R269" i="81"/>
  <c r="S269" i="81" s="1"/>
  <c r="T269" i="81" s="1"/>
  <c r="R276" i="81"/>
  <c r="S276" i="81" s="1"/>
  <c r="T276" i="81" s="1"/>
  <c r="R281" i="81"/>
  <c r="S281" i="81" s="1"/>
  <c r="T281" i="81" s="1"/>
  <c r="R284" i="81"/>
  <c r="S284" i="81" s="1"/>
  <c r="T284" i="81" s="1"/>
  <c r="R277" i="81"/>
  <c r="S277" i="81" s="1"/>
  <c r="T277" i="81" s="1"/>
  <c r="R278" i="81"/>
  <c r="S278" i="81" s="1"/>
  <c r="T278" i="81" s="1"/>
  <c r="R247" i="81"/>
  <c r="R280" i="81"/>
  <c r="S280" i="81" s="1"/>
  <c r="T280" i="81" s="1"/>
  <c r="R252" i="81"/>
  <c r="S252" i="81" s="1"/>
  <c r="T252" i="81" s="1"/>
  <c r="R244" i="81"/>
  <c r="S244" i="81" s="1"/>
  <c r="T244" i="81" s="1"/>
  <c r="U244" i="81" s="1"/>
  <c r="R270" i="81"/>
  <c r="S270" i="81" s="1"/>
  <c r="T270" i="81" s="1"/>
  <c r="R255" i="81"/>
  <c r="S255" i="81" s="1"/>
  <c r="T255" i="81" s="1"/>
  <c r="R286" i="81"/>
  <c r="R283" i="81"/>
  <c r="S283" i="81" s="1"/>
  <c r="T283" i="81" s="1"/>
  <c r="R262" i="81"/>
  <c r="S262" i="81" s="1"/>
  <c r="T262" i="81" s="1"/>
  <c r="R273" i="81"/>
  <c r="S273" i="81" s="1"/>
  <c r="T273" i="81" s="1"/>
  <c r="R253" i="81"/>
  <c r="S253" i="81" s="1"/>
  <c r="T253" i="81" s="1"/>
  <c r="R271" i="81"/>
  <c r="S271" i="81" s="1"/>
  <c r="T271" i="81" s="1"/>
  <c r="R256" i="81"/>
  <c r="S256" i="81" s="1"/>
  <c r="T256" i="81" s="1"/>
  <c r="R251" i="81"/>
  <c r="S251" i="81" s="1"/>
  <c r="T251" i="81" s="1"/>
  <c r="R257" i="81"/>
  <c r="S257" i="81" s="1"/>
  <c r="T257" i="81" s="1"/>
  <c r="R267" i="81"/>
  <c r="S267" i="81" s="1"/>
  <c r="T267" i="81" s="1"/>
  <c r="R239" i="81"/>
  <c r="S239" i="81" s="1"/>
  <c r="T239" i="81" s="1"/>
  <c r="U239" i="81" s="1"/>
  <c r="R268" i="81"/>
  <c r="S268" i="81" s="1"/>
  <c r="T268" i="81" s="1"/>
  <c r="J232" i="81"/>
  <c r="J233" i="81" s="1"/>
  <c r="J234" i="81" s="1"/>
  <c r="S247" i="81" l="1"/>
  <c r="T247" i="81" s="1"/>
  <c r="U247" i="81" s="1"/>
  <c r="R287" i="81"/>
  <c r="S238" i="81"/>
  <c r="T238" i="81" l="1"/>
  <c r="S287" i="81"/>
  <c r="U238" i="81" l="1"/>
  <c r="T287" i="81"/>
</calcChain>
</file>

<file path=xl/comments1.xml><?xml version="1.0" encoding="utf-8"?>
<comments xmlns="http://schemas.openxmlformats.org/spreadsheetml/2006/main">
  <authors>
    <author>다.이문수</author>
  </authors>
  <commentList>
    <comment ref="B23" authorId="0" shapeId="0">
      <text>
        <r>
          <rPr>
            <b/>
            <sz val="12"/>
            <color indexed="81"/>
            <rFont val="돋움"/>
            <family val="3"/>
            <charset val="129"/>
          </rPr>
          <t>다</t>
        </r>
        <r>
          <rPr>
            <b/>
            <sz val="12"/>
            <color indexed="81"/>
            <rFont val="Tahoma"/>
            <family val="2"/>
          </rPr>
          <t>.</t>
        </r>
        <r>
          <rPr>
            <b/>
            <sz val="12"/>
            <color indexed="81"/>
            <rFont val="돋움"/>
            <family val="3"/>
            <charset val="129"/>
          </rPr>
          <t>이문수</t>
        </r>
        <r>
          <rPr>
            <b/>
            <sz val="12"/>
            <color indexed="81"/>
            <rFont val="Tahoma"/>
            <family val="2"/>
          </rPr>
          <t>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돋움"/>
            <family val="3"/>
            <charset val="129"/>
          </rPr>
          <t>순위별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기준수익률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차등할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경우</t>
        </r>
        <r>
          <rPr>
            <sz val="12"/>
            <color indexed="81"/>
            <rFont val="Tahoma"/>
            <family val="2"/>
          </rPr>
          <t xml:space="preserve">, </t>
        </r>
        <r>
          <rPr>
            <sz val="12"/>
            <color indexed="81"/>
            <rFont val="돋움"/>
            <family val="3"/>
            <charset val="129"/>
          </rPr>
          <t>수정할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것</t>
        </r>
        <r>
          <rPr>
            <sz val="12"/>
            <color indexed="81"/>
            <rFont val="Tahoma"/>
            <family val="2"/>
          </rPr>
          <t>!!</t>
        </r>
      </text>
    </comment>
  </commentList>
</comments>
</file>

<file path=xl/comments2.xml><?xml version="1.0" encoding="utf-8"?>
<comments xmlns="http://schemas.openxmlformats.org/spreadsheetml/2006/main">
  <authors>
    <author>다.이문수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이문수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기초자산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펀드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특이사항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메모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必</t>
        </r>
      </text>
    </comment>
    <comment ref="E3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이문수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X, </t>
        </r>
        <r>
          <rPr>
            <sz val="9"/>
            <color indexed="81"/>
            <rFont val="돋움"/>
            <family val="3"/>
            <charset val="129"/>
          </rPr>
          <t>개요</t>
        </r>
        <r>
          <rPr>
            <sz val="9"/>
            <color indexed="81"/>
            <rFont val="Tahoma"/>
            <family val="2"/>
          </rPr>
          <t xml:space="preserve"> Sheet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연결하기</t>
        </r>
        <r>
          <rPr>
            <sz val="9"/>
            <color indexed="81"/>
            <rFont val="Tahoma"/>
            <family val="2"/>
          </rPr>
          <t>!</t>
        </r>
      </text>
    </comment>
  </commentList>
</comments>
</file>

<file path=xl/comments3.xml><?xml version="1.0" encoding="utf-8"?>
<comments xmlns="http://schemas.openxmlformats.org/spreadsheetml/2006/main">
  <authors>
    <author>다.이문수</author>
  </authors>
  <commentList>
    <comment ref="B18" authorId="0" shapeId="0">
      <text>
        <r>
          <rPr>
            <b/>
            <sz val="14"/>
            <color indexed="81"/>
            <rFont val="돋움"/>
            <family val="3"/>
            <charset val="129"/>
          </rPr>
          <t>다</t>
        </r>
        <r>
          <rPr>
            <b/>
            <sz val="14"/>
            <color indexed="81"/>
            <rFont val="Tahoma"/>
            <family val="2"/>
          </rPr>
          <t>.</t>
        </r>
        <r>
          <rPr>
            <b/>
            <sz val="14"/>
            <color indexed="81"/>
            <rFont val="돋움"/>
            <family val="3"/>
            <charset val="129"/>
          </rPr>
          <t>이문수</t>
        </r>
        <r>
          <rPr>
            <b/>
            <sz val="14"/>
            <color indexed="81"/>
            <rFont val="Tahoma"/>
            <family val="2"/>
          </rPr>
          <t>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기준수익률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기본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적용</t>
        </r>
      </text>
    </comment>
    <comment ref="I93" authorId="0" shapeId="0">
      <text>
        <r>
          <rPr>
            <b/>
            <sz val="14"/>
            <color indexed="81"/>
            <rFont val="돋움"/>
            <family val="3"/>
            <charset val="129"/>
          </rPr>
          <t>다</t>
        </r>
        <r>
          <rPr>
            <b/>
            <sz val="14"/>
            <color indexed="81"/>
            <rFont val="Tahoma"/>
            <family val="2"/>
          </rPr>
          <t>.</t>
        </r>
        <r>
          <rPr>
            <b/>
            <sz val="14"/>
            <color indexed="81"/>
            <rFont val="돋움"/>
            <family val="3"/>
            <charset val="129"/>
          </rPr>
          <t>이문수</t>
        </r>
        <r>
          <rPr>
            <b/>
            <sz val="14"/>
            <color indexed="81"/>
            <rFont val="Tahoma"/>
            <family val="2"/>
          </rPr>
          <t>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누적출자금</t>
        </r>
        <r>
          <rPr>
            <sz val="14"/>
            <color indexed="81"/>
            <rFont val="Tahoma"/>
            <family val="2"/>
          </rPr>
          <t xml:space="preserve"> - </t>
        </r>
        <r>
          <rPr>
            <sz val="14"/>
            <color indexed="81"/>
            <rFont val="돋움"/>
            <family val="3"/>
            <charset val="129"/>
          </rPr>
          <t>누적분배금</t>
        </r>
      </text>
    </comment>
    <comment ref="Q93" authorId="0" shapeId="0">
      <text>
        <r>
          <rPr>
            <b/>
            <sz val="14"/>
            <color indexed="81"/>
            <rFont val="돋움"/>
            <family val="3"/>
            <charset val="129"/>
          </rPr>
          <t xml:space="preserve">다.이문수:
</t>
        </r>
        <r>
          <rPr>
            <sz val="14"/>
            <color indexed="81"/>
            <rFont val="돋움"/>
            <family val="3"/>
            <charset val="129"/>
          </rPr>
          <t>전체 GP 성과보수액 * 성과보수율 * GP 간 출자지분율</t>
        </r>
      </text>
    </comment>
    <comment ref="R93" authorId="0" shapeId="0">
      <text>
        <r>
          <rPr>
            <b/>
            <sz val="14"/>
            <color indexed="81"/>
            <rFont val="돋움"/>
            <family val="3"/>
            <charset val="129"/>
          </rPr>
          <t>다</t>
        </r>
        <r>
          <rPr>
            <b/>
            <sz val="14"/>
            <color indexed="81"/>
            <rFont val="Tahoma"/>
            <family val="2"/>
          </rPr>
          <t>.</t>
        </r>
        <r>
          <rPr>
            <b/>
            <sz val="14"/>
            <color indexed="81"/>
            <rFont val="돋움"/>
            <family val="3"/>
            <charset val="129"/>
          </rPr>
          <t>이문수</t>
        </r>
        <r>
          <rPr>
            <b/>
            <sz val="14"/>
            <color indexed="81"/>
            <rFont val="Tahoma"/>
            <family val="2"/>
          </rPr>
          <t>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잔여이익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분배는</t>
        </r>
        <r>
          <rPr>
            <sz val="14"/>
            <color indexed="81"/>
            <rFont val="Tahoma"/>
            <family val="2"/>
          </rPr>
          <t xml:space="preserve"> GP </t>
        </r>
        <r>
          <rPr>
            <sz val="14"/>
            <color indexed="81"/>
            <rFont val="돋움"/>
            <family val="3"/>
            <charset val="129"/>
          </rPr>
          <t>포함이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기본가정</t>
        </r>
        <r>
          <rPr>
            <sz val="14"/>
            <color indexed="81"/>
            <rFont val="Tahoma"/>
            <family val="2"/>
          </rPr>
          <t xml:space="preserve">.
GP </t>
        </r>
        <r>
          <rPr>
            <sz val="14"/>
            <color indexed="81"/>
            <rFont val="돋움"/>
            <family val="3"/>
            <charset val="129"/>
          </rPr>
          <t>제외일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, </t>
        </r>
        <r>
          <rPr>
            <sz val="14"/>
            <color indexed="81"/>
            <rFont val="돋움"/>
            <family val="3"/>
            <charset val="129"/>
          </rPr>
          <t>해당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열만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개인적으로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계산할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것</t>
        </r>
      </text>
    </comment>
    <comment ref="F143" authorId="0" shapeId="0">
      <text>
        <r>
          <rPr>
            <b/>
            <sz val="14"/>
            <color indexed="81"/>
            <rFont val="돋움"/>
            <family val="3"/>
            <charset val="129"/>
          </rPr>
          <t>다</t>
        </r>
        <r>
          <rPr>
            <b/>
            <sz val="14"/>
            <color indexed="81"/>
            <rFont val="Tahoma"/>
            <family val="2"/>
          </rPr>
          <t>.</t>
        </r>
        <r>
          <rPr>
            <b/>
            <sz val="14"/>
            <color indexed="81"/>
            <rFont val="돋움"/>
            <family val="3"/>
            <charset val="129"/>
          </rPr>
          <t>이문수</t>
        </r>
        <r>
          <rPr>
            <b/>
            <sz val="14"/>
            <color indexed="81"/>
            <rFont val="Tahoma"/>
            <family val="2"/>
          </rPr>
          <t>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모든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순위가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존재할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: </t>
        </r>
        <r>
          <rPr>
            <sz val="14"/>
            <color indexed="81"/>
            <rFont val="돋움"/>
            <family val="3"/>
            <charset val="129"/>
          </rPr>
          <t>합계</t>
        </r>
        <r>
          <rPr>
            <sz val="14"/>
            <color indexed="81"/>
            <rFont val="Tahoma"/>
            <family val="2"/>
          </rPr>
          <t xml:space="preserve"> 300.00%
</t>
        </r>
        <r>
          <rPr>
            <sz val="14"/>
            <color indexed="81"/>
            <rFont val="돋움"/>
            <family val="3"/>
            <charset val="129"/>
          </rPr>
          <t>복수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순위가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존재할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: </t>
        </r>
        <r>
          <rPr>
            <sz val="14"/>
            <color indexed="81"/>
            <rFont val="돋움"/>
            <family val="3"/>
            <charset val="129"/>
          </rPr>
          <t>합계</t>
        </r>
        <r>
          <rPr>
            <sz val="14"/>
            <color indexed="81"/>
            <rFont val="Tahoma"/>
            <family val="2"/>
          </rPr>
          <t xml:space="preserve"> 200.00%
</t>
        </r>
        <r>
          <rPr>
            <sz val="14"/>
            <color indexed="81"/>
            <rFont val="돋움"/>
            <family val="3"/>
            <charset val="129"/>
          </rPr>
          <t>단일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순위만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존재할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: </t>
        </r>
        <r>
          <rPr>
            <sz val="14"/>
            <color indexed="81"/>
            <rFont val="돋움"/>
            <family val="3"/>
            <charset val="129"/>
          </rPr>
          <t>합계</t>
        </r>
        <r>
          <rPr>
            <sz val="14"/>
            <color indexed="81"/>
            <rFont val="Tahoma"/>
            <family val="2"/>
          </rPr>
          <t xml:space="preserve"> 100.00%</t>
        </r>
      </text>
    </comment>
    <comment ref="I165" authorId="0" shapeId="0">
      <text>
        <r>
          <rPr>
            <b/>
            <sz val="14"/>
            <color indexed="81"/>
            <rFont val="돋움"/>
            <family val="3"/>
            <charset val="129"/>
          </rPr>
          <t>다</t>
        </r>
        <r>
          <rPr>
            <b/>
            <sz val="14"/>
            <color indexed="81"/>
            <rFont val="Tahoma"/>
            <family val="2"/>
          </rPr>
          <t>.</t>
        </r>
        <r>
          <rPr>
            <b/>
            <sz val="14"/>
            <color indexed="81"/>
            <rFont val="돋움"/>
            <family val="3"/>
            <charset val="129"/>
          </rPr>
          <t>이문수</t>
        </r>
        <r>
          <rPr>
            <b/>
            <sz val="14"/>
            <color indexed="81"/>
            <rFont val="Tahoma"/>
            <family val="2"/>
          </rPr>
          <t>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누적출자금</t>
        </r>
        <r>
          <rPr>
            <sz val="14"/>
            <color indexed="81"/>
            <rFont val="Tahoma"/>
            <family val="2"/>
          </rPr>
          <t xml:space="preserve"> - </t>
        </r>
        <r>
          <rPr>
            <sz val="14"/>
            <color indexed="81"/>
            <rFont val="돋움"/>
            <family val="3"/>
            <charset val="129"/>
          </rPr>
          <t>누적분배금</t>
        </r>
      </text>
    </comment>
    <comment ref="O165" authorId="0" shapeId="0">
      <text>
        <r>
          <rPr>
            <b/>
            <sz val="14"/>
            <color indexed="81"/>
            <rFont val="돋움"/>
            <family val="3"/>
            <charset val="129"/>
          </rPr>
          <t xml:space="preserve">다.이문수:
</t>
        </r>
        <r>
          <rPr>
            <sz val="14"/>
            <color indexed="81"/>
            <rFont val="돋움"/>
            <family val="3"/>
            <charset val="129"/>
          </rPr>
          <t>전체 GP 성과보수액 * 성과보수율 * GP 간 출자지분율</t>
        </r>
      </text>
    </comment>
    <comment ref="P165" authorId="0" shapeId="0">
      <text>
        <r>
          <rPr>
            <b/>
            <sz val="14"/>
            <color indexed="81"/>
            <rFont val="돋움"/>
            <family val="3"/>
            <charset val="129"/>
          </rPr>
          <t>다</t>
        </r>
        <r>
          <rPr>
            <b/>
            <sz val="14"/>
            <color indexed="81"/>
            <rFont val="Tahoma"/>
            <family val="2"/>
          </rPr>
          <t>.</t>
        </r>
        <r>
          <rPr>
            <b/>
            <sz val="14"/>
            <color indexed="81"/>
            <rFont val="돋움"/>
            <family val="3"/>
            <charset val="129"/>
          </rPr>
          <t>이문수</t>
        </r>
        <r>
          <rPr>
            <b/>
            <sz val="14"/>
            <color indexed="81"/>
            <rFont val="Tahoma"/>
            <family val="2"/>
          </rPr>
          <t>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잔여이익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분배는</t>
        </r>
        <r>
          <rPr>
            <sz val="14"/>
            <color indexed="81"/>
            <rFont val="Tahoma"/>
            <family val="2"/>
          </rPr>
          <t xml:space="preserve"> GP </t>
        </r>
        <r>
          <rPr>
            <sz val="14"/>
            <color indexed="81"/>
            <rFont val="돋움"/>
            <family val="3"/>
            <charset val="129"/>
          </rPr>
          <t>포함이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기본가정</t>
        </r>
        <r>
          <rPr>
            <sz val="14"/>
            <color indexed="81"/>
            <rFont val="Tahoma"/>
            <family val="2"/>
          </rPr>
          <t xml:space="preserve">.
GP </t>
        </r>
        <r>
          <rPr>
            <sz val="14"/>
            <color indexed="81"/>
            <rFont val="돋움"/>
            <family val="3"/>
            <charset val="129"/>
          </rPr>
          <t>제외일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, </t>
        </r>
        <r>
          <rPr>
            <sz val="14"/>
            <color indexed="81"/>
            <rFont val="돋움"/>
            <family val="3"/>
            <charset val="129"/>
          </rPr>
          <t>해당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열만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개인적으로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계산할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것</t>
        </r>
      </text>
    </comment>
    <comment ref="F215" authorId="0" shapeId="0">
      <text>
        <r>
          <rPr>
            <b/>
            <sz val="14"/>
            <color indexed="81"/>
            <rFont val="돋움"/>
            <family val="3"/>
            <charset val="129"/>
          </rPr>
          <t>다</t>
        </r>
        <r>
          <rPr>
            <b/>
            <sz val="14"/>
            <color indexed="81"/>
            <rFont val="Tahoma"/>
            <family val="2"/>
          </rPr>
          <t>.</t>
        </r>
        <r>
          <rPr>
            <b/>
            <sz val="14"/>
            <color indexed="81"/>
            <rFont val="돋움"/>
            <family val="3"/>
            <charset val="129"/>
          </rPr>
          <t>이문수</t>
        </r>
        <r>
          <rPr>
            <b/>
            <sz val="14"/>
            <color indexed="81"/>
            <rFont val="Tahoma"/>
            <family val="2"/>
          </rPr>
          <t>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모든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순위가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존재할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: </t>
        </r>
        <r>
          <rPr>
            <sz val="14"/>
            <color indexed="81"/>
            <rFont val="돋움"/>
            <family val="3"/>
            <charset val="129"/>
          </rPr>
          <t>합계</t>
        </r>
        <r>
          <rPr>
            <sz val="14"/>
            <color indexed="81"/>
            <rFont val="Tahoma"/>
            <family val="2"/>
          </rPr>
          <t xml:space="preserve"> 300.00%
</t>
        </r>
        <r>
          <rPr>
            <sz val="14"/>
            <color indexed="81"/>
            <rFont val="돋움"/>
            <family val="3"/>
            <charset val="129"/>
          </rPr>
          <t>복수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순위가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존재할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: </t>
        </r>
        <r>
          <rPr>
            <sz val="14"/>
            <color indexed="81"/>
            <rFont val="돋움"/>
            <family val="3"/>
            <charset val="129"/>
          </rPr>
          <t>합계</t>
        </r>
        <r>
          <rPr>
            <sz val="14"/>
            <color indexed="81"/>
            <rFont val="Tahoma"/>
            <family val="2"/>
          </rPr>
          <t xml:space="preserve"> 200.00%
</t>
        </r>
        <r>
          <rPr>
            <sz val="14"/>
            <color indexed="81"/>
            <rFont val="돋움"/>
            <family val="3"/>
            <charset val="129"/>
          </rPr>
          <t>단일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순위만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존재할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: </t>
        </r>
        <r>
          <rPr>
            <sz val="14"/>
            <color indexed="81"/>
            <rFont val="돋움"/>
            <family val="3"/>
            <charset val="129"/>
          </rPr>
          <t>합계</t>
        </r>
        <r>
          <rPr>
            <sz val="14"/>
            <color indexed="81"/>
            <rFont val="Tahoma"/>
            <family val="2"/>
          </rPr>
          <t xml:space="preserve"> 100.00%</t>
        </r>
      </text>
    </comment>
    <comment ref="I237" authorId="0" shapeId="0">
      <text>
        <r>
          <rPr>
            <b/>
            <sz val="14"/>
            <color indexed="81"/>
            <rFont val="돋움"/>
            <family val="3"/>
            <charset val="129"/>
          </rPr>
          <t>다</t>
        </r>
        <r>
          <rPr>
            <b/>
            <sz val="14"/>
            <color indexed="81"/>
            <rFont val="Tahoma"/>
            <family val="2"/>
          </rPr>
          <t>.</t>
        </r>
        <r>
          <rPr>
            <b/>
            <sz val="14"/>
            <color indexed="81"/>
            <rFont val="돋움"/>
            <family val="3"/>
            <charset val="129"/>
          </rPr>
          <t>이문수</t>
        </r>
        <r>
          <rPr>
            <b/>
            <sz val="14"/>
            <color indexed="81"/>
            <rFont val="Tahoma"/>
            <family val="2"/>
          </rPr>
          <t>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누적출자금</t>
        </r>
        <r>
          <rPr>
            <sz val="14"/>
            <color indexed="81"/>
            <rFont val="Tahoma"/>
            <family val="2"/>
          </rPr>
          <t xml:space="preserve"> - </t>
        </r>
        <r>
          <rPr>
            <sz val="14"/>
            <color indexed="81"/>
            <rFont val="돋움"/>
            <family val="3"/>
            <charset val="129"/>
          </rPr>
          <t>누적분배금</t>
        </r>
      </text>
    </comment>
    <comment ref="Q237" authorId="0" shapeId="0">
      <text>
        <r>
          <rPr>
            <b/>
            <sz val="14"/>
            <color indexed="81"/>
            <rFont val="돋움"/>
            <family val="3"/>
            <charset val="129"/>
          </rPr>
          <t xml:space="preserve">다.이문수:
</t>
        </r>
        <r>
          <rPr>
            <sz val="14"/>
            <color indexed="81"/>
            <rFont val="돋움"/>
            <family val="3"/>
            <charset val="129"/>
          </rPr>
          <t>전체 GP 성과보수액 * 성과보수율 * GP 간 출자지분율</t>
        </r>
      </text>
    </comment>
    <comment ref="R237" authorId="0" shapeId="0">
      <text>
        <r>
          <rPr>
            <b/>
            <sz val="14"/>
            <color indexed="81"/>
            <rFont val="돋움"/>
            <family val="3"/>
            <charset val="129"/>
          </rPr>
          <t>다</t>
        </r>
        <r>
          <rPr>
            <b/>
            <sz val="14"/>
            <color indexed="81"/>
            <rFont val="Tahoma"/>
            <family val="2"/>
          </rPr>
          <t>.</t>
        </r>
        <r>
          <rPr>
            <b/>
            <sz val="14"/>
            <color indexed="81"/>
            <rFont val="돋움"/>
            <family val="3"/>
            <charset val="129"/>
          </rPr>
          <t>이문수</t>
        </r>
        <r>
          <rPr>
            <b/>
            <sz val="14"/>
            <color indexed="81"/>
            <rFont val="Tahoma"/>
            <family val="2"/>
          </rPr>
          <t>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잔여이익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분배는</t>
        </r>
        <r>
          <rPr>
            <sz val="14"/>
            <color indexed="81"/>
            <rFont val="Tahoma"/>
            <family val="2"/>
          </rPr>
          <t xml:space="preserve"> GP </t>
        </r>
        <r>
          <rPr>
            <sz val="14"/>
            <color indexed="81"/>
            <rFont val="돋움"/>
            <family val="3"/>
            <charset val="129"/>
          </rPr>
          <t>포함이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기본가정</t>
        </r>
        <r>
          <rPr>
            <sz val="14"/>
            <color indexed="81"/>
            <rFont val="Tahoma"/>
            <family val="2"/>
          </rPr>
          <t xml:space="preserve">.
GP </t>
        </r>
        <r>
          <rPr>
            <sz val="14"/>
            <color indexed="81"/>
            <rFont val="돋움"/>
            <family val="3"/>
            <charset val="129"/>
          </rPr>
          <t>제외일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, </t>
        </r>
        <r>
          <rPr>
            <sz val="14"/>
            <color indexed="81"/>
            <rFont val="돋움"/>
            <family val="3"/>
            <charset val="129"/>
          </rPr>
          <t>해당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열만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개인적으로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계산할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것</t>
        </r>
      </text>
    </comment>
    <comment ref="F287" authorId="0" shapeId="0">
      <text>
        <r>
          <rPr>
            <b/>
            <sz val="14"/>
            <color indexed="81"/>
            <rFont val="돋움"/>
            <family val="3"/>
            <charset val="129"/>
          </rPr>
          <t>다</t>
        </r>
        <r>
          <rPr>
            <b/>
            <sz val="14"/>
            <color indexed="81"/>
            <rFont val="Tahoma"/>
            <family val="2"/>
          </rPr>
          <t>.</t>
        </r>
        <r>
          <rPr>
            <b/>
            <sz val="14"/>
            <color indexed="81"/>
            <rFont val="돋움"/>
            <family val="3"/>
            <charset val="129"/>
          </rPr>
          <t>이문수</t>
        </r>
        <r>
          <rPr>
            <b/>
            <sz val="14"/>
            <color indexed="81"/>
            <rFont val="Tahoma"/>
            <family val="2"/>
          </rPr>
          <t>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모든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순위가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존재할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: </t>
        </r>
        <r>
          <rPr>
            <sz val="14"/>
            <color indexed="81"/>
            <rFont val="돋움"/>
            <family val="3"/>
            <charset val="129"/>
          </rPr>
          <t>합계</t>
        </r>
        <r>
          <rPr>
            <sz val="14"/>
            <color indexed="81"/>
            <rFont val="Tahoma"/>
            <family val="2"/>
          </rPr>
          <t xml:space="preserve"> 300.00%
</t>
        </r>
        <r>
          <rPr>
            <sz val="14"/>
            <color indexed="81"/>
            <rFont val="돋움"/>
            <family val="3"/>
            <charset val="129"/>
          </rPr>
          <t>복수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순위가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존재할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: </t>
        </r>
        <r>
          <rPr>
            <sz val="14"/>
            <color indexed="81"/>
            <rFont val="돋움"/>
            <family val="3"/>
            <charset val="129"/>
          </rPr>
          <t>합계</t>
        </r>
        <r>
          <rPr>
            <sz val="14"/>
            <color indexed="81"/>
            <rFont val="Tahoma"/>
            <family val="2"/>
          </rPr>
          <t xml:space="preserve"> 200.00%
</t>
        </r>
        <r>
          <rPr>
            <sz val="14"/>
            <color indexed="81"/>
            <rFont val="돋움"/>
            <family val="3"/>
            <charset val="129"/>
          </rPr>
          <t>단일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순위만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존재할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: </t>
        </r>
        <r>
          <rPr>
            <sz val="14"/>
            <color indexed="81"/>
            <rFont val="돋움"/>
            <family val="3"/>
            <charset val="129"/>
          </rPr>
          <t>합계</t>
        </r>
        <r>
          <rPr>
            <sz val="14"/>
            <color indexed="81"/>
            <rFont val="Tahoma"/>
            <family val="2"/>
          </rPr>
          <t xml:space="preserve"> 100.00%</t>
        </r>
      </text>
    </comment>
  </commentList>
</comments>
</file>

<file path=xl/sharedStrings.xml><?xml version="1.0" encoding="utf-8"?>
<sst xmlns="http://schemas.openxmlformats.org/spreadsheetml/2006/main" count="13143" uniqueCount="7219">
  <si>
    <t>법인번호</t>
    <phoneticPr fontId="8" type="noConversion"/>
  </si>
  <si>
    <t>투자형태</t>
    <phoneticPr fontId="8" type="noConversion"/>
  </si>
  <si>
    <t>자산총계</t>
  </si>
  <si>
    <t>순자산가치</t>
    <phoneticPr fontId="7" type="noConversion"/>
  </si>
  <si>
    <t>구분</t>
  </si>
  <si>
    <t>출자잔액</t>
  </si>
  <si>
    <t>지분율</t>
  </si>
  <si>
    <t>평가방법론</t>
    <phoneticPr fontId="7" type="noConversion"/>
  </si>
  <si>
    <t>민감도</t>
    <phoneticPr fontId="8" type="noConversion"/>
  </si>
  <si>
    <t>계정과목</t>
    <phoneticPr fontId="8" type="noConversion"/>
  </si>
  <si>
    <t>장부가액</t>
    <phoneticPr fontId="8" type="noConversion"/>
  </si>
  <si>
    <t>KAP 평가액</t>
    <phoneticPr fontId="8" type="noConversion"/>
  </si>
  <si>
    <t>평가방법</t>
    <phoneticPr fontId="8" type="noConversion"/>
  </si>
  <si>
    <t>전기와의 차이</t>
    <phoneticPr fontId="8" type="noConversion"/>
  </si>
  <si>
    <t>주식수</t>
    <phoneticPr fontId="8" type="noConversion"/>
  </si>
  <si>
    <t>투자시점</t>
    <phoneticPr fontId="8" type="noConversion"/>
  </si>
  <si>
    <t xml:space="preserve"> I. 유동자산</t>
  </si>
  <si>
    <t xml:space="preserve"> II. 투자자산</t>
    <phoneticPr fontId="8" type="noConversion"/>
  </si>
  <si>
    <t xml:space="preserve"> I. 유동부채</t>
    <phoneticPr fontId="8" type="noConversion"/>
  </si>
  <si>
    <t>순자산가치</t>
  </si>
  <si>
    <t>출자좌수</t>
  </si>
  <si>
    <t xml:space="preserve"> II. 비유동부채</t>
    <phoneticPr fontId="8" type="noConversion"/>
  </si>
  <si>
    <t>부채총계</t>
  </si>
  <si>
    <t>구  분</t>
  </si>
  <si>
    <t>유리한변동</t>
  </si>
  <si>
    <t>현재공정가액</t>
  </si>
  <si>
    <t>불리한변동</t>
  </si>
  <si>
    <t>자산계정</t>
  </si>
  <si>
    <t>장부가액</t>
  </si>
  <si>
    <t>평가금액</t>
  </si>
  <si>
    <t>부채총계(B)</t>
  </si>
  <si>
    <t>순자산가치 (C)=(A)-(B)</t>
  </si>
  <si>
    <t>좌당 순자산가치</t>
    <phoneticPr fontId="8" type="noConversion"/>
  </si>
  <si>
    <t>좌당 가격</t>
    <phoneticPr fontId="8" type="noConversion"/>
  </si>
  <si>
    <t>기타자산</t>
    <phoneticPr fontId="8" type="noConversion"/>
  </si>
  <si>
    <t>자본금</t>
    <phoneticPr fontId="8" type="noConversion"/>
  </si>
  <si>
    <t>예수금</t>
    <phoneticPr fontId="8" type="noConversion"/>
  </si>
  <si>
    <t>미지급배당금</t>
    <phoneticPr fontId="8" type="noConversion"/>
  </si>
  <si>
    <t>검증</t>
    <phoneticPr fontId="8" type="noConversion"/>
  </si>
  <si>
    <t>기준수익률</t>
    <phoneticPr fontId="8" type="noConversion"/>
  </si>
  <si>
    <t>평가 여부</t>
    <phoneticPr fontId="8" type="noConversion"/>
  </si>
  <si>
    <t>보통주</t>
  </si>
  <si>
    <t>주당(만원당) 취득가</t>
    <phoneticPr fontId="8" type="noConversion"/>
  </si>
  <si>
    <t>평가기준일</t>
    <phoneticPr fontId="8" type="noConversion"/>
  </si>
  <si>
    <t>1. 펀드 개요</t>
    <phoneticPr fontId="8" type="noConversion"/>
  </si>
  <si>
    <t>펀드명</t>
    <phoneticPr fontId="8" type="noConversion"/>
  </si>
  <si>
    <t>1좌당 가치</t>
    <phoneticPr fontId="8" type="noConversion"/>
  </si>
  <si>
    <t>평가방법</t>
  </si>
  <si>
    <t>성과보수 반영</t>
    <phoneticPr fontId="8" type="noConversion"/>
  </si>
  <si>
    <t>구    분</t>
  </si>
  <si>
    <t>합    계</t>
  </si>
  <si>
    <t>성과보수 적용 후 좌당 순자산가치</t>
    <phoneticPr fontId="8" type="noConversion"/>
  </si>
  <si>
    <t>출자금</t>
  </si>
  <si>
    <t>순자산가치평가법</t>
  </si>
  <si>
    <t>평가기준일</t>
  </si>
  <si>
    <t>총 출자금 평가금액</t>
  </si>
  <si>
    <t>좌당 평가금액</t>
  </si>
  <si>
    <t>2. 평가결과 요약</t>
    <phoneticPr fontId="7" type="noConversion"/>
  </si>
  <si>
    <t>3. 출자자현황</t>
    <phoneticPr fontId="8" type="noConversion"/>
  </si>
  <si>
    <t>4. 펀드 NAV</t>
    <phoneticPr fontId="8" type="noConversion"/>
  </si>
  <si>
    <t>5. 자산별 평가 결과</t>
    <phoneticPr fontId="8" type="noConversion"/>
  </si>
  <si>
    <t>6. 평가 결과</t>
    <phoneticPr fontId="8" type="noConversion"/>
  </si>
  <si>
    <t>오늘의 환율</t>
  </si>
  <si>
    <t>매매기준율</t>
  </si>
  <si>
    <t>통화명</t>
  </si>
  <si>
    <t>환율(원)</t>
  </si>
  <si>
    <t>전일대비</t>
  </si>
  <si>
    <t>위안화 (CNH)</t>
  </si>
  <si>
    <t>재정된 매매기준율</t>
  </si>
  <si>
    <t>Cross Rate</t>
  </si>
  <si>
    <t>적용 환율</t>
    <phoneticPr fontId="8" type="noConversion"/>
  </si>
  <si>
    <t>*** 값복사 하기!</t>
    <phoneticPr fontId="7" type="noConversion"/>
  </si>
  <si>
    <t>투자 화폐</t>
    <phoneticPr fontId="8" type="noConversion"/>
  </si>
  <si>
    <t>펀드명</t>
    <phoneticPr fontId="8" type="noConversion"/>
  </si>
  <si>
    <t>평가기준일</t>
    <phoneticPr fontId="8" type="noConversion"/>
  </si>
  <si>
    <t>재무기준일</t>
    <phoneticPr fontId="8" type="noConversion"/>
  </si>
  <si>
    <t>계정구분</t>
    <phoneticPr fontId="7" type="noConversion"/>
  </si>
  <si>
    <t>계정분류</t>
    <phoneticPr fontId="7" type="noConversion"/>
  </si>
  <si>
    <t>Ticker</t>
    <phoneticPr fontId="7" type="noConversion"/>
  </si>
  <si>
    <t>순자산가치</t>
    <phoneticPr fontId="8" type="noConversion"/>
  </si>
  <si>
    <t>재무기준일 이후 Capital Call</t>
    <phoneticPr fontId="8" type="noConversion"/>
  </si>
  <si>
    <t>재무기준일 이후 Distritution</t>
    <phoneticPr fontId="8" type="noConversion"/>
  </si>
  <si>
    <t>평가 담당자</t>
    <phoneticPr fontId="8" type="noConversion"/>
  </si>
  <si>
    <t>상장여부</t>
    <phoneticPr fontId="8" type="noConversion"/>
  </si>
  <si>
    <t>투자 형태</t>
    <phoneticPr fontId="8" type="noConversion"/>
  </si>
  <si>
    <t>계산단위</t>
    <phoneticPr fontId="8" type="noConversion"/>
  </si>
  <si>
    <t>종목명</t>
    <phoneticPr fontId="8" type="noConversion"/>
  </si>
  <si>
    <t>SPC 선택</t>
    <phoneticPr fontId="8" type="noConversion"/>
  </si>
  <si>
    <t>SPC명</t>
    <phoneticPr fontId="8" type="noConversion"/>
  </si>
  <si>
    <t>SPC 설정일</t>
    <phoneticPr fontId="8" type="noConversion"/>
  </si>
  <si>
    <t>SPC 평가금액(총액)</t>
    <phoneticPr fontId="8" type="noConversion"/>
  </si>
  <si>
    <t>모회사 출자잔액</t>
    <phoneticPr fontId="8" type="noConversion"/>
  </si>
  <si>
    <t>주당 취득가</t>
    <phoneticPr fontId="8" type="noConversion"/>
  </si>
  <si>
    <t>&lt;SPC&gt;</t>
    <phoneticPr fontId="8" type="noConversion"/>
  </si>
  <si>
    <t>한국 원화(KRW)</t>
  </si>
  <si>
    <t>좌당 가치</t>
    <phoneticPr fontId="7" type="noConversion"/>
  </si>
  <si>
    <t>계산단위</t>
    <phoneticPr fontId="7" type="noConversion"/>
  </si>
  <si>
    <t>투자화폐</t>
    <phoneticPr fontId="7" type="noConversion"/>
  </si>
  <si>
    <t>상장여부</t>
    <phoneticPr fontId="7" type="noConversion"/>
  </si>
  <si>
    <t>평가방법</t>
    <phoneticPr fontId="7" type="noConversion"/>
  </si>
  <si>
    <t>SPC</t>
    <phoneticPr fontId="7" type="noConversion"/>
  </si>
  <si>
    <t>SPC1</t>
    <phoneticPr fontId="7" type="noConversion"/>
  </si>
  <si>
    <t>SPC2</t>
    <phoneticPr fontId="7" type="noConversion"/>
  </si>
  <si>
    <t>SPC3</t>
  </si>
  <si>
    <t>SPC4</t>
  </si>
  <si>
    <t>SPC5</t>
  </si>
  <si>
    <t>SPC1-1</t>
    <phoneticPr fontId="7" type="noConversion"/>
  </si>
  <si>
    <t>SPC1-2</t>
    <phoneticPr fontId="7" type="noConversion"/>
  </si>
  <si>
    <t>SPC1-3</t>
  </si>
  <si>
    <t>SPC1-4</t>
  </si>
  <si>
    <t>SPC1-5</t>
  </si>
  <si>
    <t>SPC 평가방법</t>
    <phoneticPr fontId="7" type="noConversion"/>
  </si>
  <si>
    <t>주당</t>
    <phoneticPr fontId="7" type="noConversion"/>
  </si>
  <si>
    <t>만원당</t>
    <phoneticPr fontId="7" type="noConversion"/>
  </si>
  <si>
    <t>1원당</t>
    <phoneticPr fontId="7" type="noConversion"/>
  </si>
  <si>
    <t>보통주</t>
    <phoneticPr fontId="7" type="noConversion"/>
  </si>
  <si>
    <t>우선주</t>
    <phoneticPr fontId="7" type="noConversion"/>
  </si>
  <si>
    <t>현금 및 현금성자산</t>
    <phoneticPr fontId="8" type="noConversion"/>
  </si>
  <si>
    <t>자본금</t>
  </si>
  <si>
    <t>이익잉여금(결손금)</t>
  </si>
  <si>
    <t>이익잉여금(결손금)</t>
    <phoneticPr fontId="8" type="noConversion"/>
  </si>
  <si>
    <t>기타자본구성요소</t>
  </si>
  <si>
    <t>기타자본구성요소</t>
    <phoneticPr fontId="8" type="noConversion"/>
  </si>
  <si>
    <t>최종 순자산가치</t>
    <phoneticPr fontId="8" type="noConversion"/>
  </si>
  <si>
    <t>성과보수 반영 후 좌당 가격</t>
    <phoneticPr fontId="8" type="noConversion"/>
  </si>
  <si>
    <t>취득총액</t>
    <phoneticPr fontId="8" type="noConversion"/>
  </si>
  <si>
    <t>DCF</t>
    <phoneticPr fontId="7" type="noConversion"/>
  </si>
  <si>
    <t>MTP</t>
    <phoneticPr fontId="7" type="noConversion"/>
  </si>
  <si>
    <t>DCF, MTP</t>
    <phoneticPr fontId="7" type="noConversion"/>
  </si>
  <si>
    <t>NAV</t>
    <phoneticPr fontId="7" type="noConversion"/>
  </si>
  <si>
    <t>DDM</t>
    <phoneticPr fontId="7" type="noConversion"/>
  </si>
  <si>
    <t>취득원가 준용</t>
    <phoneticPr fontId="7" type="noConversion"/>
  </si>
  <si>
    <t>이항모형</t>
    <phoneticPr fontId="7" type="noConversion"/>
  </si>
  <si>
    <t>약정상 평가</t>
    <phoneticPr fontId="7" type="noConversion"/>
  </si>
  <si>
    <t>기타 합리적인 방법</t>
    <phoneticPr fontId="7" type="noConversion"/>
  </si>
  <si>
    <t>평가불가</t>
    <phoneticPr fontId="7" type="noConversion"/>
  </si>
  <si>
    <t>비상장</t>
    <phoneticPr fontId="7" type="noConversion"/>
  </si>
  <si>
    <t>상장(KOSPI)</t>
    <phoneticPr fontId="7" type="noConversion"/>
  </si>
  <si>
    <t>상장(KOSDAQ)</t>
    <phoneticPr fontId="7" type="noConversion"/>
  </si>
  <si>
    <t>상장(KONEX)</t>
    <phoneticPr fontId="7" type="noConversion"/>
  </si>
  <si>
    <t>해외상장</t>
    <phoneticPr fontId="7" type="noConversion"/>
  </si>
  <si>
    <t>해외 비상장</t>
    <phoneticPr fontId="7" type="noConversion"/>
  </si>
  <si>
    <t>투자형태(PEF)</t>
    <phoneticPr fontId="7" type="noConversion"/>
  </si>
  <si>
    <t>투자형태(SPC)</t>
    <phoneticPr fontId="7" type="noConversion"/>
  </si>
  <si>
    <t>성과보수 여부</t>
    <phoneticPr fontId="8" type="noConversion"/>
  </si>
  <si>
    <t>RCPS</t>
    <phoneticPr fontId="7" type="noConversion"/>
  </si>
  <si>
    <t>1종 우선주</t>
    <phoneticPr fontId="7" type="noConversion"/>
  </si>
  <si>
    <t>2종 우선주</t>
    <phoneticPr fontId="7" type="noConversion"/>
  </si>
  <si>
    <t>순위</t>
    <phoneticPr fontId="7" type="noConversion"/>
  </si>
  <si>
    <t>선순위</t>
    <phoneticPr fontId="7" type="noConversion"/>
  </si>
  <si>
    <t>중순위</t>
    <phoneticPr fontId="7" type="noConversion"/>
  </si>
  <si>
    <t>후순위</t>
    <phoneticPr fontId="7" type="noConversion"/>
  </si>
  <si>
    <t>미지급보수</t>
  </si>
  <si>
    <t>미지급보수</t>
    <phoneticPr fontId="8" type="noConversion"/>
  </si>
  <si>
    <t>계정과목</t>
    <phoneticPr fontId="7" type="noConversion"/>
  </si>
  <si>
    <t>현금 및 현금성자산</t>
  </si>
  <si>
    <t>기타자산</t>
  </si>
  <si>
    <t>예수금</t>
  </si>
  <si>
    <t>미지급배당금</t>
  </si>
  <si>
    <t>기타 유동부채</t>
    <phoneticPr fontId="8" type="noConversion"/>
  </si>
  <si>
    <t>기타 유동부채</t>
    <phoneticPr fontId="7" type="noConversion"/>
  </si>
  <si>
    <t>투자자산</t>
    <phoneticPr fontId="7" type="noConversion"/>
  </si>
  <si>
    <t>운용부채</t>
    <phoneticPr fontId="8" type="noConversion"/>
  </si>
  <si>
    <t>차입금</t>
    <phoneticPr fontId="8" type="noConversion"/>
  </si>
  <si>
    <t>투자자산 검증</t>
    <phoneticPr fontId="8" type="noConversion"/>
  </si>
  <si>
    <t>자산검증</t>
    <phoneticPr fontId="8" type="noConversion"/>
  </si>
  <si>
    <t>부채검증</t>
    <phoneticPr fontId="8" type="noConversion"/>
  </si>
  <si>
    <t>자본검증</t>
    <phoneticPr fontId="8" type="noConversion"/>
  </si>
  <si>
    <t>보유지분율(%)</t>
    <phoneticPr fontId="8" type="noConversion"/>
  </si>
  <si>
    <t>고객사</t>
    <phoneticPr fontId="7" type="noConversion"/>
  </si>
  <si>
    <t>유형</t>
    <phoneticPr fontId="7" type="noConversion"/>
  </si>
  <si>
    <t>설정일</t>
    <phoneticPr fontId="7" type="noConversion"/>
  </si>
  <si>
    <t>투자기간</t>
    <phoneticPr fontId="7" type="noConversion"/>
  </si>
  <si>
    <t>존속기간</t>
    <phoneticPr fontId="7" type="noConversion"/>
  </si>
  <si>
    <t>약정금액</t>
    <phoneticPr fontId="7" type="noConversion"/>
  </si>
  <si>
    <t>출자금액</t>
    <phoneticPr fontId="7" type="noConversion"/>
  </si>
  <si>
    <t>출자잔액</t>
    <phoneticPr fontId="7" type="noConversion"/>
  </si>
  <si>
    <t>좌수</t>
    <phoneticPr fontId="7" type="noConversion"/>
  </si>
  <si>
    <t>기준수익률</t>
    <phoneticPr fontId="7" type="noConversion"/>
  </si>
  <si>
    <t>평가방법론</t>
    <phoneticPr fontId="7" type="noConversion"/>
  </si>
  <si>
    <t>성과보수율</t>
    <phoneticPr fontId="7" type="noConversion"/>
  </si>
  <si>
    <t>1좌당 금액</t>
    <phoneticPr fontId="7" type="noConversion"/>
  </si>
  <si>
    <t>GP 이외</t>
    <phoneticPr fontId="7" type="noConversion"/>
  </si>
  <si>
    <t>GP</t>
    <phoneticPr fontId="7" type="noConversion"/>
  </si>
  <si>
    <t>PEF 평가방법</t>
    <phoneticPr fontId="7" type="noConversion"/>
  </si>
  <si>
    <t>순자산가치평가법</t>
    <phoneticPr fontId="7" type="noConversion"/>
  </si>
  <si>
    <t>상장종가 적용</t>
    <phoneticPr fontId="7" type="noConversion"/>
  </si>
  <si>
    <t>SPC명</t>
    <phoneticPr fontId="8" type="noConversion"/>
  </si>
  <si>
    <t>유형</t>
    <phoneticPr fontId="7" type="noConversion"/>
  </si>
  <si>
    <t>기준수익률</t>
    <phoneticPr fontId="7" type="noConversion"/>
  </si>
  <si>
    <t>평가방법론</t>
    <phoneticPr fontId="7" type="noConversion"/>
  </si>
  <si>
    <t>분배 조항 여부</t>
    <phoneticPr fontId="7" type="noConversion"/>
  </si>
  <si>
    <t>모펀드 출자 지분율</t>
    <phoneticPr fontId="7" type="noConversion"/>
  </si>
  <si>
    <t>SPC명</t>
    <phoneticPr fontId="7" type="noConversion"/>
  </si>
  <si>
    <t>&lt;PEF&gt;</t>
    <phoneticPr fontId="8" type="noConversion"/>
  </si>
  <si>
    <t>순자산가치평가법(우선분배 고려)</t>
    <phoneticPr fontId="7" type="noConversion"/>
  </si>
  <si>
    <t>우선분배조항</t>
    <phoneticPr fontId="7" type="noConversion"/>
  </si>
  <si>
    <t>출좌좌수</t>
    <phoneticPr fontId="8" type="noConversion"/>
  </si>
  <si>
    <t>지분율</t>
    <phoneticPr fontId="8" type="noConversion"/>
  </si>
  <si>
    <t>&lt;&lt; 보유 지분율 고려 순자산가치</t>
    <phoneticPr fontId="8" type="noConversion"/>
  </si>
  <si>
    <t>분배조항</t>
    <phoneticPr fontId="7" type="noConversion"/>
  </si>
  <si>
    <t>장부가액 준용</t>
    <phoneticPr fontId="7" type="noConversion"/>
  </si>
  <si>
    <t>장부가액 준용</t>
    <phoneticPr fontId="7" type="noConversion"/>
  </si>
  <si>
    <t>출자자명</t>
    <phoneticPr fontId="8" type="noConversion"/>
  </si>
  <si>
    <t>각 사원 귀속 
출자지분가치</t>
    <phoneticPr fontId="8" type="noConversion"/>
  </si>
  <si>
    <t>지위</t>
    <phoneticPr fontId="8" type="noConversion"/>
  </si>
  <si>
    <t>순위</t>
    <phoneticPr fontId="8" type="noConversion"/>
  </si>
  <si>
    <t>각 GP 귀속 
성과보수액</t>
    <phoneticPr fontId="8" type="noConversion"/>
  </si>
  <si>
    <t>지위</t>
    <phoneticPr fontId="7" type="noConversion"/>
  </si>
  <si>
    <t>순위</t>
    <phoneticPr fontId="7" type="noConversion"/>
  </si>
  <si>
    <t>업무집행사원(GP)</t>
    <phoneticPr fontId="7" type="noConversion"/>
  </si>
  <si>
    <t>출자약정액</t>
    <phoneticPr fontId="8" type="noConversion"/>
  </si>
  <si>
    <t>출자 비율</t>
    <phoneticPr fontId="8" type="noConversion"/>
  </si>
  <si>
    <t>출자</t>
    <phoneticPr fontId="7" type="noConversion"/>
  </si>
  <si>
    <t>최초출자</t>
    <phoneticPr fontId="7" type="noConversion"/>
  </si>
  <si>
    <t>추가출자</t>
    <phoneticPr fontId="7" type="noConversion"/>
  </si>
  <si>
    <t>이익분배</t>
    <phoneticPr fontId="7" type="noConversion"/>
  </si>
  <si>
    <t>잔여출자금(원본)</t>
    <phoneticPr fontId="8" type="noConversion"/>
  </si>
  <si>
    <t>기준수익률</t>
    <phoneticPr fontId="8" type="noConversion"/>
  </si>
  <si>
    <t>평가기준일</t>
    <phoneticPr fontId="7" type="noConversion"/>
  </si>
  <si>
    <t>기준수익률 적용</t>
    <phoneticPr fontId="8" type="noConversion"/>
  </si>
  <si>
    <t xml:space="preserve">NMP 상 회차 </t>
    <phoneticPr fontId="8" type="noConversion"/>
  </si>
  <si>
    <t>IRR</t>
    <phoneticPr fontId="8" type="noConversion"/>
  </si>
  <si>
    <t>선순위출자자</t>
    <phoneticPr fontId="7" type="noConversion"/>
  </si>
  <si>
    <t>중순위출자자</t>
    <phoneticPr fontId="7" type="noConversion"/>
  </si>
  <si>
    <t>후순위출자자</t>
    <phoneticPr fontId="7" type="noConversion"/>
  </si>
  <si>
    <t>선순위출자자</t>
    <phoneticPr fontId="7" type="noConversion"/>
  </si>
  <si>
    <t>중순위출자자</t>
    <phoneticPr fontId="7" type="noConversion"/>
  </si>
  <si>
    <t>후순위출자자</t>
    <phoneticPr fontId="7" type="noConversion"/>
  </si>
  <si>
    <t>선순위출자자</t>
    <phoneticPr fontId="8" type="noConversion"/>
  </si>
  <si>
    <t>중순위출자자</t>
    <phoneticPr fontId="8" type="noConversion"/>
  </si>
  <si>
    <t>후순위출자자</t>
    <phoneticPr fontId="8" type="noConversion"/>
  </si>
  <si>
    <t>합계</t>
    <phoneticPr fontId="8" type="noConversion"/>
  </si>
  <si>
    <t>각 사원 최종 가치</t>
    <phoneticPr fontId="8" type="noConversion"/>
  </si>
  <si>
    <t>각 사원 좌당 가치</t>
    <phoneticPr fontId="8" type="noConversion"/>
  </si>
  <si>
    <t>출자잔액</t>
    <phoneticPr fontId="8" type="noConversion"/>
  </si>
  <si>
    <t>평가금액</t>
    <phoneticPr fontId="8" type="noConversion"/>
  </si>
  <si>
    <t>좌당 가치</t>
    <phoneticPr fontId="8" type="noConversion"/>
  </si>
  <si>
    <t>각 사원 귀속 
좌당 가치</t>
    <phoneticPr fontId="8" type="noConversion"/>
  </si>
  <si>
    <t>누적분배금
(원금 및 이익분배)</t>
    <phoneticPr fontId="8" type="noConversion"/>
  </si>
  <si>
    <t>출자금액</t>
    <phoneticPr fontId="8" type="noConversion"/>
  </si>
  <si>
    <t>------------------</t>
    <phoneticPr fontId="7" type="noConversion"/>
  </si>
  <si>
    <t>원본분배</t>
    <phoneticPr fontId="7" type="noConversion"/>
  </si>
  <si>
    <t>평가기준일</t>
    <phoneticPr fontId="7" type="noConversion"/>
  </si>
  <si>
    <t>SPC6</t>
    <phoneticPr fontId="7" type="noConversion"/>
  </si>
  <si>
    <t>SPC1-6</t>
    <phoneticPr fontId="7" type="noConversion"/>
  </si>
  <si>
    <t>지분율 반영 순자산가치</t>
    <phoneticPr fontId="8" type="noConversion"/>
  </si>
  <si>
    <t>7. 민감도</t>
    <phoneticPr fontId="8" type="noConversion"/>
  </si>
  <si>
    <t>순자산가치</t>
    <phoneticPr fontId="8" type="noConversion"/>
  </si>
  <si>
    <t>출자좌수</t>
    <phoneticPr fontId="8" type="noConversion"/>
  </si>
  <si>
    <t>1좌당 금액</t>
    <phoneticPr fontId="8" type="noConversion"/>
  </si>
  <si>
    <t>좌당 가격</t>
    <phoneticPr fontId="8" type="noConversion"/>
  </si>
  <si>
    <t>1-1. 펀드 투자자산현황</t>
    <phoneticPr fontId="8" type="noConversion"/>
  </si>
  <si>
    <t>2. SPC 순자산가치평가</t>
    <phoneticPr fontId="8" type="noConversion"/>
  </si>
  <si>
    <t>2-1. SPC 투자자산현황</t>
    <phoneticPr fontId="8" type="noConversion"/>
  </si>
  <si>
    <t>SPC 설정일</t>
    <phoneticPr fontId="8" type="noConversion"/>
  </si>
  <si>
    <t>투자형태</t>
    <phoneticPr fontId="8" type="noConversion"/>
  </si>
  <si>
    <t>모회사 출자잔액</t>
    <phoneticPr fontId="8" type="noConversion"/>
  </si>
  <si>
    <t>장부가액</t>
    <phoneticPr fontId="8" type="noConversion"/>
  </si>
  <si>
    <t>취득총액</t>
    <phoneticPr fontId="8" type="noConversion"/>
  </si>
  <si>
    <t>SPC명</t>
    <phoneticPr fontId="8" type="noConversion"/>
  </si>
  <si>
    <t>평가방법</t>
    <phoneticPr fontId="8" type="noConversion"/>
  </si>
  <si>
    <t>주당 취득가</t>
    <phoneticPr fontId="8" type="noConversion"/>
  </si>
  <si>
    <t>투자 화폐</t>
    <phoneticPr fontId="8" type="noConversion"/>
  </si>
  <si>
    <t>적용 환율</t>
    <phoneticPr fontId="8" type="noConversion"/>
  </si>
  <si>
    <t>종목명</t>
    <phoneticPr fontId="8" type="noConversion"/>
  </si>
  <si>
    <t xml:space="preserve">NMP 상 회차 </t>
    <phoneticPr fontId="8" type="noConversion"/>
  </si>
  <si>
    <t>적용 환율</t>
    <phoneticPr fontId="8" type="noConversion"/>
  </si>
  <si>
    <t>장부가액</t>
    <phoneticPr fontId="8" type="noConversion"/>
  </si>
  <si>
    <t>주당(만원당) 취득가</t>
    <phoneticPr fontId="8" type="noConversion"/>
  </si>
  <si>
    <t>1좌당 금액</t>
    <phoneticPr fontId="8" type="noConversion"/>
  </si>
  <si>
    <t>좌당 가격</t>
    <phoneticPr fontId="8" type="noConversion"/>
  </si>
  <si>
    <t>지분율</t>
    <phoneticPr fontId="8" type="noConversion"/>
  </si>
  <si>
    <t>(1) NOTE</t>
    <phoneticPr fontId="8" type="noConversion"/>
  </si>
  <si>
    <t>(2) SPC 현황</t>
    <phoneticPr fontId="8" type="noConversion"/>
  </si>
  <si>
    <t>(3) 투자기업 현황</t>
  </si>
  <si>
    <t>(3) 투자기업 현황</t>
    <phoneticPr fontId="8" type="noConversion"/>
  </si>
  <si>
    <t>2. IRR 및 성과보수 계산</t>
    <phoneticPr fontId="7" type="noConversion"/>
  </si>
  <si>
    <t>1. 펀드 재무제표</t>
    <phoneticPr fontId="7" type="noConversion"/>
  </si>
  <si>
    <t>2. SPC 재무제표</t>
    <phoneticPr fontId="7" type="noConversion"/>
  </si>
  <si>
    <t>평가결과(좌당)</t>
    <phoneticPr fontId="8" type="noConversion"/>
  </si>
  <si>
    <t>변동률</t>
    <phoneticPr fontId="8" type="noConversion"/>
  </si>
  <si>
    <t>출자자명</t>
    <phoneticPr fontId="7" type="noConversion"/>
  </si>
  <si>
    <t>출자금</t>
    <phoneticPr fontId="7" type="noConversion"/>
  </si>
  <si>
    <t>총 손실금액</t>
    <phoneticPr fontId="7" type="noConversion"/>
  </si>
  <si>
    <t>유리한변동</t>
    <phoneticPr fontId="8" type="noConversion"/>
  </si>
  <si>
    <t>불리한변동</t>
    <phoneticPr fontId="8" type="noConversion"/>
  </si>
  <si>
    <t>전기평가</t>
    <phoneticPr fontId="8" type="noConversion"/>
  </si>
  <si>
    <t>3. 출자자별 좌당가치</t>
    <phoneticPr fontId="7" type="noConversion"/>
  </si>
  <si>
    <t>1. 펀드 개요</t>
    <phoneticPr fontId="7" type="noConversion"/>
  </si>
  <si>
    <t>5. SPC 개요</t>
    <phoneticPr fontId="7" type="noConversion"/>
  </si>
  <si>
    <t>단위(통화)</t>
    <phoneticPr fontId="8" type="noConversion"/>
  </si>
  <si>
    <t>KRW</t>
    <phoneticPr fontId="8" type="noConversion"/>
  </si>
  <si>
    <t>[민감도 결과]</t>
    <phoneticPr fontId="8" type="noConversion"/>
  </si>
  <si>
    <t>SPC7</t>
  </si>
  <si>
    <t>SPC8</t>
  </si>
  <si>
    <t>SPC1-7</t>
  </si>
  <si>
    <t>SPC1-8</t>
  </si>
  <si>
    <t>(1)</t>
    <phoneticPr fontId="8" type="noConversion"/>
  </si>
  <si>
    <t>단위당 평가금액</t>
    <phoneticPr fontId="8" type="noConversion"/>
  </si>
  <si>
    <t>취득잔액</t>
    <phoneticPr fontId="8" type="noConversion"/>
  </si>
  <si>
    <t>차입금</t>
    <phoneticPr fontId="7" type="noConversion"/>
  </si>
  <si>
    <t>운용부채</t>
    <phoneticPr fontId="7" type="noConversion"/>
  </si>
  <si>
    <t>SPC 평가금액(총액)</t>
    <phoneticPr fontId="8" type="noConversion"/>
  </si>
  <si>
    <t>주식수</t>
    <phoneticPr fontId="8" type="noConversion"/>
  </si>
  <si>
    <t>SPC9</t>
  </si>
  <si>
    <t>SPC10</t>
  </si>
  <si>
    <t>SPC11</t>
  </si>
  <si>
    <t>SPC12</t>
  </si>
  <si>
    <t>SPC13</t>
  </si>
  <si>
    <t>SPC14</t>
  </si>
  <si>
    <t>SPC15</t>
  </si>
  <si>
    <t>SPC16</t>
  </si>
  <si>
    <t>SPC17</t>
  </si>
  <si>
    <t>SPC18</t>
  </si>
  <si>
    <t>SPC19</t>
  </si>
  <si>
    <t>SPC20</t>
  </si>
  <si>
    <t>SPC21</t>
  </si>
  <si>
    <t>SPC22</t>
  </si>
  <si>
    <t>SPC23</t>
  </si>
  <si>
    <t>SPC24</t>
  </si>
  <si>
    <t>SPC25</t>
  </si>
  <si>
    <t>SPC26</t>
  </si>
  <si>
    <t>SPC27</t>
  </si>
  <si>
    <t>SPC28</t>
  </si>
  <si>
    <t>SPC29</t>
  </si>
  <si>
    <t>(1)</t>
    <phoneticPr fontId="7" type="noConversion"/>
  </si>
  <si>
    <t>(2)</t>
    <phoneticPr fontId="7" type="noConversion"/>
  </si>
  <si>
    <t>(10)</t>
    <phoneticPr fontId="7" type="noConversion"/>
  </si>
  <si>
    <t>(11)</t>
    <phoneticPr fontId="7" type="noConversion"/>
  </si>
  <si>
    <t>(12)</t>
    <phoneticPr fontId="7" type="noConversion"/>
  </si>
  <si>
    <t>(13)</t>
    <phoneticPr fontId="7" type="noConversion"/>
  </si>
  <si>
    <t>(14)</t>
    <phoneticPr fontId="7" type="noConversion"/>
  </si>
  <si>
    <t>(15)</t>
    <phoneticPr fontId="7" type="noConversion"/>
  </si>
  <si>
    <t>(16)</t>
    <phoneticPr fontId="7" type="noConversion"/>
  </si>
  <si>
    <t>(17)</t>
    <phoneticPr fontId="7" type="noConversion"/>
  </si>
  <si>
    <t>(18)</t>
    <phoneticPr fontId="7" type="noConversion"/>
  </si>
  <si>
    <t>(19)</t>
    <phoneticPr fontId="7" type="noConversion"/>
  </si>
  <si>
    <t>(20)</t>
    <phoneticPr fontId="7" type="noConversion"/>
  </si>
  <si>
    <t>(21)</t>
    <phoneticPr fontId="7" type="noConversion"/>
  </si>
  <si>
    <t>(22)</t>
    <phoneticPr fontId="7" type="noConversion"/>
  </si>
  <si>
    <t>(23)</t>
    <phoneticPr fontId="7" type="noConversion"/>
  </si>
  <si>
    <t>(24)</t>
    <phoneticPr fontId="7" type="noConversion"/>
  </si>
  <si>
    <t>(25)</t>
    <phoneticPr fontId="7" type="noConversion"/>
  </si>
  <si>
    <t>(26)</t>
    <phoneticPr fontId="7" type="noConversion"/>
  </si>
  <si>
    <t>(29)</t>
    <phoneticPr fontId="7" type="noConversion"/>
  </si>
  <si>
    <t>(27)</t>
    <phoneticPr fontId="7" type="noConversion"/>
  </si>
  <si>
    <t>(28)</t>
    <phoneticPr fontId="7" type="noConversion"/>
  </si>
  <si>
    <t>Track Record</t>
    <phoneticPr fontId="8" type="noConversion"/>
  </si>
  <si>
    <t>SPC명</t>
    <phoneticPr fontId="7" type="noConversion"/>
  </si>
  <si>
    <t>유형</t>
    <phoneticPr fontId="7" type="noConversion"/>
  </si>
  <si>
    <t>설정일</t>
    <phoneticPr fontId="7" type="noConversion"/>
  </si>
  <si>
    <t>출자잔액</t>
    <phoneticPr fontId="7" type="noConversion"/>
  </si>
  <si>
    <t>1좌당 금액</t>
    <phoneticPr fontId="7" type="noConversion"/>
  </si>
  <si>
    <t>기준수익률</t>
    <phoneticPr fontId="7" type="noConversion"/>
  </si>
  <si>
    <t>분배 조항 여부</t>
    <phoneticPr fontId="7" type="noConversion"/>
  </si>
  <si>
    <t>모펀드 출자 지분율</t>
    <phoneticPr fontId="7" type="noConversion"/>
  </si>
  <si>
    <t>SPC명</t>
    <phoneticPr fontId="7" type="noConversion"/>
  </si>
  <si>
    <t>1좌당 금액</t>
    <phoneticPr fontId="7" type="noConversion"/>
  </si>
  <si>
    <t>평가방법론</t>
    <phoneticPr fontId="7" type="noConversion"/>
  </si>
  <si>
    <t>유형</t>
    <phoneticPr fontId="7" type="noConversion"/>
  </si>
  <si>
    <t>설정일</t>
    <phoneticPr fontId="7" type="noConversion"/>
  </si>
  <si>
    <t>출자잔액</t>
    <phoneticPr fontId="7" type="noConversion"/>
  </si>
  <si>
    <t>분배 조항 여부</t>
    <phoneticPr fontId="7" type="noConversion"/>
  </si>
  <si>
    <t>모펀드 출자 지분율</t>
    <phoneticPr fontId="7" type="noConversion"/>
  </si>
  <si>
    <t>기준수익률</t>
    <phoneticPr fontId="7" type="noConversion"/>
  </si>
  <si>
    <t>유형</t>
    <phoneticPr fontId="7" type="noConversion"/>
  </si>
  <si>
    <t>설정일</t>
    <phoneticPr fontId="7" type="noConversion"/>
  </si>
  <si>
    <t>(2)</t>
    <phoneticPr fontId="8" type="noConversion"/>
  </si>
  <si>
    <t>SPC명</t>
    <phoneticPr fontId="8" type="noConversion"/>
  </si>
  <si>
    <t>평가기준일</t>
    <phoneticPr fontId="8" type="noConversion"/>
  </si>
  <si>
    <t>재무기준일</t>
    <phoneticPr fontId="8" type="noConversion"/>
  </si>
  <si>
    <t>(2) SPC 현황</t>
    <phoneticPr fontId="8" type="noConversion"/>
  </si>
  <si>
    <t>검증</t>
    <phoneticPr fontId="8" type="noConversion"/>
  </si>
  <si>
    <t>장부가액</t>
    <phoneticPr fontId="8" type="noConversion"/>
  </si>
  <si>
    <t>SPC 선택</t>
    <phoneticPr fontId="8" type="noConversion"/>
  </si>
  <si>
    <t>법인번호</t>
    <phoneticPr fontId="8" type="noConversion"/>
  </si>
  <si>
    <t>SPC 설정일</t>
    <phoneticPr fontId="8" type="noConversion"/>
  </si>
  <si>
    <t>모회사 출자잔액</t>
    <phoneticPr fontId="8" type="noConversion"/>
  </si>
  <si>
    <t>투자형태</t>
    <phoneticPr fontId="8" type="noConversion"/>
  </si>
  <si>
    <t>계산단위</t>
    <phoneticPr fontId="8" type="noConversion"/>
  </si>
  <si>
    <t>단위당 평가금액</t>
    <phoneticPr fontId="8" type="noConversion"/>
  </si>
  <si>
    <t>SPC 평가금액(총액)</t>
    <phoneticPr fontId="8" type="noConversion"/>
  </si>
  <si>
    <t>투자 화폐</t>
    <phoneticPr fontId="8" type="noConversion"/>
  </si>
  <si>
    <t>적용 환율</t>
    <phoneticPr fontId="8" type="noConversion"/>
  </si>
  <si>
    <t>주당 취득가</t>
    <phoneticPr fontId="8" type="noConversion"/>
  </si>
  <si>
    <t>취득총액</t>
    <phoneticPr fontId="8" type="noConversion"/>
  </si>
  <si>
    <t>현금 및 현금성자산</t>
    <phoneticPr fontId="8" type="noConversion"/>
  </si>
  <si>
    <t>기타자산</t>
    <phoneticPr fontId="8" type="noConversion"/>
  </si>
  <si>
    <t>투자자산 검증</t>
    <phoneticPr fontId="8" type="noConversion"/>
  </si>
  <si>
    <t xml:space="preserve"> II. 투자자산</t>
    <phoneticPr fontId="8" type="noConversion"/>
  </si>
  <si>
    <t>자산검증</t>
    <phoneticPr fontId="8" type="noConversion"/>
  </si>
  <si>
    <t>미지급보수</t>
    <phoneticPr fontId="8" type="noConversion"/>
  </si>
  <si>
    <t>예수금</t>
    <phoneticPr fontId="8" type="noConversion"/>
  </si>
  <si>
    <t>종목명</t>
    <phoneticPr fontId="8" type="noConversion"/>
  </si>
  <si>
    <t>평가 담당자</t>
    <phoneticPr fontId="8" type="noConversion"/>
  </si>
  <si>
    <t>상장여부</t>
    <phoneticPr fontId="8" type="noConversion"/>
  </si>
  <si>
    <t>투자 형태</t>
    <phoneticPr fontId="8" type="noConversion"/>
  </si>
  <si>
    <t xml:space="preserve">NMP 상 회차 </t>
    <phoneticPr fontId="8" type="noConversion"/>
  </si>
  <si>
    <t>평가방법</t>
    <phoneticPr fontId="8" type="noConversion"/>
  </si>
  <si>
    <t>적용 환율</t>
    <phoneticPr fontId="8" type="noConversion"/>
  </si>
  <si>
    <t>주당(만원당) 취득가</t>
    <phoneticPr fontId="8" type="noConversion"/>
  </si>
  <si>
    <t>취득잔액</t>
    <phoneticPr fontId="8" type="noConversion"/>
  </si>
  <si>
    <t>평가 여부</t>
    <phoneticPr fontId="8" type="noConversion"/>
  </si>
  <si>
    <t>미지급배당금</t>
    <phoneticPr fontId="8" type="noConversion"/>
  </si>
  <si>
    <t>기타 유동부채</t>
    <phoneticPr fontId="8" type="noConversion"/>
  </si>
  <si>
    <t>차입금</t>
    <phoneticPr fontId="8" type="noConversion"/>
  </si>
  <si>
    <t>운용부채</t>
    <phoneticPr fontId="8" type="noConversion"/>
  </si>
  <si>
    <t>부채검증</t>
    <phoneticPr fontId="8" type="noConversion"/>
  </si>
  <si>
    <t>이익잉여금(결손금)</t>
    <phoneticPr fontId="8" type="noConversion"/>
  </si>
  <si>
    <t>기타자본구성요소</t>
    <phoneticPr fontId="8" type="noConversion"/>
  </si>
  <si>
    <t>자본검증</t>
    <phoneticPr fontId="8" type="noConversion"/>
  </si>
  <si>
    <t>순자산가치</t>
    <phoneticPr fontId="8" type="noConversion"/>
  </si>
  <si>
    <t>재무기준일 이후 Capital Call</t>
    <phoneticPr fontId="8" type="noConversion"/>
  </si>
  <si>
    <t>재무기준일 이후 Distritution</t>
    <phoneticPr fontId="8" type="noConversion"/>
  </si>
  <si>
    <t>최종 순자산가치</t>
    <phoneticPr fontId="8" type="noConversion"/>
  </si>
  <si>
    <t>보유지분율(%)</t>
    <phoneticPr fontId="8" type="noConversion"/>
  </si>
  <si>
    <t>&lt;&lt; 보유 지분율 고려 순자산가치</t>
    <phoneticPr fontId="8" type="noConversion"/>
  </si>
  <si>
    <t>지분율</t>
    <phoneticPr fontId="8" type="noConversion"/>
  </si>
  <si>
    <t>전기평가</t>
    <phoneticPr fontId="8" type="noConversion"/>
  </si>
  <si>
    <t>지분율 반영 순자산가치</t>
    <phoneticPr fontId="8" type="noConversion"/>
  </si>
  <si>
    <t>(3)</t>
    <phoneticPr fontId="8" type="noConversion"/>
  </si>
  <si>
    <t>평가기준일</t>
    <phoneticPr fontId="8" type="noConversion"/>
  </si>
  <si>
    <t>(2) SPC 현황</t>
    <phoneticPr fontId="8" type="noConversion"/>
  </si>
  <si>
    <t>법인번호</t>
    <phoneticPr fontId="8" type="noConversion"/>
  </si>
  <si>
    <t>SPC명</t>
    <phoneticPr fontId="8" type="noConversion"/>
  </si>
  <si>
    <t>SPC 설정일</t>
    <phoneticPr fontId="8" type="noConversion"/>
  </si>
  <si>
    <t>모회사 출자잔액</t>
    <phoneticPr fontId="8" type="noConversion"/>
  </si>
  <si>
    <t>단위당 평가금액</t>
    <phoneticPr fontId="8" type="noConversion"/>
  </si>
  <si>
    <t>장부가액</t>
    <phoneticPr fontId="8" type="noConversion"/>
  </si>
  <si>
    <t>취득총액</t>
    <phoneticPr fontId="8" type="noConversion"/>
  </si>
  <si>
    <t>기타자산</t>
    <phoneticPr fontId="8" type="noConversion"/>
  </si>
  <si>
    <t>투자자산 검증</t>
    <phoneticPr fontId="8" type="noConversion"/>
  </si>
  <si>
    <t>예수금</t>
    <phoneticPr fontId="8" type="noConversion"/>
  </si>
  <si>
    <t>종목명</t>
    <phoneticPr fontId="8" type="noConversion"/>
  </si>
  <si>
    <t>평가 담당자</t>
    <phoneticPr fontId="8" type="noConversion"/>
  </si>
  <si>
    <t>상장여부</t>
    <phoneticPr fontId="8" type="noConversion"/>
  </si>
  <si>
    <t>계산단위</t>
    <phoneticPr fontId="8" type="noConversion"/>
  </si>
  <si>
    <t>단위당 평가금액</t>
    <phoneticPr fontId="8" type="noConversion"/>
  </si>
  <si>
    <t>주당(만원당) 취득가</t>
    <phoneticPr fontId="8" type="noConversion"/>
  </si>
  <si>
    <t>투자시점</t>
    <phoneticPr fontId="8" type="noConversion"/>
  </si>
  <si>
    <t>평가 여부</t>
    <phoneticPr fontId="8" type="noConversion"/>
  </si>
  <si>
    <t xml:space="preserve"> II. 비유동부채</t>
    <phoneticPr fontId="8" type="noConversion"/>
  </si>
  <si>
    <t>운용부채</t>
    <phoneticPr fontId="8" type="noConversion"/>
  </si>
  <si>
    <t>기타자본구성요소</t>
    <phoneticPr fontId="8" type="noConversion"/>
  </si>
  <si>
    <t>재무기준일 이후 Capital Call</t>
    <phoneticPr fontId="8" type="noConversion"/>
  </si>
  <si>
    <t>재무기준일 이후 Distritution</t>
    <phoneticPr fontId="8" type="noConversion"/>
  </si>
  <si>
    <t>보유지분율(%)</t>
    <phoneticPr fontId="8" type="noConversion"/>
  </si>
  <si>
    <t>전기평가</t>
    <phoneticPr fontId="8" type="noConversion"/>
  </si>
  <si>
    <t>순자산가치</t>
    <phoneticPr fontId="8" type="noConversion"/>
  </si>
  <si>
    <t>지분율 반영 순자산가치</t>
    <phoneticPr fontId="8" type="noConversion"/>
  </si>
  <si>
    <t>(4)</t>
    <phoneticPr fontId="8" type="noConversion"/>
  </si>
  <si>
    <t>SPC명</t>
    <phoneticPr fontId="8" type="noConversion"/>
  </si>
  <si>
    <t>(2) SPC 현황</t>
    <phoneticPr fontId="8" type="noConversion"/>
  </si>
  <si>
    <t>검증</t>
    <phoneticPr fontId="8" type="noConversion"/>
  </si>
  <si>
    <t>KAP 평가액</t>
    <phoneticPr fontId="8" type="noConversion"/>
  </si>
  <si>
    <t>SPC 설정일</t>
    <phoneticPr fontId="8" type="noConversion"/>
  </si>
  <si>
    <t>모회사 출자잔액</t>
    <phoneticPr fontId="8" type="noConversion"/>
  </si>
  <si>
    <t>계산단위</t>
    <phoneticPr fontId="8" type="noConversion"/>
  </si>
  <si>
    <t>단위당 평가금액</t>
    <phoneticPr fontId="8" type="noConversion"/>
  </si>
  <si>
    <t>취득총액</t>
    <phoneticPr fontId="8" type="noConversion"/>
  </si>
  <si>
    <t>현금 및 현금성자산</t>
    <phoneticPr fontId="8" type="noConversion"/>
  </si>
  <si>
    <t>투자자산 검증</t>
    <phoneticPr fontId="8" type="noConversion"/>
  </si>
  <si>
    <t xml:space="preserve"> II. 투자자산</t>
    <phoneticPr fontId="8" type="noConversion"/>
  </si>
  <si>
    <t>자산검증</t>
    <phoneticPr fontId="8" type="noConversion"/>
  </si>
  <si>
    <t>예수금</t>
    <phoneticPr fontId="8" type="noConversion"/>
  </si>
  <si>
    <t xml:space="preserve">NMP 상 회차 </t>
    <phoneticPr fontId="8" type="noConversion"/>
  </si>
  <si>
    <t>취득잔액</t>
    <phoneticPr fontId="8" type="noConversion"/>
  </si>
  <si>
    <t>재무기준일 이후 Capital Call</t>
    <phoneticPr fontId="8" type="noConversion"/>
  </si>
  <si>
    <t>최종 순자산가치</t>
    <phoneticPr fontId="8" type="noConversion"/>
  </si>
  <si>
    <t>&lt;&lt; 보유 지분율 고려 순자산가치</t>
    <phoneticPr fontId="8" type="noConversion"/>
  </si>
  <si>
    <t>평가기준일</t>
    <phoneticPr fontId="8" type="noConversion"/>
  </si>
  <si>
    <t>투자형태</t>
    <phoneticPr fontId="8" type="noConversion"/>
  </si>
  <si>
    <t>평가 여부</t>
    <phoneticPr fontId="8" type="noConversion"/>
  </si>
  <si>
    <t>최종 순자산가치</t>
    <phoneticPr fontId="8" type="noConversion"/>
  </si>
  <si>
    <t>투자 화폐</t>
    <phoneticPr fontId="8" type="noConversion"/>
  </si>
  <si>
    <t>&lt;&lt; 보유 지분율 고려 순자산가치</t>
    <phoneticPr fontId="8" type="noConversion"/>
  </si>
  <si>
    <t>부채총계</t>
    <phoneticPr fontId="8" type="noConversion"/>
  </si>
  <si>
    <t>재무기준일 이후 Capital Call</t>
    <phoneticPr fontId="8" type="noConversion"/>
  </si>
  <si>
    <t>자산총계</t>
    <phoneticPr fontId="8" type="noConversion"/>
  </si>
  <si>
    <t xml:space="preserve"> I. 유동자산</t>
    <phoneticPr fontId="8" type="noConversion"/>
  </si>
  <si>
    <t>재무기준일 이후 Distritution</t>
    <phoneticPr fontId="8" type="noConversion"/>
  </si>
  <si>
    <t>기타자본구성요소</t>
    <phoneticPr fontId="8" type="noConversion"/>
  </si>
  <si>
    <t>지분율</t>
    <phoneticPr fontId="8" type="noConversion"/>
  </si>
  <si>
    <t>순자산가치</t>
    <phoneticPr fontId="8" type="noConversion"/>
  </si>
  <si>
    <t>보유지분율(%)</t>
    <phoneticPr fontId="8" type="noConversion"/>
  </si>
  <si>
    <t>재무기준일</t>
    <phoneticPr fontId="8" type="noConversion"/>
  </si>
  <si>
    <t>자산총계</t>
    <phoneticPr fontId="8" type="noConversion"/>
  </si>
  <si>
    <t>미지급배당금</t>
    <phoneticPr fontId="8" type="noConversion"/>
  </si>
  <si>
    <t xml:space="preserve"> II. 투자자산</t>
    <phoneticPr fontId="8" type="noConversion"/>
  </si>
  <si>
    <t>예수금</t>
    <phoneticPr fontId="8" type="noConversion"/>
  </si>
  <si>
    <t>부채총계</t>
    <phoneticPr fontId="8" type="noConversion"/>
  </si>
  <si>
    <t>차입금</t>
    <phoneticPr fontId="8" type="noConversion"/>
  </si>
  <si>
    <t>장부가액</t>
    <phoneticPr fontId="8" type="noConversion"/>
  </si>
  <si>
    <t>보유지분율(%)</t>
    <phoneticPr fontId="8" type="noConversion"/>
  </si>
  <si>
    <t>평가기준일</t>
    <phoneticPr fontId="8" type="noConversion"/>
  </si>
  <si>
    <t>단위당 평가금액</t>
    <phoneticPr fontId="8" type="noConversion"/>
  </si>
  <si>
    <t>법인번호</t>
    <phoneticPr fontId="8" type="noConversion"/>
  </si>
  <si>
    <t>(9)</t>
    <phoneticPr fontId="8" type="noConversion"/>
  </si>
  <si>
    <t>(6)</t>
    <phoneticPr fontId="8" type="noConversion"/>
  </si>
  <si>
    <t>(5)</t>
    <phoneticPr fontId="8" type="noConversion"/>
  </si>
  <si>
    <t>장부가액</t>
    <phoneticPr fontId="8" type="noConversion"/>
  </si>
  <si>
    <t>투자형태</t>
    <phoneticPr fontId="8" type="noConversion"/>
  </si>
  <si>
    <t>투자자산 검증</t>
    <phoneticPr fontId="8" type="noConversion"/>
  </si>
  <si>
    <t xml:space="preserve"> II. 투자자산</t>
    <phoneticPr fontId="8" type="noConversion"/>
  </si>
  <si>
    <t>미지급보수</t>
    <phoneticPr fontId="8" type="noConversion"/>
  </si>
  <si>
    <t>종목명</t>
    <phoneticPr fontId="8" type="noConversion"/>
  </si>
  <si>
    <t>평가 담당자</t>
    <phoneticPr fontId="8" type="noConversion"/>
  </si>
  <si>
    <t>투자 형태</t>
    <phoneticPr fontId="8" type="noConversion"/>
  </si>
  <si>
    <t>계산단위</t>
    <phoneticPr fontId="8" type="noConversion"/>
  </si>
  <si>
    <t>주당(만원당) 취득가</t>
    <phoneticPr fontId="8" type="noConversion"/>
  </si>
  <si>
    <t>미지급배당금</t>
    <phoneticPr fontId="8" type="noConversion"/>
  </si>
  <si>
    <t>재무기준일 이후 Capital Call</t>
    <phoneticPr fontId="8" type="noConversion"/>
  </si>
  <si>
    <t>최종 순자산가치</t>
    <phoneticPr fontId="8" type="noConversion"/>
  </si>
  <si>
    <t>보유지분율(%)</t>
    <phoneticPr fontId="8" type="noConversion"/>
  </si>
  <si>
    <t>평가기준일</t>
    <phoneticPr fontId="8" type="noConversion"/>
  </si>
  <si>
    <t xml:space="preserve"> I. 유동자산</t>
    <phoneticPr fontId="8" type="noConversion"/>
  </si>
  <si>
    <t>자산총계</t>
    <phoneticPr fontId="8" type="noConversion"/>
  </si>
  <si>
    <t>부채총계</t>
    <phoneticPr fontId="8" type="noConversion"/>
  </si>
  <si>
    <t>평가기준일</t>
    <phoneticPr fontId="8" type="noConversion"/>
  </si>
  <si>
    <t>KAP 평가액</t>
    <phoneticPr fontId="8" type="noConversion"/>
  </si>
  <si>
    <t>법인번호</t>
    <phoneticPr fontId="8" type="noConversion"/>
  </si>
  <si>
    <t>SPC명</t>
    <phoneticPr fontId="8" type="noConversion"/>
  </si>
  <si>
    <t>모회사 출자잔액</t>
    <phoneticPr fontId="8" type="noConversion"/>
  </si>
  <si>
    <t>주식수</t>
    <phoneticPr fontId="8" type="noConversion"/>
  </si>
  <si>
    <t>평가방법</t>
    <phoneticPr fontId="8" type="noConversion"/>
  </si>
  <si>
    <t>현금 및 현금성자산</t>
    <phoneticPr fontId="8" type="noConversion"/>
  </si>
  <si>
    <t>종목명</t>
    <phoneticPr fontId="8" type="noConversion"/>
  </si>
  <si>
    <t>평가 담당자</t>
    <phoneticPr fontId="8" type="noConversion"/>
  </si>
  <si>
    <t>상장여부</t>
    <phoneticPr fontId="8" type="noConversion"/>
  </si>
  <si>
    <t>계산단위</t>
    <phoneticPr fontId="8" type="noConversion"/>
  </si>
  <si>
    <t>적용 환율</t>
    <phoneticPr fontId="8" type="noConversion"/>
  </si>
  <si>
    <t>장부가액</t>
    <phoneticPr fontId="8" type="noConversion"/>
  </si>
  <si>
    <t>투자시점</t>
    <phoneticPr fontId="8" type="noConversion"/>
  </si>
  <si>
    <t>부채검증</t>
    <phoneticPr fontId="8" type="noConversion"/>
  </si>
  <si>
    <t>자본금</t>
    <phoneticPr fontId="8" type="noConversion"/>
  </si>
  <si>
    <t>이익잉여금(결손금)</t>
    <phoneticPr fontId="8" type="noConversion"/>
  </si>
  <si>
    <t>재무기준일 이후 Capital Call</t>
    <phoneticPr fontId="8" type="noConversion"/>
  </si>
  <si>
    <t>지분율 반영 순자산가치</t>
    <phoneticPr fontId="8" type="noConversion"/>
  </si>
  <si>
    <t>(3) 투자기업 현황</t>
    <phoneticPr fontId="8" type="noConversion"/>
  </si>
  <si>
    <t>(2) SPC 현황</t>
    <phoneticPr fontId="8" type="noConversion"/>
  </si>
  <si>
    <t>검증</t>
    <phoneticPr fontId="8" type="noConversion"/>
  </si>
  <si>
    <t>계정과목</t>
    <phoneticPr fontId="8" type="noConversion"/>
  </si>
  <si>
    <t>KAP 평가액</t>
    <phoneticPr fontId="8" type="noConversion"/>
  </si>
  <si>
    <t>SPC 선택</t>
    <phoneticPr fontId="8" type="noConversion"/>
  </si>
  <si>
    <t>SPC 설정일</t>
    <phoneticPr fontId="8" type="noConversion"/>
  </si>
  <si>
    <t>모회사 출자잔액</t>
    <phoneticPr fontId="8" type="noConversion"/>
  </si>
  <si>
    <t>투자형태</t>
    <phoneticPr fontId="8" type="noConversion"/>
  </si>
  <si>
    <t>장부가액</t>
    <phoneticPr fontId="8" type="noConversion"/>
  </si>
  <si>
    <t>주당 취득가</t>
    <phoneticPr fontId="8" type="noConversion"/>
  </si>
  <si>
    <t>평가 담당자</t>
    <phoneticPr fontId="8" type="noConversion"/>
  </si>
  <si>
    <t>상장여부</t>
    <phoneticPr fontId="8" type="noConversion"/>
  </si>
  <si>
    <t>계산단위</t>
    <phoneticPr fontId="8" type="noConversion"/>
  </si>
  <si>
    <t>평가 여부</t>
    <phoneticPr fontId="8" type="noConversion"/>
  </si>
  <si>
    <t xml:space="preserve"> II. 비유동부채</t>
    <phoneticPr fontId="8" type="noConversion"/>
  </si>
  <si>
    <t>자본검증</t>
    <phoneticPr fontId="8" type="noConversion"/>
  </si>
  <si>
    <t>재무기준일 이후 Distritution</t>
    <phoneticPr fontId="8" type="noConversion"/>
  </si>
  <si>
    <t>지분율</t>
    <phoneticPr fontId="8" type="noConversion"/>
  </si>
  <si>
    <t>(7)</t>
    <phoneticPr fontId="8" type="noConversion"/>
  </si>
  <si>
    <t>재무기준일</t>
    <phoneticPr fontId="8" type="noConversion"/>
  </si>
  <si>
    <t>(2) SPC 현황</t>
    <phoneticPr fontId="8" type="noConversion"/>
  </si>
  <si>
    <t>계정과목</t>
    <phoneticPr fontId="8" type="noConversion"/>
  </si>
  <si>
    <t>법인번호</t>
    <phoneticPr fontId="8" type="noConversion"/>
  </si>
  <si>
    <t>모회사 출자잔액</t>
    <phoneticPr fontId="8" type="noConversion"/>
  </si>
  <si>
    <t>SPC 평가금액(총액)</t>
    <phoneticPr fontId="8" type="noConversion"/>
  </si>
  <si>
    <t>투자 화폐</t>
    <phoneticPr fontId="8" type="noConversion"/>
  </si>
  <si>
    <t>주당 취득가</t>
    <phoneticPr fontId="8" type="noConversion"/>
  </si>
  <si>
    <t>투자자산 검증</t>
    <phoneticPr fontId="8" type="noConversion"/>
  </si>
  <si>
    <t xml:space="preserve"> II. 투자자산</t>
    <phoneticPr fontId="8" type="noConversion"/>
  </si>
  <si>
    <t>투자시점</t>
    <phoneticPr fontId="8" type="noConversion"/>
  </si>
  <si>
    <t>미지급배당금</t>
    <phoneticPr fontId="8" type="noConversion"/>
  </si>
  <si>
    <t>기타 유동부채</t>
    <phoneticPr fontId="8" type="noConversion"/>
  </si>
  <si>
    <t xml:space="preserve"> II. 비유동부채</t>
    <phoneticPr fontId="8" type="noConversion"/>
  </si>
  <si>
    <t>자본금</t>
    <phoneticPr fontId="8" type="noConversion"/>
  </si>
  <si>
    <t>기타자본구성요소</t>
    <phoneticPr fontId="8" type="noConversion"/>
  </si>
  <si>
    <t>순자산가치</t>
    <phoneticPr fontId="8" type="noConversion"/>
  </si>
  <si>
    <t>최종 순자산가치</t>
    <phoneticPr fontId="8" type="noConversion"/>
  </si>
  <si>
    <t>전기평가</t>
    <phoneticPr fontId="8" type="noConversion"/>
  </si>
  <si>
    <t>지분율 반영 순자산가치</t>
    <phoneticPr fontId="8" type="noConversion"/>
  </si>
  <si>
    <t>(8)</t>
    <phoneticPr fontId="8" type="noConversion"/>
  </si>
  <si>
    <t>재무기준일</t>
    <phoneticPr fontId="8" type="noConversion"/>
  </si>
  <si>
    <t>검증</t>
    <phoneticPr fontId="8" type="noConversion"/>
  </si>
  <si>
    <t>계정과목</t>
    <phoneticPr fontId="8" type="noConversion"/>
  </si>
  <si>
    <t>장부가액</t>
    <phoneticPr fontId="8" type="noConversion"/>
  </si>
  <si>
    <t>법인번호</t>
    <phoneticPr fontId="8" type="noConversion"/>
  </si>
  <si>
    <t>SPC 설정일</t>
    <phoneticPr fontId="8" type="noConversion"/>
  </si>
  <si>
    <t>계산단위</t>
    <phoneticPr fontId="8" type="noConversion"/>
  </si>
  <si>
    <t>SPC 평가금액(총액)</t>
    <phoneticPr fontId="8" type="noConversion"/>
  </si>
  <si>
    <t>평가방법</t>
    <phoneticPr fontId="8" type="noConversion"/>
  </si>
  <si>
    <t>적용 환율</t>
    <phoneticPr fontId="8" type="noConversion"/>
  </si>
  <si>
    <t>주당 취득가</t>
    <phoneticPr fontId="8" type="noConversion"/>
  </si>
  <si>
    <t>현금 및 현금성자산</t>
    <phoneticPr fontId="8" type="noConversion"/>
  </si>
  <si>
    <t>자산총계</t>
    <phoneticPr fontId="8" type="noConversion"/>
  </si>
  <si>
    <t xml:space="preserve"> I. 유동부채</t>
    <phoneticPr fontId="8" type="noConversion"/>
  </si>
  <si>
    <t>미지급보수</t>
    <phoneticPr fontId="8" type="noConversion"/>
  </si>
  <si>
    <t>종목명</t>
    <phoneticPr fontId="8" type="noConversion"/>
  </si>
  <si>
    <t>평가 담당자</t>
    <phoneticPr fontId="8" type="noConversion"/>
  </si>
  <si>
    <t>투자 형태</t>
    <phoneticPr fontId="8" type="noConversion"/>
  </si>
  <si>
    <t>평가방법</t>
    <phoneticPr fontId="8" type="noConversion"/>
  </si>
  <si>
    <t>투자 화폐</t>
    <phoneticPr fontId="8" type="noConversion"/>
  </si>
  <si>
    <t>주당(만원당) 취득가</t>
    <phoneticPr fontId="8" type="noConversion"/>
  </si>
  <si>
    <t>투자시점</t>
    <phoneticPr fontId="8" type="noConversion"/>
  </si>
  <si>
    <t>미지급배당금</t>
    <phoneticPr fontId="8" type="noConversion"/>
  </si>
  <si>
    <t>운용부채</t>
    <phoneticPr fontId="8" type="noConversion"/>
  </si>
  <si>
    <t>부채검증</t>
    <phoneticPr fontId="8" type="noConversion"/>
  </si>
  <si>
    <t>부채총계</t>
    <phoneticPr fontId="8" type="noConversion"/>
  </si>
  <si>
    <t>이익잉여금(결손금)</t>
    <phoneticPr fontId="8" type="noConversion"/>
  </si>
  <si>
    <t>기타자본구성요소</t>
    <phoneticPr fontId="8" type="noConversion"/>
  </si>
  <si>
    <t>자본검증</t>
    <phoneticPr fontId="8" type="noConversion"/>
  </si>
  <si>
    <t>순자산가치</t>
    <phoneticPr fontId="8" type="noConversion"/>
  </si>
  <si>
    <t>재무기준일 이후 Capital Call</t>
    <phoneticPr fontId="8" type="noConversion"/>
  </si>
  <si>
    <t>최종 순자산가치</t>
    <phoneticPr fontId="8" type="noConversion"/>
  </si>
  <si>
    <t>보유지분율(%)</t>
    <phoneticPr fontId="8" type="noConversion"/>
  </si>
  <si>
    <t>&lt;&lt; 보유 지분율 고려 순자산가치</t>
    <phoneticPr fontId="8" type="noConversion"/>
  </si>
  <si>
    <t>전기평가</t>
    <phoneticPr fontId="8" type="noConversion"/>
  </si>
  <si>
    <t>평가기준일</t>
    <phoneticPr fontId="8" type="noConversion"/>
  </si>
  <si>
    <t>(2) SPC 현황</t>
    <phoneticPr fontId="8" type="noConversion"/>
  </si>
  <si>
    <t>계정과목</t>
    <phoneticPr fontId="8" type="noConversion"/>
  </si>
  <si>
    <t>장부가액</t>
    <phoneticPr fontId="8" type="noConversion"/>
  </si>
  <si>
    <t>법인번호</t>
    <phoneticPr fontId="8" type="noConversion"/>
  </si>
  <si>
    <t>SPC 설정일</t>
    <phoneticPr fontId="8" type="noConversion"/>
  </si>
  <si>
    <t>투자형태</t>
    <phoneticPr fontId="8" type="noConversion"/>
  </si>
  <si>
    <t>주식수</t>
    <phoneticPr fontId="8" type="noConversion"/>
  </si>
  <si>
    <t>단위당 평가금액</t>
    <phoneticPr fontId="8" type="noConversion"/>
  </si>
  <si>
    <t>SPC 평가금액(총액)</t>
    <phoneticPr fontId="8" type="noConversion"/>
  </si>
  <si>
    <t>적용 환율</t>
    <phoneticPr fontId="8" type="noConversion"/>
  </si>
  <si>
    <t>장부가액</t>
    <phoneticPr fontId="8" type="noConversion"/>
  </si>
  <si>
    <t xml:space="preserve"> I. 유동자산</t>
    <phoneticPr fontId="8" type="noConversion"/>
  </si>
  <si>
    <t>장부가액</t>
    <phoneticPr fontId="8" type="noConversion"/>
  </si>
  <si>
    <t xml:space="preserve"> II. 비유동부채</t>
    <phoneticPr fontId="8" type="noConversion"/>
  </si>
  <si>
    <t>부채검증</t>
    <phoneticPr fontId="8" type="noConversion"/>
  </si>
  <si>
    <t>자본검증</t>
    <phoneticPr fontId="8" type="noConversion"/>
  </si>
  <si>
    <t>순자산가치</t>
    <phoneticPr fontId="8" type="noConversion"/>
  </si>
  <si>
    <t>재무기준일 이후 Capital Call</t>
    <phoneticPr fontId="8" type="noConversion"/>
  </si>
  <si>
    <t>최종 순자산가치</t>
    <phoneticPr fontId="8" type="noConversion"/>
  </si>
  <si>
    <t>평가기준일</t>
    <phoneticPr fontId="8" type="noConversion"/>
  </si>
  <si>
    <t>(10)</t>
    <phoneticPr fontId="8" type="noConversion"/>
  </si>
  <si>
    <t>&lt;SPC&gt;</t>
    <phoneticPr fontId="8" type="noConversion"/>
  </si>
  <si>
    <t>미지급보수</t>
    <phoneticPr fontId="8" type="noConversion"/>
  </si>
  <si>
    <t>(2) SPC 현황</t>
    <phoneticPr fontId="8" type="noConversion"/>
  </si>
  <si>
    <t>민감도</t>
    <phoneticPr fontId="8" type="noConversion"/>
  </si>
  <si>
    <t>검증</t>
    <phoneticPr fontId="8" type="noConversion"/>
  </si>
  <si>
    <t>계정과목</t>
    <phoneticPr fontId="8" type="noConversion"/>
  </si>
  <si>
    <t>SPC 설정일</t>
    <phoneticPr fontId="8" type="noConversion"/>
  </si>
  <si>
    <t>단위당 평가금액</t>
    <phoneticPr fontId="8" type="noConversion"/>
  </si>
  <si>
    <t>주당 취득가</t>
    <phoneticPr fontId="8" type="noConversion"/>
  </si>
  <si>
    <t>취득총액</t>
    <phoneticPr fontId="8" type="noConversion"/>
  </si>
  <si>
    <t xml:space="preserve"> I. 유동자산</t>
    <phoneticPr fontId="8" type="noConversion"/>
  </si>
  <si>
    <t>기타자산</t>
    <phoneticPr fontId="8" type="noConversion"/>
  </si>
  <si>
    <t>투자자산 검증</t>
    <phoneticPr fontId="8" type="noConversion"/>
  </si>
  <si>
    <t>미지급보수</t>
    <phoneticPr fontId="8" type="noConversion"/>
  </si>
  <si>
    <t>주당(만원당) 취득가</t>
    <phoneticPr fontId="8" type="noConversion"/>
  </si>
  <si>
    <t>취득잔액</t>
    <phoneticPr fontId="8" type="noConversion"/>
  </si>
  <si>
    <t>평가 여부</t>
    <phoneticPr fontId="8" type="noConversion"/>
  </si>
  <si>
    <t>기타 유동부채</t>
    <phoneticPr fontId="8" type="noConversion"/>
  </si>
  <si>
    <t xml:space="preserve"> II. 비유동부채</t>
    <phoneticPr fontId="8" type="noConversion"/>
  </si>
  <si>
    <t>운용부채</t>
    <phoneticPr fontId="8" type="noConversion"/>
  </si>
  <si>
    <t>전기평가</t>
    <phoneticPr fontId="8" type="noConversion"/>
  </si>
  <si>
    <t>(12)</t>
    <phoneticPr fontId="8" type="noConversion"/>
  </si>
  <si>
    <t xml:space="preserve"> I. 유동부채</t>
    <phoneticPr fontId="8" type="noConversion"/>
  </si>
  <si>
    <t>투자 형태</t>
    <phoneticPr fontId="8" type="noConversion"/>
  </si>
  <si>
    <t xml:space="preserve">NMP 상 회차 </t>
    <phoneticPr fontId="8" type="noConversion"/>
  </si>
  <si>
    <t>(13)</t>
    <phoneticPr fontId="8" type="noConversion"/>
  </si>
  <si>
    <t>(3) 투자기업 현황</t>
    <phoneticPr fontId="8" type="noConversion"/>
  </si>
  <si>
    <t>자본검증</t>
    <phoneticPr fontId="8" type="noConversion"/>
  </si>
  <si>
    <t>(11)</t>
    <phoneticPr fontId="8" type="noConversion"/>
  </si>
  <si>
    <t>검증</t>
    <phoneticPr fontId="8" type="noConversion"/>
  </si>
  <si>
    <t>법인번호</t>
    <phoneticPr fontId="8" type="noConversion"/>
  </si>
  <si>
    <t>모회사 출자잔액</t>
    <phoneticPr fontId="8" type="noConversion"/>
  </si>
  <si>
    <t>SPC 평가금액(총액)</t>
    <phoneticPr fontId="8" type="noConversion"/>
  </si>
  <si>
    <t>취득총액</t>
    <phoneticPr fontId="8" type="noConversion"/>
  </si>
  <si>
    <t>현금 및 현금성자산</t>
    <phoneticPr fontId="8" type="noConversion"/>
  </si>
  <si>
    <t>평가 담당자</t>
    <phoneticPr fontId="8" type="noConversion"/>
  </si>
  <si>
    <t>계산단위</t>
    <phoneticPr fontId="8" type="noConversion"/>
  </si>
  <si>
    <t>적용 환율</t>
    <phoneticPr fontId="8" type="noConversion"/>
  </si>
  <si>
    <t>주당(만원당) 취득가</t>
    <phoneticPr fontId="8" type="noConversion"/>
  </si>
  <si>
    <t>미지급배당금</t>
    <phoneticPr fontId="8" type="noConversion"/>
  </si>
  <si>
    <t>부채총계</t>
    <phoneticPr fontId="8" type="noConversion"/>
  </si>
  <si>
    <t>자본금</t>
    <phoneticPr fontId="8" type="noConversion"/>
  </si>
  <si>
    <t>이익잉여금(결손금)</t>
    <phoneticPr fontId="8" type="noConversion"/>
  </si>
  <si>
    <t>최종 순자산가치</t>
    <phoneticPr fontId="8" type="noConversion"/>
  </si>
  <si>
    <t>보유지분율(%)</t>
    <phoneticPr fontId="8" type="noConversion"/>
  </si>
  <si>
    <t>&lt;&lt; 보유 지분율 고려 순자산가치</t>
    <phoneticPr fontId="8" type="noConversion"/>
  </si>
  <si>
    <t>적용 환율</t>
    <phoneticPr fontId="8" type="noConversion"/>
  </si>
  <si>
    <t>평가기준일</t>
    <phoneticPr fontId="8" type="noConversion"/>
  </si>
  <si>
    <t>(2) SPC 현황</t>
    <phoneticPr fontId="8" type="noConversion"/>
  </si>
  <si>
    <t>검증</t>
    <phoneticPr fontId="8" type="noConversion"/>
  </si>
  <si>
    <t>KAP 평가액</t>
    <phoneticPr fontId="8" type="noConversion"/>
  </si>
  <si>
    <t>SPC 선택</t>
    <phoneticPr fontId="8" type="noConversion"/>
  </si>
  <si>
    <t>법인번호</t>
    <phoneticPr fontId="8" type="noConversion"/>
  </si>
  <si>
    <t>SPC 평가금액(총액)</t>
    <phoneticPr fontId="8" type="noConversion"/>
  </si>
  <si>
    <t>평가방법</t>
    <phoneticPr fontId="8" type="noConversion"/>
  </si>
  <si>
    <t>투자 화폐</t>
    <phoneticPr fontId="8" type="noConversion"/>
  </si>
  <si>
    <t>적용 환율</t>
    <phoneticPr fontId="8" type="noConversion"/>
  </si>
  <si>
    <t>취득총액</t>
    <phoneticPr fontId="8" type="noConversion"/>
  </si>
  <si>
    <t xml:space="preserve"> I. 유동자산</t>
    <phoneticPr fontId="8" type="noConversion"/>
  </si>
  <si>
    <t xml:space="preserve"> II. 투자자산</t>
    <phoneticPr fontId="8" type="noConversion"/>
  </si>
  <si>
    <t>상장여부</t>
    <phoneticPr fontId="8" type="noConversion"/>
  </si>
  <si>
    <t xml:space="preserve">NMP 상 회차 </t>
    <phoneticPr fontId="8" type="noConversion"/>
  </si>
  <si>
    <t>평가방법</t>
    <phoneticPr fontId="8" type="noConversion"/>
  </si>
  <si>
    <t>장부가액</t>
    <phoneticPr fontId="8" type="noConversion"/>
  </si>
  <si>
    <t>기타 유동부채</t>
    <phoneticPr fontId="8" type="noConversion"/>
  </si>
  <si>
    <t xml:space="preserve"> II. 비유동부채</t>
    <phoneticPr fontId="8" type="noConversion"/>
  </si>
  <si>
    <t>차입금</t>
    <phoneticPr fontId="8" type="noConversion"/>
  </si>
  <si>
    <t>운용부채</t>
    <phoneticPr fontId="8" type="noConversion"/>
  </si>
  <si>
    <t>부채검증</t>
    <phoneticPr fontId="8" type="noConversion"/>
  </si>
  <si>
    <t>부채총계</t>
    <phoneticPr fontId="8" type="noConversion"/>
  </si>
  <si>
    <t>이익잉여금(결손금)</t>
    <phoneticPr fontId="8" type="noConversion"/>
  </si>
  <si>
    <t>기타자본구성요소</t>
    <phoneticPr fontId="8" type="noConversion"/>
  </si>
  <si>
    <t>자본검증</t>
    <phoneticPr fontId="8" type="noConversion"/>
  </si>
  <si>
    <t>순자산가치</t>
    <phoneticPr fontId="8" type="noConversion"/>
  </si>
  <si>
    <t>재무기준일 이후 Distritution</t>
    <phoneticPr fontId="8" type="noConversion"/>
  </si>
  <si>
    <t>최종 순자산가치</t>
    <phoneticPr fontId="8" type="noConversion"/>
  </si>
  <si>
    <t>&lt;&lt; 보유 지분율 고려 순자산가치</t>
    <phoneticPr fontId="8" type="noConversion"/>
  </si>
  <si>
    <t>전기평가</t>
    <phoneticPr fontId="8" type="noConversion"/>
  </si>
  <si>
    <t>지분율</t>
    <phoneticPr fontId="8" type="noConversion"/>
  </si>
  <si>
    <t>지분율 반영 순자산가치</t>
    <phoneticPr fontId="8" type="noConversion"/>
  </si>
  <si>
    <t>(14)</t>
    <phoneticPr fontId="8" type="noConversion"/>
  </si>
  <si>
    <t>(15)</t>
    <phoneticPr fontId="8" type="noConversion"/>
  </si>
  <si>
    <t>(16)</t>
    <phoneticPr fontId="8" type="noConversion"/>
  </si>
  <si>
    <t>(17)</t>
    <phoneticPr fontId="8" type="noConversion"/>
  </si>
  <si>
    <t>(19)</t>
    <phoneticPr fontId="8" type="noConversion"/>
  </si>
  <si>
    <t>(21)</t>
    <phoneticPr fontId="8" type="noConversion"/>
  </si>
  <si>
    <t>(22)</t>
    <phoneticPr fontId="8" type="noConversion"/>
  </si>
  <si>
    <t>(23)</t>
    <phoneticPr fontId="8" type="noConversion"/>
  </si>
  <si>
    <t>(27)</t>
    <phoneticPr fontId="8" type="noConversion"/>
  </si>
  <si>
    <t>1. 펀드 순자산가치평가</t>
    <phoneticPr fontId="8" type="noConversion"/>
  </si>
  <si>
    <t>(3)</t>
    <phoneticPr fontId="7" type="noConversion"/>
  </si>
  <si>
    <t>(4)</t>
    <phoneticPr fontId="7" type="noConversion"/>
  </si>
  <si>
    <t>(5)</t>
    <phoneticPr fontId="7" type="noConversion"/>
  </si>
  <si>
    <t>(6)</t>
    <phoneticPr fontId="7" type="noConversion"/>
  </si>
  <si>
    <t>(7)</t>
    <phoneticPr fontId="7" type="noConversion"/>
  </si>
  <si>
    <t>(8)</t>
    <phoneticPr fontId="7" type="noConversion"/>
  </si>
  <si>
    <t>(9)</t>
    <phoneticPr fontId="7" type="noConversion"/>
  </si>
  <si>
    <t>계정분류</t>
    <phoneticPr fontId="7" type="noConversion"/>
  </si>
  <si>
    <t>(18)</t>
    <phoneticPr fontId="8" type="noConversion"/>
  </si>
  <si>
    <t>(29)</t>
    <phoneticPr fontId="8" type="noConversion"/>
  </si>
  <si>
    <t>(20)</t>
    <phoneticPr fontId="8" type="noConversion"/>
  </si>
  <si>
    <t>(24)</t>
    <phoneticPr fontId="8" type="noConversion"/>
  </si>
  <si>
    <t>(25)</t>
    <phoneticPr fontId="8" type="noConversion"/>
  </si>
  <si>
    <t>(26)</t>
    <phoneticPr fontId="8" type="noConversion"/>
  </si>
  <si>
    <t>(28)</t>
    <phoneticPr fontId="8" type="noConversion"/>
  </si>
  <si>
    <t>설정일</t>
    <phoneticPr fontId="7" type="noConversion"/>
  </si>
  <si>
    <t>차이금액</t>
    <phoneticPr fontId="7" type="noConversion"/>
  </si>
  <si>
    <t>최종 순자산가치</t>
  </si>
  <si>
    <t>(+) Capital Call</t>
    <phoneticPr fontId="7" type="noConversion"/>
  </si>
  <si>
    <t>보유지분율 고려 순자산가치</t>
    <phoneticPr fontId="8" type="noConversion"/>
  </si>
  <si>
    <t>8. SPC NAV</t>
    <phoneticPr fontId="8" type="noConversion"/>
  </si>
  <si>
    <t>8-1. 자산별 평가 결과</t>
    <phoneticPr fontId="8" type="noConversion"/>
  </si>
  <si>
    <t>단위당 평가결과</t>
    <phoneticPr fontId="7" type="noConversion"/>
  </si>
  <si>
    <t>(1) NAV 평가결과</t>
    <phoneticPr fontId="7" type="noConversion"/>
  </si>
  <si>
    <t>(2) SPC 현황</t>
    <phoneticPr fontId="7" type="noConversion"/>
  </si>
  <si>
    <t>(3) 투자기업 현황</t>
    <phoneticPr fontId="7" type="noConversion"/>
  </si>
  <si>
    <t>SPC 평가금액(총액)</t>
  </si>
  <si>
    <t>투자형태</t>
    <phoneticPr fontId="7" type="noConversion"/>
  </si>
  <si>
    <t>SPC 평가</t>
    <phoneticPr fontId="7" type="noConversion"/>
  </si>
  <si>
    <t xml:space="preserve"> 현금 및 현금성자산</t>
  </si>
  <si>
    <t xml:space="preserve"> 기타자산</t>
  </si>
  <si>
    <t>재무기준일</t>
    <phoneticPr fontId="8" type="noConversion"/>
  </si>
  <si>
    <t>통화</t>
    <phoneticPr fontId="8" type="noConversion"/>
  </si>
  <si>
    <t>&gt;&gt; 확인필요(고객사마다 조항 다를 경우 확인)</t>
    <phoneticPr fontId="7" type="noConversion"/>
  </si>
  <si>
    <t>SPC명</t>
    <phoneticPr fontId="7" type="noConversion"/>
  </si>
  <si>
    <t>투자자산명</t>
    <phoneticPr fontId="7" type="noConversion"/>
  </si>
  <si>
    <t>자산</t>
    <phoneticPr fontId="7" type="noConversion"/>
  </si>
  <si>
    <t>부채</t>
    <phoneticPr fontId="7" type="noConversion"/>
  </si>
  <si>
    <t>자본</t>
    <phoneticPr fontId="7" type="noConversion"/>
  </si>
  <si>
    <t>투자자산</t>
    <phoneticPr fontId="7" type="noConversion"/>
  </si>
  <si>
    <t>구분</t>
    <phoneticPr fontId="7" type="noConversion"/>
  </si>
  <si>
    <t>SPC</t>
    <phoneticPr fontId="7" type="noConversion"/>
  </si>
  <si>
    <t>(1)</t>
    <phoneticPr fontId="8" type="noConversion"/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</si>
  <si>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</si>
  <si>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</si>
  <si>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</si>
  <si>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</si>
  <si>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</si>
  <si>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</si>
  <si>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</si>
  <si>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</si>
  <si>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</si>
  <si>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(12)</t>
  </si>
  <si>
    <t>(13)</t>
  </si>
  <si>
    <t>(14)</t>
  </si>
  <si>
    <t>(15)</t>
  </si>
  <si>
    <t>(16)</t>
  </si>
  <si>
    <t>(17)</t>
  </si>
  <si>
    <t>(18)</t>
  </si>
  <si>
    <t>(19)</t>
  </si>
  <si>
    <t>(20)</t>
  </si>
  <si>
    <t>(21)</t>
  </si>
  <si>
    <t>(22)</t>
  </si>
  <si>
    <t>(23)</t>
  </si>
  <si>
    <t>(24)</t>
  </si>
  <si>
    <t>(25)</t>
  </si>
  <si>
    <t>(26)</t>
  </si>
  <si>
    <t>(27)</t>
  </si>
  <si>
    <t>(28)</t>
  </si>
  <si>
    <t>(29)</t>
  </si>
  <si>
    <t>유한책임사원(LP)</t>
    <phoneticPr fontId="7" type="noConversion"/>
  </si>
  <si>
    <t>기준수익률(*)</t>
    <phoneticPr fontId="7" type="noConversion"/>
  </si>
  <si>
    <t>장부금액</t>
    <phoneticPr fontId="8" type="noConversion"/>
  </si>
  <si>
    <t>평가금액</t>
    <phoneticPr fontId="8" type="noConversion"/>
  </si>
  <si>
    <t>비고</t>
    <phoneticPr fontId="8" type="noConversion"/>
  </si>
  <si>
    <t>차이금액</t>
    <phoneticPr fontId="8" type="noConversion"/>
  </si>
  <si>
    <t>차이율</t>
    <phoneticPr fontId="8" type="noConversion"/>
  </si>
  <si>
    <t>(+) Capital Call</t>
  </si>
  <si>
    <t>투자자산명</t>
    <phoneticPr fontId="8" type="noConversion"/>
  </si>
  <si>
    <t>단위당 평가결과</t>
    <phoneticPr fontId="8" type="noConversion"/>
  </si>
  <si>
    <t>공정가치 평가액(총액)</t>
    <phoneticPr fontId="8" type="noConversion"/>
  </si>
  <si>
    <t>계정</t>
    <phoneticPr fontId="8" type="noConversion"/>
  </si>
  <si>
    <t>유의적 차이 여부</t>
    <phoneticPr fontId="8" type="noConversion"/>
  </si>
  <si>
    <t>장부금액 준용</t>
    <phoneticPr fontId="8" type="noConversion"/>
  </si>
  <si>
    <t>보유지분율(%)</t>
  </si>
  <si>
    <t>(3) 투자기업 현황</t>
    <phoneticPr fontId="7" type="noConversion"/>
  </si>
  <si>
    <t>보유지분율 고려 순자산가치</t>
    <phoneticPr fontId="8" type="noConversion"/>
  </si>
  <si>
    <t>장부가액</t>
    <phoneticPr fontId="8" type="noConversion"/>
  </si>
  <si>
    <t>평가금액</t>
    <phoneticPr fontId="8" type="noConversion"/>
  </si>
  <si>
    <t>투자자산명</t>
    <phoneticPr fontId="8" type="noConversion"/>
  </si>
  <si>
    <t>투자형태</t>
    <phoneticPr fontId="8" type="noConversion"/>
  </si>
  <si>
    <t>평가방법</t>
    <phoneticPr fontId="8" type="noConversion"/>
  </si>
  <si>
    <t>단위당 평가결과</t>
    <phoneticPr fontId="8" type="noConversion"/>
  </si>
  <si>
    <t>공정가치 평가액(총액)</t>
    <phoneticPr fontId="8" type="noConversion"/>
  </si>
  <si>
    <t>(*) 우측 투자자산현황 참고</t>
    <phoneticPr fontId="8" type="noConversion"/>
  </si>
  <si>
    <t>합계</t>
    <phoneticPr fontId="8" type="noConversion"/>
  </si>
  <si>
    <t>평가기준일</t>
    <phoneticPr fontId="8" type="noConversion"/>
  </si>
  <si>
    <t>우선손실충당 조항</t>
    <phoneticPr fontId="8" type="noConversion"/>
  </si>
  <si>
    <t>평가기준일</t>
    <phoneticPr fontId="8" type="noConversion"/>
  </si>
  <si>
    <t>구분</t>
    <phoneticPr fontId="8" type="noConversion"/>
  </si>
  <si>
    <t>공정가액</t>
    <phoneticPr fontId="8" type="noConversion"/>
  </si>
  <si>
    <t>구    분</t>
    <phoneticPr fontId="8" type="noConversion"/>
  </si>
  <si>
    <t>출자자명</t>
    <phoneticPr fontId="8" type="noConversion"/>
  </si>
  <si>
    <t>출자좌수</t>
    <phoneticPr fontId="8" type="noConversion"/>
  </si>
  <si>
    <t>운용사 자료 반영</t>
    <phoneticPr fontId="8" type="noConversion"/>
  </si>
  <si>
    <t>2. 펀드 자산가치접근법(NAV)</t>
    <phoneticPr fontId="8" type="noConversion"/>
  </si>
  <si>
    <t>3. Conclusion</t>
    <phoneticPr fontId="8" type="noConversion"/>
  </si>
  <si>
    <t>4. 투자자산 검증</t>
    <phoneticPr fontId="8" type="noConversion"/>
  </si>
  <si>
    <t>5. SPC 검증</t>
    <phoneticPr fontId="8" type="noConversion"/>
  </si>
  <si>
    <t>(2) 평가결과 요약</t>
    <phoneticPr fontId="7" type="noConversion"/>
  </si>
  <si>
    <t>(1) 펀드 NAV 검증</t>
    <phoneticPr fontId="8" type="noConversion"/>
  </si>
  <si>
    <t>#1. 특이사항 없음</t>
  </si>
  <si>
    <t>#1</t>
    <phoneticPr fontId="8" type="noConversion"/>
  </si>
  <si>
    <t>#2</t>
    <phoneticPr fontId="8" type="noConversion"/>
  </si>
  <si>
    <t>#3</t>
    <phoneticPr fontId="8" type="noConversion"/>
  </si>
  <si>
    <t xml:space="preserve">최종 순자산가치 </t>
    <phoneticPr fontId="8" type="noConversion"/>
  </si>
  <si>
    <t>(*) 투자자산 검증 참고</t>
    <phoneticPr fontId="8" type="noConversion"/>
  </si>
  <si>
    <t>[ Check ]</t>
    <phoneticPr fontId="8" type="noConversion"/>
  </si>
  <si>
    <t>(1) 개요</t>
    <phoneticPr fontId="8" type="noConversion"/>
  </si>
  <si>
    <t>(2) 투자기업 현황</t>
    <phoneticPr fontId="7" type="noConversion"/>
  </si>
  <si>
    <t>1좌당 순자산가치</t>
    <phoneticPr fontId="8" type="noConversion"/>
  </si>
  <si>
    <t>자산총계(A)</t>
    <phoneticPr fontId="8" type="noConversion"/>
  </si>
  <si>
    <t>(3) 출자자 현황</t>
    <phoneticPr fontId="8" type="noConversion"/>
  </si>
  <si>
    <t>출자자명</t>
    <phoneticPr fontId="8" type="noConversion"/>
  </si>
  <si>
    <t>(*) 출자자 현황 참고</t>
    <phoneticPr fontId="8" type="noConversion"/>
  </si>
  <si>
    <t>총 출자좌수</t>
    <phoneticPr fontId="8" type="noConversion"/>
  </si>
  <si>
    <t>1좌당 평가값</t>
    <phoneticPr fontId="8" type="noConversion"/>
  </si>
  <si>
    <t>1좌당 금액</t>
    <phoneticPr fontId="8" type="noConversion"/>
  </si>
  <si>
    <t>1좌당 가치(검증)</t>
    <phoneticPr fontId="8" type="noConversion"/>
  </si>
  <si>
    <t>1좌당 가치(외부평가)</t>
    <phoneticPr fontId="8" type="noConversion"/>
  </si>
  <si>
    <t xml:space="preserve"> (1) 자산: 자산구성 내역은 SPC의 현금및현금성자산, 기타자산, 투자자산 등으로 구성되어 있음. 외부평가기관에서는 현금및현금성자산 등의 유동자산 및 기타자산의 경우 장부금액을 100% 공정가치로 인정하였음. 투자자산의 경우 최초 취득 후 2년 미만의 투자자산의 경우 취득원가를 공정가치로 준용하였으며, 그 외 자산의 경우 각 투자자산별 합리적인 평가모형을 반영하여 공정가치 산출하여 적용함.
 (2) 부채: 부채구성 내역은 SPC의 미지급보수 등의 유동 및 비유동부채로 구성되어 있음. 외부평가기관에서는 최근 재무제표상 부채의 장부금액을 100% 공정가치로 적용함.
 (3) 순자산: 상기 방법에 근거하여 공정가치로 환산한 자산 및 부채의 차액으로 순자산가치를 계산한 후 보유지분율(%)을 고려하여 최종 순자산가치를 산출함. 단, 재무제표일 이후 평가기준일 사이 추가출자 또는 분배가 있었을 경우 운용사로부터 제공받은 금액을 가감하여 최종 순자산가치를 계산함.
 → 외부평가자의 평가결과를 종합적으로 검토한 결과 적정하다고 판단됨.</t>
    <phoneticPr fontId="8" type="noConversion"/>
  </si>
  <si>
    <t>유가증권 외부평가값 적정성 검토(MRC)</t>
    <phoneticPr fontId="8" type="noConversion"/>
  </si>
  <si>
    <t>유의적 차이 기준</t>
    <phoneticPr fontId="8" type="noConversion"/>
  </si>
  <si>
    <t>&gt;&gt; 조항 반영시 확인필요</t>
    <phoneticPr fontId="7" type="noConversion"/>
  </si>
  <si>
    <t>약정금액(전체)</t>
    <phoneticPr fontId="8" type="noConversion"/>
  </si>
  <si>
    <t>출자금액(전체)</t>
    <phoneticPr fontId="8" type="noConversion"/>
  </si>
  <si>
    <t>자산접근법(NAV)</t>
  </si>
  <si>
    <t>외부평가보고서에 대한 내부적 검토결과 평가기관이 적용한 추정치 및 사용변수는 합리적인 가정하에 일관되게 적용되었으며, 이를 통한 평가값은 적정한 것으로 판단됨</t>
  </si>
  <si>
    <t xml:space="preserve">검토 담당자의 검토결과 특이사항 없음. </t>
  </si>
  <si>
    <t>평가 시 사용된 평가방법, 가정, 변수 등의 변동은 없었음.</t>
  </si>
  <si>
    <t>I. 비시장성증권 평가 Checklist</t>
    <phoneticPr fontId="8" type="noConversion"/>
  </si>
  <si>
    <t>Process</t>
    <phoneticPr fontId="8" type="noConversion"/>
  </si>
  <si>
    <t>Sub-Process</t>
    <phoneticPr fontId="8" type="noConversion"/>
  </si>
  <si>
    <t>Risks</t>
    <phoneticPr fontId="8" type="noConversion"/>
  </si>
  <si>
    <t>Contro l Activity</t>
    <phoneticPr fontId="8" type="noConversion"/>
  </si>
  <si>
    <t>II. 경영진에 의한 검토 통제(MRC) 결재선</t>
    <phoneticPr fontId="8" type="noConversion"/>
  </si>
  <si>
    <t>구분</t>
    <phoneticPr fontId="8" type="noConversion"/>
  </si>
  <si>
    <t>기초 자료 작성자</t>
    <phoneticPr fontId="8" type="noConversion"/>
  </si>
  <si>
    <t>1차 승인권자</t>
    <phoneticPr fontId="8" type="noConversion"/>
  </si>
  <si>
    <t>2차 승인권자</t>
    <phoneticPr fontId="8" type="noConversion"/>
  </si>
  <si>
    <t>일자</t>
    <phoneticPr fontId="8" type="noConversion"/>
  </si>
  <si>
    <t>직급 및 이름</t>
    <phoneticPr fontId="8" type="noConversion"/>
  </si>
  <si>
    <t>서명</t>
    <phoneticPr fontId="8" type="noConversion"/>
  </si>
  <si>
    <t>종합의견</t>
    <phoneticPr fontId="8" type="noConversion"/>
  </si>
  <si>
    <t>내부적 검토결과 평가기관이 적용한 추정치, 사용변수는 합리적인 가정하에 일관되게 적용되었음. 이를 통한 평가값은 적정한 것으로 판단됨.</t>
    <phoneticPr fontId="8" type="noConversion"/>
  </si>
  <si>
    <t>III. 평가대상 회사에 대한 기본정보</t>
    <phoneticPr fontId="8" type="noConversion"/>
  </si>
  <si>
    <t>항목</t>
    <phoneticPr fontId="8" type="noConversion"/>
  </si>
  <si>
    <t>내용</t>
    <phoneticPr fontId="8" type="noConversion"/>
  </si>
  <si>
    <t>피투자회사명</t>
    <phoneticPr fontId="8" type="noConversion"/>
  </si>
  <si>
    <t>금융상품분류</t>
    <phoneticPr fontId="8" type="noConversion"/>
  </si>
  <si>
    <t>매도가능증권</t>
    <phoneticPr fontId="8" type="noConversion"/>
  </si>
  <si>
    <t>평가대상 증권의 종류</t>
    <phoneticPr fontId="8" type="noConversion"/>
  </si>
  <si>
    <t>당기손익-공정가치측정금융상품</t>
    <phoneticPr fontId="8" type="noConversion"/>
  </si>
  <si>
    <t>비상장</t>
    <phoneticPr fontId="8" type="noConversion"/>
  </si>
  <si>
    <t>평가기준일</t>
    <phoneticPr fontId="8" type="noConversion"/>
  </si>
  <si>
    <t>평가방법</t>
    <phoneticPr fontId="8" type="noConversion"/>
  </si>
  <si>
    <t>평가금액</t>
    <phoneticPr fontId="8" type="noConversion"/>
  </si>
  <si>
    <t>IV. 재무요약</t>
    <phoneticPr fontId="8" type="noConversion"/>
  </si>
  <si>
    <t>기업형태</t>
    <phoneticPr fontId="8" type="noConversion"/>
  </si>
  <si>
    <t>순자산</t>
    <phoneticPr fontId="8" type="noConversion"/>
  </si>
  <si>
    <t>매출액</t>
    <phoneticPr fontId="8" type="noConversion"/>
  </si>
  <si>
    <t>N/A</t>
    <phoneticPr fontId="8" type="noConversion"/>
  </si>
  <si>
    <t>영업이익</t>
    <phoneticPr fontId="8" type="noConversion"/>
  </si>
  <si>
    <t>N/A</t>
    <phoneticPr fontId="8" type="noConversion"/>
  </si>
  <si>
    <t>V. 평가값 적정성 검토의견</t>
    <phoneticPr fontId="8" type="noConversion"/>
  </si>
  <si>
    <t>펀드가치(LP 지분)</t>
    <phoneticPr fontId="8" type="noConversion"/>
  </si>
  <si>
    <t>검토의견</t>
    <phoneticPr fontId="8" type="noConversion"/>
  </si>
  <si>
    <t>평가기관 평가금액</t>
    <phoneticPr fontId="8" type="noConversion"/>
  </si>
  <si>
    <t>재계산결과</t>
    <phoneticPr fontId="8" type="noConversion"/>
  </si>
  <si>
    <t>차이금액</t>
    <phoneticPr fontId="8" type="noConversion"/>
  </si>
  <si>
    <t>차이율</t>
    <phoneticPr fontId="8" type="noConversion"/>
  </si>
  <si>
    <t>V-I. 전기대비 평가값 변동에 대한 검토의견</t>
    <phoneticPr fontId="8" type="noConversion"/>
  </si>
  <si>
    <t>전분기 주(좌)당 평가값</t>
    <phoneticPr fontId="8" type="noConversion"/>
  </si>
  <si>
    <t>THRESHOLD</t>
    <phoneticPr fontId="8" type="noConversion"/>
  </si>
  <si>
    <t>구     분</t>
    <phoneticPr fontId="8" type="noConversion"/>
  </si>
  <si>
    <t>Checklist</t>
    <phoneticPr fontId="8" type="noConversion"/>
  </si>
  <si>
    <t>검토내역</t>
    <phoneticPr fontId="10" type="noConversion"/>
  </si>
  <si>
    <t>Threshold 및 예외사항</t>
    <phoneticPr fontId="10" type="noConversion"/>
  </si>
  <si>
    <t>확인사항 (근거 문서)</t>
    <phoneticPr fontId="8" type="noConversion"/>
  </si>
  <si>
    <t>Guideline</t>
    <phoneticPr fontId="8" type="noConversion"/>
  </si>
  <si>
    <t>KAP 검토사항</t>
    <phoneticPr fontId="8" type="noConversion"/>
  </si>
  <si>
    <t>전기대비 평가값 변동</t>
    <phoneticPr fontId="8" type="noConversion"/>
  </si>
  <si>
    <t>평가값이 전기말 대비 Threshold를 초과하는가? 사유는 무엇이며, 변동사유는 적정한가?</t>
    <phoneticPr fontId="8" type="noConversion"/>
  </si>
  <si>
    <t>전기말 대비 당기 주(좌)당 평가값의 변동률이 10%이상인 경우</t>
    <phoneticPr fontId="8" type="noConversion"/>
  </si>
  <si>
    <t>해당사항 없음</t>
    <phoneticPr fontId="8" type="noConversion"/>
  </si>
  <si>
    <t xml:space="preserve">평가값의 변동이 큰 사유를 파악하여 문서화를 함. 
- 주된 가정이 변경된 것인지,
- 평가대상회사에 영향을 준 Event가 발생하여 반영된 것인지,
- 거시 경제에 영향을 주는 Event가 발생하여 반영된 것인지 등 </t>
    <phoneticPr fontId="8" type="noConversion"/>
  </si>
  <si>
    <t>특이사항 없음</t>
    <phoneticPr fontId="8" type="noConversion"/>
  </si>
  <si>
    <t>VI. 경영진에 의한 검토 통제(MRC) 검토 세부내역</t>
    <phoneticPr fontId="8" type="noConversion"/>
  </si>
  <si>
    <t>세부 검토 항목</t>
    <phoneticPr fontId="8" type="noConversion"/>
  </si>
  <si>
    <t>검토담당자 검토사항</t>
    <phoneticPr fontId="8" type="noConversion"/>
  </si>
  <si>
    <t>승인권자 검토사항</t>
    <phoneticPr fontId="8" type="noConversion"/>
  </si>
  <si>
    <t>1. 외부평가기관의 적격성 및 독립성 검토</t>
    <phoneticPr fontId="8" type="noConversion"/>
  </si>
  <si>
    <t>1) 외부전문가의 적격성
  ① 평가기관의 규모는 적정한가?
  ② 임직원 수 및 업무 수행 경력은 얼마인가?
  ③ 평가업무에 대한 전문성?</t>
    <phoneticPr fontId="8" type="noConversion"/>
  </si>
  <si>
    <t>평가기관의 외부전문가의 적격성은 외부평가기관질문서검토 시트로 갈음함</t>
    <phoneticPr fontId="8" type="noConversion"/>
  </si>
  <si>
    <t xml:space="preserve">검토 담당자의 검토결과 특이사항 없음. </t>
    <phoneticPr fontId="8" type="noConversion"/>
  </si>
  <si>
    <t xml:space="preserve">2) 외부전문가의 독립성
  2-1) 재무적 이해관계 유무
    ① 주식/출자지분의 관계가 있는가?
    ② 채권 또는 채무관계가 있는가?
    ③ 평가의 대가로 회사의 주식, BW, CB 또는 주식매수선택권을 제공받았는가?
    ④ 용역보수의 수준이 일반적인 범위에서 벗어나는가?
  2-2) 인적 특수관계 유무
    ① 평가법인의 임원 또는 당해 공정가액평가업무 참여자의 배우자가 회사의 임원인가? 
    ② 회사의 임원 또는 배우자가 평가기관의 임원 또는 당해 공정가액평가업무 참여자인가?
    ③ 용역보수의 수준이 일반적인 범위에서 벗어나는가?    </t>
    <phoneticPr fontId="8" type="noConversion"/>
  </si>
  <si>
    <t xml:space="preserve">2) 외부전문가의 독립성
  2-1) 재무적 이해관계 유무
    ① 해당 없음
    ② 해당 없음 (용역수수료 관련 채권 · 채무 이외에는 없음)
    ③ 해당 없음
    ④ 해당 없음
  2-2) 인적 특수관계 유무
    ① 해당 없음 
    ② 해당 없음
    ③ 해당 없음   </t>
    <phoneticPr fontId="8" type="noConversion"/>
  </si>
  <si>
    <t>2. 평가대상기업에 대한 이해</t>
    <phoneticPr fontId="8" type="noConversion"/>
  </si>
  <si>
    <t>평가대상기업에 대한 분석 및 산업의 특성에 대한 이해가 충분히 검토되고 선행되었는가?</t>
    <phoneticPr fontId="8" type="noConversion"/>
  </si>
  <si>
    <t>동 투자자산은 비상장회사로서 표준산업분류 상 그 외 기타 여신금융업을 영위하고 있음. 1955년 설립되어 증권기관에 대한 여신, 증권금융, 우리사주 관리 등의 업무를 수행함. 
한국거래소에 상장된 주식의 시가총액은 1.5조 달러로 전세계 시가총액 100.4조 대비 2.0%로 한국의 GDP순위에 비해 낮지만 주식, 채권, 파생상품 거래 규모는 각각 7, 3, 7위로 한국의 거래시장은 GDP 대비 매우 활성화 되어있음.</t>
    <phoneticPr fontId="8" type="noConversion"/>
  </si>
  <si>
    <t>3. 투입된 기초정보의 적정성 검토</t>
    <phoneticPr fontId="8" type="noConversion"/>
  </si>
  <si>
    <t>- 평가에 사용된 기초정보(ex. 결산재무제표, 미래 현금흐름, 사업계획 등)는 평가대상기업이 제공한 기초정보와 일치하는가? 
- 평가대상기업이 제공한 기초정보는 평가기준일 현재 입수가능한 가장 최근의 정보로 구성되어 있으며 최대 3개월 이내의 재무정보인가?
- 평가에 사용된 기초정보와 평가기준일 사이에 중요한거래가 있는 경우 이를 반영하였는가?</t>
    <phoneticPr fontId="8" type="noConversion"/>
  </si>
  <si>
    <t>4. 평가값에 대한 분석적 검토</t>
    <phoneticPr fontId="8" type="noConversion"/>
  </si>
  <si>
    <t>1) 어떠한 가치평가기법을 사용하였는지 검토하고, 해당 가치평가 기법에 대해 충분히 이해하고 있는가?</t>
    <phoneticPr fontId="8" type="noConversion"/>
  </si>
  <si>
    <t>공정가치평가 전문가는 순자산가치법을 이용하여 평가 수행함. 
순자산가치법은 개별 자산 및 부채를 각각 적정한 시장가치로 수정한 후 이를 합산하여 기업가치를 측정하는 평가방법임.</t>
    <phoneticPr fontId="8" type="noConversion"/>
  </si>
  <si>
    <t>2) 평가대상기업을 고려할 때, 사용된 가치평가기법이 합리적이라고 판단하는가?</t>
    <phoneticPr fontId="8" type="noConversion"/>
  </si>
  <si>
    <t>비상장지분증권 공정가치평가 전문가는 순자산접근법을 통하여 평가하였으며, 구성 자산의 시장가치가 합리적으로 구해질 수 있는 금융자산으로 구성되어 있음에 따라 공정가치평가시 순자산접근법을 사용하는 것은 적정하다 판단됨.</t>
    <phoneticPr fontId="8" type="noConversion"/>
  </si>
  <si>
    <t>3) 직전 결산일에도 평가되었다면, 일관된 평가방법, 가정, 변수가 적용되었는가? 변경되었다면, 그 근거에 대해 검토하고 충분히 이해하고 있는가?</t>
    <phoneticPr fontId="8" type="noConversion"/>
  </si>
  <si>
    <t>4) 직전 평가값과 비교하여 유의적인 변동이 있는지 검토하였는가? 유의적인 변동이 있다면 해당 변동사유에 대해 검토하고 충분히 이해하고 있는가?</t>
    <phoneticPr fontId="8" type="noConversion"/>
  </si>
  <si>
    <t>2021년 2분기 13,854 =&gt; 2021년 4분기 14,077
직전 평가값 대비 1.61% 상승, 유의적인 변동은 없음</t>
    <phoneticPr fontId="8" type="noConversion"/>
  </si>
  <si>
    <t>5. 주요 투입변수 및 가정 검토</t>
    <phoneticPr fontId="8" type="noConversion"/>
  </si>
  <si>
    <t>순자산가치법
(Net Asset Value)</t>
    <phoneticPr fontId="8" type="noConversion"/>
  </si>
  <si>
    <t>1) 자산가치 접근법 중 자산평가 방법의 적정성 검토
   - 자산평가 방법의 적정성 검토</t>
    <phoneticPr fontId="8" type="noConversion"/>
  </si>
  <si>
    <t>자산구성 내역은 현금및현금성자산, 기타자산(미수금), 상장주식, 비상장주식 등으로 구성되어 있음. 외부평가기관에서는 현금및현금성자산, 기타자산(미수금), 상장주식의 경우 100% 시장가치로 인정하였음. 그 외 공정가치 평가대상 자산은 외부평가기관이 평가를 수행하였고 검토한 결과 적정하다고 판단됨</t>
    <phoneticPr fontId="8" type="noConversion"/>
  </si>
  <si>
    <t>2) 자산가치 접근법 중 부채평가 방법의 적정성 검토
   - 부채평가 방법의 적정성 검토</t>
    <phoneticPr fontId="8" type="noConversion"/>
  </si>
  <si>
    <t>단기성부채의 경우 장부금액으로 평가하였으며, 장기부채의 경우 은행차입금이므로 장부금액을 그대로 적용하였음. 공정가치로 환산한 자산 및 부채의 차액으로 순자산가치를 계산한 후 총주식수로 나누어 주당가치를 산정하였음. 외부평가자의 평가결과를 종합적으로 검토한 결과 적정하다고 판단됨.</t>
    <phoneticPr fontId="8" type="noConversion"/>
  </si>
  <si>
    <t>3) 계약조건 반영 여부
   - 우선손실충당조항 또는 성과보수 조항 등 계약조항이 반영되었는가?</t>
    <phoneticPr fontId="8" type="noConversion"/>
  </si>
  <si>
    <t>성과보수조항 또는 우선손실분배조항이 순자산가치 산출에 적절하게 인식되었음.</t>
    <phoneticPr fontId="8" type="noConversion"/>
  </si>
  <si>
    <t>4) 보고일과 측정일 간 유의적인 후속사건 고려 여부
   - 평가기준일 이후 추가출자 또는 분배사항이 반영되었는가?</t>
    <phoneticPr fontId="8" type="noConversion"/>
  </si>
  <si>
    <t>평가에 사용된 재무제표 기준일과 평가기준일 간에 이루어진 추가출자 또는 원금분배 사항이 적절하게 인식되었음.</t>
    <phoneticPr fontId="8" type="noConversion"/>
  </si>
  <si>
    <t>6. 검토결론</t>
    <phoneticPr fontId="8" type="noConversion"/>
  </si>
  <si>
    <t>외부평가기관로부터 수령한 평가값은 적용된 가정, 투입변수, 평가방법 등을 검토한 결과 적정하게 평가되었는가? 예외사항이 발견된 경우 해당 원인은 적절히 파악되어 소명되었는가?</t>
    <phoneticPr fontId="8" type="noConversion"/>
  </si>
  <si>
    <t>검토 결과, 별도의 예외사항은 발견되지 않음.</t>
    <phoneticPr fontId="8" type="noConversion"/>
  </si>
  <si>
    <t>우선손실충당 조항</t>
  </si>
  <si>
    <t>성과보수 반영</t>
    <phoneticPr fontId="7" type="noConversion"/>
  </si>
  <si>
    <t>성과보수 반영</t>
    <phoneticPr fontId="8" type="noConversion"/>
  </si>
  <si>
    <t>유가증권 외부평가값 적정성 검토(MRC)_별첨</t>
    <phoneticPr fontId="8" type="noConversion"/>
  </si>
  <si>
    <t>(-) Distribution</t>
  </si>
  <si>
    <t>(-) Distribution</t>
    <phoneticPr fontId="7" type="noConversion"/>
  </si>
  <si>
    <t>우선주</t>
  </si>
  <si>
    <t>전환우선주</t>
  </si>
  <si>
    <t>상환우선주</t>
  </si>
  <si>
    <t>상환전환우선주</t>
  </si>
  <si>
    <t>교환사채</t>
  </si>
  <si>
    <t>전환사채</t>
  </si>
  <si>
    <t>신주인수권부사채</t>
  </si>
  <si>
    <t>신주인수권</t>
  </si>
  <si>
    <t>기타옵션</t>
  </si>
  <si>
    <t>SOC</t>
  </si>
  <si>
    <t>PFV</t>
  </si>
  <si>
    <t>SPC 개수</t>
    <phoneticPr fontId="8" type="noConversion"/>
  </si>
  <si>
    <t>종목 개수</t>
    <phoneticPr fontId="8" type="noConversion"/>
  </si>
  <si>
    <t>당분기 주(좌)당 평가값</t>
    <phoneticPr fontId="8" type="noConversion"/>
  </si>
  <si>
    <t>주(좌)당 변동액</t>
    <phoneticPr fontId="8" type="noConversion"/>
  </si>
  <si>
    <t>종목코드</t>
    <phoneticPr fontId="7" type="noConversion"/>
  </si>
  <si>
    <t>페이지</t>
    <phoneticPr fontId="7" type="noConversion"/>
  </si>
  <si>
    <t>종목명</t>
  </si>
  <si>
    <t>종목명</t>
    <phoneticPr fontId="7" type="noConversion"/>
  </si>
  <si>
    <t>Symbol</t>
  </si>
  <si>
    <t>삼성전자</t>
  </si>
  <si>
    <t>LG에너지솔루션</t>
  </si>
  <si>
    <t>SK하이닉스</t>
  </si>
  <si>
    <t>삼성바이오로직스</t>
  </si>
  <si>
    <t>LG화학</t>
  </si>
  <si>
    <t>NAVER</t>
  </si>
  <si>
    <t>삼성SDI</t>
  </si>
  <si>
    <t>현대차</t>
  </si>
  <si>
    <t>기아</t>
  </si>
  <si>
    <t>카카오</t>
  </si>
  <si>
    <t>셀트리온</t>
  </si>
  <si>
    <t>POSCO홀딩스</t>
  </si>
  <si>
    <t>삼성물산</t>
  </si>
  <si>
    <t>KB금융</t>
  </si>
  <si>
    <t>신한지주</t>
  </si>
  <si>
    <t>SK이노베이션</t>
  </si>
  <si>
    <t>현대모비스</t>
  </si>
  <si>
    <t>카카오뱅크</t>
  </si>
  <si>
    <t>SK</t>
  </si>
  <si>
    <t>LG전자</t>
  </si>
  <si>
    <t>한국전력</t>
  </si>
  <si>
    <t>삼성생명</t>
  </si>
  <si>
    <t>에코프로비엠</t>
  </si>
  <si>
    <t>크래프톤</t>
  </si>
  <si>
    <t>HMM</t>
  </si>
  <si>
    <t>LG</t>
  </si>
  <si>
    <t>하나금융지주</t>
  </si>
  <si>
    <t>S-Oil</t>
  </si>
  <si>
    <t>SK텔레콤</t>
  </si>
  <si>
    <t>KT&amp;G</t>
  </si>
  <si>
    <t>두산에너빌리티</t>
  </si>
  <si>
    <t>삼성에스디에스</t>
  </si>
  <si>
    <t>삼성전기</t>
  </si>
  <si>
    <t>고려아연</t>
  </si>
  <si>
    <t>LG생활건강</t>
  </si>
  <si>
    <t>삼성화재</t>
  </si>
  <si>
    <t>KT</t>
  </si>
  <si>
    <t>우리금융지주</t>
  </si>
  <si>
    <t>카카오페이</t>
  </si>
  <si>
    <t>엔씨소프트</t>
  </si>
  <si>
    <t>대한항공</t>
  </si>
  <si>
    <t>엘앤에프</t>
  </si>
  <si>
    <t>LG이노텍</t>
  </si>
  <si>
    <t>SK바이오사이언스</t>
  </si>
  <si>
    <t>SK아이이테크놀로지</t>
  </si>
  <si>
    <t>기업은행</t>
  </si>
  <si>
    <t>아모레퍼시픽</t>
  </si>
  <si>
    <t>한화솔루션</t>
  </si>
  <si>
    <t>현대글로비스</t>
  </si>
  <si>
    <t>롯데케미칼</t>
  </si>
  <si>
    <t>넷마블</t>
  </si>
  <si>
    <t>SKC</t>
  </si>
  <si>
    <t>LG유플러스</t>
  </si>
  <si>
    <t>하이브</t>
  </si>
  <si>
    <t>SK스퀘어</t>
  </si>
  <si>
    <t>강원랜드</t>
  </si>
  <si>
    <t>CJ제일제당</t>
  </si>
  <si>
    <t>SK바이오팜</t>
  </si>
  <si>
    <t>LG디스플레이</t>
  </si>
  <si>
    <t>삼성중공업</t>
  </si>
  <si>
    <t>F&amp;F</t>
  </si>
  <si>
    <t>한온시스템</t>
  </si>
  <si>
    <t>한국항공우주</t>
  </si>
  <si>
    <t>HD현대</t>
  </si>
  <si>
    <t>코웨이</t>
  </si>
  <si>
    <t>현대제철</t>
  </si>
  <si>
    <t>DB손해보험</t>
  </si>
  <si>
    <t>금호석유</t>
  </si>
  <si>
    <t>현대건설</t>
  </si>
  <si>
    <t>한진칼</t>
  </si>
  <si>
    <t>오리온</t>
  </si>
  <si>
    <t>한국타이어앤테크놀로지</t>
  </si>
  <si>
    <t>미래에셋증권</t>
  </si>
  <si>
    <t>유한양행</t>
  </si>
  <si>
    <t>카카오게임즈</t>
  </si>
  <si>
    <t>GS</t>
  </si>
  <si>
    <t>롯데지주</t>
  </si>
  <si>
    <t>에스디바이오센서</t>
  </si>
  <si>
    <t>한국가스공사</t>
  </si>
  <si>
    <t>한미약품</t>
  </si>
  <si>
    <t>삼성카드</t>
  </si>
  <si>
    <t>팬오션</t>
  </si>
  <si>
    <t>HLB</t>
  </si>
  <si>
    <t>메리츠금융지주</t>
  </si>
  <si>
    <t>펄어비스</t>
  </si>
  <si>
    <t>한국금융지주</t>
  </si>
  <si>
    <t>NH투자증권</t>
  </si>
  <si>
    <t>삼성증권</t>
  </si>
  <si>
    <t>아모레G</t>
  </si>
  <si>
    <t>BGF리테일</t>
  </si>
  <si>
    <t>OCI</t>
  </si>
  <si>
    <t>두산밥캣</t>
  </si>
  <si>
    <t>현대오토에버</t>
  </si>
  <si>
    <t>이마트</t>
  </si>
  <si>
    <t>롯데쇼핑</t>
  </si>
  <si>
    <t>현대해상</t>
  </si>
  <si>
    <t>셀트리온제약</t>
  </si>
  <si>
    <t>한미사이언스</t>
  </si>
  <si>
    <t>제일기획</t>
  </si>
  <si>
    <t>호텔신라</t>
  </si>
  <si>
    <t>GS리테일</t>
  </si>
  <si>
    <t>GS건설</t>
  </si>
  <si>
    <t>알테오젠</t>
  </si>
  <si>
    <t>CJ대한통운</t>
  </si>
  <si>
    <t>한화시스템</t>
  </si>
  <si>
    <t>동서</t>
  </si>
  <si>
    <t>KCC</t>
  </si>
  <si>
    <t>포스코인터내셔널</t>
  </si>
  <si>
    <t>한솔케미칼</t>
  </si>
  <si>
    <t>한화에어로스페이스</t>
  </si>
  <si>
    <t>에스원</t>
  </si>
  <si>
    <t>천보</t>
  </si>
  <si>
    <t>DB하이텍</t>
  </si>
  <si>
    <t>위메이드</t>
  </si>
  <si>
    <t>CJ</t>
  </si>
  <si>
    <t>키움증권</t>
  </si>
  <si>
    <t>BNK금융지주</t>
  </si>
  <si>
    <t>대한전선</t>
  </si>
  <si>
    <t>씨에스윈드</t>
  </si>
  <si>
    <t>대우건설</t>
  </si>
  <si>
    <t>하이트진로</t>
  </si>
  <si>
    <t>한전기술</t>
  </si>
  <si>
    <t>신세계</t>
  </si>
  <si>
    <t>CJ ENM</t>
  </si>
  <si>
    <t>현대로템</t>
  </si>
  <si>
    <t>리노공업</t>
  </si>
  <si>
    <t>LS</t>
  </si>
  <si>
    <t>한화생명</t>
  </si>
  <si>
    <t>두산퓨얼셀</t>
  </si>
  <si>
    <t>스튜디오드래곤</t>
  </si>
  <si>
    <t>녹십자</t>
  </si>
  <si>
    <t>한화</t>
  </si>
  <si>
    <t>롯데정밀화학</t>
  </si>
  <si>
    <t>씨젠</t>
  </si>
  <si>
    <t>솔브레인</t>
  </si>
  <si>
    <t>에코프로</t>
  </si>
  <si>
    <t>영원무역</t>
  </si>
  <si>
    <t>효성첨단소재</t>
  </si>
  <si>
    <t>대웅제약</t>
  </si>
  <si>
    <t>JYP Ent.</t>
  </si>
  <si>
    <t>후성</t>
  </si>
  <si>
    <t>동진쎄미켐</t>
  </si>
  <si>
    <t>솔루스첨단소재</t>
  </si>
  <si>
    <t>에스티팜</t>
  </si>
  <si>
    <t>현대백화점</t>
  </si>
  <si>
    <t>효성</t>
  </si>
  <si>
    <t>롯데칠성</t>
  </si>
  <si>
    <t>LX세미콘</t>
  </si>
  <si>
    <t>휠라홀딩스</t>
  </si>
  <si>
    <t>SK케미칼</t>
  </si>
  <si>
    <t>농심</t>
  </si>
  <si>
    <t>KG스틸</t>
  </si>
  <si>
    <t>코스모신소재</t>
  </si>
  <si>
    <t>LS ELECTRIC</t>
  </si>
  <si>
    <t>오뚜기</t>
  </si>
  <si>
    <t>DL이앤씨</t>
  </si>
  <si>
    <t>LIG넥스원</t>
  </si>
  <si>
    <t>에스엠</t>
  </si>
  <si>
    <t>한전KPS</t>
  </si>
  <si>
    <t>원익IPS</t>
  </si>
  <si>
    <t>JB금융지주</t>
  </si>
  <si>
    <t>한샘</t>
  </si>
  <si>
    <t>효성티앤씨</t>
  </si>
  <si>
    <t>동원시스템즈</t>
  </si>
  <si>
    <t>대웅</t>
  </si>
  <si>
    <t>코오롱인더</t>
  </si>
  <si>
    <t>에스에프에이</t>
  </si>
  <si>
    <t>현대위아</t>
  </si>
  <si>
    <t>DL</t>
  </si>
  <si>
    <t>동화기업</t>
  </si>
  <si>
    <t>티씨케이</t>
  </si>
  <si>
    <t>롯데렌탈</t>
  </si>
  <si>
    <t>파라다이스</t>
  </si>
  <si>
    <t>LX인터내셔널</t>
  </si>
  <si>
    <t>에스엘</t>
  </si>
  <si>
    <t>휴젤</t>
  </si>
  <si>
    <t>동국제강</t>
  </si>
  <si>
    <t>DGB금융지주</t>
  </si>
  <si>
    <t>HK이노엔</t>
  </si>
  <si>
    <t>신라젠</t>
  </si>
  <si>
    <t>대덕전자</t>
  </si>
  <si>
    <t>일진하이솔루스</t>
  </si>
  <si>
    <t>피엔티</t>
  </si>
  <si>
    <t>한국앤컴퍼니</t>
  </si>
  <si>
    <t>아이에스동서</t>
  </si>
  <si>
    <t>신풍제약</t>
  </si>
  <si>
    <t>아시아나항공</t>
  </si>
  <si>
    <t>한미반도체</t>
  </si>
  <si>
    <t>에이비엘바이오</t>
  </si>
  <si>
    <t>심텍</t>
  </si>
  <si>
    <t>서울가스</t>
  </si>
  <si>
    <t>대주전자재료</t>
  </si>
  <si>
    <t>네이처셀</t>
  </si>
  <si>
    <t>신세계인터내셔날</t>
  </si>
  <si>
    <t>대성홀딩스</t>
  </si>
  <si>
    <t>현대엘리베이</t>
  </si>
  <si>
    <t>HLB생명과학</t>
  </si>
  <si>
    <t>코리안리</t>
  </si>
  <si>
    <t>NHN</t>
  </si>
  <si>
    <t>SK가스</t>
  </si>
  <si>
    <t>두산</t>
  </si>
  <si>
    <t>더존비즈온</t>
  </si>
  <si>
    <t>씨아이에스</t>
  </si>
  <si>
    <t>종근당</t>
  </si>
  <si>
    <t>SK네트웍스</t>
  </si>
  <si>
    <t>클래시스</t>
  </si>
  <si>
    <t>티와이홀딩스</t>
  </si>
  <si>
    <t>금호타이어</t>
  </si>
  <si>
    <t>PI첨단소재</t>
  </si>
  <si>
    <t>미원에스씨</t>
  </si>
  <si>
    <t>이오테크닉스</t>
  </si>
  <si>
    <t>케이엠더블유</t>
  </si>
  <si>
    <t>해성디에스</t>
  </si>
  <si>
    <t>영풍</t>
  </si>
  <si>
    <t>케어젠</t>
  </si>
  <si>
    <t>태광산업</t>
  </si>
  <si>
    <t>하나머티리얼즈</t>
  </si>
  <si>
    <t>넥슨게임즈</t>
  </si>
  <si>
    <t>현대바이오</t>
  </si>
  <si>
    <t>케이카</t>
  </si>
  <si>
    <t>컴투스</t>
  </si>
  <si>
    <t>한일시멘트</t>
  </si>
  <si>
    <t>하나투어</t>
  </si>
  <si>
    <t>헬릭스미스</t>
  </si>
  <si>
    <t>메가스터디교육</t>
  </si>
  <si>
    <t>동양생명</t>
  </si>
  <si>
    <t>이노션</t>
  </si>
  <si>
    <t>하림지주</t>
  </si>
  <si>
    <t>오리온홀딩스</t>
  </si>
  <si>
    <t>녹십자홀딩스</t>
  </si>
  <si>
    <t>일동제약</t>
  </si>
  <si>
    <t>골프존</t>
  </si>
  <si>
    <t>CJ CGV</t>
  </si>
  <si>
    <t>유니드</t>
  </si>
  <si>
    <t>고영</t>
  </si>
  <si>
    <t>미원상사</t>
  </si>
  <si>
    <t>솔루엠</t>
  </si>
  <si>
    <t>덴티움</t>
  </si>
  <si>
    <t>안랩</t>
  </si>
  <si>
    <t>NICE평가정보</t>
  </si>
  <si>
    <t>대한유화</t>
  </si>
  <si>
    <t>위지윅스튜디오</t>
  </si>
  <si>
    <t>명신산업</t>
  </si>
  <si>
    <t>지누스</t>
  </si>
  <si>
    <t>SFA반도체</t>
  </si>
  <si>
    <t>대한해운</t>
  </si>
  <si>
    <t>엔켐</t>
  </si>
  <si>
    <t>롯데관광개발</t>
  </si>
  <si>
    <t>진원생명과학</t>
  </si>
  <si>
    <t>다원시스</t>
  </si>
  <si>
    <t>GKL</t>
  </si>
  <si>
    <t>파미셀</t>
  </si>
  <si>
    <t>지씨셀</t>
  </si>
  <si>
    <t>나노신소재</t>
  </si>
  <si>
    <t>SBS</t>
  </si>
  <si>
    <t>동원산업</t>
  </si>
  <si>
    <t>한올바이오파마</t>
  </si>
  <si>
    <t>제주항공</t>
  </si>
  <si>
    <t>와이지엔터테인먼트</t>
  </si>
  <si>
    <t>동국제약</t>
  </si>
  <si>
    <t>차바이오텍</t>
  </si>
  <si>
    <t>TKG휴켐스</t>
  </si>
  <si>
    <t>한국콜마</t>
  </si>
  <si>
    <t>삼천당제약</t>
  </si>
  <si>
    <t>비에이치</t>
  </si>
  <si>
    <t>한섬</t>
  </si>
  <si>
    <t>KCC글라스</t>
  </si>
  <si>
    <t>화승엔터프라이즈</t>
  </si>
  <si>
    <t>주성엔지니어링</t>
  </si>
  <si>
    <t>덕산네오룩스</t>
  </si>
  <si>
    <t>다우기술</t>
  </si>
  <si>
    <t>콘텐트리중앙</t>
  </si>
  <si>
    <t>콜마비앤에이치</t>
  </si>
  <si>
    <t>메디톡스</t>
  </si>
  <si>
    <t>디어유</t>
  </si>
  <si>
    <t>대신증권</t>
  </si>
  <si>
    <t>제넥신</t>
  </si>
  <si>
    <t>아이티엠반도체</t>
  </si>
  <si>
    <t>삼양식품</t>
  </si>
  <si>
    <t>오스코텍</t>
  </si>
  <si>
    <t>HDC현대산업개발</t>
  </si>
  <si>
    <t>엘앤씨바이오</t>
  </si>
  <si>
    <t>티에스이</t>
  </si>
  <si>
    <t>파마리서치</t>
  </si>
  <si>
    <t>세방전지</t>
  </si>
  <si>
    <t>진에어</t>
  </si>
  <si>
    <t>F&amp;F홀딩스</t>
  </si>
  <si>
    <t>풍산</t>
  </si>
  <si>
    <t>대상</t>
  </si>
  <si>
    <t>한세실업</t>
  </si>
  <si>
    <t>유진테크</t>
  </si>
  <si>
    <t>LX홀딩스</t>
  </si>
  <si>
    <t>원준</t>
  </si>
  <si>
    <t>보령</t>
  </si>
  <si>
    <t>더블유게임즈</t>
  </si>
  <si>
    <t>웹젠</t>
  </si>
  <si>
    <t>이녹스첨단소재</t>
  </si>
  <si>
    <t>한화투자증권</t>
  </si>
  <si>
    <t>SK디스커버리</t>
  </si>
  <si>
    <t>드림텍</t>
  </si>
  <si>
    <t>하나마이크론</t>
  </si>
  <si>
    <t>파크시스템스</t>
  </si>
  <si>
    <t>영진약품</t>
  </si>
  <si>
    <t>원익QnC</t>
  </si>
  <si>
    <t>프레스티지바이오파마</t>
  </si>
  <si>
    <t>코스맥스</t>
  </si>
  <si>
    <t>효성화학</t>
  </si>
  <si>
    <t>삼천리</t>
  </si>
  <si>
    <t>동아쏘시오홀딩스</t>
  </si>
  <si>
    <t>영원무역홀딩스</t>
  </si>
  <si>
    <t>바이오니아</t>
  </si>
  <si>
    <t>SNT모티브</t>
  </si>
  <si>
    <t>삼양홀딩스</t>
  </si>
  <si>
    <t>서울반도체</t>
  </si>
  <si>
    <t>현대홈쇼핑</t>
  </si>
  <si>
    <t>SPC삼립</t>
  </si>
  <si>
    <t>박셀바이오</t>
  </si>
  <si>
    <t>한국카본</t>
  </si>
  <si>
    <t>위메이드맥스</t>
  </si>
  <si>
    <t>쿠쿠홈시스</t>
  </si>
  <si>
    <t>이오플로우</t>
  </si>
  <si>
    <t>부광약품</t>
  </si>
  <si>
    <t>HJ중공업</t>
  </si>
  <si>
    <t>RFHIC</t>
  </si>
  <si>
    <t>미래에셋생명</t>
  </si>
  <si>
    <t>쿠쿠홀딩스</t>
  </si>
  <si>
    <t>엔케이맥스</t>
  </si>
  <si>
    <t>에코프로에이치엔</t>
  </si>
  <si>
    <t>선광</t>
  </si>
  <si>
    <t>경동나비엔</t>
  </si>
  <si>
    <t>아난티</t>
  </si>
  <si>
    <t>ISC</t>
  </si>
  <si>
    <t>네오위즈</t>
  </si>
  <si>
    <t>남해화학</t>
  </si>
  <si>
    <t>동원F&amp;B</t>
  </si>
  <si>
    <t>코웰패션</t>
  </si>
  <si>
    <t>SK디앤디</t>
  </si>
  <si>
    <t>엠씨넥스</t>
  </si>
  <si>
    <t>유안타증권</t>
  </si>
  <si>
    <t>DN오토모티브</t>
  </si>
  <si>
    <t>세아제강지주</t>
  </si>
  <si>
    <t>서진시스템</t>
  </si>
  <si>
    <t>넥센타이어</t>
  </si>
  <si>
    <t>젬백스</t>
  </si>
  <si>
    <t>인텔리안테크</t>
  </si>
  <si>
    <t>코스모화학</t>
  </si>
  <si>
    <t>휴림로봇</t>
  </si>
  <si>
    <t>세아베스틸지주</t>
  </si>
  <si>
    <t>효성중공업</t>
  </si>
  <si>
    <t>파인테크닉스</t>
  </si>
  <si>
    <t>피에스케이</t>
  </si>
  <si>
    <t>유바이오로직스</t>
  </si>
  <si>
    <t>신영증권</t>
  </si>
  <si>
    <t>코오롱티슈진</t>
  </si>
  <si>
    <t>파트론</t>
  </si>
  <si>
    <t>한국단자</t>
  </si>
  <si>
    <t>데브시스터즈</t>
  </si>
  <si>
    <t>흥아해운</t>
  </si>
  <si>
    <t>툴젠</t>
  </si>
  <si>
    <t>넥스틴</t>
  </si>
  <si>
    <t>상상인</t>
  </si>
  <si>
    <t>NICE</t>
  </si>
  <si>
    <t>롯데손해보험</t>
  </si>
  <si>
    <t>다날</t>
  </si>
  <si>
    <t>한국비엔씨</t>
  </si>
  <si>
    <t>제이시스메디칼</t>
  </si>
  <si>
    <t>엑세스바이오</t>
  </si>
  <si>
    <t>고려제강</t>
  </si>
  <si>
    <t>JW중외제약</t>
  </si>
  <si>
    <t>이엠텍</t>
  </si>
  <si>
    <t>SGC에너지</t>
  </si>
  <si>
    <t>CJ프레시웨이</t>
  </si>
  <si>
    <t>동아에스티</t>
  </si>
  <si>
    <t>인탑스</t>
  </si>
  <si>
    <t>코미코</t>
  </si>
  <si>
    <t>바텍</t>
  </si>
  <si>
    <t>상아프론테크</t>
  </si>
  <si>
    <t>서부T&amp;D</t>
  </si>
  <si>
    <t>송원산업</t>
  </si>
  <si>
    <t>한화손해보험</t>
  </si>
  <si>
    <t>율촌화학</t>
  </si>
  <si>
    <t>풀무원</t>
  </si>
  <si>
    <t>네패스</t>
  </si>
  <si>
    <t>LF</t>
  </si>
  <si>
    <t>매일유업</t>
  </si>
  <si>
    <t>국도화학</t>
  </si>
  <si>
    <t>코미팜</t>
  </si>
  <si>
    <t>아미코젠</t>
  </si>
  <si>
    <t>이랜텍</t>
  </si>
  <si>
    <t>자화전자</t>
  </si>
  <si>
    <t>코리아써키트</t>
  </si>
  <si>
    <t>메드팩토</t>
  </si>
  <si>
    <t>KH바텍</t>
  </si>
  <si>
    <t>에이스침대</t>
  </si>
  <si>
    <t>자이언트스텝</t>
  </si>
  <si>
    <t>한국자산신탁</t>
  </si>
  <si>
    <t>빙그레</t>
  </si>
  <si>
    <t>우리기술투자</t>
  </si>
  <si>
    <t>두산테스나</t>
  </si>
  <si>
    <t>휴마시스</t>
  </si>
  <si>
    <t>비덴트</t>
  </si>
  <si>
    <t>일양약품</t>
  </si>
  <si>
    <t>에코마케팅</t>
  </si>
  <si>
    <t>DI동일</t>
  </si>
  <si>
    <t>한국토지신탁</t>
  </si>
  <si>
    <t>메지온</t>
  </si>
  <si>
    <t>원익머트리얼즈</t>
  </si>
  <si>
    <t>삼양사</t>
  </si>
  <si>
    <t>셀리버리</t>
  </si>
  <si>
    <t>신흥에스이씨</t>
  </si>
  <si>
    <t>신성통상</t>
  </si>
  <si>
    <t>이엔에프테크놀로지</t>
  </si>
  <si>
    <t>한글과컴퓨터</t>
  </si>
  <si>
    <t>에스앤에스텍</t>
  </si>
  <si>
    <t>애경케미칼</t>
  </si>
  <si>
    <t>이연제약</t>
  </si>
  <si>
    <t>교보증권</t>
  </si>
  <si>
    <t>한일사료</t>
  </si>
  <si>
    <t>디오</t>
  </si>
  <si>
    <t>크리스에프앤씨</t>
  </si>
  <si>
    <t>솔브레인홀딩스</t>
  </si>
  <si>
    <t>휴온스</t>
  </si>
  <si>
    <t>스카이라이프</t>
  </si>
  <si>
    <t>인트론바이오</t>
  </si>
  <si>
    <t>신성이엔지</t>
  </si>
  <si>
    <t>삼화콘덴서</t>
  </si>
  <si>
    <t>롯데하이마트</t>
  </si>
  <si>
    <t>락앤락</t>
  </si>
  <si>
    <t>SIMPAC</t>
  </si>
  <si>
    <t>KG케미칼</t>
  </si>
  <si>
    <t>하나기술</t>
  </si>
  <si>
    <t>삼표시멘트</t>
  </si>
  <si>
    <t>더네이쳐홀딩스</t>
  </si>
  <si>
    <t>한진</t>
  </si>
  <si>
    <t>HDC</t>
  </si>
  <si>
    <t>세아제강</t>
  </si>
  <si>
    <t>이수페타시스</t>
  </si>
  <si>
    <t>디와이피엔에프</t>
  </si>
  <si>
    <t>한일현대시멘트</t>
  </si>
  <si>
    <t>TYM</t>
  </si>
  <si>
    <t>코엔텍</t>
  </si>
  <si>
    <t>테스</t>
  </si>
  <si>
    <t>BGF</t>
  </si>
  <si>
    <t>동일산업</t>
  </si>
  <si>
    <t>티케이케미칼</t>
  </si>
  <si>
    <t>다우데이타</t>
  </si>
  <si>
    <t>KEC</t>
  </si>
  <si>
    <t>아이센스</t>
  </si>
  <si>
    <t>HLB테라퓨틱스</t>
  </si>
  <si>
    <t>LG헬로비전</t>
  </si>
  <si>
    <t>이수화학</t>
  </si>
  <si>
    <t>애경산업</t>
  </si>
  <si>
    <t>서울옥션</t>
  </si>
  <si>
    <t>바이넥스</t>
  </si>
  <si>
    <t>세아홀딩스</t>
  </si>
  <si>
    <t>유니테스트</t>
  </si>
  <si>
    <t>인선이엔티</t>
  </si>
  <si>
    <t>퍼시스</t>
  </si>
  <si>
    <t>바이오플러스</t>
  </si>
  <si>
    <t>코오롱글로벌</t>
  </si>
  <si>
    <t>네오이뮨텍</t>
  </si>
  <si>
    <t>KG이니시스</t>
  </si>
  <si>
    <t>인터로조</t>
  </si>
  <si>
    <t>넵튠</t>
  </si>
  <si>
    <t>LX하우시스</t>
  </si>
  <si>
    <t>NPC</t>
  </si>
  <si>
    <t>티움바이오</t>
  </si>
  <si>
    <t>대한제강</t>
  </si>
  <si>
    <t>동원개발</t>
  </si>
  <si>
    <t>에스에이엠티</t>
  </si>
  <si>
    <t>팜스토리</t>
  </si>
  <si>
    <t>뷰웍스</t>
  </si>
  <si>
    <t>아세아시멘트</t>
  </si>
  <si>
    <t>레인보우로보틱스</t>
  </si>
  <si>
    <t>서흥</t>
  </si>
  <si>
    <t>올릭스</t>
  </si>
  <si>
    <t>유나이티드제약</t>
  </si>
  <si>
    <t>한일홀딩스</t>
  </si>
  <si>
    <t>신대양제지</t>
  </si>
  <si>
    <t>HLB제약</t>
  </si>
  <si>
    <t>오킨스전자</t>
  </si>
  <si>
    <t>잇츠한불</t>
  </si>
  <si>
    <t>맥스트</t>
  </si>
  <si>
    <t>싸이토젠</t>
  </si>
  <si>
    <t>성우하이텍</t>
  </si>
  <si>
    <t>코오롱생명과학</t>
  </si>
  <si>
    <t>네패스아크</t>
  </si>
  <si>
    <t>아이마켓코리아</t>
  </si>
  <si>
    <t>대보마그네틱</t>
  </si>
  <si>
    <t>지역난방공사</t>
  </si>
  <si>
    <t>CMG제약</t>
  </si>
  <si>
    <t>메디포스트</t>
  </si>
  <si>
    <t>대원제약</t>
  </si>
  <si>
    <t>세진중공업</t>
  </si>
  <si>
    <t>미코바이오메드</t>
  </si>
  <si>
    <t>삼진제약</t>
  </si>
  <si>
    <t>원익피앤이</t>
  </si>
  <si>
    <t>압타바이오</t>
  </si>
  <si>
    <t>현대무벡스</t>
  </si>
  <si>
    <t>동성화인텍</t>
  </si>
  <si>
    <t>일진홀딩스</t>
  </si>
  <si>
    <t>태광</t>
  </si>
  <si>
    <t>티웨이항공</t>
  </si>
  <si>
    <t>에치에프알</t>
  </si>
  <si>
    <t>컴투스홀딩스</t>
  </si>
  <si>
    <t>SK증권</t>
  </si>
  <si>
    <t>한국기업평가</t>
  </si>
  <si>
    <t>국일제지</t>
  </si>
  <si>
    <t>유비쿼스홀딩스</t>
  </si>
  <si>
    <t>에스피지</t>
  </si>
  <si>
    <t>테이팩스</t>
  </si>
  <si>
    <t>국전약품</t>
  </si>
  <si>
    <t>엠아이텍</t>
  </si>
  <si>
    <t>대성에너지</t>
  </si>
  <si>
    <t>티앤알바이오팹</t>
  </si>
  <si>
    <t>인바디</t>
  </si>
  <si>
    <t>경방</t>
  </si>
  <si>
    <t>에이스테크</t>
  </si>
  <si>
    <t>HLB글로벌</t>
  </si>
  <si>
    <t>노바텍</t>
  </si>
  <si>
    <t>조선내화</t>
  </si>
  <si>
    <t>한전산업</t>
  </si>
  <si>
    <t>골프존뉴딘홀딩스</t>
  </si>
  <si>
    <t>삼부토건</t>
  </si>
  <si>
    <t>한국쉘석유</t>
  </si>
  <si>
    <t>서희건설</t>
  </si>
  <si>
    <t>케이씨텍</t>
  </si>
  <si>
    <t>미원홀딩스</t>
  </si>
  <si>
    <t>가온칩스</t>
  </si>
  <si>
    <t>하림</t>
  </si>
  <si>
    <t>모트렉스</t>
  </si>
  <si>
    <t>광동제약</t>
  </si>
  <si>
    <t>KX</t>
  </si>
  <si>
    <t>농심홀딩스</t>
  </si>
  <si>
    <t>아주IB투자</t>
  </si>
  <si>
    <t>신도리코</t>
  </si>
  <si>
    <t>파세코</t>
  </si>
  <si>
    <t>현대차증권</t>
  </si>
  <si>
    <t>SM C&amp;C</t>
  </si>
  <si>
    <t>쎄트렉아이</t>
  </si>
  <si>
    <t>초록뱀미디어</t>
  </si>
  <si>
    <t>모다이노칩</t>
  </si>
  <si>
    <t>덱스터</t>
  </si>
  <si>
    <t>도화엔지니어링</t>
  </si>
  <si>
    <t>라파스</t>
  </si>
  <si>
    <t>하나제약</t>
  </si>
  <si>
    <t>조이시티</t>
  </si>
  <si>
    <t>에프에스티</t>
  </si>
  <si>
    <t>한솔제지</t>
  </si>
  <si>
    <t>대한제당</t>
  </si>
  <si>
    <t>아세아제지</t>
  </si>
  <si>
    <t>시너지이노베이션</t>
  </si>
  <si>
    <t>덕산하이메탈</t>
  </si>
  <si>
    <t>유니슨</t>
  </si>
  <si>
    <t>AJ네트웍스</t>
  </si>
  <si>
    <t>E1</t>
  </si>
  <si>
    <t>풍원정밀</t>
  </si>
  <si>
    <t>동국S&amp;C</t>
  </si>
  <si>
    <t>쿠콘</t>
  </si>
  <si>
    <t>환인제약</t>
  </si>
  <si>
    <t>성광벤드</t>
  </si>
  <si>
    <t>모두투어</t>
  </si>
  <si>
    <t>원익홀딩스</t>
  </si>
  <si>
    <t>미코</t>
  </si>
  <si>
    <t>엘브이엠씨홀딩스</t>
  </si>
  <si>
    <t>STX엔진</t>
  </si>
  <si>
    <t>뉴지랩파마</t>
  </si>
  <si>
    <t>금호건설</t>
  </si>
  <si>
    <t>유진기업</t>
  </si>
  <si>
    <t>YG PLUS</t>
  </si>
  <si>
    <t>제일약품</t>
  </si>
  <si>
    <t>쏠리드</t>
  </si>
  <si>
    <t>레이크머티리얼즈</t>
  </si>
  <si>
    <t>쇼박스</t>
  </si>
  <si>
    <t>크레버스</t>
  </si>
  <si>
    <t>제이앤티씨</t>
  </si>
  <si>
    <t>범한퓨얼셀</t>
  </si>
  <si>
    <t>TCC스틸</t>
  </si>
  <si>
    <t>월덱스</t>
  </si>
  <si>
    <t>SBI인베스트먼트</t>
  </si>
  <si>
    <t>켐트로닉스</t>
  </si>
  <si>
    <t>대동</t>
  </si>
  <si>
    <t>모비데이즈</t>
  </si>
  <si>
    <t>한신기계</t>
  </si>
  <si>
    <t>이지홀딩스</t>
  </si>
  <si>
    <t>교촌에프앤비</t>
  </si>
  <si>
    <t>아주스틸</t>
  </si>
  <si>
    <t>스틱인베스트먼트</t>
  </si>
  <si>
    <t>우리기술</t>
  </si>
  <si>
    <t>한국철강</t>
  </si>
  <si>
    <t>종근당홀딩스</t>
  </si>
  <si>
    <t>조광피혁</t>
  </si>
  <si>
    <t>카페24</t>
  </si>
  <si>
    <t>한국정보통신</t>
  </si>
  <si>
    <t>대상홀딩스</t>
  </si>
  <si>
    <t>일진다이아</t>
  </si>
  <si>
    <t>화신</t>
  </si>
  <si>
    <t>대명에너지</t>
  </si>
  <si>
    <t>디씨엠</t>
  </si>
  <si>
    <t>에어부산</t>
  </si>
  <si>
    <t>인터플렉스</t>
  </si>
  <si>
    <t>일동홀딩스</t>
  </si>
  <si>
    <t>이수앱지스</t>
  </si>
  <si>
    <t>차백신연구소</t>
  </si>
  <si>
    <t>남양유업</t>
  </si>
  <si>
    <t>톱텍</t>
  </si>
  <si>
    <t>삼목에스폼</t>
  </si>
  <si>
    <t>해성산업</t>
  </si>
  <si>
    <t>테크윙</t>
  </si>
  <si>
    <t>덕산테코피아</t>
  </si>
  <si>
    <t>도이치모터스</t>
  </si>
  <si>
    <t>KG모빌리언스</t>
  </si>
  <si>
    <t>엔피</t>
  </si>
  <si>
    <t>현대퓨처넷</t>
  </si>
  <si>
    <t>하이트진로홀딩스</t>
  </si>
  <si>
    <t>그래디언트</t>
  </si>
  <si>
    <t>삼양패키징</t>
  </si>
  <si>
    <t>웅진씽크빅</t>
  </si>
  <si>
    <t>광주신세계</t>
  </si>
  <si>
    <t>코오롱</t>
  </si>
  <si>
    <t>동화약품</t>
  </si>
  <si>
    <t>인텍플러스</t>
  </si>
  <si>
    <t>큐리언트</t>
  </si>
  <si>
    <t>새로닉스</t>
  </si>
  <si>
    <t>지노믹트리</t>
  </si>
  <si>
    <t>알루코</t>
  </si>
  <si>
    <t>마크로젠</t>
  </si>
  <si>
    <t>풍산홀딩스</t>
  </si>
  <si>
    <t>신성델타테크</t>
  </si>
  <si>
    <t>동양</t>
  </si>
  <si>
    <t>노바렉스</t>
  </si>
  <si>
    <t>녹십자엠에스</t>
  </si>
  <si>
    <t>유비케어</t>
  </si>
  <si>
    <t>휴온스글로벌</t>
  </si>
  <si>
    <t>클리오</t>
  </si>
  <si>
    <t>경동제약</t>
  </si>
  <si>
    <t>다올투자증권</t>
  </si>
  <si>
    <t>아세아</t>
  </si>
  <si>
    <t>미래에셋벤처투자</t>
  </si>
  <si>
    <t>GS글로벌</t>
  </si>
  <si>
    <t>대성산업</t>
  </si>
  <si>
    <t>일진전기</t>
  </si>
  <si>
    <t>대한방직</t>
  </si>
  <si>
    <t>태영건설</t>
  </si>
  <si>
    <t>코나아이</t>
  </si>
  <si>
    <t>화승인더</t>
  </si>
  <si>
    <t>아나패스</t>
  </si>
  <si>
    <t>유진투자증권</t>
  </si>
  <si>
    <t>AP시스템</t>
  </si>
  <si>
    <t>이월드</t>
  </si>
  <si>
    <t>삼익THK</t>
  </si>
  <si>
    <t>한양이엔지</t>
  </si>
  <si>
    <t>티앤엘</t>
  </si>
  <si>
    <t>SNT홀딩스</t>
  </si>
  <si>
    <t>아바텍</t>
  </si>
  <si>
    <t>시노펙스</t>
  </si>
  <si>
    <t>모토닉</t>
  </si>
  <si>
    <t>KPX홀딩스</t>
  </si>
  <si>
    <t>유니퀘스트</t>
  </si>
  <si>
    <t>케이옥션</t>
  </si>
  <si>
    <t>네오위즈홀딩스</t>
  </si>
  <si>
    <t>금양</t>
  </si>
  <si>
    <t>동부건설</t>
  </si>
  <si>
    <t>오이솔루션</t>
  </si>
  <si>
    <t>사조동아원</t>
  </si>
  <si>
    <t>에스티아이</t>
  </si>
  <si>
    <t>와이엠티</t>
  </si>
  <si>
    <t>바디텍메드</t>
  </si>
  <si>
    <t>서울바이오시스</t>
  </si>
  <si>
    <t>보성파워텍</t>
  </si>
  <si>
    <t>삼성출판사</t>
  </si>
  <si>
    <t>한국파마</t>
  </si>
  <si>
    <t>인크로스</t>
  </si>
  <si>
    <t>아이디스</t>
  </si>
  <si>
    <t>코윈테크</t>
  </si>
  <si>
    <t>선진</t>
  </si>
  <si>
    <t>씨에스베어링</t>
  </si>
  <si>
    <t>비츠로셀</t>
  </si>
  <si>
    <t>삼영무역</t>
  </si>
  <si>
    <t>케이티알파</t>
  </si>
  <si>
    <t>일진파워</t>
  </si>
  <si>
    <t>무림P&amp;P</t>
  </si>
  <si>
    <t>디앤씨미디어</t>
  </si>
  <si>
    <t>키다리스튜디오</t>
  </si>
  <si>
    <t>제테마</t>
  </si>
  <si>
    <t>BYC</t>
  </si>
  <si>
    <t>한국캐피탈</t>
  </si>
  <si>
    <t>케이씨</t>
  </si>
  <si>
    <t>와이솔</t>
  </si>
  <si>
    <t>나이스정보통신</t>
  </si>
  <si>
    <t>대교</t>
  </si>
  <si>
    <t>EDGC</t>
  </si>
  <si>
    <t>경농</t>
  </si>
  <si>
    <t>나스미디어</t>
  </si>
  <si>
    <t>위닉스</t>
  </si>
  <si>
    <t>레몬</t>
  </si>
  <si>
    <t>KPX케미칼</t>
  </si>
  <si>
    <t>대한제분</t>
  </si>
  <si>
    <t>에이비프로바이오</t>
  </si>
  <si>
    <t>인스코비</t>
  </si>
  <si>
    <t>프로텍</t>
  </si>
  <si>
    <t>한세예스24홀딩스</t>
  </si>
  <si>
    <t>한독</t>
  </si>
  <si>
    <t>비나텍</t>
  </si>
  <si>
    <t>포스코엠텍</t>
  </si>
  <si>
    <t>엠투엔</t>
  </si>
  <si>
    <t>JW홀딩스</t>
  </si>
  <si>
    <t>우주일렉트로</t>
  </si>
  <si>
    <t>아미노로직스</t>
  </si>
  <si>
    <t>케이아이엔엑스</t>
  </si>
  <si>
    <t>KH 필룩스</t>
  </si>
  <si>
    <t>하이비젼시스템</t>
  </si>
  <si>
    <t>유티아이</t>
  </si>
  <si>
    <t>KSS해운</t>
  </si>
  <si>
    <t>부국증권</t>
  </si>
  <si>
    <t>경인양행</t>
  </si>
  <si>
    <t>하이딥</t>
  </si>
  <si>
    <t>남선알미늄</t>
  </si>
  <si>
    <t>리드코프</t>
  </si>
  <si>
    <t>엔지켐생명과학</t>
  </si>
  <si>
    <t>자이에스앤디</t>
  </si>
  <si>
    <t>포인트모바일</t>
  </si>
  <si>
    <t>진흥기업</t>
  </si>
  <si>
    <t>이원컴포텍</t>
  </si>
  <si>
    <t>위메이드플레이</t>
  </si>
  <si>
    <t>우진</t>
  </si>
  <si>
    <t>엠케이전자</t>
  </si>
  <si>
    <t>하이록코리아</t>
  </si>
  <si>
    <t>공구우먼</t>
  </si>
  <si>
    <t>사조대림</t>
  </si>
  <si>
    <t>일신방직</t>
  </si>
  <si>
    <t>알서포트</t>
  </si>
  <si>
    <t>인트로메딕</t>
  </si>
  <si>
    <t>진성티이씨</t>
  </si>
  <si>
    <t>큐렉소</t>
  </si>
  <si>
    <t>휴엠앤씨</t>
  </si>
  <si>
    <t>이녹스</t>
  </si>
  <si>
    <t>큐라클</t>
  </si>
  <si>
    <t>유니셈</t>
  </si>
  <si>
    <t>멀티캠퍼스</t>
  </si>
  <si>
    <t>브랜드엑스코퍼레이션</t>
  </si>
  <si>
    <t>현대리바트</t>
  </si>
  <si>
    <t>바이젠셀</t>
  </si>
  <si>
    <t>계룡건설</t>
  </si>
  <si>
    <t>대아티아이</t>
  </si>
  <si>
    <t>사조산업</t>
  </si>
  <si>
    <t>갤럭시아머니트리</t>
  </si>
  <si>
    <t>지놈앤컴퍼니</t>
  </si>
  <si>
    <t>나이벡</t>
  </si>
  <si>
    <t>로보티즈</t>
  </si>
  <si>
    <t>성신양회</t>
  </si>
  <si>
    <t>태림포장</t>
  </si>
  <si>
    <t>동아지질</t>
  </si>
  <si>
    <t>KISCO홀딩스</t>
  </si>
  <si>
    <t>퓨쳐켐</t>
  </si>
  <si>
    <t>유틸렉스</t>
  </si>
  <si>
    <t>삼성제약</t>
  </si>
  <si>
    <t>신세계 I&amp;C</t>
  </si>
  <si>
    <t>디지털대성</t>
  </si>
  <si>
    <t>신세계푸드</t>
  </si>
  <si>
    <t>HB솔루션</t>
  </si>
  <si>
    <t>HDC랩스</t>
  </si>
  <si>
    <t>슈피겐코리아</t>
  </si>
  <si>
    <t>고려산업</t>
  </si>
  <si>
    <t>진양홀딩스</t>
  </si>
  <si>
    <t>에스제이그룹</t>
  </si>
  <si>
    <t>AK홀딩스</t>
  </si>
  <si>
    <t>대덕</t>
  </si>
  <si>
    <t>에스티큐브</t>
  </si>
  <si>
    <t>퓨런티어</t>
  </si>
  <si>
    <t>지니뮤직</t>
  </si>
  <si>
    <t>아모텍</t>
  </si>
  <si>
    <t>아이에이</t>
  </si>
  <si>
    <t>한국알콜</t>
  </si>
  <si>
    <t>아이큐어</t>
  </si>
  <si>
    <t>샘씨엔에스</t>
  </si>
  <si>
    <t>예스코홀딩스</t>
  </si>
  <si>
    <t>안트로젠</t>
  </si>
  <si>
    <t>흥국화재</t>
  </si>
  <si>
    <t>세종텔레콤</t>
  </si>
  <si>
    <t>제우스</t>
  </si>
  <si>
    <t>금호에이치티</t>
  </si>
  <si>
    <t>제이에스코퍼레이션</t>
  </si>
  <si>
    <t>휴비스</t>
  </si>
  <si>
    <t>한국정보인증</t>
  </si>
  <si>
    <t>백산</t>
  </si>
  <si>
    <t>삼영전자</t>
  </si>
  <si>
    <t>카이노스메드</t>
  </si>
  <si>
    <t>웹케시</t>
  </si>
  <si>
    <t>DB금융투자</t>
  </si>
  <si>
    <t>LS네트웍스</t>
  </si>
  <si>
    <t>청담글로벌</t>
  </si>
  <si>
    <t>동남합성</t>
  </si>
  <si>
    <t>이크레더블</t>
  </si>
  <si>
    <t>윈스</t>
  </si>
  <si>
    <t>바이오에프디엔씨</t>
  </si>
  <si>
    <t>서연이화</t>
  </si>
  <si>
    <t>금강공업</t>
  </si>
  <si>
    <t>아남전자</t>
  </si>
  <si>
    <t>조일알미늄</t>
  </si>
  <si>
    <t>세아메카닉스</t>
  </si>
  <si>
    <t>레이</t>
  </si>
  <si>
    <t>태웅로직스</t>
  </si>
  <si>
    <t>JW생명과학</t>
  </si>
  <si>
    <t>동성제약</t>
  </si>
  <si>
    <t>상신이디피</t>
  </si>
  <si>
    <t>동성케미컬</t>
  </si>
  <si>
    <t>해태제과식품</t>
  </si>
  <si>
    <t>고바이오랩</t>
  </si>
  <si>
    <t>리파인</t>
  </si>
  <si>
    <t>와이지-원</t>
  </si>
  <si>
    <t>휴메딕스</t>
  </si>
  <si>
    <t>미래나노텍</t>
  </si>
  <si>
    <t>다산네트웍스</t>
  </si>
  <si>
    <t>포스코스틸리온</t>
  </si>
  <si>
    <t>동구바이오제약</t>
  </si>
  <si>
    <t>파워로직스</t>
  </si>
  <si>
    <t>아이에스이커머스</t>
  </si>
  <si>
    <t>보광산업</t>
  </si>
  <si>
    <t>엠에스오토텍</t>
  </si>
  <si>
    <t>GST</t>
  </si>
  <si>
    <t>피에스케이홀딩스</t>
  </si>
  <si>
    <t>세방</t>
  </si>
  <si>
    <t>에이치엘사이언스</t>
  </si>
  <si>
    <t>원티드랩</t>
  </si>
  <si>
    <t>아모그린텍</t>
  </si>
  <si>
    <t>디아이</t>
  </si>
  <si>
    <t>프레스티지바이오로직스</t>
  </si>
  <si>
    <t>엘오티베큠</t>
  </si>
  <si>
    <t>에이디테크놀로지</t>
  </si>
  <si>
    <t>세경하이테크</t>
  </si>
  <si>
    <t>현대비앤지스틸</t>
  </si>
  <si>
    <t>씨티씨바이오</t>
  </si>
  <si>
    <t>샘표</t>
  </si>
  <si>
    <t>한농화성</t>
  </si>
  <si>
    <t>랩지노믹스</t>
  </si>
  <si>
    <t>에이치피오</t>
  </si>
  <si>
    <t>제이브이엠</t>
  </si>
  <si>
    <t>팜스코</t>
  </si>
  <si>
    <t>현대코퍼레이션</t>
  </si>
  <si>
    <t>펌텍코리아</t>
  </si>
  <si>
    <t>AP위성</t>
  </si>
  <si>
    <t>텔레칩스</t>
  </si>
  <si>
    <t>엠플러스</t>
  </si>
  <si>
    <t>셀루메드</t>
  </si>
  <si>
    <t>백광산업</t>
  </si>
  <si>
    <t>쌍방울</t>
  </si>
  <si>
    <t>풍국주정</t>
  </si>
  <si>
    <t>제일파마홀딩스</t>
  </si>
  <si>
    <t>알체라</t>
  </si>
  <si>
    <t>비츠로테크</t>
  </si>
  <si>
    <t>씨앤씨인터내셔널</t>
  </si>
  <si>
    <t>티엘비</t>
  </si>
  <si>
    <t>앱클론</t>
  </si>
  <si>
    <t>넥센</t>
  </si>
  <si>
    <t>켐트로스</t>
  </si>
  <si>
    <t>삼아알미늄</t>
  </si>
  <si>
    <t>이노와이어리스</t>
  </si>
  <si>
    <t>드림어스컴퍼니</t>
  </si>
  <si>
    <t>티에스아이</t>
  </si>
  <si>
    <t>브릿지바이오테라퓨틱스</t>
  </si>
  <si>
    <t>제이씨케미칼</t>
  </si>
  <si>
    <t>플래스크</t>
  </si>
  <si>
    <t>유진로봇</t>
  </si>
  <si>
    <t>벽산</t>
  </si>
  <si>
    <t>엠로</t>
  </si>
  <si>
    <t>무학</t>
  </si>
  <si>
    <t>로보스타</t>
  </si>
  <si>
    <t>헥토이노베이션</t>
  </si>
  <si>
    <t>비씨엔씨</t>
  </si>
  <si>
    <t>퍼스텍</t>
  </si>
  <si>
    <t>현대바이오랜드</t>
  </si>
  <si>
    <t>태웅</t>
  </si>
  <si>
    <t>네온테크</t>
  </si>
  <si>
    <t>한양디지텍</t>
  </si>
  <si>
    <t>한솔테크닉스</t>
  </si>
  <si>
    <t>헥토파이낸셜</t>
  </si>
  <si>
    <t>미래생명자원</t>
  </si>
  <si>
    <t>펩트론</t>
  </si>
  <si>
    <t>대원강업</t>
  </si>
  <si>
    <t>JW신약</t>
  </si>
  <si>
    <t>디와이</t>
  </si>
  <si>
    <t>현대이지웰</t>
  </si>
  <si>
    <t>지어소프트</t>
  </si>
  <si>
    <t>삼화페인트</t>
  </si>
  <si>
    <t>진매트릭스</t>
  </si>
  <si>
    <t>아이진</t>
  </si>
  <si>
    <t>한국주철관</t>
  </si>
  <si>
    <t>수산중공업</t>
  </si>
  <si>
    <t>제주은행</t>
  </si>
  <si>
    <t>태경산업</t>
  </si>
  <si>
    <t>블루콤</t>
  </si>
  <si>
    <t>신송홀딩스</t>
  </si>
  <si>
    <t>NEW</t>
  </si>
  <si>
    <t>에코캡</t>
  </si>
  <si>
    <t>이화전기</t>
  </si>
  <si>
    <t>효성ITX</t>
  </si>
  <si>
    <t>코아시아</t>
  </si>
  <si>
    <t>포바이포</t>
  </si>
  <si>
    <t>금화피에스시</t>
  </si>
  <si>
    <t>실리콘투</t>
  </si>
  <si>
    <t>테고사이언스</t>
  </si>
  <si>
    <t>에스엠벡셀</t>
  </si>
  <si>
    <t>대영포장</t>
  </si>
  <si>
    <t>화일약품</t>
  </si>
  <si>
    <t>광림</t>
  </si>
  <si>
    <t>태경케미컬</t>
  </si>
  <si>
    <t>어보브반도체</t>
  </si>
  <si>
    <t>이지케어텍</t>
  </si>
  <si>
    <t>큐브엔터</t>
  </si>
  <si>
    <t>샘표식품</t>
  </si>
  <si>
    <t>CJ 바이오사이언스</t>
  </si>
  <si>
    <t>에이스토리</t>
  </si>
  <si>
    <t>필옵틱스</t>
  </si>
  <si>
    <t>휴스틸</t>
  </si>
  <si>
    <t>비즈니스온</t>
  </si>
  <si>
    <t>이엔플러스</t>
  </si>
  <si>
    <t>아바코</t>
  </si>
  <si>
    <t>미래컴퍼니</t>
  </si>
  <si>
    <t>알에프텍</t>
  </si>
  <si>
    <t>뉴파워프라즈마</t>
  </si>
  <si>
    <t>셀리드</t>
  </si>
  <si>
    <t>에브리봇</t>
  </si>
  <si>
    <t>동아타이어</t>
  </si>
  <si>
    <t>서연</t>
  </si>
  <si>
    <t>제노코</t>
  </si>
  <si>
    <t>에이프로</t>
  </si>
  <si>
    <t>디케이티</t>
  </si>
  <si>
    <t>아이씨디</t>
  </si>
  <si>
    <t>신라교역</t>
  </si>
  <si>
    <t>노루페인트</t>
  </si>
  <si>
    <t>피씨엘</t>
  </si>
  <si>
    <t>대한광통신</t>
  </si>
  <si>
    <t>네오팜</t>
  </si>
  <si>
    <t>일성건설</t>
  </si>
  <si>
    <t>현대에버다임</t>
  </si>
  <si>
    <t>아이텍</t>
  </si>
  <si>
    <t>그린케미칼</t>
  </si>
  <si>
    <t>와이팜</t>
  </si>
  <si>
    <t>푸드나무</t>
  </si>
  <si>
    <t>유비쿼스</t>
  </si>
  <si>
    <t>경보제약</t>
  </si>
  <si>
    <t>이지바이오</t>
  </si>
  <si>
    <t>와이엔텍</t>
  </si>
  <si>
    <t>농우바이오</t>
  </si>
  <si>
    <t>드림시큐리티</t>
  </si>
  <si>
    <t>나인테크</t>
  </si>
  <si>
    <t>피엔에이치테크</t>
  </si>
  <si>
    <t>디엔에프</t>
  </si>
  <si>
    <t>와이엠텍</t>
  </si>
  <si>
    <t>한국전자금융</t>
  </si>
  <si>
    <t>테라사이언스</t>
  </si>
  <si>
    <t>에스퓨얼셀</t>
  </si>
  <si>
    <t>수젠텍</t>
  </si>
  <si>
    <t>올리패스</t>
  </si>
  <si>
    <t>아시아나IDT</t>
  </si>
  <si>
    <t>조광ILI</t>
  </si>
  <si>
    <t>에이비온</t>
  </si>
  <si>
    <t>텔콘RF제약</t>
  </si>
  <si>
    <t>국순당</t>
  </si>
  <si>
    <t>지에스이</t>
  </si>
  <si>
    <t>스코넥</t>
  </si>
  <si>
    <t>삼지전자</t>
  </si>
  <si>
    <t>라온테크</t>
  </si>
  <si>
    <t>영풍제지</t>
  </si>
  <si>
    <t>피에이치에이</t>
  </si>
  <si>
    <t>오성첨단소재</t>
  </si>
  <si>
    <t>협진</t>
  </si>
  <si>
    <t>남화산업</t>
  </si>
  <si>
    <t>위드텍</t>
  </si>
  <si>
    <t>레이언스</t>
  </si>
  <si>
    <t>신흥</t>
  </si>
  <si>
    <t>신원</t>
  </si>
  <si>
    <t>바이오다인</t>
  </si>
  <si>
    <t>썸에이지</t>
  </si>
  <si>
    <t>신일전자</t>
  </si>
  <si>
    <t>디아이씨</t>
  </si>
  <si>
    <t>동국산업</t>
  </si>
  <si>
    <t>SDN</t>
  </si>
  <si>
    <t>레드캡투어</t>
  </si>
  <si>
    <t>삼보판지</t>
  </si>
  <si>
    <t>우리바이오</t>
  </si>
  <si>
    <t>예스24</t>
  </si>
  <si>
    <t>선익시스템</t>
  </si>
  <si>
    <t>진로발효</t>
  </si>
  <si>
    <t>심텍홀딩스</t>
  </si>
  <si>
    <t>삼양통상</t>
  </si>
  <si>
    <t>일신바이오</t>
  </si>
  <si>
    <t>나무가</t>
  </si>
  <si>
    <t>유일에너테크</t>
  </si>
  <si>
    <t>강원에너지</t>
  </si>
  <si>
    <t>대한약품</t>
  </si>
  <si>
    <t>DB</t>
  </si>
  <si>
    <t>대한화섬</t>
  </si>
  <si>
    <t>유일로보틱스</t>
  </si>
  <si>
    <t>대창단조</t>
  </si>
  <si>
    <t>캠시스</t>
  </si>
  <si>
    <t>에이티넘인베스트</t>
  </si>
  <si>
    <t>가비아</t>
  </si>
  <si>
    <t>바이브컴퍼니</t>
  </si>
  <si>
    <t>유수홀딩스</t>
  </si>
  <si>
    <t>SV인베스트먼트</t>
  </si>
  <si>
    <t>YTN</t>
  </si>
  <si>
    <t>에이블씨엔씨</t>
  </si>
  <si>
    <t>슈프리마</t>
  </si>
  <si>
    <t>오토앤</t>
  </si>
  <si>
    <t>미원화학</t>
  </si>
  <si>
    <t>HB테크놀러지</t>
  </si>
  <si>
    <t>싸이맥스</t>
  </si>
  <si>
    <t>오비고</t>
  </si>
  <si>
    <t>그린플러스</t>
  </si>
  <si>
    <t>빅텍</t>
  </si>
  <si>
    <t>아모센스</t>
  </si>
  <si>
    <t>포인트엔지니어링</t>
  </si>
  <si>
    <t>앤디포스</t>
  </si>
  <si>
    <t>종근당바이오</t>
  </si>
  <si>
    <t>한국석유</t>
  </si>
  <si>
    <t>유니테크노</t>
  </si>
  <si>
    <t>피씨디렉트</t>
  </si>
  <si>
    <t>대한뉴팜</t>
  </si>
  <si>
    <t>동일금속</t>
  </si>
  <si>
    <t>비츠로시스</t>
  </si>
  <si>
    <t>우리손에프앤지</t>
  </si>
  <si>
    <t>미창석유</t>
  </si>
  <si>
    <t>대원미디어</t>
  </si>
  <si>
    <t>KCC건설</t>
  </si>
  <si>
    <t>중앙에너비스</t>
  </si>
  <si>
    <t>노랑풍선</t>
  </si>
  <si>
    <t>플리토</t>
  </si>
  <si>
    <t>와이어블</t>
  </si>
  <si>
    <t>제주반도체</t>
  </si>
  <si>
    <t>부방</t>
  </si>
  <si>
    <t>홈센타홀딩스</t>
  </si>
  <si>
    <t>참좋은여행</t>
  </si>
  <si>
    <t>조선선재</t>
  </si>
  <si>
    <t>휴맥스</t>
  </si>
  <si>
    <t>코텍</t>
  </si>
  <si>
    <t>칩스앤미디어</t>
  </si>
  <si>
    <t>특수건설</t>
  </si>
  <si>
    <t>로보로보</t>
  </si>
  <si>
    <t>토비스</t>
  </si>
  <si>
    <t>라이온켐텍</t>
  </si>
  <si>
    <t>고려신용정보</t>
  </si>
  <si>
    <t>한신공영</t>
  </si>
  <si>
    <t>동신건설</t>
  </si>
  <si>
    <t>엔투텍</t>
  </si>
  <si>
    <t>코세스</t>
  </si>
  <si>
    <t>한컴라이프케어</t>
  </si>
  <si>
    <t>세종메디칼</t>
  </si>
  <si>
    <t>NI스틸</t>
  </si>
  <si>
    <t>세운메디칼</t>
  </si>
  <si>
    <t>에스와이</t>
  </si>
  <si>
    <t>미스터블루</t>
  </si>
  <si>
    <t>3S</t>
  </si>
  <si>
    <t>내츄럴엔도텍</t>
  </si>
  <si>
    <t>라온피플</t>
  </si>
  <si>
    <t>노루홀딩스</t>
  </si>
  <si>
    <t>잉크테크</t>
  </si>
  <si>
    <t>한컴위드</t>
  </si>
  <si>
    <t>버킷스튜디오</t>
  </si>
  <si>
    <t>우수AMS</t>
  </si>
  <si>
    <t>엠게임</t>
  </si>
  <si>
    <t>디에스케이</t>
  </si>
  <si>
    <t>키이스트</t>
  </si>
  <si>
    <t>푸른저축은행</t>
  </si>
  <si>
    <t>대주산업</t>
  </si>
  <si>
    <t>성창기업지주</t>
  </si>
  <si>
    <t>한양증권</t>
  </si>
  <si>
    <t>한국특강</t>
  </si>
  <si>
    <t>강남제비스코</t>
  </si>
  <si>
    <t>엘앤케이바이오</t>
  </si>
  <si>
    <t>대호에이엘</t>
  </si>
  <si>
    <t>엔시스</t>
  </si>
  <si>
    <t>엠투아이</t>
  </si>
  <si>
    <t>우림피티에스</t>
  </si>
  <si>
    <t>비에이치아이</t>
  </si>
  <si>
    <t>씨티케이</t>
  </si>
  <si>
    <t>옵트론텍</t>
  </si>
  <si>
    <t>시그네틱스</t>
  </si>
  <si>
    <t>팅크웨어</t>
  </si>
  <si>
    <t>KNN</t>
  </si>
  <si>
    <t>미투온</t>
  </si>
  <si>
    <t>삼화네트웍스</t>
  </si>
  <si>
    <t>아스트</t>
  </si>
  <si>
    <t>KCTC</t>
  </si>
  <si>
    <t>영풍정밀</t>
  </si>
  <si>
    <t>금강철강</t>
  </si>
  <si>
    <t>유화증권</t>
  </si>
  <si>
    <t>한솔홀딩스</t>
  </si>
  <si>
    <t>인화정공</t>
  </si>
  <si>
    <t>디와이파워</t>
  </si>
  <si>
    <t>현대약품</t>
  </si>
  <si>
    <t>한국경제TV</t>
  </si>
  <si>
    <t>오로스테크놀로지</t>
  </si>
  <si>
    <t>신테카바이오</t>
  </si>
  <si>
    <t>셀바스AI</t>
  </si>
  <si>
    <t>제로투세븐</t>
  </si>
  <si>
    <t>녹십자웰빙</t>
  </si>
  <si>
    <t>휴비츠</t>
  </si>
  <si>
    <t>동방</t>
  </si>
  <si>
    <t>지아이텍</t>
  </si>
  <si>
    <t>테라젠이텍스</t>
  </si>
  <si>
    <t>서플러스글로벌</t>
  </si>
  <si>
    <t>에이테크솔루션</t>
  </si>
  <si>
    <t>서암기계공업</t>
  </si>
  <si>
    <t>켄코아에어로스페이스</t>
  </si>
  <si>
    <t>아비코전자</t>
  </si>
  <si>
    <t>광전자</t>
  </si>
  <si>
    <t>제노포커스</t>
  </si>
  <si>
    <t>오르비텍</t>
  </si>
  <si>
    <t>광명전기</t>
  </si>
  <si>
    <t>지투파워</t>
  </si>
  <si>
    <t>티에스넥스젠</t>
  </si>
  <si>
    <t>기가레인</t>
  </si>
  <si>
    <t>동아화성</t>
  </si>
  <si>
    <t>코렌텍</t>
  </si>
  <si>
    <t>에스엠코어</t>
  </si>
  <si>
    <t>영화테크</t>
  </si>
  <si>
    <t>티사이언티픽</t>
  </si>
  <si>
    <t>경동도시가스</t>
  </si>
  <si>
    <t>나노엔텍</t>
  </si>
  <si>
    <t>지니너스</t>
  </si>
  <si>
    <t>제주맥주</t>
  </si>
  <si>
    <t>액션스퀘어</t>
  </si>
  <si>
    <t>글로벌텍스프리</t>
  </si>
  <si>
    <t>엑셈</t>
  </si>
  <si>
    <t>한국내화</t>
  </si>
  <si>
    <t>대창</t>
  </si>
  <si>
    <t>한진중공업홀딩스</t>
  </si>
  <si>
    <t>키네마스터</t>
  </si>
  <si>
    <t>대유</t>
  </si>
  <si>
    <t>삼익악기</t>
  </si>
  <si>
    <t>알에스오토메이션</t>
  </si>
  <si>
    <t>유니크</t>
  </si>
  <si>
    <t>NHN벅스</t>
  </si>
  <si>
    <t>아이디스홀딩스</t>
  </si>
  <si>
    <t>옵티팜</t>
  </si>
  <si>
    <t>디와이디</t>
  </si>
  <si>
    <t>동운아나텍</t>
  </si>
  <si>
    <t>깨끗한나라</t>
  </si>
  <si>
    <t>아셈스</t>
  </si>
  <si>
    <t>매커스</t>
  </si>
  <si>
    <t>서한</t>
  </si>
  <si>
    <t>오리엔탈정공</t>
  </si>
  <si>
    <t>이엠넷</t>
  </si>
  <si>
    <t>이아이디</t>
  </si>
  <si>
    <t>나이스디앤비</t>
  </si>
  <si>
    <t>휴센텍</t>
  </si>
  <si>
    <t>케이프</t>
  </si>
  <si>
    <t>극동유화</t>
  </si>
  <si>
    <t>아이쓰리시스템</t>
  </si>
  <si>
    <t>카프로</t>
  </si>
  <si>
    <t>한국공항</t>
  </si>
  <si>
    <t>메가스터디</t>
  </si>
  <si>
    <t>혜인</t>
  </si>
  <si>
    <t>방림</t>
  </si>
  <si>
    <t>인피니트헬스케어</t>
  </si>
  <si>
    <t>에스씨엠생명과학</t>
  </si>
  <si>
    <t>큐에스아이</t>
  </si>
  <si>
    <t>인포뱅크</t>
  </si>
  <si>
    <t>HDC현대EP</t>
  </si>
  <si>
    <t>DSC인베스트먼트</t>
  </si>
  <si>
    <t>매일홀딩스</t>
  </si>
  <si>
    <t>네오셈</t>
  </si>
  <si>
    <t>FSN</t>
  </si>
  <si>
    <t>DMS</t>
  </si>
  <si>
    <t>이엠코리아</t>
  </si>
  <si>
    <t>세아특수강</t>
  </si>
  <si>
    <t>대원</t>
  </si>
  <si>
    <t>대양금속</t>
  </si>
  <si>
    <t>웅진</t>
  </si>
  <si>
    <t>양지사</t>
  </si>
  <si>
    <t>동양철관</t>
  </si>
  <si>
    <t>디아이티</t>
  </si>
  <si>
    <t>중앙백신</t>
  </si>
  <si>
    <t>케이사인</t>
  </si>
  <si>
    <t>대화제약</t>
  </si>
  <si>
    <t>에이플러스에셋</t>
  </si>
  <si>
    <t>한국화장품</t>
  </si>
  <si>
    <t>대구백화점</t>
  </si>
  <si>
    <t>빅솔론</t>
  </si>
  <si>
    <t>파이버프로</t>
  </si>
  <si>
    <t>흥국에프엔비</t>
  </si>
  <si>
    <t>삼기</t>
  </si>
  <si>
    <t>이브이첨단소재</t>
  </si>
  <si>
    <t>계양전기</t>
  </si>
  <si>
    <t>정상제이엘에스</t>
  </si>
  <si>
    <t>위니아</t>
  </si>
  <si>
    <t>뉴트리</t>
  </si>
  <si>
    <t>코리아나</t>
  </si>
  <si>
    <t>제노레이</t>
  </si>
  <si>
    <t>앱코</t>
  </si>
  <si>
    <t>대정화금</t>
  </si>
  <si>
    <t>쎌바이오텍</t>
  </si>
  <si>
    <t>황금에스티</t>
  </si>
  <si>
    <t>세이브존I&amp;C</t>
  </si>
  <si>
    <t>모나리자</t>
  </si>
  <si>
    <t>삼화전기</t>
  </si>
  <si>
    <t>엔비티</t>
  </si>
  <si>
    <t>야스</t>
  </si>
  <si>
    <t>국보디자인</t>
  </si>
  <si>
    <t>창해에탄올</t>
  </si>
  <si>
    <t>태경비케이</t>
  </si>
  <si>
    <t>대양전기공업</t>
  </si>
  <si>
    <t>덴티스</t>
  </si>
  <si>
    <t>자연과환경</t>
  </si>
  <si>
    <t>아이패밀리에스씨</t>
  </si>
  <si>
    <t>이트론</t>
  </si>
  <si>
    <t>SNT에너지</t>
  </si>
  <si>
    <t>조비</t>
  </si>
  <si>
    <t>우리산업</t>
  </si>
  <si>
    <t>SH에너지화학</t>
  </si>
  <si>
    <t>와이엠씨</t>
  </si>
  <si>
    <t>애머릿지</t>
  </si>
  <si>
    <t>CJ씨푸드</t>
  </si>
  <si>
    <t>뉴프렉스</t>
  </si>
  <si>
    <t>감성코퍼레이션</t>
  </si>
  <si>
    <t>누보</t>
  </si>
  <si>
    <t>아톤</t>
  </si>
  <si>
    <t>세코닉스</t>
  </si>
  <si>
    <t>디바이스이엔지</t>
  </si>
  <si>
    <t>홈캐스트</t>
  </si>
  <si>
    <t>효성오앤비</t>
  </si>
  <si>
    <t>트윔</t>
  </si>
  <si>
    <t>SG세계물산</t>
  </si>
  <si>
    <t>한미글로벌</t>
  </si>
  <si>
    <t>디에이테크놀로지</t>
  </si>
  <si>
    <t>해성옵틱스</t>
  </si>
  <si>
    <t>이화공영</t>
  </si>
  <si>
    <t>CNT85</t>
  </si>
  <si>
    <t>인천도시가스</t>
  </si>
  <si>
    <t>디이엔티</t>
  </si>
  <si>
    <t>노을</t>
  </si>
  <si>
    <t>KH 건설</t>
  </si>
  <si>
    <t>인지컨트롤스</t>
  </si>
  <si>
    <t>오텍</t>
  </si>
  <si>
    <t>IHQ</t>
  </si>
  <si>
    <t>지오엘리먼트</t>
  </si>
  <si>
    <t>대성창투</t>
  </si>
  <si>
    <t>스톤브릿지벤처스</t>
  </si>
  <si>
    <t>강스템바이오텍</t>
  </si>
  <si>
    <t>예스티</t>
  </si>
  <si>
    <t>비올</t>
  </si>
  <si>
    <t>파멥신</t>
  </si>
  <si>
    <t>서린바이오</t>
  </si>
  <si>
    <t>모비릭스</t>
  </si>
  <si>
    <t>크라운해태홀딩스</t>
  </si>
  <si>
    <t>비트나인</t>
  </si>
  <si>
    <t>나래나노텍</t>
  </si>
  <si>
    <t>브이원텍</t>
  </si>
  <si>
    <t>서원인텍</t>
  </si>
  <si>
    <t>핑거</t>
  </si>
  <si>
    <t>웰바이오텍</t>
  </si>
  <si>
    <t>크라운제과</t>
  </si>
  <si>
    <t>한솔홈데코</t>
  </si>
  <si>
    <t>KC그린홀딩스</t>
  </si>
  <si>
    <t>조흥</t>
  </si>
  <si>
    <t>무림페이퍼</t>
  </si>
  <si>
    <t>명문제약</t>
  </si>
  <si>
    <t>에스씨디</t>
  </si>
  <si>
    <t>한탑</t>
  </si>
  <si>
    <t>바이오톡스텍</t>
  </si>
  <si>
    <t>옴니시스템</t>
  </si>
  <si>
    <t>케어랩스</t>
  </si>
  <si>
    <t>케이피에프</t>
  </si>
  <si>
    <t>이스트소프트</t>
  </si>
  <si>
    <t>일신석재</t>
  </si>
  <si>
    <t>코스메카코리아</t>
  </si>
  <si>
    <t>센코</t>
  </si>
  <si>
    <t>엔브이에이치코리아</t>
  </si>
  <si>
    <t>대원화성</t>
  </si>
  <si>
    <t>유유제약</t>
  </si>
  <si>
    <t>대원전선</t>
  </si>
  <si>
    <t>한국전자인증</t>
  </si>
  <si>
    <t>비아트론</t>
  </si>
  <si>
    <t>보락</t>
  </si>
  <si>
    <t>상상인증권</t>
  </si>
  <si>
    <t>제놀루션</t>
  </si>
  <si>
    <t>알비더블유</t>
  </si>
  <si>
    <t>앤씨앤</t>
  </si>
  <si>
    <t>동양이엔피</t>
  </si>
  <si>
    <t>안국약품</t>
  </si>
  <si>
    <t>위더스제약</t>
  </si>
  <si>
    <t>아진산업</t>
  </si>
  <si>
    <t>케이엔더블유</t>
  </si>
  <si>
    <t>와이투솔루션</t>
  </si>
  <si>
    <t>하이로닉</t>
  </si>
  <si>
    <t>메카로</t>
  </si>
  <si>
    <t>삼원강재</t>
  </si>
  <si>
    <t>현대공업</t>
  </si>
  <si>
    <t>한일철강</t>
  </si>
  <si>
    <t>마니커</t>
  </si>
  <si>
    <t>피엔케이피부임상연구센타</t>
  </si>
  <si>
    <t>비트컴퓨터</t>
  </si>
  <si>
    <t>지엠비코리아</t>
  </si>
  <si>
    <t>모베이스전자</t>
  </si>
  <si>
    <t>제룡전기</t>
  </si>
  <si>
    <t>엑시콘</t>
  </si>
  <si>
    <t>토니모리</t>
  </si>
  <si>
    <t>에스엔유</t>
  </si>
  <si>
    <t>대유플러스</t>
  </si>
  <si>
    <t>러셀</t>
  </si>
  <si>
    <t>에너토크</t>
  </si>
  <si>
    <t>대원산업</t>
  </si>
  <si>
    <t>압타머사이언스</t>
  </si>
  <si>
    <t>피플바이오</t>
  </si>
  <si>
    <t>다스코</t>
  </si>
  <si>
    <t>한국화장품제조</t>
  </si>
  <si>
    <t>소마젠</t>
  </si>
  <si>
    <t>가온전선</t>
  </si>
  <si>
    <t>티플랙스</t>
  </si>
  <si>
    <t>삼일제약</t>
  </si>
  <si>
    <t>디모아</t>
  </si>
  <si>
    <t>팜젠사이언스</t>
  </si>
  <si>
    <t>서전기전</t>
  </si>
  <si>
    <t>큐캐피탈</t>
  </si>
  <si>
    <t>JTC</t>
  </si>
  <si>
    <t>삼천리자전거</t>
  </si>
  <si>
    <t>동방아그로</t>
  </si>
  <si>
    <t>엠에스씨</t>
  </si>
  <si>
    <t>한솔로지스틱스</t>
  </si>
  <si>
    <t>이지트로닉스</t>
  </si>
  <si>
    <t>보해양조</t>
  </si>
  <si>
    <t>이루다</t>
  </si>
  <si>
    <t>이구산업</t>
  </si>
  <si>
    <t>기신정기</t>
  </si>
  <si>
    <t>핌스</t>
  </si>
  <si>
    <t>모바일어플라이언스</t>
  </si>
  <si>
    <t>에스트래픽</t>
  </si>
  <si>
    <t>케이엔제이</t>
  </si>
  <si>
    <t>시공테크</t>
  </si>
  <si>
    <t>베뉴지</t>
  </si>
  <si>
    <t>신세계건설</t>
  </si>
  <si>
    <t>씨앤지하이테크</t>
  </si>
  <si>
    <t>메이슨캐피탈</t>
  </si>
  <si>
    <t>기산텔레콤</t>
  </si>
  <si>
    <t>SBI핀테크솔루션즈</t>
  </si>
  <si>
    <t>스맥</t>
  </si>
  <si>
    <t>솔본</t>
  </si>
  <si>
    <t>신영와코루</t>
  </si>
  <si>
    <t>한스바이오메드</t>
  </si>
  <si>
    <t>이노뎁</t>
  </si>
  <si>
    <t>라온시큐어</t>
  </si>
  <si>
    <t>일진디스플</t>
  </si>
  <si>
    <t>한국선재</t>
  </si>
  <si>
    <t>대유에이텍</t>
  </si>
  <si>
    <t>시스웍</t>
  </si>
  <si>
    <t>플레이그램</t>
  </si>
  <si>
    <t>유비벨록스</t>
  </si>
  <si>
    <t>일승</t>
  </si>
  <si>
    <t>티비씨</t>
  </si>
  <si>
    <t>티로보틱스</t>
  </si>
  <si>
    <t>TS인베스트먼트</t>
  </si>
  <si>
    <t>삼일씨엔에스</t>
  </si>
  <si>
    <t>덕성</t>
  </si>
  <si>
    <t>엠벤처투자</t>
  </si>
  <si>
    <t>프롬바이오</t>
  </si>
  <si>
    <t>옵투스제약</t>
  </si>
  <si>
    <t>액토즈소프트</t>
  </si>
  <si>
    <t>머큐리</t>
  </si>
  <si>
    <t>삼호개발</t>
  </si>
  <si>
    <t>서울식품</t>
  </si>
  <si>
    <t>컴퍼니케이</t>
  </si>
  <si>
    <t>케이피에스</t>
  </si>
  <si>
    <t>클리노믹스</t>
  </si>
  <si>
    <t>씨엔알리서치</t>
  </si>
  <si>
    <t>삼아제약</t>
  </si>
  <si>
    <t>STX</t>
  </si>
  <si>
    <t>팜스빌</t>
  </si>
  <si>
    <t>국제약품</t>
  </si>
  <si>
    <t>플래티어</t>
  </si>
  <si>
    <t>피제이메탈</t>
  </si>
  <si>
    <t>베셀</t>
  </si>
  <si>
    <t>대모</t>
  </si>
  <si>
    <t>오상자이엘</t>
  </si>
  <si>
    <t>제이씨현시스템</t>
  </si>
  <si>
    <t>나라엠앤디</t>
  </si>
  <si>
    <t>세원이앤씨</t>
  </si>
  <si>
    <t>한창제지</t>
  </si>
  <si>
    <t>파수</t>
  </si>
  <si>
    <t>국보</t>
  </si>
  <si>
    <t>퀀타매트릭스</t>
  </si>
  <si>
    <t>성보화학</t>
  </si>
  <si>
    <t>엘컴텍</t>
  </si>
  <si>
    <t>덕우전자</t>
  </si>
  <si>
    <t>아진엑스텍</t>
  </si>
  <si>
    <t>SM Life Design</t>
  </si>
  <si>
    <t>아이엘사이언스</t>
  </si>
  <si>
    <t>피제이전자</t>
  </si>
  <si>
    <t>텔코웨어</t>
  </si>
  <si>
    <t>현대코퍼레이션홀딩스</t>
  </si>
  <si>
    <t>휴니드</t>
  </si>
  <si>
    <t>글로본</t>
  </si>
  <si>
    <t>아센디오</t>
  </si>
  <si>
    <t>흥구석유</t>
  </si>
  <si>
    <t>로체시스템즈</t>
  </si>
  <si>
    <t>새론오토모티브</t>
  </si>
  <si>
    <t>신일제약</t>
  </si>
  <si>
    <t>에스에너지</t>
  </si>
  <si>
    <t>케이씨티</t>
  </si>
  <si>
    <t>솔트룩스</t>
  </si>
  <si>
    <t>에이텍</t>
  </si>
  <si>
    <t>동일고무벨트</t>
  </si>
  <si>
    <t>아스플로</t>
  </si>
  <si>
    <t>콤텍시스템</t>
  </si>
  <si>
    <t>이노메트리</t>
  </si>
  <si>
    <t>잉글우드랩</t>
  </si>
  <si>
    <t>코스맥스엔비티</t>
  </si>
  <si>
    <t>아가방컴퍼니</t>
  </si>
  <si>
    <t>래몽래인</t>
  </si>
  <si>
    <t>비엠티</t>
  </si>
  <si>
    <t>대명소노시즌</t>
  </si>
  <si>
    <t>디알젬</t>
  </si>
  <si>
    <t>바이오솔루션</t>
  </si>
  <si>
    <t>서호전기</t>
  </si>
  <si>
    <t>KCI</t>
  </si>
  <si>
    <t>한송네오텍</t>
  </si>
  <si>
    <t>아이비김영</t>
  </si>
  <si>
    <t>CBI</t>
  </si>
  <si>
    <t>두올</t>
  </si>
  <si>
    <t>바른손</t>
  </si>
  <si>
    <t>코스맥스비티아이</t>
  </si>
  <si>
    <t>대현</t>
  </si>
  <si>
    <t>웰크론</t>
  </si>
  <si>
    <t>국동</t>
  </si>
  <si>
    <t>시디즈</t>
  </si>
  <si>
    <t>소니드</t>
  </si>
  <si>
    <t>탑코미디어</t>
  </si>
  <si>
    <t>알리코제약</t>
  </si>
  <si>
    <t>뉴인텍</t>
  </si>
  <si>
    <t>엔젠바이오</t>
  </si>
  <si>
    <t>범양건영</t>
  </si>
  <si>
    <t>이건산업</t>
  </si>
  <si>
    <t>상보</t>
  </si>
  <si>
    <t>폴라리스세원</t>
  </si>
  <si>
    <t>인카금융서비스</t>
  </si>
  <si>
    <t>천일고속</t>
  </si>
  <si>
    <t>인바이오젠</t>
  </si>
  <si>
    <t>스킨앤스킨</t>
  </si>
  <si>
    <t>아이윈플러스</t>
  </si>
  <si>
    <t>만호제강</t>
  </si>
  <si>
    <t>램테크놀러지</t>
  </si>
  <si>
    <t>SCI평가정보</t>
  </si>
  <si>
    <t>에코플라스틱</t>
  </si>
  <si>
    <t>비씨월드제약</t>
  </si>
  <si>
    <t>이랜시스</t>
  </si>
  <si>
    <t>나노씨엠에스</t>
  </si>
  <si>
    <t>HRS</t>
  </si>
  <si>
    <t>팬엔터테인먼트</t>
  </si>
  <si>
    <t>넥스턴바이오</t>
  </si>
  <si>
    <t>한국팩키지</t>
  </si>
  <si>
    <t>써니전자</t>
  </si>
  <si>
    <t>한국수출포장</t>
  </si>
  <si>
    <t>원익큐브</t>
  </si>
  <si>
    <t>네오크레마</t>
  </si>
  <si>
    <t>남광토건</t>
  </si>
  <si>
    <t>대우부품</t>
  </si>
  <si>
    <t>엔바이오니아</t>
  </si>
  <si>
    <t>한국테크놀로지</t>
  </si>
  <si>
    <t>경창산업</t>
  </si>
  <si>
    <t>한일단조</t>
  </si>
  <si>
    <t>진양산업</t>
  </si>
  <si>
    <t>에쎈테크</t>
  </si>
  <si>
    <t>경남스틸</t>
  </si>
  <si>
    <t>유니온머티리얼</t>
  </si>
  <si>
    <t>DRB동일</t>
  </si>
  <si>
    <t>사조씨푸드</t>
  </si>
  <si>
    <t>조아제약</t>
  </si>
  <si>
    <t>THE E&amp;M</t>
  </si>
  <si>
    <t>애니플러스</t>
  </si>
  <si>
    <t>삼진엘앤디</t>
  </si>
  <si>
    <t>NE능률</t>
  </si>
  <si>
    <t>한라IMS</t>
  </si>
  <si>
    <t>구영테크</t>
  </si>
  <si>
    <t>에프엔씨엔터</t>
  </si>
  <si>
    <t>에스넷</t>
  </si>
  <si>
    <t>신화인터텍</t>
  </si>
  <si>
    <t>엔에프씨</t>
  </si>
  <si>
    <t>케이피엠테크</t>
  </si>
  <si>
    <t>삼화왕관</t>
  </si>
  <si>
    <t>서연탑메탈</t>
  </si>
  <si>
    <t>쎄노텍</t>
  </si>
  <si>
    <t>DSR</t>
  </si>
  <si>
    <t>뷰노</t>
  </si>
  <si>
    <t>세림B&amp;G</t>
  </si>
  <si>
    <t>삼현철강</t>
  </si>
  <si>
    <t>하이스틸</t>
  </si>
  <si>
    <t>브이씨</t>
  </si>
  <si>
    <t>타이거일렉</t>
  </si>
  <si>
    <t>디알텍</t>
  </si>
  <si>
    <t>사조오양</t>
  </si>
  <si>
    <t>GRT</t>
  </si>
  <si>
    <t>RF머트리얼즈</t>
  </si>
  <si>
    <t>경동인베스트</t>
  </si>
  <si>
    <t>한독크린텍</t>
  </si>
  <si>
    <t>인터지스</t>
  </si>
  <si>
    <t>흥국</t>
  </si>
  <si>
    <t>유니온</t>
  </si>
  <si>
    <t>파라텍</t>
  </si>
  <si>
    <t>이삭엔지니어링</t>
  </si>
  <si>
    <t>스페코</t>
  </si>
  <si>
    <t>오리엔트바이오</t>
  </si>
  <si>
    <t>TKG애강</t>
  </si>
  <si>
    <t>오로라</t>
  </si>
  <si>
    <t>인포바인</t>
  </si>
  <si>
    <t>지니틱스</t>
  </si>
  <si>
    <t>나우IB</t>
  </si>
  <si>
    <t>네오리진</t>
  </si>
  <si>
    <t>비엘팜텍</t>
  </si>
  <si>
    <t>오픈베이스</t>
  </si>
  <si>
    <t>삼륭물산</t>
  </si>
  <si>
    <t>남성</t>
  </si>
  <si>
    <t>에스에이티이엔지</t>
  </si>
  <si>
    <t>피코그램</t>
  </si>
  <si>
    <t>씨이랩</t>
  </si>
  <si>
    <t>씨유테크</t>
  </si>
  <si>
    <t>삼성공조</t>
  </si>
  <si>
    <t>한네트</t>
  </si>
  <si>
    <t>에프앤가이드</t>
  </si>
  <si>
    <t>에이팩트</t>
  </si>
  <si>
    <t>세원정공</t>
  </si>
  <si>
    <t>대봉엘에스</t>
  </si>
  <si>
    <t>탑엔지니어링</t>
  </si>
  <si>
    <t>바른손이앤에이</t>
  </si>
  <si>
    <t>에넥스</t>
  </si>
  <si>
    <t>전방</t>
  </si>
  <si>
    <t>부산산업</t>
  </si>
  <si>
    <t>이건홀딩스</t>
  </si>
  <si>
    <t>까뮤이앤씨</t>
  </si>
  <si>
    <t>고려제약</t>
  </si>
  <si>
    <t>우리넷</t>
  </si>
  <si>
    <t>핸즈코퍼레이션</t>
  </si>
  <si>
    <t>우성</t>
  </si>
  <si>
    <t>유라테크</t>
  </si>
  <si>
    <t>EG</t>
  </si>
  <si>
    <t>리메드</t>
  </si>
  <si>
    <t>한빛소프트</t>
  </si>
  <si>
    <t>KTcs</t>
  </si>
  <si>
    <t>대림B&amp;Co</t>
  </si>
  <si>
    <t>남화토건</t>
  </si>
  <si>
    <t>코콤</t>
  </si>
  <si>
    <t>세보엠이씨</t>
  </si>
  <si>
    <t>신도기연</t>
  </si>
  <si>
    <t>에스피시스템스</t>
  </si>
  <si>
    <t>KTis</t>
  </si>
  <si>
    <t>아이티센</t>
  </si>
  <si>
    <t>한국가구</t>
  </si>
  <si>
    <t>코메론</t>
  </si>
  <si>
    <t>유니켐</t>
  </si>
  <si>
    <t>하츠</t>
  </si>
  <si>
    <t>오파스넷</t>
  </si>
  <si>
    <t>조광페인트</t>
  </si>
  <si>
    <t>케일럼</t>
  </si>
  <si>
    <t>위지트</t>
  </si>
  <si>
    <t>광무</t>
  </si>
  <si>
    <t>인성정보</t>
  </si>
  <si>
    <t>TS트릴리온</t>
  </si>
  <si>
    <t>코퍼스코리아</t>
  </si>
  <si>
    <t>이글벳</t>
  </si>
  <si>
    <t>제이스텍</t>
  </si>
  <si>
    <t>디지틀조선</t>
  </si>
  <si>
    <t>화인베스틸</t>
  </si>
  <si>
    <t>경남제약</t>
  </si>
  <si>
    <t>하이소닉</t>
  </si>
  <si>
    <t>율호</t>
  </si>
  <si>
    <t>성도이엔지</t>
  </si>
  <si>
    <t>유성티엔에스</t>
  </si>
  <si>
    <t>비상교육</t>
  </si>
  <si>
    <t>인지디스플레</t>
  </si>
  <si>
    <t>희림</t>
  </si>
  <si>
    <t>덕양산업</t>
  </si>
  <si>
    <t>신원종합개발</t>
  </si>
  <si>
    <t>호전실업</t>
  </si>
  <si>
    <t>케이씨에스</t>
  </si>
  <si>
    <t>보라티알</t>
  </si>
  <si>
    <t>웨이버스</t>
  </si>
  <si>
    <t>하이즈항공</t>
  </si>
  <si>
    <t>데이타솔루션</t>
  </si>
  <si>
    <t>에이치시티</t>
  </si>
  <si>
    <t>페이퍼코리아</t>
  </si>
  <si>
    <t>케이에스피</t>
  </si>
  <si>
    <t>제이준코스메틱</t>
  </si>
  <si>
    <t>인팩</t>
  </si>
  <si>
    <t>성호전자</t>
  </si>
  <si>
    <t>석경에이티</t>
  </si>
  <si>
    <t>드림씨아이에스</t>
  </si>
  <si>
    <t>디에이피</t>
  </si>
  <si>
    <t>에쓰씨엔지니어링</t>
  </si>
  <si>
    <t>디케이락</t>
  </si>
  <si>
    <t>동양파일</t>
  </si>
  <si>
    <t>멕아이씨에스</t>
  </si>
  <si>
    <t>유니트론텍</t>
  </si>
  <si>
    <t>피에스텍</t>
  </si>
  <si>
    <t>모아텍</t>
  </si>
  <si>
    <t>정다운</t>
  </si>
  <si>
    <t>TJ미디어</t>
  </si>
  <si>
    <t>에프엔에스테크</t>
  </si>
  <si>
    <t>플레이위드</t>
  </si>
  <si>
    <t>마이크로디지탈</t>
  </si>
  <si>
    <t>누리플렉스</t>
  </si>
  <si>
    <t>대림제지</t>
  </si>
  <si>
    <t>지니언스</t>
  </si>
  <si>
    <t>제일연마</t>
  </si>
  <si>
    <t>영흥</t>
  </si>
  <si>
    <t>에코바이오</t>
  </si>
  <si>
    <t>프리시젼바이오</t>
  </si>
  <si>
    <t>삼보모터스</t>
  </si>
  <si>
    <t>동우팜투테이블</t>
  </si>
  <si>
    <t>바이오스마트</t>
  </si>
  <si>
    <t>TPC</t>
  </si>
  <si>
    <t>윈팩</t>
  </si>
  <si>
    <t>팬젠</t>
  </si>
  <si>
    <t>아이퀘스트</t>
  </si>
  <si>
    <t>유성기업</t>
  </si>
  <si>
    <t>iMBC</t>
  </si>
  <si>
    <t>에스텍</t>
  </si>
  <si>
    <t>엠브레인</t>
  </si>
  <si>
    <t>문배철강</t>
  </si>
  <si>
    <t>부국철강</t>
  </si>
  <si>
    <t>파이오링크</t>
  </si>
  <si>
    <t>딥노이드</t>
  </si>
  <si>
    <t>동아엘텍</t>
  </si>
  <si>
    <t>영보화학</t>
  </si>
  <si>
    <t>서진오토모티브</t>
  </si>
  <si>
    <t>화천기공</t>
  </si>
  <si>
    <t>액트로</t>
  </si>
  <si>
    <t>엘티씨</t>
  </si>
  <si>
    <t>에이에프더블류</t>
  </si>
  <si>
    <t>아이윈</t>
  </si>
  <si>
    <t>핸디소프트</t>
  </si>
  <si>
    <t>에스앤디</t>
  </si>
  <si>
    <t>KC코트렐</t>
  </si>
  <si>
    <t>신신제약</t>
  </si>
  <si>
    <t>SG</t>
  </si>
  <si>
    <t>대륙제관</t>
  </si>
  <si>
    <t>에이엔피</t>
  </si>
  <si>
    <t>스튜디오산타클로스</t>
  </si>
  <si>
    <t>이니텍</t>
  </si>
  <si>
    <t>위세아이텍</t>
  </si>
  <si>
    <t>네오티스</t>
  </si>
  <si>
    <t>힘스</t>
  </si>
  <si>
    <t>평화산업</t>
  </si>
  <si>
    <t>금비</t>
  </si>
  <si>
    <t>엔케이</t>
  </si>
  <si>
    <t>제넨바이오</t>
  </si>
  <si>
    <t>코리아에프티</t>
  </si>
  <si>
    <t>현우산업</t>
  </si>
  <si>
    <t>코위버</t>
  </si>
  <si>
    <t>현대에이치티</t>
  </si>
  <si>
    <t>위즈코프</t>
  </si>
  <si>
    <t>아이오케이</t>
  </si>
  <si>
    <t>노블엠앤비</t>
  </si>
  <si>
    <t>아시아경제</t>
  </si>
  <si>
    <t>씨큐브</t>
  </si>
  <si>
    <t>모베이스</t>
  </si>
  <si>
    <t>파워넷</t>
  </si>
  <si>
    <t>에스에이티</t>
  </si>
  <si>
    <t>티엘아이</t>
  </si>
  <si>
    <t>영우디에스피</t>
  </si>
  <si>
    <t>우진플라임</t>
  </si>
  <si>
    <t>제이엘케이</t>
  </si>
  <si>
    <t>한국종합기술</t>
  </si>
  <si>
    <t>디엔에이링크</t>
  </si>
  <si>
    <t>케이엘넷</t>
  </si>
  <si>
    <t>KX하이텍</t>
  </si>
  <si>
    <t>코데즈컴바인</t>
  </si>
  <si>
    <t>케이엠</t>
  </si>
  <si>
    <t>선진뷰티사이언스</t>
  </si>
  <si>
    <t>우정바이오</t>
  </si>
  <si>
    <t>에이루트</t>
  </si>
  <si>
    <t>오디텍</t>
  </si>
  <si>
    <t>대동전자</t>
  </si>
  <si>
    <t>크리스탈신소재</t>
  </si>
  <si>
    <t>에스코넥</t>
  </si>
  <si>
    <t>케이씨피드</t>
  </si>
  <si>
    <t>큐로홀딩스</t>
  </si>
  <si>
    <t>드래곤플라이</t>
  </si>
  <si>
    <t>링네트</t>
  </si>
  <si>
    <t>진양제약</t>
  </si>
  <si>
    <t>메디아나</t>
  </si>
  <si>
    <t>대동기어</t>
  </si>
  <si>
    <t>웨이브일렉트로</t>
  </si>
  <si>
    <t>하이텍팜</t>
  </si>
  <si>
    <t>알파홀딩스</t>
  </si>
  <si>
    <t>삼정펄프</t>
  </si>
  <si>
    <t>SG&amp;G</t>
  </si>
  <si>
    <t>지엔씨에너지</t>
  </si>
  <si>
    <t>한일화학</t>
  </si>
  <si>
    <t>엘엠에스</t>
  </si>
  <si>
    <t>제이스코홀딩스</t>
  </si>
  <si>
    <t>상신브레이크</t>
  </si>
  <si>
    <t>브레인즈컴퍼니</t>
  </si>
  <si>
    <t>이노인스트루먼트</t>
  </si>
  <si>
    <t>동국알앤에스</t>
  </si>
  <si>
    <t>한국맥널티</t>
  </si>
  <si>
    <t>윙입푸드</t>
  </si>
  <si>
    <t>우원개발</t>
  </si>
  <si>
    <t>화승코퍼레이션</t>
  </si>
  <si>
    <t>서원</t>
  </si>
  <si>
    <t>아세아텍</t>
  </si>
  <si>
    <t>DSR제강</t>
  </si>
  <si>
    <t>진시스템</t>
  </si>
  <si>
    <t>유에스티</t>
  </si>
  <si>
    <t>한익스프레스</t>
  </si>
  <si>
    <t>화승알앤에이</t>
  </si>
  <si>
    <t>태양</t>
  </si>
  <si>
    <t>동일제강</t>
  </si>
  <si>
    <t>대창솔루션</t>
  </si>
  <si>
    <t>수산아이앤티</t>
  </si>
  <si>
    <t>원익</t>
  </si>
  <si>
    <t>골드앤에스</t>
  </si>
  <si>
    <t>크린앤사이언스</t>
  </si>
  <si>
    <t>한국전자홀딩스</t>
  </si>
  <si>
    <t>와이즈버즈</t>
  </si>
  <si>
    <t>푸른기술</t>
  </si>
  <si>
    <t>클라우드에어</t>
  </si>
  <si>
    <t>CS홀딩스</t>
  </si>
  <si>
    <t>에이디엠코리아</t>
  </si>
  <si>
    <t>쌍용정보통신</t>
  </si>
  <si>
    <t>소프트센</t>
  </si>
  <si>
    <t>옵티시스</t>
  </si>
  <si>
    <t>플레이디</t>
  </si>
  <si>
    <t>포시에스</t>
  </si>
  <si>
    <t>링크제니시스</t>
  </si>
  <si>
    <t>소룩스</t>
  </si>
  <si>
    <t>알엔투테크놀로지</t>
  </si>
  <si>
    <t>KB오토시스</t>
  </si>
  <si>
    <t>대창스틸</t>
  </si>
  <si>
    <t>제이티</t>
  </si>
  <si>
    <t>인산가</t>
  </si>
  <si>
    <t>윌비스</t>
  </si>
  <si>
    <t>YBM넷</t>
  </si>
  <si>
    <t>한창</t>
  </si>
  <si>
    <t>영림원소프트랩</t>
  </si>
  <si>
    <t>어스앤에어로스페이스</t>
  </si>
  <si>
    <t>오리콤</t>
  </si>
  <si>
    <t>CNH</t>
  </si>
  <si>
    <t>신화콘텍</t>
  </si>
  <si>
    <t>우리산업홀딩스</t>
  </si>
  <si>
    <t>KR모터스</t>
  </si>
  <si>
    <t>모나미</t>
  </si>
  <si>
    <t>유아이엘</t>
  </si>
  <si>
    <t>라닉스</t>
  </si>
  <si>
    <t>마니커에프앤지</t>
  </si>
  <si>
    <t>얼라인드</t>
  </si>
  <si>
    <t>승일</t>
  </si>
  <si>
    <t>신진에스엠</t>
  </si>
  <si>
    <t>비피도</t>
  </si>
  <si>
    <t>슈프리마에이치큐</t>
  </si>
  <si>
    <t>동양피스톤</t>
  </si>
  <si>
    <t>오공</t>
  </si>
  <si>
    <t>우리이앤엘</t>
  </si>
  <si>
    <t>픽셀플러스</t>
  </si>
  <si>
    <t>린드먼아시아</t>
  </si>
  <si>
    <t>웰크론한텍</t>
  </si>
  <si>
    <t>코이즈</t>
  </si>
  <si>
    <t>CSA 코스믹</t>
  </si>
  <si>
    <t>젠큐릭스</t>
  </si>
  <si>
    <t>이글루</t>
  </si>
  <si>
    <t>우진비앤지</t>
  </si>
  <si>
    <t>푸드웰</t>
  </si>
  <si>
    <t>골든센츄리</t>
  </si>
  <si>
    <t>제너셈</t>
  </si>
  <si>
    <t>티웨이홀딩스</t>
  </si>
  <si>
    <t>무림SP</t>
  </si>
  <si>
    <t>MH에탄올</t>
  </si>
  <si>
    <t>지엔코</t>
  </si>
  <si>
    <t>SUN&amp;L</t>
  </si>
  <si>
    <t>우리엔터프라이즈</t>
  </si>
  <si>
    <t>알로이스</t>
  </si>
  <si>
    <t>이루온</t>
  </si>
  <si>
    <t>나무기술</t>
  </si>
  <si>
    <t>원바이오젠</t>
  </si>
  <si>
    <t>인디에프</t>
  </si>
  <si>
    <t>지엘팜텍</t>
  </si>
  <si>
    <t>비비씨</t>
  </si>
  <si>
    <t>한국컴퓨터</t>
  </si>
  <si>
    <t>배럴</t>
  </si>
  <si>
    <t>세명전기</t>
  </si>
  <si>
    <t>코리아에셋투자증권</t>
  </si>
  <si>
    <t>대림통상</t>
  </si>
  <si>
    <t>로스웰</t>
  </si>
  <si>
    <t>체리부로</t>
  </si>
  <si>
    <t>이상네트웍스</t>
  </si>
  <si>
    <t>SG글로벌</t>
  </si>
  <si>
    <t>메가엠디</t>
  </si>
  <si>
    <t>아이크래프트</t>
  </si>
  <si>
    <t>더블유에스아이</t>
  </si>
  <si>
    <t>모아데이타</t>
  </si>
  <si>
    <t>엔텔스</t>
  </si>
  <si>
    <t>재영솔루텍</t>
  </si>
  <si>
    <t>부산주공</t>
  </si>
  <si>
    <t>유신</t>
  </si>
  <si>
    <t>브리지텍</t>
  </si>
  <si>
    <t>인바이오</t>
  </si>
  <si>
    <t>비투엔</t>
  </si>
  <si>
    <t>이엘피</t>
  </si>
  <si>
    <t>제일테크노스</t>
  </si>
  <si>
    <t>서남</t>
  </si>
  <si>
    <t>KBI메탈</t>
  </si>
  <si>
    <t>GH신소재</t>
  </si>
  <si>
    <t>쎄니트</t>
  </si>
  <si>
    <t>프로이천</t>
  </si>
  <si>
    <t>셀레믹스</t>
  </si>
  <si>
    <t>제룡산업</t>
  </si>
  <si>
    <t>메디콕스</t>
  </si>
  <si>
    <t>화신정공</t>
  </si>
  <si>
    <t>영화금속</t>
  </si>
  <si>
    <t>그리티</t>
  </si>
  <si>
    <t>애드바이오텍</t>
  </si>
  <si>
    <t>ES큐브</t>
  </si>
  <si>
    <t>아이스크림에듀</t>
  </si>
  <si>
    <t>손오공</t>
  </si>
  <si>
    <t>넥스트아이</t>
  </si>
  <si>
    <t>선도전기</t>
  </si>
  <si>
    <t>비비안</t>
  </si>
  <si>
    <t>루멘스</t>
  </si>
  <si>
    <t>컬러레이</t>
  </si>
  <si>
    <t>파버나인</t>
  </si>
  <si>
    <t>모비스</t>
  </si>
  <si>
    <t>우양</t>
  </si>
  <si>
    <t>SJM</t>
  </si>
  <si>
    <t>라이프시맨틱스</t>
  </si>
  <si>
    <t>제이엠티</t>
  </si>
  <si>
    <t>제일바이오</t>
  </si>
  <si>
    <t>카스</t>
  </si>
  <si>
    <t>폴라리스오피스</t>
  </si>
  <si>
    <t>원풍</t>
  </si>
  <si>
    <t>좋은사람들</t>
  </si>
  <si>
    <t>디티앤씨</t>
  </si>
  <si>
    <t>아이티아이즈</t>
  </si>
  <si>
    <t>화천기계</t>
  </si>
  <si>
    <t>세원물산</t>
  </si>
  <si>
    <t>태양금속</t>
  </si>
  <si>
    <t>삼영엠텍</t>
  </si>
  <si>
    <t>코맥스</t>
  </si>
  <si>
    <t>원림</t>
  </si>
  <si>
    <t>삼영이엔씨</t>
  </si>
  <si>
    <t>에스폴리텍</t>
  </si>
  <si>
    <t>본느</t>
  </si>
  <si>
    <t>메타바이오메드</t>
  </si>
  <si>
    <t>프리엠스</t>
  </si>
  <si>
    <t>에스아이리소스</t>
  </si>
  <si>
    <t>다보링크</t>
  </si>
  <si>
    <t>참엔지니어링</t>
  </si>
  <si>
    <t>케이비아이동국실업</t>
  </si>
  <si>
    <t>이엠앤아이</t>
  </si>
  <si>
    <t>세화피앤씨</t>
  </si>
  <si>
    <t>이스타코</t>
  </si>
  <si>
    <t>메타랩스</t>
  </si>
  <si>
    <t>오리엔트정공</t>
  </si>
  <si>
    <t>마이크로컨텍솔</t>
  </si>
  <si>
    <t>화성밸브</t>
  </si>
  <si>
    <t>티에이치엔</t>
  </si>
  <si>
    <t>한국유니온제약</t>
  </si>
  <si>
    <t>케이디켐</t>
  </si>
  <si>
    <t>애니젠</t>
  </si>
  <si>
    <t>씨아이테크</t>
  </si>
  <si>
    <t>성창오토텍</t>
  </si>
  <si>
    <t>코스나인</t>
  </si>
  <si>
    <t>폴라리스우노</t>
  </si>
  <si>
    <t>파인디지털</t>
  </si>
  <si>
    <t>파인디앤씨</t>
  </si>
  <si>
    <t>바이오로그디바이스</t>
  </si>
  <si>
    <t>포메탈</t>
  </si>
  <si>
    <t>파루</t>
  </si>
  <si>
    <t>국영지앤엠</t>
  </si>
  <si>
    <t>이스트아시아홀딩스</t>
  </si>
  <si>
    <t>아시아종묘</t>
  </si>
  <si>
    <t>엔피디</t>
  </si>
  <si>
    <t>아스타</t>
  </si>
  <si>
    <t>오스테오닉</t>
  </si>
  <si>
    <t>미디어젠</t>
  </si>
  <si>
    <t>SGA</t>
  </si>
  <si>
    <t>평화홀딩스</t>
  </si>
  <si>
    <t>세기상사</t>
  </si>
  <si>
    <t>삼보산업</t>
  </si>
  <si>
    <t>아이디피</t>
  </si>
  <si>
    <t>SJM홀딩스</t>
  </si>
  <si>
    <t>대성파인텍</t>
  </si>
  <si>
    <t>에이티세미콘</t>
  </si>
  <si>
    <t>세중</t>
  </si>
  <si>
    <t>진양폴리</t>
  </si>
  <si>
    <t>S&amp;K폴리텍</t>
  </si>
  <si>
    <t>대한과학</t>
  </si>
  <si>
    <t>WISCOM</t>
  </si>
  <si>
    <t>PN풍년</t>
  </si>
  <si>
    <t>제이에스티나</t>
  </si>
  <si>
    <t>포커스에이치엔에스</t>
  </si>
  <si>
    <t>아이앤씨</t>
  </si>
  <si>
    <t>오스템</t>
  </si>
  <si>
    <t>대호특수강</t>
  </si>
  <si>
    <t>주연테크</t>
  </si>
  <si>
    <t>네오오토</t>
  </si>
  <si>
    <t>KBG</t>
  </si>
  <si>
    <t>메디앙스</t>
  </si>
  <si>
    <t>알티캐스트</t>
  </si>
  <si>
    <t>아이즈비전</t>
  </si>
  <si>
    <t>씨유메디칼</t>
  </si>
  <si>
    <t>셀바스헬스케어</t>
  </si>
  <si>
    <t>대동스틸</t>
  </si>
  <si>
    <t>로지시스</t>
  </si>
  <si>
    <t>서울전자통신</t>
  </si>
  <si>
    <t>한국큐빅</t>
  </si>
  <si>
    <t>아즈텍WB</t>
  </si>
  <si>
    <t>상신전자</t>
  </si>
  <si>
    <t>우리로</t>
  </si>
  <si>
    <t>피델릭스</t>
  </si>
  <si>
    <t>삼진</t>
  </si>
  <si>
    <t>성우테크론</t>
  </si>
  <si>
    <t>동양에스텍</t>
  </si>
  <si>
    <t>디지캡</t>
  </si>
  <si>
    <t>파인텍</t>
  </si>
  <si>
    <t>형지엘리트</t>
  </si>
  <si>
    <t>딜리</t>
  </si>
  <si>
    <t>케스피온</t>
  </si>
  <si>
    <t>리더스코스메틱</t>
  </si>
  <si>
    <t>오가닉티코스메틱</t>
  </si>
  <si>
    <t>티라유텍</t>
  </si>
  <si>
    <t>투비소프트</t>
  </si>
  <si>
    <t>코다코</t>
  </si>
  <si>
    <t>나노캠텍</t>
  </si>
  <si>
    <t>디케이앤디</t>
  </si>
  <si>
    <t>휴럼</t>
  </si>
  <si>
    <t>인베니아</t>
  </si>
  <si>
    <t>케이엠제약</t>
  </si>
  <si>
    <t>웹스</t>
  </si>
  <si>
    <t>네이블</t>
  </si>
  <si>
    <t>피앤씨테크</t>
  </si>
  <si>
    <t>글로벌에스엠</t>
  </si>
  <si>
    <t>인콘</t>
  </si>
  <si>
    <t>이씨에스</t>
  </si>
  <si>
    <t>우진아이엔에스</t>
  </si>
  <si>
    <t>미래산업</t>
  </si>
  <si>
    <t>진바이오텍</t>
  </si>
  <si>
    <t>시큐브</t>
  </si>
  <si>
    <t>갤럭시아에스엠</t>
  </si>
  <si>
    <t>진양화학</t>
  </si>
  <si>
    <t>바이온</t>
  </si>
  <si>
    <t>원일특강</t>
  </si>
  <si>
    <t>토탈소프트</t>
  </si>
  <si>
    <t>예선테크</t>
  </si>
  <si>
    <t>세우글로벌</t>
  </si>
  <si>
    <t>성우전자</t>
  </si>
  <si>
    <t>플랜티넷</t>
  </si>
  <si>
    <t>삼일기업공사</t>
  </si>
  <si>
    <t>비케이홀딩스</t>
  </si>
  <si>
    <t>백금T&amp;A</t>
  </si>
  <si>
    <t>토박스코리아</t>
  </si>
  <si>
    <t>예림당</t>
  </si>
  <si>
    <t>이큐셀</t>
  </si>
  <si>
    <t>이화산업</t>
  </si>
  <si>
    <t>지더블유바이텍</t>
  </si>
  <si>
    <t>동양고속</t>
  </si>
  <si>
    <t>동원수산</t>
  </si>
  <si>
    <t>아이컴포넌트</t>
  </si>
  <si>
    <t>유니온커뮤니티</t>
  </si>
  <si>
    <t>우신시스템</t>
  </si>
  <si>
    <t>신라섬유</t>
  </si>
  <si>
    <t>미래아이앤지</t>
  </si>
  <si>
    <t>까스텔바작</t>
  </si>
  <si>
    <t>아이톡시</t>
  </si>
  <si>
    <t>모헨즈</t>
  </si>
  <si>
    <t>정원엔시스</t>
  </si>
  <si>
    <t>대성미생물</t>
  </si>
  <si>
    <t>휴맥스홀딩스</t>
  </si>
  <si>
    <t>부스타</t>
  </si>
  <si>
    <t>싸이버원</t>
  </si>
  <si>
    <t>대신정보통신</t>
  </si>
  <si>
    <t>자비스</t>
  </si>
  <si>
    <t>아이엠</t>
  </si>
  <si>
    <t>팬스타엔터프라이즈</t>
  </si>
  <si>
    <t>나노브릭</t>
  </si>
  <si>
    <t>휴네시온</t>
  </si>
  <si>
    <t>YW</t>
  </si>
  <si>
    <t>소프트캠프</t>
  </si>
  <si>
    <t>와토스코리아</t>
  </si>
  <si>
    <t>동방선기</t>
  </si>
  <si>
    <t>판타지오</t>
  </si>
  <si>
    <t>유엔젤</t>
  </si>
  <si>
    <t>한세엠케이</t>
  </si>
  <si>
    <t>누리플랜</t>
  </si>
  <si>
    <t>한성기업</t>
  </si>
  <si>
    <t>에스디생명공학</t>
  </si>
  <si>
    <t>신라에스지</t>
  </si>
  <si>
    <t>한창산업</t>
  </si>
  <si>
    <t>서울제약</t>
  </si>
  <si>
    <t>네오펙트</t>
  </si>
  <si>
    <t>빛샘전자</t>
  </si>
  <si>
    <t>서울리거</t>
  </si>
  <si>
    <t>삼영에스앤씨</t>
  </si>
  <si>
    <t>CS</t>
  </si>
  <si>
    <t>캐리소프트</t>
  </si>
  <si>
    <t>동일철강</t>
  </si>
  <si>
    <t>코디</t>
  </si>
  <si>
    <t>서산</t>
  </si>
  <si>
    <t>엔시트론</t>
  </si>
  <si>
    <t>동일기연</t>
  </si>
  <si>
    <t>경인전자</t>
  </si>
  <si>
    <t>동원금속</t>
  </si>
  <si>
    <t>SGA솔루션즈</t>
  </si>
  <si>
    <t>풍강</t>
  </si>
  <si>
    <t>패션플랫폼</t>
  </si>
  <si>
    <t>금호전기</t>
  </si>
  <si>
    <t>엔피케이</t>
  </si>
  <si>
    <t>엑사이엔씨</t>
  </si>
  <si>
    <t>프럼파스트</t>
  </si>
  <si>
    <t>진도</t>
  </si>
  <si>
    <t>SHD</t>
  </si>
  <si>
    <t>TBH글로벌</t>
  </si>
  <si>
    <t>디젠스</t>
  </si>
  <si>
    <t>형지I&amp;C</t>
  </si>
  <si>
    <t>와이오엠</t>
  </si>
  <si>
    <t>스타플렉스</t>
  </si>
  <si>
    <t>에이치케이</t>
  </si>
  <si>
    <t>태원물산</t>
  </si>
  <si>
    <t>윈하이텍</t>
  </si>
  <si>
    <t>에프알텍</t>
  </si>
  <si>
    <t>파커스</t>
  </si>
  <si>
    <t>뉴보텍</t>
  </si>
  <si>
    <t>자이글</t>
  </si>
  <si>
    <t>체시스</t>
  </si>
  <si>
    <t>삼일</t>
  </si>
  <si>
    <t>씨엔플러스</t>
  </si>
  <si>
    <t>디지아이</t>
  </si>
  <si>
    <t>일지테크</t>
  </si>
  <si>
    <t>제이엠아이</t>
  </si>
  <si>
    <t>성문전자</t>
  </si>
  <si>
    <t>티피씨글로벌</t>
  </si>
  <si>
    <t>알에프세미</t>
  </si>
  <si>
    <t>이미지스</t>
  </si>
  <si>
    <t>국일신동</t>
  </si>
  <si>
    <t>한국주강</t>
  </si>
  <si>
    <t>광진실업</t>
  </si>
  <si>
    <t>헝셩그룹</t>
  </si>
  <si>
    <t>삼화전자</t>
  </si>
  <si>
    <t>육일씨엔에쓰</t>
  </si>
  <si>
    <t>코아스</t>
  </si>
  <si>
    <t>캐스텍코리아</t>
  </si>
  <si>
    <t>씨씨에스</t>
  </si>
  <si>
    <t>지란지교시큐리티</t>
  </si>
  <si>
    <t>디와이씨</t>
  </si>
  <si>
    <t>한솔PNS</t>
  </si>
  <si>
    <t>세진티에스</t>
  </si>
  <si>
    <t>이퓨쳐</t>
  </si>
  <si>
    <t>에스티오</t>
  </si>
  <si>
    <t>장원테크</t>
  </si>
  <si>
    <t>원풍물산</t>
  </si>
  <si>
    <t>대동금속</t>
  </si>
  <si>
    <t>케이피티유</t>
  </si>
  <si>
    <t>나노</t>
  </si>
  <si>
    <t>한국정보공학</t>
  </si>
  <si>
    <t>아우딘퓨쳐스</t>
  </si>
  <si>
    <t>제닉</t>
  </si>
  <si>
    <t>유아이디</t>
  </si>
  <si>
    <t>듀오백</t>
  </si>
  <si>
    <t>엠에프엠코리아</t>
  </si>
  <si>
    <t>피피아이</t>
  </si>
  <si>
    <t>에스에스알</t>
  </si>
  <si>
    <t>전진바이오팜</t>
  </si>
  <si>
    <t>엔지스테크널러지</t>
  </si>
  <si>
    <t>한솔인티큐브</t>
  </si>
  <si>
    <t>인터엠</t>
  </si>
  <si>
    <t>세동</t>
  </si>
  <si>
    <t>KD</t>
  </si>
  <si>
    <t>에이디칩스</t>
  </si>
  <si>
    <t>엘디티</t>
  </si>
  <si>
    <t>하이트론</t>
  </si>
  <si>
    <t>다이나믹디자인</t>
  </si>
  <si>
    <t>일정실업</t>
  </si>
  <si>
    <t>원텍</t>
  </si>
  <si>
    <t>엑스큐어</t>
  </si>
  <si>
    <t>에스앤더블류</t>
  </si>
  <si>
    <t>하나금융21호스팩</t>
  </si>
  <si>
    <t>스카이문스테크놀로지</t>
  </si>
  <si>
    <t>미래에셋비전스팩1호</t>
  </si>
  <si>
    <t>하나금융22호스팩</t>
  </si>
  <si>
    <t>한국정밀기계</t>
  </si>
  <si>
    <t>상상인제3호스팩</t>
  </si>
  <si>
    <t>태성</t>
  </si>
  <si>
    <t>에스디시스템</t>
  </si>
  <si>
    <t>키움제6호스팩</t>
  </si>
  <si>
    <t>위니아에이드</t>
  </si>
  <si>
    <t>케이비제21호스팩</t>
  </si>
  <si>
    <t>상장 종가</t>
    <phoneticPr fontId="7" type="noConversion"/>
  </si>
  <si>
    <t>조회일자</t>
    <phoneticPr fontId="7" type="noConversion"/>
  </si>
  <si>
    <t>미국 달러 (USD)</t>
  </si>
  <si>
    <t>일본 엔 (JPY) (100)</t>
  </si>
  <si>
    <t>유로 (EUR)</t>
  </si>
  <si>
    <t>영국 파운드 (GBP)</t>
  </si>
  <si>
    <t>캐나다 달러 (CAD)</t>
  </si>
  <si>
    <t>스위스 프랑 (CHF)</t>
  </si>
  <si>
    <t>호주 달러 (AUD)</t>
  </si>
  <si>
    <t>뉴질랜드 달러 (NZD)</t>
  </si>
  <si>
    <t>홍콩 달러 (HKD)</t>
  </si>
  <si>
    <t>대만 달러 (TWD)</t>
  </si>
  <si>
    <t>몽골 투그릭 (MNT)</t>
  </si>
  <si>
    <t>카자흐스탄 텡게 (KZT)</t>
  </si>
  <si>
    <t>태국 밧 (THB)</t>
  </si>
  <si>
    <t>싱가포르 달러 (SGD)</t>
  </si>
  <si>
    <t>인도네시아 루피아 (IDR) (100)</t>
  </si>
  <si>
    <t>말레이시아 링깃 (MYR)</t>
  </si>
  <si>
    <t>필리핀 페소 (PHP)</t>
  </si>
  <si>
    <t>베트남 동 (VND) (100)</t>
  </si>
  <si>
    <t>브루나이 달러 (BND)</t>
  </si>
  <si>
    <t>인도 루피 (INR)</t>
  </si>
  <si>
    <t>파키스탄 루피 (PKR)</t>
  </si>
  <si>
    <t>방글라데시 타카 (BDT)</t>
  </si>
  <si>
    <t>캄보디아 리엘 (KHR)</t>
  </si>
  <si>
    <t>마카오 파타카 (MOP)</t>
  </si>
  <si>
    <t>네팔 루피 (NPR)</t>
  </si>
  <si>
    <t>스리랑카 루피 (LKR)</t>
  </si>
  <si>
    <t>우즈베키스탄 숨 (UZS)</t>
  </si>
  <si>
    <t>미얀마 짯 (MMK)</t>
  </si>
  <si>
    <t>멕시코 페소 (MXN)</t>
  </si>
  <si>
    <t>브라질 헤알 (BRL)</t>
  </si>
  <si>
    <t>아르헨티나 페소 (ARS)</t>
  </si>
  <si>
    <t>칠레 페소 (CLP)</t>
  </si>
  <si>
    <t>콜롬비아 페소 (COP)</t>
  </si>
  <si>
    <t>스웨덴 크로나 (SEK)</t>
  </si>
  <si>
    <t>덴마크 크로네 (DKK)</t>
  </si>
  <si>
    <t>노르웨이 크로네 (NOK)</t>
  </si>
  <si>
    <t>러시아 루블 (RUB)</t>
  </si>
  <si>
    <t>헝가리 포린트 (HUF)</t>
  </si>
  <si>
    <t>폴란드 즈워티 (PLN)</t>
  </si>
  <si>
    <t>체코 코루나 (CZK)</t>
  </si>
  <si>
    <t>루마니아 레우 (RON)</t>
  </si>
  <si>
    <t>사우디아라비아 리얄 (SAR)</t>
  </si>
  <si>
    <t>카타르 리얄 (QAR)</t>
  </si>
  <si>
    <t>이스라엘 셰켈 (ILS)</t>
  </si>
  <si>
    <t>요르단 디나르 (JOD)</t>
  </si>
  <si>
    <t>쿠웨이트 디나르 (KWD)</t>
  </si>
  <si>
    <t>바레인 디나르 (BHD)</t>
  </si>
  <si>
    <t>아랍에미리트 디르함 (AED)</t>
  </si>
  <si>
    <t>튀르키예 리라 (TRY)</t>
  </si>
  <si>
    <t>오만 리얄 (OMR)</t>
  </si>
  <si>
    <t>남아프리카공화국 랜드 (ZAR)</t>
  </si>
  <si>
    <t>이집트 파운드 (EGP)</t>
  </si>
  <si>
    <t>케냐 실링 (KES)</t>
  </si>
  <si>
    <t>리비아 디나르 (LYD)</t>
  </si>
  <si>
    <t>에티오피아 비르 (ETB)</t>
  </si>
  <si>
    <t>피지 달러 (FJD)</t>
  </si>
  <si>
    <t>펀드명</t>
    <phoneticPr fontId="7" type="noConversion"/>
  </si>
  <si>
    <t>(*) 실제 계산시 적용</t>
    <phoneticPr fontId="7" type="noConversion"/>
  </si>
  <si>
    <t>평가구분명</t>
    <phoneticPr fontId="8" type="noConversion"/>
  </si>
  <si>
    <t>평가구분코드</t>
    <phoneticPr fontId="8" type="noConversion"/>
  </si>
  <si>
    <t>평가단위</t>
    <phoneticPr fontId="8" type="noConversion"/>
  </si>
  <si>
    <t>평가방법론</t>
    <phoneticPr fontId="8" type="noConversion"/>
  </si>
  <si>
    <t>A01</t>
  </si>
  <si>
    <t>주</t>
  </si>
  <si>
    <t>옵션부보통주</t>
  </si>
  <si>
    <t>A02</t>
  </si>
  <si>
    <t>의결권제한보통주</t>
  </si>
  <si>
    <t>A03</t>
  </si>
  <si>
    <t>A04</t>
  </si>
  <si>
    <t>A05</t>
  </si>
  <si>
    <t>이항모형</t>
  </si>
  <si>
    <t>A06</t>
  </si>
  <si>
    <t>A07</t>
  </si>
  <si>
    <t>조합(PEF,VC)</t>
  </si>
  <si>
    <t>B01</t>
  </si>
  <si>
    <t>출자금 단위</t>
  </si>
  <si>
    <t>NAV</t>
  </si>
  <si>
    <t>수익증권</t>
  </si>
  <si>
    <t>B02</t>
  </si>
  <si>
    <t>여신성유가증권</t>
  </si>
  <si>
    <t>B03</t>
  </si>
  <si>
    <t>수익권증서</t>
  </si>
  <si>
    <t>B04</t>
  </si>
  <si>
    <t>B05</t>
  </si>
  <si>
    <t>REITS</t>
  </si>
  <si>
    <t>B06</t>
  </si>
  <si>
    <t>B07</t>
  </si>
  <si>
    <t>거래정지상장주식</t>
  </si>
  <si>
    <t>C01</t>
  </si>
  <si>
    <t>의결권/처분제한보통주</t>
  </si>
  <si>
    <t>C02</t>
  </si>
  <si>
    <t>D01</t>
  </si>
  <si>
    <t>10,000원당</t>
  </si>
  <si>
    <t>D02</t>
  </si>
  <si>
    <t>D03</t>
  </si>
  <si>
    <t>D04</t>
  </si>
  <si>
    <t>개</t>
  </si>
  <si>
    <t>풋백옵션</t>
  </si>
  <si>
    <t>D05</t>
  </si>
  <si>
    <t>D06</t>
  </si>
  <si>
    <t>후순위사채</t>
  </si>
  <si>
    <t>E01</t>
  </si>
  <si>
    <t>영업권</t>
  </si>
  <si>
    <t>G01</t>
  </si>
  <si>
    <t>H01</t>
  </si>
  <si>
    <t>PF</t>
  </si>
  <si>
    <t>H02</t>
  </si>
  <si>
    <t>Reits</t>
  </si>
  <si>
    <t>H03</t>
  </si>
  <si>
    <t>ABS</t>
  </si>
  <si>
    <t>H04</t>
  </si>
  <si>
    <t>M&amp;A</t>
  </si>
  <si>
    <t>H05</t>
  </si>
  <si>
    <t>발전</t>
  </si>
  <si>
    <t>H06</t>
  </si>
  <si>
    <t>담보</t>
  </si>
  <si>
    <t>H07</t>
  </si>
  <si>
    <t>중도금</t>
  </si>
  <si>
    <t>H08</t>
  </si>
  <si>
    <t>해외</t>
  </si>
  <si>
    <t>H09</t>
  </si>
  <si>
    <t>기타</t>
  </si>
  <si>
    <t>H10</t>
  </si>
  <si>
    <t>Z99</t>
  </si>
  <si>
    <t>기타</t>
    <phoneticPr fontId="7" type="noConversion"/>
  </si>
  <si>
    <t>Z17</t>
    <phoneticPr fontId="7" type="noConversion"/>
  </si>
  <si>
    <t>으악</t>
    <phoneticPr fontId="7" type="noConversion"/>
  </si>
  <si>
    <t>장부가액</t>
    <phoneticPr fontId="7" type="noConversion"/>
  </si>
  <si>
    <t>장부가액</t>
    <phoneticPr fontId="7" type="noConversion"/>
  </si>
  <si>
    <t>장부가액</t>
    <phoneticPr fontId="7" type="noConversion"/>
  </si>
  <si>
    <t>장부가액</t>
    <phoneticPr fontId="7" type="noConversion"/>
  </si>
  <si>
    <t>상장여부</t>
  </si>
  <si>
    <t>계산단위</t>
  </si>
  <si>
    <t>주식수</t>
  </si>
  <si>
    <t>취득잔액</t>
  </si>
  <si>
    <t>전기평가액</t>
  </si>
  <si>
    <t>평가담당자</t>
  </si>
  <si>
    <t>단위당평가금액</t>
  </si>
  <si>
    <t>공정가치평가액</t>
  </si>
  <si>
    <t>투자화폐</t>
  </si>
  <si>
    <t>적용환율</t>
  </si>
  <si>
    <t>주당(만원당)취득가</t>
  </si>
  <si>
    <t>전기와의차이</t>
  </si>
  <si>
    <t>평가여부</t>
  </si>
  <si>
    <t>공백여부</t>
    <phoneticPr fontId="7" type="noConversion"/>
  </si>
  <si>
    <t>순번</t>
    <phoneticPr fontId="7" type="noConversion"/>
  </si>
  <si>
    <t>법인코드</t>
  </si>
  <si>
    <t>종류코드</t>
  </si>
  <si>
    <t>회차</t>
  </si>
  <si>
    <t>투자일자</t>
  </si>
  <si>
    <t>법인코드</t>
    <phoneticPr fontId="7" type="noConversion"/>
  </si>
  <si>
    <t>종류코드</t>
    <phoneticPr fontId="7" type="noConversion"/>
  </si>
  <si>
    <t>회차</t>
    <phoneticPr fontId="7" type="noConversion"/>
  </si>
  <si>
    <t>투자일자</t>
    <phoneticPr fontId="7" type="noConversion"/>
  </si>
  <si>
    <t>추가요청시 필수입력 -&gt;</t>
    <phoneticPr fontId="8" type="noConversion"/>
  </si>
  <si>
    <t>●</t>
    <phoneticPr fontId="8" type="noConversion"/>
  </si>
  <si>
    <t>▲</t>
    <phoneticPr fontId="8" type="noConversion"/>
  </si>
  <si>
    <t>수정요청시 필수입력 -&gt;</t>
    <phoneticPr fontId="8" type="noConversion"/>
  </si>
  <si>
    <t>삭제요청시 필수입력 -&gt;</t>
    <phoneticPr fontId="8" type="noConversion"/>
  </si>
  <si>
    <t>처리결과</t>
  </si>
  <si>
    <t>요청일자</t>
  </si>
  <si>
    <t>요청자</t>
  </si>
  <si>
    <t>요청내용</t>
  </si>
  <si>
    <t>의뢰기관명</t>
  </si>
  <si>
    <t>참고사항 (당기평가여부 등)</t>
  </si>
  <si>
    <t>■ 펀드기초자산 요청리스트</t>
  </si>
  <si>
    <t>펀드명</t>
  </si>
  <si>
    <t>포스코퓨처엠</t>
  </si>
  <si>
    <t>롯데에너지머티리얼즈</t>
  </si>
  <si>
    <t>HL만도</t>
  </si>
  <si>
    <t>성일하이텍</t>
  </si>
  <si>
    <t>KG모빌리티</t>
  </si>
  <si>
    <t>더블유씨피</t>
  </si>
  <si>
    <t>HPSP</t>
  </si>
  <si>
    <t>SK오션플랜트</t>
  </si>
  <si>
    <t>제이오</t>
  </si>
  <si>
    <t>현대지에프홀딩스</t>
  </si>
  <si>
    <t>코난테크놀로지</t>
  </si>
  <si>
    <t>바이오노트</t>
  </si>
  <si>
    <t>윤성에프앤씨</t>
  </si>
  <si>
    <t>커넥트웨이브</t>
  </si>
  <si>
    <t>쏘카</t>
  </si>
  <si>
    <t>하이드로리튬</t>
  </si>
  <si>
    <t>새빗켐</t>
  </si>
  <si>
    <t>나노팀</t>
  </si>
  <si>
    <t>루닛</t>
  </si>
  <si>
    <t>오픈엣지테크놀로지</t>
  </si>
  <si>
    <t>탑머티리얼</t>
  </si>
  <si>
    <t>에코앤드림</t>
  </si>
  <si>
    <t>에스비비테크</t>
  </si>
  <si>
    <t>에이프로젠</t>
  </si>
  <si>
    <t>보로노이</t>
  </si>
  <si>
    <t>티이엠씨</t>
  </si>
  <si>
    <t>HL홀딩스</t>
  </si>
  <si>
    <t>수산인더스트리</t>
  </si>
  <si>
    <t>금양그린파워</t>
  </si>
  <si>
    <t>뉴로메카</t>
  </si>
  <si>
    <t>LB세미콘</t>
  </si>
  <si>
    <t>SNT다이내믹스</t>
  </si>
  <si>
    <t>코오롱모빌리티그룹</t>
  </si>
  <si>
    <t>삼기이브이</t>
  </si>
  <si>
    <t>비보존 제약</t>
  </si>
  <si>
    <t>샌즈랩</t>
  </si>
  <si>
    <t>SAMG엔터</t>
  </si>
  <si>
    <t>미래반도체</t>
  </si>
  <si>
    <t>파인엠텍</t>
  </si>
  <si>
    <t>MDS테크</t>
  </si>
  <si>
    <t>코아스템켐온</t>
  </si>
  <si>
    <t>자람테크놀로지</t>
  </si>
  <si>
    <t>DXVX</t>
  </si>
  <si>
    <t>한솔아이원스</t>
  </si>
  <si>
    <t>에이프릴바이오</t>
  </si>
  <si>
    <t>에이프로젠바이오로직스</t>
  </si>
  <si>
    <t>꿈비</t>
  </si>
  <si>
    <t>신스틸</t>
  </si>
  <si>
    <t>스튜디오미르</t>
  </si>
  <si>
    <t>넥스트칩</t>
  </si>
  <si>
    <t>코닉오토메이션</t>
  </si>
  <si>
    <t>LB루셈</t>
  </si>
  <si>
    <t>오브젠</t>
  </si>
  <si>
    <t>BGF에코머티리얼즈</t>
  </si>
  <si>
    <t>라온텍</t>
  </si>
  <si>
    <t>모델솔루션</t>
  </si>
  <si>
    <t>엔젯</t>
  </si>
  <si>
    <t>샤페론</t>
  </si>
  <si>
    <t>큐알티</t>
  </si>
  <si>
    <t>화인써키트</t>
  </si>
  <si>
    <t>플라즈맵</t>
  </si>
  <si>
    <t>티쓰리</t>
  </si>
  <si>
    <t>지앤비에스 에코</t>
  </si>
  <si>
    <t>아이씨에이치</t>
  </si>
  <si>
    <t>씨앤투스</t>
  </si>
  <si>
    <t>HLB이노베이션</t>
  </si>
  <si>
    <t>바이오인프라</t>
  </si>
  <si>
    <t>알피바이오</t>
  </si>
  <si>
    <t>대성하이텍</t>
  </si>
  <si>
    <t>메쎄이상</t>
  </si>
  <si>
    <t>엠젠솔루션</t>
  </si>
  <si>
    <t>유니드비티플러스</t>
  </si>
  <si>
    <t>엑스게이트</t>
  </si>
  <si>
    <t>선바이오</t>
  </si>
  <si>
    <t>세토피아</t>
  </si>
  <si>
    <t>코아시아씨엠</t>
  </si>
  <si>
    <t>산돌</t>
  </si>
  <si>
    <t>에이치와이티씨</t>
  </si>
  <si>
    <t>HL D&amp;I</t>
  </si>
  <si>
    <t>이노시스</t>
  </si>
  <si>
    <t>핑거스토리</t>
  </si>
  <si>
    <t>제이아이테크</t>
  </si>
  <si>
    <t>티에프이</t>
  </si>
  <si>
    <t>인지소프트</t>
  </si>
  <si>
    <t>DH오토웨어</t>
  </si>
  <si>
    <t>펨트론</t>
  </si>
  <si>
    <t>핀텔</t>
  </si>
  <si>
    <t>테크엘</t>
  </si>
  <si>
    <t>저스템</t>
  </si>
  <si>
    <t>휴림네트웍스</t>
  </si>
  <si>
    <t>인벤티지랩</t>
  </si>
  <si>
    <t>한주라이트메탈</t>
  </si>
  <si>
    <t>미래에셋드림스팩1호</t>
  </si>
  <si>
    <t>레이저쎌</t>
  </si>
  <si>
    <t>디티앤씨알오</t>
  </si>
  <si>
    <t>오에스피</t>
  </si>
  <si>
    <t>이노룰스</t>
  </si>
  <si>
    <t>밸로프</t>
  </si>
  <si>
    <t>옵티코어</t>
  </si>
  <si>
    <t>비스토스</t>
  </si>
  <si>
    <t>라이콤</t>
  </si>
  <si>
    <t>이노진</t>
  </si>
  <si>
    <t>삼성스팩8호</t>
  </si>
  <si>
    <t>청호ICT</t>
  </si>
  <si>
    <t>하나금융25호스팩</t>
  </si>
  <si>
    <t>윙스풋</t>
  </si>
  <si>
    <t>솔트웨어</t>
  </si>
  <si>
    <t>모코엠시스</t>
  </si>
  <si>
    <t>신풍</t>
  </si>
  <si>
    <t>삼성스팩7호</t>
  </si>
  <si>
    <t>유비온</t>
  </si>
  <si>
    <t>MIT</t>
  </si>
  <si>
    <t>셀피글로벌</t>
  </si>
  <si>
    <t>디딤이앤에프</t>
  </si>
  <si>
    <t>더코디</t>
  </si>
  <si>
    <t>유안타제13호스팩</t>
  </si>
  <si>
    <t>삼성스팩6호</t>
  </si>
  <si>
    <t>엔에이치스팩26호</t>
  </si>
  <si>
    <t>하나금융24호스팩</t>
  </si>
  <si>
    <t>엔에이치스팩27호</t>
  </si>
  <si>
    <t>코스텍시스</t>
  </si>
  <si>
    <t>대신밸런스제14호스팩</t>
  </si>
  <si>
    <t>엔에이치스팩23호</t>
  </si>
  <si>
    <t>신영스팩8호</t>
  </si>
  <si>
    <t>한국제11호스팩</t>
  </si>
  <si>
    <t>대신밸런스제13호스팩</t>
  </si>
  <si>
    <t>교보12호스팩</t>
  </si>
  <si>
    <t>하나26호스팩</t>
  </si>
  <si>
    <t>한화플러스제3호스팩</t>
  </si>
  <si>
    <t>유안타제10호스팩</t>
  </si>
  <si>
    <t>신영스팩9호</t>
  </si>
  <si>
    <t>유안타제9호스팩</t>
  </si>
  <si>
    <t>엔에이치스팩24호</t>
  </si>
  <si>
    <t>미래에셋비전스팩2호</t>
  </si>
  <si>
    <t>IBKS제20호스팩</t>
  </si>
  <si>
    <t>IBKS제21호스팩</t>
  </si>
  <si>
    <t>비엔케이제1호스팩</t>
  </si>
  <si>
    <t>키움제7호스팩</t>
  </si>
  <si>
    <t>교보13호스팩</t>
  </si>
  <si>
    <t>에스케이증권제8호스팩</t>
  </si>
  <si>
    <t>신한제10호스팩</t>
  </si>
  <si>
    <t>유진스팩9호</t>
  </si>
  <si>
    <t>엔에이치스팩25호</t>
  </si>
  <si>
    <t>유안타제12호스팩</t>
  </si>
  <si>
    <t>한화갤러리아</t>
  </si>
  <si>
    <t>기준수익률 = IRR</t>
    <phoneticPr fontId="7" type="noConversion"/>
  </si>
  <si>
    <t>기타 유동부채</t>
  </si>
  <si>
    <t>차입금</t>
  </si>
  <si>
    <t>운용부채</t>
  </si>
  <si>
    <t>자본금</t>
    <phoneticPr fontId="8" type="noConversion"/>
  </si>
  <si>
    <t>재무기준일 이후 Capital Call</t>
  </si>
  <si>
    <t>재무기준일 이후 Distritution</t>
  </si>
  <si>
    <t xml:space="preserve"> I. 유동자산</t>
    <phoneticPr fontId="8" type="noConversion"/>
  </si>
  <si>
    <t>평가기준일</t>
    <phoneticPr fontId="7" type="noConversion"/>
  </si>
  <si>
    <t>각 사원 귀속 
출자지분가치</t>
    <phoneticPr fontId="8" type="noConversion"/>
  </si>
  <si>
    <t>각 사원 귀속 
좌당 가치</t>
    <phoneticPr fontId="8" type="noConversion"/>
  </si>
  <si>
    <t>주식종류</t>
    <phoneticPr fontId="8" type="noConversion"/>
  </si>
  <si>
    <t>순위</t>
    <phoneticPr fontId="8" type="noConversion"/>
  </si>
  <si>
    <t>출자자명</t>
    <phoneticPr fontId="8" type="noConversion"/>
  </si>
  <si>
    <t>출자약정액</t>
    <phoneticPr fontId="8" type="noConversion"/>
  </si>
  <si>
    <t>출자금액</t>
    <phoneticPr fontId="8" type="noConversion"/>
  </si>
  <si>
    <t>누적분배금
(원금 및 이익분배)</t>
    <phoneticPr fontId="8" type="noConversion"/>
  </si>
  <si>
    <t>잔여출자금(원본)</t>
    <phoneticPr fontId="8" type="noConversion"/>
  </si>
  <si>
    <t>출자 비율</t>
    <phoneticPr fontId="8" type="noConversion"/>
  </si>
  <si>
    <t>IRR</t>
    <phoneticPr fontId="8" type="noConversion"/>
  </si>
  <si>
    <t>기준수익률(*)</t>
    <phoneticPr fontId="7" type="noConversion"/>
  </si>
  <si>
    <t>중순위출자자</t>
    <phoneticPr fontId="7" type="noConversion"/>
  </si>
  <si>
    <t>분배조항 자유롭게 기재</t>
    <phoneticPr fontId="7" type="noConversion"/>
  </si>
  <si>
    <t>SPC명</t>
    <phoneticPr fontId="7" type="noConversion"/>
  </si>
  <si>
    <t>각 사원 귀속 
출자지분가치</t>
    <phoneticPr fontId="8" type="noConversion"/>
  </si>
  <si>
    <t>각 사원 귀속 
좌당 가치</t>
    <phoneticPr fontId="8" type="noConversion"/>
  </si>
  <si>
    <t>주식종류</t>
    <phoneticPr fontId="8" type="noConversion"/>
  </si>
  <si>
    <t>출자약정액</t>
    <phoneticPr fontId="8" type="noConversion"/>
  </si>
  <si>
    <t>출자금액</t>
    <phoneticPr fontId="8" type="noConversion"/>
  </si>
  <si>
    <t>누적분배금
(원금 및 이익분배)</t>
    <phoneticPr fontId="8" type="noConversion"/>
  </si>
  <si>
    <t>잔여출자금(원본)</t>
    <phoneticPr fontId="8" type="noConversion"/>
  </si>
  <si>
    <t>출자 비율</t>
    <phoneticPr fontId="8" type="noConversion"/>
  </si>
  <si>
    <t>기준수익률 적용</t>
    <phoneticPr fontId="8" type="noConversion"/>
  </si>
  <si>
    <t>기준수익률</t>
    <phoneticPr fontId="8" type="noConversion"/>
  </si>
  <si>
    <t>설정일</t>
    <phoneticPr fontId="7" type="noConversion"/>
  </si>
  <si>
    <t>출자잔액</t>
    <phoneticPr fontId="7" type="noConversion"/>
  </si>
  <si>
    <t>1좌당 금액</t>
    <phoneticPr fontId="7" type="noConversion"/>
  </si>
  <si>
    <t>평가방법론</t>
    <phoneticPr fontId="7" type="noConversion"/>
  </si>
  <si>
    <t>분배 조항 여부</t>
    <phoneticPr fontId="7" type="noConversion"/>
  </si>
  <si>
    <t>모펀드 출자 지분율</t>
    <phoneticPr fontId="7" type="noConversion"/>
  </si>
  <si>
    <t>기준수익률(*)</t>
    <phoneticPr fontId="7" type="noConversion"/>
  </si>
  <si>
    <t>선순위출자자</t>
    <phoneticPr fontId="7" type="noConversion"/>
  </si>
  <si>
    <t>중순위출자자</t>
    <phoneticPr fontId="7" type="noConversion"/>
  </si>
  <si>
    <t>후순위출자자</t>
    <phoneticPr fontId="7" type="noConversion"/>
  </si>
  <si>
    <t>각 사원 귀속 
좌당 가치</t>
    <phoneticPr fontId="8" type="noConversion"/>
  </si>
  <si>
    <t>SPC2-1</t>
    <phoneticPr fontId="7" type="noConversion"/>
  </si>
  <si>
    <t>SPC3-1</t>
    <phoneticPr fontId="7" type="noConversion"/>
  </si>
  <si>
    <t>SPC4-1</t>
    <phoneticPr fontId="7" type="noConversion"/>
  </si>
  <si>
    <t>SPC5-1</t>
    <phoneticPr fontId="7" type="noConversion"/>
  </si>
  <si>
    <t>SPC6-1</t>
    <phoneticPr fontId="7" type="noConversion"/>
  </si>
  <si>
    <t>SPC7-1</t>
    <phoneticPr fontId="7" type="noConversion"/>
  </si>
  <si>
    <t>SPC8-1</t>
    <phoneticPr fontId="7" type="noConversion"/>
  </si>
  <si>
    <t>SPC9-1</t>
    <phoneticPr fontId="7" type="noConversion"/>
  </si>
  <si>
    <t>좌당 평가금액(*)</t>
    <phoneticPr fontId="7" type="noConversion"/>
  </si>
  <si>
    <t>순자산가치</t>
    <phoneticPr fontId="7" type="noConversion"/>
  </si>
  <si>
    <t>좌당 평가금액</t>
    <phoneticPr fontId="7" type="noConversion"/>
  </si>
  <si>
    <t>구분</t>
    <phoneticPr fontId="7" type="noConversion"/>
  </si>
  <si>
    <t>I. 유동자산</t>
  </si>
  <si>
    <t>ll. 투자자산</t>
  </si>
  <si>
    <t>현금및현금성자산</t>
    <phoneticPr fontId="7" type="noConversion"/>
  </si>
  <si>
    <t>(*) 주식은 주당, 채권은 만원당</t>
    <phoneticPr fontId="7" type="noConversion"/>
  </si>
  <si>
    <t>평가금액</t>
    <phoneticPr fontId="7" type="noConversion"/>
  </si>
  <si>
    <t>총 출자좌수</t>
    <phoneticPr fontId="7" type="noConversion"/>
  </si>
  <si>
    <t>우선분배 반영 후 가격</t>
  </si>
  <si>
    <t>(*)성과보수 반영 후 or 우선분배 반영 후 좌당 평가금액</t>
    <phoneticPr fontId="7" type="noConversion"/>
  </si>
  <si>
    <t>우선분배 반영 후 좌당 가격</t>
    <phoneticPr fontId="8" type="noConversion"/>
  </si>
  <si>
    <t>성과보수 반영 후 가격</t>
    <phoneticPr fontId="8" type="noConversion"/>
  </si>
  <si>
    <t>우선분배 여부</t>
    <phoneticPr fontId="8" type="noConversion"/>
  </si>
  <si>
    <t>우선분배 반영</t>
    <phoneticPr fontId="8" type="noConversion"/>
  </si>
  <si>
    <t>4. 손실금액 계산</t>
    <phoneticPr fontId="7" type="noConversion"/>
  </si>
  <si>
    <t>우선분배 반영</t>
  </si>
  <si>
    <t>우선분배 여부</t>
    <phoneticPr fontId="7" type="noConversion"/>
  </si>
  <si>
    <t>성과보수 여부</t>
    <phoneticPr fontId="8" type="noConversion"/>
  </si>
  <si>
    <t>순자산가치평가법</t>
    <phoneticPr fontId="7" type="noConversion"/>
  </si>
  <si>
    <t>우선분배 반영 후 가격</t>
    <phoneticPr fontId="8" type="noConversion"/>
  </si>
  <si>
    <t>삼성전자</t>
    <phoneticPr fontId="7" type="noConversion"/>
  </si>
  <si>
    <t>장부가액(참고용)</t>
    <phoneticPr fontId="7" type="noConversion"/>
  </si>
  <si>
    <t>하단 열 함수 수정X</t>
    <phoneticPr fontId="7" type="noConversion"/>
  </si>
  <si>
    <t>&gt;&gt; 투자자산이 많을 경우, 왼쪽 (+) 클릭!</t>
    <phoneticPr fontId="7" type="noConversion"/>
  </si>
  <si>
    <t>평가금액(참고용)</t>
    <phoneticPr fontId="7" type="noConversion"/>
  </si>
  <si>
    <t>현금및현금성자산</t>
    <phoneticPr fontId="7" type="noConversion"/>
  </si>
  <si>
    <t>SPC10-1</t>
    <phoneticPr fontId="7" type="noConversion"/>
  </si>
  <si>
    <t>SPC1-9</t>
    <phoneticPr fontId="7" type="noConversion"/>
  </si>
  <si>
    <t>SPC1-10</t>
    <phoneticPr fontId="7" type="noConversion"/>
  </si>
  <si>
    <t>SPC1-1-1</t>
    <phoneticPr fontId="7" type="noConversion"/>
  </si>
  <si>
    <t>SPC2-1-1</t>
    <phoneticPr fontId="7" type="noConversion"/>
  </si>
  <si>
    <t>선순위 → IRR → 중순위 → IRR → 후순위 → IRR</t>
  </si>
  <si>
    <t>선순위 → 중순위 → 후순위 → IRR</t>
  </si>
  <si>
    <t>선순위 → 중순위 → 후순위 → 선순위 IRR → 중순위 IRR → 후순위 IRR</t>
  </si>
  <si>
    <t>과거거래이용법</t>
    <phoneticPr fontId="7" type="noConversion"/>
  </si>
  <si>
    <t>(+) Capital Call</t>
    <phoneticPr fontId="7" type="noConversion"/>
  </si>
  <si>
    <t>(-) Distribution</t>
    <phoneticPr fontId="7" type="noConversion"/>
  </si>
  <si>
    <t>보유지분율 고려 순자산가치</t>
    <phoneticPr fontId="8" type="noConversion"/>
  </si>
  <si>
    <t>현금및현금성자산</t>
    <phoneticPr fontId="7" type="noConversion"/>
  </si>
  <si>
    <t>(+) Capital Call</t>
    <phoneticPr fontId="7" type="noConversion"/>
  </si>
  <si>
    <t>보유지분율 고려 순자산가치</t>
    <phoneticPr fontId="8" type="noConversion"/>
  </si>
  <si>
    <t>구분</t>
    <phoneticPr fontId="7" type="noConversion"/>
  </si>
  <si>
    <t>현금및현금성자산</t>
    <phoneticPr fontId="7" type="noConversion"/>
  </si>
  <si>
    <t>(+) Capital Call</t>
    <phoneticPr fontId="7" type="noConversion"/>
  </si>
  <si>
    <t>(-) Distribution</t>
    <phoneticPr fontId="7" type="noConversion"/>
  </si>
  <si>
    <t>보유지분율 고려 순자산가치</t>
    <phoneticPr fontId="8" type="noConversion"/>
  </si>
  <si>
    <t>현금및현금성자산</t>
    <phoneticPr fontId="7" type="noConversion"/>
  </si>
  <si>
    <t>(+) Capital Call</t>
    <phoneticPr fontId="7" type="noConversion"/>
  </si>
  <si>
    <t>(-) Distribution</t>
    <phoneticPr fontId="7" type="noConversion"/>
  </si>
  <si>
    <t>보유지분율 고려 순자산가치</t>
    <phoneticPr fontId="8" type="noConversion"/>
  </si>
  <si>
    <t>현금및현금성자산</t>
    <phoneticPr fontId="7" type="noConversion"/>
  </si>
  <si>
    <t>(+) Capital Call</t>
    <phoneticPr fontId="7" type="noConversion"/>
  </si>
  <si>
    <t>전기와의 차이</t>
    <phoneticPr fontId="7" type="noConversion"/>
  </si>
  <si>
    <t>I. 유동자산</t>
    <phoneticPr fontId="8" type="noConversion"/>
  </si>
  <si>
    <t>II. 투자자산</t>
    <phoneticPr fontId="8" type="noConversion"/>
  </si>
  <si>
    <t>장부금액(총액)</t>
  </si>
  <si>
    <t>장부금액(총액)</t>
    <phoneticPr fontId="8" type="noConversion"/>
  </si>
  <si>
    <t>합 계</t>
    <phoneticPr fontId="8" type="noConversion"/>
  </si>
  <si>
    <t>공정가치 평가액(총액)</t>
  </si>
  <si>
    <t>장부금액(총액)</t>
    <phoneticPr fontId="8" type="noConversion"/>
  </si>
  <si>
    <t>장부금액과의 차이</t>
    <phoneticPr fontId="7" type="noConversion"/>
  </si>
  <si>
    <t>추가 콜&amp;분배</t>
    <phoneticPr fontId="7" type="noConversion"/>
  </si>
  <si>
    <t>펀드 평가</t>
    <phoneticPr fontId="7" type="noConversion"/>
  </si>
  <si>
    <t>펀드 기본</t>
    <phoneticPr fontId="7" type="noConversion"/>
  </si>
  <si>
    <t>펀드 재무제표</t>
    <phoneticPr fontId="7" type="noConversion"/>
  </si>
  <si>
    <t>취득부대비용</t>
    <phoneticPr fontId="7" type="noConversion"/>
  </si>
  <si>
    <t>대체_종목관리대장_요청리스트 Excel 파일에 복사 · 붙여넣기!</t>
    <phoneticPr fontId="7" type="noConversion"/>
  </si>
  <si>
    <t>취득잔액</t>
    <phoneticPr fontId="8" type="noConversion"/>
  </si>
  <si>
    <t>펀드 이슈사항 정리 및 성과보수 개별 계산(자유양식)</t>
    <phoneticPr fontId="7" type="noConversion"/>
  </si>
  <si>
    <t>② 선순위 IRR</t>
  </si>
  <si>
    <t>④ 중순위 IRR</t>
  </si>
  <si>
    <t>⑥ 후순위 IRR</t>
  </si>
  <si>
    <t>⑦ 성과보수</t>
  </si>
  <si>
    <t>④ 모든 순위 IRR</t>
  </si>
  <si>
    <t>⑤ 성과보수</t>
  </si>
  <si>
    <t>⑥ 잔여이익 분배</t>
  </si>
  <si>
    <t>④ 선순위 IRR</t>
  </si>
  <si>
    <t>⑤ 중순위 IRR</t>
  </si>
  <si>
    <t>⑧ 잔여이익 분배</t>
  </si>
  <si>
    <t>2.1 펀드의 개요</t>
    <phoneticPr fontId="7" type="noConversion"/>
  </si>
  <si>
    <t>보고서상 기재 내용</t>
  </si>
  <si>
    <t>PEF</t>
  </si>
  <si>
    <t>VC</t>
  </si>
  <si>
    <t>전기 SPC 평가금액</t>
    <phoneticPr fontId="8" type="noConversion"/>
  </si>
  <si>
    <t>전기 공정가치 평가액</t>
  </si>
  <si>
    <t>전기 공정가치 평가액</t>
    <phoneticPr fontId="8" type="noConversion"/>
  </si>
  <si>
    <t>공정가치 평가액</t>
  </si>
  <si>
    <t>합   계</t>
    <phoneticPr fontId="7" type="noConversion"/>
  </si>
  <si>
    <t>1좌당 금액</t>
    <phoneticPr fontId="7" type="noConversion"/>
  </si>
  <si>
    <t>유형</t>
    <phoneticPr fontId="7" type="noConversion"/>
  </si>
  <si>
    <t>IRR 및 성과보수 계산 검증</t>
    <phoneticPr fontId="7" type="noConversion"/>
  </si>
  <si>
    <t>참고사항(필독!)</t>
    <phoneticPr fontId="7" type="noConversion"/>
  </si>
  <si>
    <t>※ 누적잔액 = 누적출자금 - 누적분배금</t>
    <phoneticPr fontId="7" type="noConversion"/>
  </si>
  <si>
    <t>※ 단순 좌당가치 계산에 극소수점 오류가 발생할 수 있으므로 주의!</t>
    <phoneticPr fontId="7" type="noConversion"/>
  </si>
  <si>
    <t>※ 해당 검증 계산은 출자금 분배 시 이익분배까지 모두 고려하여 계산하였음</t>
    <phoneticPr fontId="7" type="noConversion"/>
  </si>
  <si>
    <t>→ 정관 분배조항에 누적분배금이 아닌 출자원금으로 기재되어 있을 경우, 개별적으로 분배 계산</t>
    <phoneticPr fontId="7" type="noConversion"/>
  </si>
  <si>
    <t>PARAMETER</t>
    <phoneticPr fontId="7" type="noConversion"/>
  </si>
  <si>
    <t>펀드명</t>
    <phoneticPr fontId="7" type="noConversion"/>
  </si>
  <si>
    <t>1좌당 금액</t>
    <phoneticPr fontId="7" type="noConversion"/>
  </si>
  <si>
    <t>기준수익률</t>
    <phoneticPr fontId="7" type="noConversion"/>
  </si>
  <si>
    <t>평가기준일</t>
    <phoneticPr fontId="7" type="noConversion"/>
  </si>
  <si>
    <t>우선분배 여부</t>
    <phoneticPr fontId="7" type="noConversion"/>
  </si>
  <si>
    <t>선순위수익률</t>
    <phoneticPr fontId="7" type="noConversion"/>
  </si>
  <si>
    <t>고객사</t>
    <phoneticPr fontId="7" type="noConversion"/>
  </si>
  <si>
    <t>성과보수(GP)</t>
    <phoneticPr fontId="7" type="noConversion"/>
  </si>
  <si>
    <t>중순위수익률</t>
    <phoneticPr fontId="7" type="noConversion"/>
  </si>
  <si>
    <t>순자산가치</t>
    <phoneticPr fontId="7" type="noConversion"/>
  </si>
  <si>
    <t>성과보수(LP)</t>
    <phoneticPr fontId="7" type="noConversion"/>
  </si>
  <si>
    <t>후순위수익률</t>
    <phoneticPr fontId="7" type="noConversion"/>
  </si>
  <si>
    <t>YEARFRAC</t>
    <phoneticPr fontId="7" type="noConversion"/>
  </si>
  <si>
    <t>계수</t>
    <phoneticPr fontId="7" type="noConversion"/>
  </si>
  <si>
    <t>출자자명</t>
    <phoneticPr fontId="7" type="noConversion"/>
  </si>
  <si>
    <t>합     계</t>
    <phoneticPr fontId="7" type="noConversion"/>
  </si>
  <si>
    <t>업무집행사원</t>
    <phoneticPr fontId="7" type="noConversion"/>
  </si>
  <si>
    <t>유한책임사원</t>
    <phoneticPr fontId="7" type="noConversion"/>
  </si>
  <si>
    <t>출자금</t>
    <phoneticPr fontId="7" type="noConversion"/>
  </si>
  <si>
    <t>잔여금</t>
    <phoneticPr fontId="7" type="noConversion"/>
  </si>
  <si>
    <t>IRR</t>
    <phoneticPr fontId="7" type="noConversion"/>
  </si>
  <si>
    <t>선순위출자자</t>
    <phoneticPr fontId="7" type="noConversion"/>
  </si>
  <si>
    <t>중순위출자자</t>
    <phoneticPr fontId="7" type="noConversion"/>
  </si>
  <si>
    <t>후순위출자자</t>
    <phoneticPr fontId="7" type="noConversion"/>
  </si>
  <si>
    <t>① 선순위</t>
    <phoneticPr fontId="7" type="noConversion"/>
  </si>
  <si>
    <t>③ 중순위</t>
    <phoneticPr fontId="7" type="noConversion"/>
  </si>
  <si>
    <t>⑤ 후순위</t>
    <phoneticPr fontId="7" type="noConversion"/>
  </si>
  <si>
    <t>⑧ 잔여이익 분배</t>
    <phoneticPr fontId="7" type="noConversion"/>
  </si>
  <si>
    <t>출자자 받아야 할 금액</t>
    <phoneticPr fontId="7" type="noConversion"/>
  </si>
  <si>
    <t>분배가능금액</t>
    <phoneticPr fontId="7" type="noConversion"/>
  </si>
  <si>
    <t>분배금액</t>
    <phoneticPr fontId="7" type="noConversion"/>
  </si>
  <si>
    <t>잔여금액</t>
    <phoneticPr fontId="7" type="noConversion"/>
  </si>
  <si>
    <t>Waterfall</t>
    <phoneticPr fontId="7" type="noConversion"/>
  </si>
  <si>
    <t>RAW DATA</t>
    <phoneticPr fontId="7" type="noConversion"/>
  </si>
  <si>
    <t>WATERFALL</t>
    <phoneticPr fontId="7" type="noConversion"/>
  </si>
  <si>
    <t>CONCLUSION</t>
    <phoneticPr fontId="7" type="noConversion"/>
  </si>
  <si>
    <t>지위</t>
    <phoneticPr fontId="7" type="noConversion"/>
  </si>
  <si>
    <t>순위</t>
    <phoneticPr fontId="7" type="noConversion"/>
  </si>
  <si>
    <t>출자비율</t>
    <phoneticPr fontId="7" type="noConversion"/>
  </si>
  <si>
    <t>순위별 출자비율</t>
    <phoneticPr fontId="7" type="noConversion"/>
  </si>
  <si>
    <t>누적잔액 + IRR</t>
    <phoneticPr fontId="7" type="noConversion"/>
  </si>
  <si>
    <t>누적잔액</t>
    <phoneticPr fontId="7" type="noConversion"/>
  </si>
  <si>
    <t>IRR 초과분</t>
    <phoneticPr fontId="7" type="noConversion"/>
  </si>
  <si>
    <t>② 선순위 IRR</t>
    <phoneticPr fontId="7" type="noConversion"/>
  </si>
  <si>
    <t>④ 중순위 IRR</t>
    <phoneticPr fontId="7" type="noConversion"/>
  </si>
  <si>
    <t>⑥ 후순위 IRR</t>
    <phoneticPr fontId="7" type="noConversion"/>
  </si>
  <si>
    <t>⑦ 성과보수</t>
    <phoneticPr fontId="7" type="noConversion"/>
  </si>
  <si>
    <t>최종가치</t>
    <phoneticPr fontId="7" type="noConversion"/>
  </si>
  <si>
    <t>좌당 가치</t>
    <phoneticPr fontId="7" type="noConversion"/>
  </si>
  <si>
    <t>검증</t>
    <phoneticPr fontId="7" type="noConversion"/>
  </si>
  <si>
    <t>② 중순위</t>
    <phoneticPr fontId="7" type="noConversion"/>
  </si>
  <si>
    <t>③ 후순위</t>
    <phoneticPr fontId="7" type="noConversion"/>
  </si>
  <si>
    <t>④ 모든 순위 IRR</t>
    <phoneticPr fontId="7" type="noConversion"/>
  </si>
  <si>
    <t>⑤ 성과보수</t>
    <phoneticPr fontId="7" type="noConversion"/>
  </si>
  <si>
    <t>⑥ 잔여이익 분배</t>
    <phoneticPr fontId="7" type="noConversion"/>
  </si>
  <si>
    <t>④ 선순위 IRR</t>
    <phoneticPr fontId="7" type="noConversion"/>
  </si>
  <si>
    <t>⑤ 중순위 IRR</t>
    <phoneticPr fontId="7" type="noConversion"/>
  </si>
  <si>
    <t>기준수익률 적용</t>
    <phoneticPr fontId="7" type="noConversion"/>
  </si>
  <si>
    <t>0.</t>
    <phoneticPr fontId="7" type="noConversion"/>
  </si>
  <si>
    <t>출자자명</t>
    <phoneticPr fontId="7" type="noConversion"/>
  </si>
  <si>
    <t xml:space="preserve">1. </t>
    <phoneticPr fontId="7" type="noConversion"/>
  </si>
  <si>
    <t>선순위 → IRR → 중순위 → IRR → 후순위 → IRR</t>
    <phoneticPr fontId="7" type="noConversion"/>
  </si>
  <si>
    <t xml:space="preserve">2. </t>
    <phoneticPr fontId="7" type="noConversion"/>
  </si>
  <si>
    <t>선순위 → 중순위 → 후순위 → IRR</t>
    <phoneticPr fontId="7" type="noConversion"/>
  </si>
  <si>
    <t>3.</t>
    <phoneticPr fontId="7" type="noConversion"/>
  </si>
  <si>
    <t>선순위 → 중순위 → 후순위 → 선순위 IRR → 중순위 IRR → 후순위 IRR</t>
    <phoneticPr fontId="7" type="noConversion"/>
  </si>
  <si>
    <r>
      <t>→</t>
    </r>
    <r>
      <rPr>
        <i/>
        <sz val="8.5"/>
        <color rgb="FFFF0000"/>
        <rFont val="맑은 고딕"/>
        <family val="3"/>
        <charset val="129"/>
        <scheme val="major"/>
      </rPr>
      <t xml:space="preserve"> 우선분배/손실/성과보수 여부 확인 必</t>
    </r>
    <phoneticPr fontId="8" type="noConversion"/>
  </si>
  <si>
    <r>
      <t xml:space="preserve"> (1) 자산: 자산구성 내역은 펀드의 현금및현금성자산, 기타자산, 투자자산 등으로 구성되어 있음. 외부평가기관에서는 현금및현금성자산 등의 유동자산 및 기타자산의 경우 장부금액을 100% 공정가치로 인정하였음. 투자자산의 경우 최초 취득 후 2년 미만의 투자자산의 경우 취득원가를 공정가치로 준용하였으며, 그 외 자산의 경우 각 투자자산별 합리적인 평가모형을 반영하여 공정가치 산출하여 적용함.
 (2) 부채: 부채구성 내역은 펀드의 미지급보수 등의 유동 및 비유동부채로 구성되어 있음. 외부평가기관에서는 최근 재무제표상 부채의 장부금액을 100% 공정가치로 적용함.
 (3) 순자산: 상기 방법에 근거하여 공정가치로 환산한 자산 및 부채의 차액으로 순자산가치를 계산한 후 총출자좌수로 나누어 1좌당 가치를 산정하였음. 단, 재무제표일 이후 평가기준일 사이 추가출자 또는 분배가 있었을 경우 운용사로부터 제공받은 금액을 가감하여 최종 순자산가치를 계산함.
</t>
    </r>
    <r>
      <rPr>
        <b/>
        <sz val="10"/>
        <color theme="1"/>
        <rFont val="맑은 고딕"/>
        <family val="3"/>
        <charset val="129"/>
        <scheme val="major"/>
      </rPr>
      <t xml:space="preserve"> </t>
    </r>
    <r>
      <rPr>
        <b/>
        <u/>
        <sz val="10"/>
        <color theme="1"/>
        <rFont val="맑은 고딕"/>
        <family val="3"/>
        <charset val="129"/>
        <scheme val="major"/>
      </rPr>
      <t>→</t>
    </r>
    <r>
      <rPr>
        <b/>
        <u/>
        <sz val="7"/>
        <color theme="1"/>
        <rFont val="맑은 고딕"/>
        <family val="3"/>
        <charset val="129"/>
        <scheme val="major"/>
      </rPr>
      <t xml:space="preserve"> </t>
    </r>
    <r>
      <rPr>
        <b/>
        <u/>
        <sz val="10"/>
        <color theme="1"/>
        <rFont val="맑은 고딕"/>
        <family val="3"/>
        <charset val="129"/>
        <scheme val="major"/>
      </rPr>
      <t>외부평가자의 평가결과를 종합적으로 검토한 결과 적정하다고 판단됨.</t>
    </r>
    <phoneticPr fontId="8" type="noConversion"/>
  </si>
  <si>
    <r>
      <t>(1) SPC 현황(펀드 →</t>
    </r>
    <r>
      <rPr>
        <b/>
        <sz val="7"/>
        <color theme="1"/>
        <rFont val="맑은 고딕"/>
        <family val="3"/>
        <charset val="129"/>
        <scheme val="major"/>
      </rPr>
      <t xml:space="preserve"> </t>
    </r>
    <r>
      <rPr>
        <b/>
        <sz val="10"/>
        <color theme="1"/>
        <rFont val="맑은 고딕"/>
        <family val="3"/>
        <charset val="129"/>
        <scheme val="major"/>
      </rPr>
      <t>SPC 보유한 경우)</t>
    </r>
    <phoneticPr fontId="8" type="noConversion"/>
  </si>
  <si>
    <r>
      <t xml:space="preserve">- 평가사에 질의한 결과, 투자자산 평가 시 사용된 기초정보는 평가대상기업과 동일함
- 재무자료는 </t>
    </r>
    <r>
      <rPr>
        <u/>
        <sz val="10"/>
        <color theme="1"/>
        <rFont val="맑은 고딕"/>
        <family val="3"/>
        <charset val="129"/>
        <scheme val="major"/>
      </rPr>
      <t>202X년 X월 말</t>
    </r>
    <r>
      <rPr>
        <sz val="10"/>
        <color theme="1"/>
        <rFont val="맑은 고딕"/>
        <family val="3"/>
        <charset val="129"/>
        <scheme val="major"/>
      </rPr>
      <t xml:space="preserve"> 기준의 정보로서 평가기준일 현재 입수가능한 가장 최근의 정보이며 신뢰성있는 자료임 
- 평가에 사용된 기초정보와 평가기준일 사이에 발생한 후속사건이 반영됨.
&gt;&gt; 이에 평가에 사용된 기초정보들은 적절하다고 판단됨.</t>
    </r>
    <phoneticPr fontId="8" type="noConversion"/>
  </si>
  <si>
    <t>* 조항 반영 시 입력 필요 →</t>
    <phoneticPr fontId="8" type="noConversion"/>
  </si>
  <si>
    <t>→ SPC 선택</t>
    <phoneticPr fontId="7" type="noConversion"/>
  </si>
  <si>
    <t>→ SPC 선택</t>
    <phoneticPr fontId="7" type="noConversion"/>
  </si>
  <si>
    <t>→ SPC 선택</t>
    <phoneticPr fontId="7" type="noConversion"/>
  </si>
  <si>
    <t>→ SPC 선택</t>
    <phoneticPr fontId="7" type="noConversion"/>
  </si>
  <si>
    <t>펀드 기초자산 목록</t>
    <phoneticPr fontId="7" type="noConversion"/>
  </si>
  <si>
    <t>No.</t>
    <phoneticPr fontId="7" type="noConversion"/>
  </si>
  <si>
    <t>평가담당자</t>
    <phoneticPr fontId="7" type="noConversion"/>
  </si>
  <si>
    <t>상장여부</t>
    <phoneticPr fontId="7" type="noConversion"/>
  </si>
  <si>
    <t>평가종류</t>
    <phoneticPr fontId="7" type="noConversion"/>
  </si>
  <si>
    <t>계산단위</t>
    <phoneticPr fontId="7" type="noConversion"/>
  </si>
  <si>
    <t>주식수</t>
    <phoneticPr fontId="7" type="noConversion"/>
  </si>
  <si>
    <t>최종가격</t>
    <phoneticPr fontId="7" type="noConversion"/>
  </si>
  <si>
    <t>평가방법</t>
    <phoneticPr fontId="7" type="noConversion"/>
  </si>
  <si>
    <t>통화</t>
    <phoneticPr fontId="7" type="noConversion"/>
  </si>
  <si>
    <t>평가제외</t>
    <phoneticPr fontId="7" type="noConversion"/>
  </si>
  <si>
    <t>평가불가사유</t>
    <phoneticPr fontId="7" type="noConversion"/>
  </si>
  <si>
    <t>비고</t>
    <phoneticPr fontId="7" type="noConversion"/>
  </si>
  <si>
    <t>코드1</t>
    <phoneticPr fontId="7" type="noConversion"/>
  </si>
  <si>
    <r>
      <rPr>
        <b/>
        <sz val="11"/>
        <color rgb="FFC00000"/>
        <rFont val="맑은 고딕"/>
        <family val="3"/>
        <charset val="129"/>
        <scheme val="major"/>
      </rPr>
      <t>→</t>
    </r>
    <r>
      <rPr>
        <b/>
        <i/>
        <sz val="11"/>
        <color rgb="FFC00000"/>
        <rFont val="맑은 고딕"/>
        <family val="3"/>
        <charset val="129"/>
        <scheme val="major"/>
      </rPr>
      <t xml:space="preserve"> 입력</t>
    </r>
    <phoneticPr fontId="7" type="noConversion"/>
  </si>
  <si>
    <r>
      <rPr>
        <b/>
        <sz val="11"/>
        <color rgb="FFC00000"/>
        <rFont val="맑은 고딕"/>
        <family val="3"/>
        <charset val="129"/>
        <scheme val="major"/>
      </rPr>
      <t>→</t>
    </r>
    <r>
      <rPr>
        <b/>
        <i/>
        <sz val="11"/>
        <color rgb="FFC00000"/>
        <rFont val="맑은 고딕"/>
        <family val="3"/>
        <charset val="129"/>
        <scheme val="major"/>
      </rPr>
      <t xml:space="preserve"> 입력(20XX.XX.XX)</t>
    </r>
    <phoneticPr fontId="7" type="noConversion"/>
  </si>
  <si>
    <t>최대값(총액)</t>
  </si>
  <si>
    <t>최소값(총액)</t>
  </si>
  <si>
    <t>최대값(단위당)</t>
  </si>
  <si>
    <t>최소값(단위당)</t>
  </si>
  <si>
    <t>최대값(단위당)</t>
    <phoneticPr fontId="8" type="noConversion"/>
  </si>
  <si>
    <t>최소값(단위당)</t>
    <phoneticPr fontId="8" type="noConversion"/>
  </si>
  <si>
    <t>최소값(총액)</t>
    <phoneticPr fontId="8" type="noConversion"/>
  </si>
  <si>
    <t>최대값(총액)</t>
    <phoneticPr fontId="8" type="noConversion"/>
  </si>
  <si>
    <t>최소값(총액)</t>
    <phoneticPr fontId="8" type="noConversion"/>
  </si>
  <si>
    <t>DS단석</t>
  </si>
  <si>
    <t>ESR켄달스퀘어리츠</t>
  </si>
  <si>
    <t>HS애드</t>
  </si>
  <si>
    <t>KB스타리츠</t>
  </si>
  <si>
    <t>LS에코에너지</t>
  </si>
  <si>
    <t>NH프라임리츠</t>
  </si>
  <si>
    <t>SK리츠</t>
  </si>
  <si>
    <t>SK시그넷</t>
  </si>
  <si>
    <t>STX그린로지스</t>
  </si>
  <si>
    <t>가온그룹</t>
  </si>
  <si>
    <t>가이아코퍼레이션</t>
  </si>
  <si>
    <t>강동씨앤엘</t>
  </si>
  <si>
    <t>고스트스튜디오</t>
  </si>
  <si>
    <t>관악산업</t>
  </si>
  <si>
    <t>광동헬스바이오</t>
  </si>
  <si>
    <t>교보14호스팩</t>
  </si>
  <si>
    <t>교보15호스팩</t>
  </si>
  <si>
    <t>굿센</t>
  </si>
  <si>
    <t>그리드위즈</t>
  </si>
  <si>
    <t>그린리소스</t>
  </si>
  <si>
    <t>그린생명과학</t>
  </si>
  <si>
    <t>기가비스</t>
  </si>
  <si>
    <t>길교이앤씨</t>
  </si>
  <si>
    <t>나눔테크</t>
  </si>
  <si>
    <t>나라셀라</t>
  </si>
  <si>
    <t>나라소프트</t>
  </si>
  <si>
    <t>나우코스</t>
  </si>
  <si>
    <t>넥스틸</t>
  </si>
  <si>
    <t>노드메이슨</t>
  </si>
  <si>
    <t>노보믹스</t>
  </si>
  <si>
    <t>노브랜드</t>
  </si>
  <si>
    <t>노브메타파마</t>
  </si>
  <si>
    <t>우듬지팜</t>
  </si>
  <si>
    <t>뉴온</t>
  </si>
  <si>
    <t>다산솔루에타</t>
  </si>
  <si>
    <t>다원넥스뷰</t>
  </si>
  <si>
    <t>대동고려삼</t>
  </si>
  <si>
    <t>대산F&amp;B</t>
  </si>
  <si>
    <t>대신밸런스제15호스팩</t>
  </si>
  <si>
    <t>대신밸런스제16호스팩</t>
  </si>
  <si>
    <t>대신밸런스제17호스팩</t>
  </si>
  <si>
    <t>대주이엔티</t>
  </si>
  <si>
    <t>더테크놀로지</t>
  </si>
  <si>
    <t>더라미</t>
  </si>
  <si>
    <t>더콘텐츠온</t>
  </si>
  <si>
    <t>덕신이피씨</t>
  </si>
  <si>
    <t>데이터스트림즈</t>
  </si>
  <si>
    <t>도부마스크</t>
  </si>
  <si>
    <t>동국씨엠</t>
  </si>
  <si>
    <t>동국홀딩스</t>
  </si>
  <si>
    <t>동인기연</t>
  </si>
  <si>
    <t>두산로보틱스</t>
  </si>
  <si>
    <t>듀켐바이오</t>
  </si>
  <si>
    <t>드림인사이트</t>
  </si>
  <si>
    <t>DB금융스팩11호</t>
  </si>
  <si>
    <t>DB금융스팩12호</t>
  </si>
  <si>
    <t>디앤디파마텍</t>
  </si>
  <si>
    <t>디앤디플랫폼리츠</t>
  </si>
  <si>
    <t>DH오토리드</t>
  </si>
  <si>
    <t>DGP</t>
  </si>
  <si>
    <t>디티씨</t>
  </si>
  <si>
    <t>딥마인드</t>
  </si>
  <si>
    <t>라메디텍</t>
  </si>
  <si>
    <t>라피치</t>
  </si>
  <si>
    <t>럭스피아</t>
  </si>
  <si>
    <t>레뷰코퍼레이션</t>
  </si>
  <si>
    <t>레이저옵텍</t>
  </si>
  <si>
    <t>로보쓰리에이아이</t>
  </si>
  <si>
    <t>로지스몬</t>
  </si>
  <si>
    <t>롯데리츠</t>
  </si>
  <si>
    <t>롯데웰푸드</t>
  </si>
  <si>
    <t>롯데이노베이트</t>
  </si>
  <si>
    <t>루켄테크놀러지스</t>
  </si>
  <si>
    <t>루트락</t>
  </si>
  <si>
    <t>리가켐바이오</t>
  </si>
  <si>
    <t>리튬포어스</t>
  </si>
  <si>
    <t>링크드</t>
  </si>
  <si>
    <t>마녀공장</t>
  </si>
  <si>
    <t>마스턴프리미어리츠</t>
  </si>
  <si>
    <t>마음AI</t>
  </si>
  <si>
    <t>마이크로엔엑스</t>
  </si>
  <si>
    <t>마이크로투나노</t>
  </si>
  <si>
    <t>맥쿼리인프라</t>
  </si>
  <si>
    <t>머니무브</t>
  </si>
  <si>
    <t>메가터치</t>
  </si>
  <si>
    <t>메디쎄이</t>
  </si>
  <si>
    <t>메디안디노스틱</t>
  </si>
  <si>
    <t>메디젠휴먼케어</t>
  </si>
  <si>
    <t>모나용평</t>
  </si>
  <si>
    <t>모니터랩</t>
  </si>
  <si>
    <t>모아라이프플러스</t>
  </si>
  <si>
    <t>무진메디</t>
  </si>
  <si>
    <t>미래에셋글로벌리츠</t>
  </si>
  <si>
    <t>미래에셋맵스리츠</t>
  </si>
  <si>
    <t>맵스리얼티1</t>
  </si>
  <si>
    <t>미래에셋비전스팩3호</t>
  </si>
  <si>
    <t>미래에셋비전스팩4호</t>
  </si>
  <si>
    <t>미래에셋비전스팩5호</t>
  </si>
  <si>
    <t>미래에셋비전스팩6호</t>
  </si>
  <si>
    <t>미래엔에듀파트너</t>
  </si>
  <si>
    <t>미쥬</t>
  </si>
  <si>
    <t>민테크</t>
  </si>
  <si>
    <t>밀리의서재</t>
  </si>
  <si>
    <t>바스칸바이오제약</t>
  </si>
  <si>
    <t>바이오인프라생명과학</t>
  </si>
  <si>
    <t>바이오텐</t>
  </si>
  <si>
    <t>바이오프로테크</t>
  </si>
  <si>
    <t>버넥트</t>
  </si>
  <si>
    <t>베노티앤알</t>
  </si>
  <si>
    <t>벨로크</t>
  </si>
  <si>
    <t>볼빅</t>
  </si>
  <si>
    <t>뷰티스킨</t>
  </si>
  <si>
    <t>브이엠</t>
  </si>
  <si>
    <t>브이티</t>
  </si>
  <si>
    <t>블루엠텍</t>
  </si>
  <si>
    <t>블루탑</t>
  </si>
  <si>
    <t>블리츠웨이스튜디오</t>
  </si>
  <si>
    <t>비아이매트릭스</t>
  </si>
  <si>
    <t>BF랩스</t>
  </si>
  <si>
    <t>비엔케이제2호스팩</t>
  </si>
  <si>
    <t>비유테크놀러지</t>
  </si>
  <si>
    <t>비큐AI</t>
  </si>
  <si>
    <t>빅텐츠</t>
  </si>
  <si>
    <t>빌리언스</t>
  </si>
  <si>
    <t>빛과전자</t>
  </si>
  <si>
    <t>뿌리깊은나무들</t>
  </si>
  <si>
    <t>삐아</t>
  </si>
  <si>
    <t>사람인</t>
  </si>
  <si>
    <t>사피엔반도체</t>
  </si>
  <si>
    <t>산일전기</t>
  </si>
  <si>
    <t>삼미금속</t>
  </si>
  <si>
    <t>삼성E&amp;A</t>
  </si>
  <si>
    <t>삼성FN리츠</t>
  </si>
  <si>
    <t>삼성스팩9호</t>
  </si>
  <si>
    <t>삼영</t>
  </si>
  <si>
    <t>삼현</t>
  </si>
  <si>
    <t>상상인제4호스팩</t>
  </si>
  <si>
    <t>상지건설</t>
  </si>
  <si>
    <t>성안머티리얼스</t>
  </si>
  <si>
    <t>세니젠</t>
  </si>
  <si>
    <t>세븐브로이맥주</t>
  </si>
  <si>
    <t>센서뷰</t>
  </si>
  <si>
    <t>셀바이오휴먼텍</t>
  </si>
  <si>
    <t>셀젠텍</t>
  </si>
  <si>
    <t>수성웹툰</t>
  </si>
  <si>
    <t>SOOP</t>
  </si>
  <si>
    <t>슈어소프트테크</t>
  </si>
  <si>
    <t>스마트레이더시스템</t>
  </si>
  <si>
    <t>스타에스엠리츠</t>
  </si>
  <si>
    <t>스타코링크</t>
  </si>
  <si>
    <t>스톰테크</t>
  </si>
  <si>
    <t>스튜디오삼익</t>
  </si>
  <si>
    <t>스피어파워</t>
  </si>
  <si>
    <t>CR홀딩스</t>
  </si>
  <si>
    <t>시지트로닉스</t>
  </si>
  <si>
    <t>시큐레터</t>
  </si>
  <si>
    <t>시큐센</t>
  </si>
  <si>
    <t>시프트업</t>
  </si>
  <si>
    <t>신성에스티</t>
  </si>
  <si>
    <t>신시웨이</t>
  </si>
  <si>
    <t>신영스팩10호</t>
  </si>
  <si>
    <t>신한글로벌액티브리츠</t>
  </si>
  <si>
    <t>신한서부티엔디리츠</t>
  </si>
  <si>
    <t>신한알파리츠</t>
  </si>
  <si>
    <t>신한제11호스팩</t>
  </si>
  <si>
    <t>신한제12호스팩</t>
  </si>
  <si>
    <t>신한제13호스팩</t>
  </si>
  <si>
    <t>썬테크</t>
  </si>
  <si>
    <t>쏘닉스</t>
  </si>
  <si>
    <t>씨싸이트</t>
  </si>
  <si>
    <t>씨알푸드</t>
  </si>
  <si>
    <t>씨앗</t>
  </si>
  <si>
    <t>씨앤에스링크</t>
  </si>
  <si>
    <t>씨어스테크놀로지</t>
  </si>
  <si>
    <t>씨엑스아이</t>
  </si>
  <si>
    <t>씨엔티드림</t>
  </si>
  <si>
    <t>씨유박스</t>
  </si>
  <si>
    <t>CG인바이츠</t>
  </si>
  <si>
    <t>씨티알모빌리티</t>
  </si>
  <si>
    <t>씨티프라퍼티</t>
  </si>
  <si>
    <t>씨피시스템</t>
  </si>
  <si>
    <t>IBKS제22호스팩</t>
  </si>
  <si>
    <t>IBKS제23호스팩</t>
  </si>
  <si>
    <t>IBKS제24호스팩</t>
  </si>
  <si>
    <t>아이빔테크놀로지</t>
  </si>
  <si>
    <t>아이씨티케이</t>
  </si>
  <si>
    <t>아이엠비디엑스</t>
  </si>
  <si>
    <t>아이엠지티</t>
  </si>
  <si>
    <t>아이엠티</t>
  </si>
  <si>
    <t>아이오바이오</t>
  </si>
  <si>
    <t>아이케이세미콘</t>
  </si>
  <si>
    <t>아티스트유나이티드</t>
  </si>
  <si>
    <t>아퓨어스</t>
  </si>
  <si>
    <t>아하</t>
  </si>
  <si>
    <t>안지오랩</t>
  </si>
  <si>
    <t>알멕</t>
  </si>
  <si>
    <t>알톤</t>
  </si>
  <si>
    <t>애니메디솔루션</t>
  </si>
  <si>
    <t>애닉</t>
  </si>
  <si>
    <t>엄지하우스</t>
  </si>
  <si>
    <t>에스바이오메딕스</t>
  </si>
  <si>
    <t>SCL사이언스</t>
  </si>
  <si>
    <t>에스알바이오텍</t>
  </si>
  <si>
    <t>에스엘에너지</t>
  </si>
  <si>
    <t>에스엘에스바이오</t>
  </si>
  <si>
    <t>에스엘테라퓨틱스</t>
  </si>
  <si>
    <t>에스오에스랩</t>
  </si>
  <si>
    <t>에스와이스틸텍</t>
  </si>
  <si>
    <t>에스유홀딩스</t>
  </si>
  <si>
    <t>에스제이지세종</t>
  </si>
  <si>
    <t>에스제이켐</t>
  </si>
  <si>
    <t>SGC E&amp;C</t>
  </si>
  <si>
    <t>SK이터닉스</t>
  </si>
  <si>
    <t>에스케이증권제10호스팩</t>
  </si>
  <si>
    <t>에스케이증권제11호스팩</t>
  </si>
  <si>
    <t>에스케이증권제12호스팩</t>
  </si>
  <si>
    <t>에스케이증권제13호스팩</t>
  </si>
  <si>
    <t>에스케이증권제9호스팩</t>
  </si>
  <si>
    <t>에스피소프트</t>
  </si>
  <si>
    <t>에이아이더뉴트리진</t>
  </si>
  <si>
    <t>에이에스텍</t>
  </si>
  <si>
    <t>에이엘티</t>
  </si>
  <si>
    <t>에이원알폼</t>
  </si>
  <si>
    <t>에이리츠</t>
  </si>
  <si>
    <t>에이직랜드</t>
  </si>
  <si>
    <t>HD한국조선해양</t>
  </si>
  <si>
    <t>HD현대건설기계</t>
  </si>
  <si>
    <t>HD현대마린솔루션</t>
  </si>
  <si>
    <t>HD현대미포</t>
  </si>
  <si>
    <t>HD현대에너지솔루션</t>
  </si>
  <si>
    <t>HD현대인프라코어</t>
  </si>
  <si>
    <t>HD현대일렉트릭</t>
  </si>
  <si>
    <t>HD현대중공업</t>
  </si>
  <si>
    <t>에이치브이엠</t>
  </si>
  <si>
    <t>HB인베스트먼트</t>
  </si>
  <si>
    <t>HS화성</t>
  </si>
  <si>
    <t>에이치엔에스하이텍</t>
  </si>
  <si>
    <t>HLB바이오스텝</t>
  </si>
  <si>
    <t>HLB사이언스</t>
  </si>
  <si>
    <t>HLB파나진</t>
  </si>
  <si>
    <t>에이치엠씨제6호스팩</t>
  </si>
  <si>
    <t>에이치엠씨제7호스팩</t>
  </si>
  <si>
    <t>에이텀</t>
  </si>
  <si>
    <t>에이텍모빌리티</t>
  </si>
  <si>
    <t>에이펙스인텍</t>
  </si>
  <si>
    <t>에이피알</t>
  </si>
  <si>
    <t>APS</t>
  </si>
  <si>
    <t>AP헬스케어</t>
  </si>
  <si>
    <t>에코볼트</t>
  </si>
  <si>
    <t>에코아이</t>
  </si>
  <si>
    <t>에코프로머티</t>
  </si>
  <si>
    <t>에피바이오텍</t>
  </si>
  <si>
    <t>엑셀세라퓨틱스</t>
  </si>
  <si>
    <t>엑스페릭스</t>
  </si>
  <si>
    <t>엑스플러스</t>
  </si>
  <si>
    <t>엔솔바이오사이언스</t>
  </si>
  <si>
    <t>엔에스엠</t>
  </si>
  <si>
    <t>엔에스컴퍼니</t>
  </si>
  <si>
    <t>엔에이치스팩29호</t>
  </si>
  <si>
    <t>엔에이치스팩30호</t>
  </si>
  <si>
    <t>엔에이치스팩31호</t>
  </si>
  <si>
    <t>NHN KCP</t>
  </si>
  <si>
    <t>NH올원리츠</t>
  </si>
  <si>
    <t>엔젤로보틱스</t>
  </si>
  <si>
    <t>엔지브이아이</t>
  </si>
  <si>
    <t>NPX</t>
  </si>
  <si>
    <t>엘리비젼</t>
  </si>
  <si>
    <t>LB인베스트먼트</t>
  </si>
  <si>
    <t>LS마린솔루션</t>
  </si>
  <si>
    <t>LS머트리얼즈</t>
  </si>
  <si>
    <t>LS증권</t>
  </si>
  <si>
    <t>엘에이티</t>
  </si>
  <si>
    <t>LK삼양</t>
  </si>
  <si>
    <t>엠아이큐브솔루션</t>
  </si>
  <si>
    <t>엣지파운드리</t>
  </si>
  <si>
    <t>오건에코텍</t>
  </si>
  <si>
    <t>오상헬스케어</t>
  </si>
  <si>
    <t>OCI홀딩스</t>
  </si>
  <si>
    <t>오하임앤컴퍼니</t>
  </si>
  <si>
    <t>와이랩</t>
  </si>
  <si>
    <t>와이바이오로직스</t>
  </si>
  <si>
    <t>와이씨</t>
  </si>
  <si>
    <t>와이씨켐</t>
  </si>
  <si>
    <t>와이엠</t>
  </si>
  <si>
    <t>우진엔텍</t>
  </si>
  <si>
    <t>워트</t>
  </si>
  <si>
    <t>원포유</t>
  </si>
  <si>
    <t>웰킵스하이텍</t>
  </si>
  <si>
    <t>위월드</t>
  </si>
  <si>
    <t>유니포인트</t>
  </si>
  <si>
    <t>유안타제11호스팩</t>
  </si>
  <si>
    <t>유안타제14호스팩</t>
  </si>
  <si>
    <t>유안타제15호스팩</t>
  </si>
  <si>
    <t>유안타제16호스팩</t>
  </si>
  <si>
    <t>유엑스엔</t>
  </si>
  <si>
    <t>유진스팩10호</t>
  </si>
  <si>
    <t>유진테크놀로지</t>
  </si>
  <si>
    <t>유투바이오</t>
  </si>
  <si>
    <t>율촌</t>
  </si>
  <si>
    <t>이노벡스</t>
  </si>
  <si>
    <t>이노스페이스</t>
  </si>
  <si>
    <t>이노시뮬레이션</t>
  </si>
  <si>
    <t>이닉스</t>
  </si>
  <si>
    <t>이렘</t>
  </si>
  <si>
    <t>이리츠코크렙</t>
  </si>
  <si>
    <t>이베스트스팩6호</t>
  </si>
  <si>
    <t>이브이파킹서비스</t>
  </si>
  <si>
    <t>이비테크</t>
  </si>
  <si>
    <t>이성씨엔아이</t>
  </si>
  <si>
    <t>이수스페셜티케미컬</t>
  </si>
  <si>
    <t>이스트에이드</t>
  </si>
  <si>
    <t>이앤에치</t>
  </si>
  <si>
    <t>이에이트</t>
  </si>
  <si>
    <t>이엘씨</t>
  </si>
  <si>
    <t>EMB</t>
  </si>
  <si>
    <t>이엠티</t>
  </si>
  <si>
    <t>이지스레지던스리츠</t>
  </si>
  <si>
    <t>이지스밸류리츠</t>
  </si>
  <si>
    <t>인바이츠바이오코아</t>
  </si>
  <si>
    <t>인스웨이브시스템즈</t>
  </si>
  <si>
    <t>일성아이에스</t>
  </si>
  <si>
    <t>일월지엠엘</t>
  </si>
  <si>
    <t>제노텍</t>
  </si>
  <si>
    <t>제이알글로벌리츠</t>
  </si>
  <si>
    <t>제이엔비</t>
  </si>
  <si>
    <t>제이엔케이글로벌</t>
  </si>
  <si>
    <t>제이엠멀티</t>
  </si>
  <si>
    <t>제이투케이바이오</t>
  </si>
  <si>
    <t>제일엠앤에스</t>
  </si>
  <si>
    <t>제일일렉트릭</t>
  </si>
  <si>
    <t>주성코퍼레이션</t>
  </si>
  <si>
    <t>수프로</t>
  </si>
  <si>
    <t>오픈놀</t>
  </si>
  <si>
    <t>코셋</t>
  </si>
  <si>
    <t>큐라티스</t>
  </si>
  <si>
    <t>중앙첨단소재</t>
  </si>
  <si>
    <t>지슨</t>
  </si>
  <si>
    <t>지아이이노베이션</t>
  </si>
  <si>
    <t>지앤이헬스케어</t>
  </si>
  <si>
    <t>지에프씨생명과학</t>
  </si>
  <si>
    <t>지오릿에너지</t>
  </si>
  <si>
    <t>진영</t>
  </si>
  <si>
    <t>진코스텍</t>
  </si>
  <si>
    <t>질경이</t>
  </si>
  <si>
    <t>카이바이오텍</t>
  </si>
  <si>
    <t>카티스</t>
  </si>
  <si>
    <t>캐리</t>
  </si>
  <si>
    <t>캡스톤파트너스</t>
  </si>
  <si>
    <t>컨텍</t>
  </si>
  <si>
    <t>케이바이오</t>
  </si>
  <si>
    <t>KB제25호스팩</t>
  </si>
  <si>
    <t>KB제26호스팩</t>
  </si>
  <si>
    <t>KB제27호스팩</t>
  </si>
  <si>
    <t>KB제28호스팩</t>
  </si>
  <si>
    <t>KB제29호스팩</t>
  </si>
  <si>
    <t>KC산업</t>
  </si>
  <si>
    <t>KIB플러그에너지</t>
  </si>
  <si>
    <t>케이알엠</t>
  </si>
  <si>
    <t>KS인더스트리</t>
  </si>
  <si>
    <t>KH 미래물산</t>
  </si>
  <si>
    <t>케이엔솔</t>
  </si>
  <si>
    <t>케이엔알시스템</t>
  </si>
  <si>
    <t>케이엔에스</t>
  </si>
  <si>
    <t>케이웨더</t>
  </si>
  <si>
    <t>KG에코솔루션</t>
  </si>
  <si>
    <t>케이탑리츠</t>
  </si>
  <si>
    <t>켈스</t>
  </si>
  <si>
    <t>코나솔</t>
  </si>
  <si>
    <t>코람코더원리츠</t>
  </si>
  <si>
    <t>코람코라이프인프라리츠</t>
  </si>
  <si>
    <t>코셈</t>
  </si>
  <si>
    <t>코스텍시스템</t>
  </si>
  <si>
    <t>코어라인소프트</t>
  </si>
  <si>
    <t>코오롱ENP</t>
  </si>
  <si>
    <t>코츠테크놀로지</t>
  </si>
  <si>
    <t>코칩</t>
  </si>
  <si>
    <t>콜마홀딩스</t>
  </si>
  <si>
    <t>퀀타피아</t>
  </si>
  <si>
    <t>퀀텀온</t>
  </si>
  <si>
    <t>퀄리타스반도체</t>
  </si>
  <si>
    <t>큐라켐</t>
  </si>
  <si>
    <t>큐러블</t>
  </si>
  <si>
    <t>큐로셀</t>
  </si>
  <si>
    <t>큐리옥스바이오시스템즈</t>
  </si>
  <si>
    <t>큐엠씨</t>
  </si>
  <si>
    <t>크라우드웍스</t>
  </si>
  <si>
    <t>크레오에스지</t>
  </si>
  <si>
    <t>크로넥스</t>
  </si>
  <si>
    <t>키움제8호스팩</t>
  </si>
  <si>
    <t>타스컴</t>
  </si>
  <si>
    <t>타이드</t>
  </si>
  <si>
    <t>타임기술</t>
  </si>
  <si>
    <t>탈로스</t>
  </si>
  <si>
    <t>탑선</t>
  </si>
  <si>
    <t>태양3C</t>
  </si>
  <si>
    <t>태양기계</t>
  </si>
  <si>
    <t>테크엔</t>
  </si>
  <si>
    <t>테크트랜스</t>
  </si>
  <si>
    <t>토마토시스템</t>
  </si>
  <si>
    <t>트루엔</t>
  </si>
  <si>
    <t>티엔엔터테인먼트</t>
  </si>
  <si>
    <t>티엘엔지니어링</t>
  </si>
  <si>
    <t>티이엠씨씨엔에스</t>
  </si>
  <si>
    <t>TP</t>
  </si>
  <si>
    <t>틸론</t>
  </si>
  <si>
    <t>파두</t>
  </si>
  <si>
    <t>파로스아이바이오</t>
  </si>
  <si>
    <t>파마리서치바이오</t>
  </si>
  <si>
    <t>파워풀엑스</t>
  </si>
  <si>
    <t>판도라티비</t>
  </si>
  <si>
    <t>팡스카이</t>
  </si>
  <si>
    <t>팸텍</t>
  </si>
  <si>
    <t>펨토바이오메드</t>
  </si>
  <si>
    <t>포니링크</t>
  </si>
  <si>
    <t>포스뱅크</t>
  </si>
  <si>
    <t>포스코DX</t>
  </si>
  <si>
    <t>폰드그룹</t>
  </si>
  <si>
    <t>폴라리스AI</t>
  </si>
  <si>
    <t>폴라리스AI파마</t>
  </si>
  <si>
    <t>푸른소나무</t>
  </si>
  <si>
    <t>퓨릿</t>
  </si>
  <si>
    <t>퓨처코어</t>
  </si>
  <si>
    <t>퓨쳐메디신</t>
  </si>
  <si>
    <t>프로젠</t>
  </si>
  <si>
    <t>프로티아</t>
  </si>
  <si>
    <t>플럼라인생명과학</t>
  </si>
  <si>
    <t>플루토스</t>
  </si>
  <si>
    <t>피앤에스미캐닉스</t>
  </si>
  <si>
    <t>피엔티엠에스</t>
  </si>
  <si>
    <t>피엠티</t>
  </si>
  <si>
    <t>필에너지</t>
  </si>
  <si>
    <t>하나27호스팩</t>
  </si>
  <si>
    <t>하나28호스팩</t>
  </si>
  <si>
    <t>하나29호스팩</t>
  </si>
  <si>
    <t>하나30호스팩</t>
  </si>
  <si>
    <t>하나31호스팩</t>
  </si>
  <si>
    <t>하나32호스팩</t>
  </si>
  <si>
    <t>하나33호스팩</t>
  </si>
  <si>
    <t>하스</t>
  </si>
  <si>
    <t>하이제8호스팩</t>
  </si>
  <si>
    <t>하이젠알앤엠</t>
  </si>
  <si>
    <t>하이퍼코퍼레이션</t>
  </si>
  <si>
    <t>한국무브넥스</t>
  </si>
  <si>
    <t>한국미라클피플사</t>
  </si>
  <si>
    <t>한국비티비</t>
  </si>
  <si>
    <t>한국제12호스팩</t>
  </si>
  <si>
    <t>한국제13호스팩</t>
  </si>
  <si>
    <t>한국제14호스팩</t>
  </si>
  <si>
    <t>한국제15호스팩</t>
  </si>
  <si>
    <t>한국제지</t>
  </si>
  <si>
    <t>한국ANKOR유전</t>
  </si>
  <si>
    <t>한국패러랠</t>
  </si>
  <si>
    <t>한국피아이엠</t>
  </si>
  <si>
    <t>한빛레이저</t>
  </si>
  <si>
    <t>한선엔지니어링</t>
  </si>
  <si>
    <t>한성크린텍</t>
  </si>
  <si>
    <t>한싹</t>
  </si>
  <si>
    <t>한울반도체</t>
  </si>
  <si>
    <t>한울소재과학</t>
  </si>
  <si>
    <t>한주에이알티</t>
  </si>
  <si>
    <t>한중엔시에스</t>
  </si>
  <si>
    <t>한화리츠</t>
  </si>
  <si>
    <t>한화솔루션우</t>
  </si>
  <si>
    <t>한화엔진</t>
  </si>
  <si>
    <t>한화오션</t>
  </si>
  <si>
    <t>한화투자증권우</t>
  </si>
  <si>
    <t>한화플러스제4호스팩</t>
  </si>
  <si>
    <t>해성산업1우</t>
  </si>
  <si>
    <t>해성에어로보틱스</t>
  </si>
  <si>
    <t>현대건설우</t>
  </si>
  <si>
    <t>현대그린푸드</t>
  </si>
  <si>
    <t>현대사료</t>
  </si>
  <si>
    <t>현대차우</t>
  </si>
  <si>
    <t>현대차2우B</t>
  </si>
  <si>
    <t>현대차3우B</t>
  </si>
  <si>
    <t>현대힘스</t>
  </si>
  <si>
    <t>호텔신라우</t>
  </si>
  <si>
    <t>휴림에이텍</t>
  </si>
  <si>
    <t>휴먼테크놀로지</t>
  </si>
  <si>
    <t>흥국화재우</t>
  </si>
  <si>
    <t>098120</t>
  </si>
  <si>
    <t>009520</t>
  </si>
  <si>
    <t>095570</t>
  </si>
  <si>
    <t>006840</t>
  </si>
  <si>
    <t>282330</t>
  </si>
  <si>
    <t>027410</t>
  </si>
  <si>
    <t>138930</t>
  </si>
  <si>
    <t>001460</t>
  </si>
  <si>
    <t>001040</t>
  </si>
  <si>
    <t>011150</t>
  </si>
  <si>
    <t>058820</t>
  </si>
  <si>
    <t>000590</t>
  </si>
  <si>
    <t>012030</t>
  </si>
  <si>
    <t>016610</t>
  </si>
  <si>
    <t>005830</t>
  </si>
  <si>
    <t>000990</t>
  </si>
  <si>
    <t>139130</t>
  </si>
  <si>
    <t>001530</t>
  </si>
  <si>
    <t>000210</t>
  </si>
  <si>
    <t>375500</t>
  </si>
  <si>
    <t>155660</t>
  </si>
  <si>
    <t>069730</t>
  </si>
  <si>
    <t>017860</t>
  </si>
  <si>
    <t>017940</t>
  </si>
  <si>
    <t>365550</t>
  </si>
  <si>
    <t>050120</t>
  </si>
  <si>
    <t>383220</t>
  </si>
  <si>
    <t>007700</t>
  </si>
  <si>
    <t>006360</t>
  </si>
  <si>
    <t>078930</t>
  </si>
  <si>
    <t>012630</t>
  </si>
  <si>
    <t>294870</t>
  </si>
  <si>
    <t>097230</t>
  </si>
  <si>
    <t>014790</t>
  </si>
  <si>
    <t>024850</t>
  </si>
  <si>
    <t>204320</t>
  </si>
  <si>
    <t>060980</t>
  </si>
  <si>
    <t>035000</t>
  </si>
  <si>
    <t>003560</t>
  </si>
  <si>
    <t>175330</t>
  </si>
  <si>
    <t>234080</t>
  </si>
  <si>
    <t>001060</t>
  </si>
  <si>
    <t>096760</t>
  </si>
  <si>
    <t>105560</t>
  </si>
  <si>
    <t>432320</t>
  </si>
  <si>
    <t>024120</t>
  </si>
  <si>
    <t>009070</t>
  </si>
  <si>
    <t>044180</t>
  </si>
  <si>
    <t>003620</t>
  </si>
  <si>
    <t>016380</t>
  </si>
  <si>
    <t>001390</t>
  </si>
  <si>
    <t>033180</t>
  </si>
  <si>
    <t>001940</t>
  </si>
  <si>
    <t>025000</t>
  </si>
  <si>
    <t>092230</t>
  </si>
  <si>
    <t>000040</t>
  </si>
  <si>
    <t>093050</t>
  </si>
  <si>
    <t>034220</t>
  </si>
  <si>
    <t>003550</t>
  </si>
  <si>
    <t>051900</t>
  </si>
  <si>
    <t>373220</t>
  </si>
  <si>
    <t>032640</t>
  </si>
  <si>
    <t>011070</t>
  </si>
  <si>
    <t>066570</t>
  </si>
  <si>
    <t>051910</t>
  </si>
  <si>
    <t>079550</t>
  </si>
  <si>
    <t>010120</t>
  </si>
  <si>
    <t>000680</t>
  </si>
  <si>
    <t>006260</t>
  </si>
  <si>
    <t>229640</t>
  </si>
  <si>
    <t>108320</t>
  </si>
  <si>
    <t>001120</t>
  </si>
  <si>
    <t>086960</t>
  </si>
  <si>
    <t>023150</t>
  </si>
  <si>
    <t>035420</t>
  </si>
  <si>
    <t>181710</t>
  </si>
  <si>
    <t>338100</t>
  </si>
  <si>
    <t>034310</t>
  </si>
  <si>
    <t>008260</t>
  </si>
  <si>
    <t>004250</t>
  </si>
  <si>
    <t>456040</t>
  </si>
  <si>
    <t>010950</t>
  </si>
  <si>
    <t>950110</t>
  </si>
  <si>
    <t>005090</t>
  </si>
  <si>
    <t>001380</t>
  </si>
  <si>
    <t>001770</t>
  </si>
  <si>
    <t>002360</t>
  </si>
  <si>
    <t>009160</t>
  </si>
  <si>
    <t>123700</t>
  </si>
  <si>
    <t>025530</t>
  </si>
  <si>
    <t>011790</t>
  </si>
  <si>
    <t>018670</t>
  </si>
  <si>
    <t>001740</t>
  </si>
  <si>
    <t>210980</t>
  </si>
  <si>
    <t>395400</t>
  </si>
  <si>
    <t>034730</t>
  </si>
  <si>
    <t>402340</t>
  </si>
  <si>
    <t>260870</t>
  </si>
  <si>
    <t>361610</t>
  </si>
  <si>
    <t>100090</t>
  </si>
  <si>
    <t>096770</t>
  </si>
  <si>
    <t>001510</t>
  </si>
  <si>
    <t>285130</t>
  </si>
  <si>
    <t>017670</t>
  </si>
  <si>
    <t>003570</t>
  </si>
  <si>
    <t>064960</t>
  </si>
  <si>
    <t>100840</t>
  </si>
  <si>
    <t>036530</t>
  </si>
  <si>
    <t>005610</t>
  </si>
  <si>
    <t>465770</t>
  </si>
  <si>
    <t>011810</t>
  </si>
  <si>
    <t>077970</t>
  </si>
  <si>
    <t>071970</t>
  </si>
  <si>
    <t>084870</t>
  </si>
  <si>
    <t>002710</t>
  </si>
  <si>
    <t>024070</t>
  </si>
  <si>
    <t>079940</t>
  </si>
  <si>
    <t>078890</t>
  </si>
  <si>
    <t>000500</t>
  </si>
  <si>
    <t>399720</t>
  </si>
  <si>
    <t>296520</t>
  </si>
  <si>
    <t>036620</t>
  </si>
  <si>
    <t>000860</t>
  </si>
  <si>
    <t>198440</t>
  </si>
  <si>
    <t>217730</t>
  </si>
  <si>
    <t>035250</t>
  </si>
  <si>
    <t>114190</t>
  </si>
  <si>
    <t>094480</t>
  </si>
  <si>
    <t>011420</t>
  </si>
  <si>
    <t>039240</t>
  </si>
  <si>
    <t>053950</t>
  </si>
  <si>
    <t>002100</t>
  </si>
  <si>
    <t>009450</t>
  </si>
  <si>
    <t>267290</t>
  </si>
  <si>
    <t>012320</t>
  </si>
  <si>
    <t>011040</t>
  </si>
  <si>
    <t>000050</t>
  </si>
  <si>
    <t>214390</t>
  </si>
  <si>
    <t>012610</t>
  </si>
  <si>
    <t>009140</t>
  </si>
  <si>
    <t>024910</t>
  </si>
  <si>
    <t>013580</t>
  </si>
  <si>
    <t>012200</t>
  </si>
  <si>
    <t>002140</t>
  </si>
  <si>
    <t>049720</t>
  </si>
  <si>
    <t>010130</t>
  </si>
  <si>
    <t>002240</t>
  </si>
  <si>
    <t>014570</t>
  </si>
  <si>
    <t>348150</t>
  </si>
  <si>
    <t>950190</t>
  </si>
  <si>
    <t>098460</t>
  </si>
  <si>
    <t>035290</t>
  </si>
  <si>
    <t>215000</t>
  </si>
  <si>
    <t>121440</t>
  </si>
  <si>
    <t>366030</t>
  </si>
  <si>
    <t>076340</t>
  </si>
  <si>
    <t>009290</t>
  </si>
  <si>
    <t>086220</t>
  </si>
  <si>
    <t>014200</t>
  </si>
  <si>
    <t>017040</t>
  </si>
  <si>
    <t>029480</t>
  </si>
  <si>
    <t>017900</t>
  </si>
  <si>
    <t>037710</t>
  </si>
  <si>
    <t>026910</t>
  </si>
  <si>
    <t>421800</t>
  </si>
  <si>
    <t>440790</t>
  </si>
  <si>
    <t>456490</t>
  </si>
  <si>
    <t>465320</t>
  </si>
  <si>
    <t>030610</t>
  </si>
  <si>
    <t>339770</t>
  </si>
  <si>
    <t>053270</t>
  </si>
  <si>
    <t>007690</t>
  </si>
  <si>
    <t>005320</t>
  </si>
  <si>
    <t>066620</t>
  </si>
  <si>
    <t>001140</t>
  </si>
  <si>
    <t>043650</t>
  </si>
  <si>
    <t>006050</t>
  </si>
  <si>
    <t>060480</t>
  </si>
  <si>
    <t>078130</t>
  </si>
  <si>
    <t>307750</t>
  </si>
  <si>
    <t>002720</t>
  </si>
  <si>
    <t>243870</t>
  </si>
  <si>
    <t>035080</t>
  </si>
  <si>
    <t>114090</t>
  </si>
  <si>
    <t>900290</t>
  </si>
  <si>
    <t>453450</t>
  </si>
  <si>
    <t>204020</t>
  </si>
  <si>
    <t>402490</t>
  </si>
  <si>
    <t>114450</t>
  </si>
  <si>
    <t>083420</t>
  </si>
  <si>
    <t>186230</t>
  </si>
  <si>
    <t>014530</t>
  </si>
  <si>
    <t>083450</t>
  </si>
  <si>
    <t>900070</t>
  </si>
  <si>
    <t>204620</t>
  </si>
  <si>
    <t>019660</t>
  </si>
  <si>
    <t>014280</t>
  </si>
  <si>
    <t>053260</t>
  </si>
  <si>
    <t>008870</t>
  </si>
  <si>
    <t>282720</t>
  </si>
  <si>
    <t>001570</t>
  </si>
  <si>
    <t>002990</t>
  </si>
  <si>
    <t>011780</t>
  </si>
  <si>
    <t>214330</t>
  </si>
  <si>
    <t>001210</t>
  </si>
  <si>
    <t>073240</t>
  </si>
  <si>
    <t>036190</t>
  </si>
  <si>
    <t>049080</t>
  </si>
  <si>
    <t>420770</t>
  </si>
  <si>
    <t>035460</t>
  </si>
  <si>
    <t>092440</t>
  </si>
  <si>
    <t>000270</t>
  </si>
  <si>
    <t>456700</t>
  </si>
  <si>
    <t>013700</t>
  </si>
  <si>
    <t>308100</t>
  </si>
  <si>
    <t>004540</t>
  </si>
  <si>
    <t>407400</t>
  </si>
  <si>
    <t>187790</t>
  </si>
  <si>
    <t>286750</t>
  </si>
  <si>
    <t>121600</t>
  </si>
  <si>
    <t>247660</t>
  </si>
  <si>
    <t>039860</t>
  </si>
  <si>
    <t>091970</t>
  </si>
  <si>
    <t>417010</t>
  </si>
  <si>
    <t>244880</t>
  </si>
  <si>
    <t>405920</t>
  </si>
  <si>
    <t>288490</t>
  </si>
  <si>
    <t>051490</t>
  </si>
  <si>
    <t>137080</t>
  </si>
  <si>
    <t>190510</t>
  </si>
  <si>
    <t>242040</t>
  </si>
  <si>
    <t>089600</t>
  </si>
  <si>
    <t>293580</t>
  </si>
  <si>
    <t>257990</t>
  </si>
  <si>
    <t>138610</t>
  </si>
  <si>
    <t>130580</t>
  </si>
  <si>
    <t>036800</t>
  </si>
  <si>
    <t>030190</t>
  </si>
  <si>
    <t>267320</t>
  </si>
  <si>
    <t>001260</t>
  </si>
  <si>
    <t>008350</t>
  </si>
  <si>
    <t>004270</t>
  </si>
  <si>
    <t>003920</t>
  </si>
  <si>
    <t>025860</t>
  </si>
  <si>
    <t>111710</t>
  </si>
  <si>
    <t>091590</t>
  </si>
  <si>
    <t>168330</t>
  </si>
  <si>
    <t>094860</t>
  </si>
  <si>
    <t>253590</t>
  </si>
  <si>
    <t>212560</t>
  </si>
  <si>
    <t>095660</t>
  </si>
  <si>
    <t>042420</t>
  </si>
  <si>
    <t>950220</t>
  </si>
  <si>
    <t>311390</t>
  </si>
  <si>
    <t>085910</t>
  </si>
  <si>
    <t>092730</t>
  </si>
  <si>
    <t>290660</t>
  </si>
  <si>
    <t>306620</t>
  </si>
  <si>
    <t>153460</t>
  </si>
  <si>
    <t>007390</t>
  </si>
  <si>
    <t>033640</t>
  </si>
  <si>
    <t>330860</t>
  </si>
  <si>
    <t>005720</t>
  </si>
  <si>
    <t>002350</t>
  </si>
  <si>
    <t>089140</t>
  </si>
  <si>
    <t>137940</t>
  </si>
  <si>
    <t>160550</t>
  </si>
  <si>
    <t>396270</t>
  </si>
  <si>
    <t>348210</t>
  </si>
  <si>
    <t>092790</t>
  </si>
  <si>
    <t>225570</t>
  </si>
  <si>
    <t>217270</t>
  </si>
  <si>
    <t>251270</t>
  </si>
  <si>
    <t>317860</t>
  </si>
  <si>
    <t>104620</t>
  </si>
  <si>
    <t>090350</t>
  </si>
  <si>
    <t>000320</t>
  </si>
  <si>
    <t>194700</t>
  </si>
  <si>
    <t>285490</t>
  </si>
  <si>
    <t>283100</t>
  </si>
  <si>
    <t>145170</t>
  </si>
  <si>
    <t>229500</t>
  </si>
  <si>
    <t>106520</t>
  </si>
  <si>
    <t>376930</t>
  </si>
  <si>
    <t>006280</t>
  </si>
  <si>
    <t>142280</t>
  </si>
  <si>
    <t>234690</t>
  </si>
  <si>
    <t>005250</t>
  </si>
  <si>
    <t>004370</t>
  </si>
  <si>
    <t>072710</t>
  </si>
  <si>
    <t>154030</t>
  </si>
  <si>
    <t>403490</t>
  </si>
  <si>
    <t>054050</t>
  </si>
  <si>
    <t>069140</t>
  </si>
  <si>
    <t>040160</t>
  </si>
  <si>
    <t>332290</t>
  </si>
  <si>
    <t>348340</t>
  </si>
  <si>
    <t>060260</t>
  </si>
  <si>
    <t>123840</t>
  </si>
  <si>
    <t>012340</t>
  </si>
  <si>
    <t>214870</t>
  </si>
  <si>
    <t>270870</t>
  </si>
  <si>
    <t>144960</t>
  </si>
  <si>
    <t>085670</t>
  </si>
  <si>
    <t>064260</t>
  </si>
  <si>
    <t>340360</t>
  </si>
  <si>
    <t>039560</t>
  </si>
  <si>
    <t>154040</t>
  </si>
  <si>
    <t>058730</t>
  </si>
  <si>
    <t>030210</t>
  </si>
  <si>
    <t>023590</t>
  </si>
  <si>
    <t>032190</t>
  </si>
  <si>
    <t>323350</t>
  </si>
  <si>
    <t>068240</t>
  </si>
  <si>
    <t>145210</t>
  </si>
  <si>
    <t>019680</t>
  </si>
  <si>
    <t>006370</t>
  </si>
  <si>
    <t>008060</t>
  </si>
  <si>
    <t>353200</t>
  </si>
  <si>
    <t>178600</t>
  </si>
  <si>
    <t>020400</t>
  </si>
  <si>
    <t>008830</t>
  </si>
  <si>
    <t>000490</t>
  </si>
  <si>
    <t>048470</t>
  </si>
  <si>
    <t>008110</t>
  </si>
  <si>
    <t>004780</t>
  </si>
  <si>
    <t>005750</t>
  </si>
  <si>
    <t>017650</t>
  </si>
  <si>
    <t>006570</t>
  </si>
  <si>
    <t>007720</t>
  </si>
  <si>
    <t>389260</t>
  </si>
  <si>
    <t>317850</t>
  </si>
  <si>
    <t>290670</t>
  </si>
  <si>
    <t>078140</t>
  </si>
  <si>
    <t>065150</t>
  </si>
  <si>
    <t>001680</t>
  </si>
  <si>
    <t>084690</t>
  </si>
  <si>
    <t>036480</t>
  </si>
  <si>
    <t>128820</t>
  </si>
  <si>
    <t>117580</t>
  </si>
  <si>
    <t>027830</t>
  </si>
  <si>
    <t>104040</t>
  </si>
  <si>
    <t>129920</t>
  </si>
  <si>
    <t>016710</t>
  </si>
  <si>
    <t>438220</t>
  </si>
  <si>
    <t>442310</t>
  </si>
  <si>
    <t>457390</t>
  </si>
  <si>
    <t>457630</t>
  </si>
  <si>
    <t>471050</t>
  </si>
  <si>
    <t>020180</t>
  </si>
  <si>
    <t>003540</t>
  </si>
  <si>
    <t>045390</t>
  </si>
  <si>
    <t>009190</t>
  </si>
  <si>
    <t>108380</t>
  </si>
  <si>
    <t>014160</t>
  </si>
  <si>
    <t>047040</t>
  </si>
  <si>
    <t>009320</t>
  </si>
  <si>
    <t>003090</t>
  </si>
  <si>
    <t>069620</t>
  </si>
  <si>
    <t>007680</t>
  </si>
  <si>
    <t>000430</t>
  </si>
  <si>
    <t>048910</t>
  </si>
  <si>
    <t>005710</t>
  </si>
  <si>
    <t>006340</t>
  </si>
  <si>
    <t>003220</t>
  </si>
  <si>
    <t>024890</t>
  </si>
  <si>
    <t>290380</t>
  </si>
  <si>
    <t>002880</t>
  </si>
  <si>
    <t>000300</t>
  </si>
  <si>
    <t>120240</t>
  </si>
  <si>
    <t>003310</t>
  </si>
  <si>
    <t>114920</t>
  </si>
  <si>
    <t>078600</t>
  </si>
  <si>
    <t>015230</t>
  </si>
  <si>
    <t>012800</t>
  </si>
  <si>
    <t>096350</t>
  </si>
  <si>
    <t>140520</t>
  </si>
  <si>
    <t>131220</t>
  </si>
  <si>
    <t>010170</t>
  </si>
  <si>
    <t>054670</t>
  </si>
  <si>
    <t>001070</t>
  </si>
  <si>
    <t>023910</t>
  </si>
  <si>
    <t>006650</t>
  </si>
  <si>
    <t>001440</t>
  </si>
  <si>
    <t>084010</t>
  </si>
  <si>
    <t>001790</t>
  </si>
  <si>
    <t>001130</t>
  </si>
  <si>
    <t>003490</t>
  </si>
  <si>
    <t>005880</t>
  </si>
  <si>
    <t>003830</t>
  </si>
  <si>
    <t>016090</t>
  </si>
  <si>
    <t>069460</t>
  </si>
  <si>
    <t>021040</t>
  </si>
  <si>
    <t>067080</t>
  </si>
  <si>
    <t>043090</t>
  </si>
  <si>
    <t>298540</t>
  </si>
  <si>
    <t>032860</t>
  </si>
  <si>
    <t>192080</t>
  </si>
  <si>
    <t>393890</t>
  </si>
  <si>
    <t>299170</t>
  </si>
  <si>
    <t>089230</t>
  </si>
  <si>
    <t>012510</t>
  </si>
  <si>
    <t>224060</t>
  </si>
  <si>
    <t>302920</t>
  </si>
  <si>
    <t>213420</t>
  </si>
  <si>
    <t>317330</t>
  </si>
  <si>
    <t>077360</t>
  </si>
  <si>
    <t>004830</t>
  </si>
  <si>
    <t>090410</t>
  </si>
  <si>
    <t>024900</t>
  </si>
  <si>
    <t>263600</t>
  </si>
  <si>
    <t>194480</t>
  </si>
  <si>
    <t>263800</t>
  </si>
  <si>
    <t>199150</t>
  </si>
  <si>
    <t>206560</t>
  </si>
  <si>
    <t>261200</t>
  </si>
  <si>
    <t>145720</t>
  </si>
  <si>
    <t>227420</t>
  </si>
  <si>
    <t>067990</t>
  </si>
  <si>
    <t>002150</t>
  </si>
  <si>
    <t>006620</t>
  </si>
  <si>
    <t>005160</t>
  </si>
  <si>
    <t>460850</t>
  </si>
  <si>
    <t>075970</t>
  </si>
  <si>
    <t>100130</t>
  </si>
  <si>
    <t>460860</t>
  </si>
  <si>
    <t>086450</t>
  </si>
  <si>
    <t>001230</t>
  </si>
  <si>
    <t>004140</t>
  </si>
  <si>
    <t>099410</t>
  </si>
  <si>
    <t>007590</t>
  </si>
  <si>
    <t>005960</t>
  </si>
  <si>
    <t>026960</t>
  </si>
  <si>
    <t>002210</t>
  </si>
  <si>
    <t>102260</t>
  </si>
  <si>
    <t>033500</t>
  </si>
  <si>
    <t>025950</t>
  </si>
  <si>
    <t>000640</t>
  </si>
  <si>
    <t>170900</t>
  </si>
  <si>
    <t>088130</t>
  </si>
  <si>
    <t>028100</t>
  </si>
  <si>
    <t>282690</t>
  </si>
  <si>
    <t>041930</t>
  </si>
  <si>
    <t>084670</t>
  </si>
  <si>
    <t>001520</t>
  </si>
  <si>
    <t>082640</t>
  </si>
  <si>
    <t>060380</t>
  </si>
  <si>
    <t>079960</t>
  </si>
  <si>
    <t>008970</t>
  </si>
  <si>
    <t>228340</t>
  </si>
  <si>
    <t>092780</t>
  </si>
  <si>
    <t>088910</t>
  </si>
  <si>
    <t>094170</t>
  </si>
  <si>
    <t>049770</t>
  </si>
  <si>
    <t>013120</t>
  </si>
  <si>
    <t>018500</t>
  </si>
  <si>
    <t>006040</t>
  </si>
  <si>
    <t>030720</t>
  </si>
  <si>
    <t>014820</t>
  </si>
  <si>
    <t>111380</t>
  </si>
  <si>
    <t>163560</t>
  </si>
  <si>
    <t>109860</t>
  </si>
  <si>
    <t>032960</t>
  </si>
  <si>
    <t>004890</t>
  </si>
  <si>
    <t>002690</t>
  </si>
  <si>
    <t>023790</t>
  </si>
  <si>
    <t>005290</t>
  </si>
  <si>
    <t>025900</t>
  </si>
  <si>
    <t>000020</t>
  </si>
  <si>
    <t>454910</t>
  </si>
  <si>
    <t>241560</t>
  </si>
  <si>
    <t>000150</t>
  </si>
  <si>
    <t>034020</t>
  </si>
  <si>
    <t>131970</t>
  </si>
  <si>
    <t>336260</t>
  </si>
  <si>
    <t>016740</t>
  </si>
  <si>
    <t>073190</t>
  </si>
  <si>
    <t>176750</t>
  </si>
  <si>
    <t>030350</t>
  </si>
  <si>
    <t>203650</t>
  </si>
  <si>
    <t>223250</t>
  </si>
  <si>
    <t>060570</t>
  </si>
  <si>
    <t>362990</t>
  </si>
  <si>
    <t>192650</t>
  </si>
  <si>
    <t>217620</t>
  </si>
  <si>
    <t>016670</t>
  </si>
  <si>
    <t>187870</t>
  </si>
  <si>
    <t>456440</t>
  </si>
  <si>
    <t>477760</t>
  </si>
  <si>
    <t>024090</t>
  </si>
  <si>
    <t>003160</t>
  </si>
  <si>
    <t>092200</t>
  </si>
  <si>
    <t>110990</t>
  </si>
  <si>
    <t>004840</t>
  </si>
  <si>
    <t>263690</t>
  </si>
  <si>
    <t>214680</t>
  </si>
  <si>
    <t>347850</t>
  </si>
  <si>
    <t>377190</t>
  </si>
  <si>
    <t>263720</t>
  </si>
  <si>
    <t>376300</t>
  </si>
  <si>
    <t>241520</t>
  </si>
  <si>
    <t>109740</t>
  </si>
  <si>
    <t>290120</t>
  </si>
  <si>
    <t>025440</t>
  </si>
  <si>
    <t>196490</t>
  </si>
  <si>
    <t>066900</t>
  </si>
  <si>
    <t>180400</t>
  </si>
  <si>
    <t>127120</t>
  </si>
  <si>
    <t>092070</t>
  </si>
  <si>
    <t>007340</t>
  </si>
  <si>
    <t>068790</t>
  </si>
  <si>
    <t>039840</t>
  </si>
  <si>
    <t>219550</t>
  </si>
  <si>
    <t>013570</t>
  </si>
  <si>
    <t>310870</t>
  </si>
  <si>
    <t>210540</t>
  </si>
  <si>
    <t>104460</t>
  </si>
  <si>
    <t>079810</t>
  </si>
  <si>
    <t>113810</t>
  </si>
  <si>
    <t>043360</t>
  </si>
  <si>
    <t>197140</t>
  </si>
  <si>
    <t>068930</t>
  </si>
  <si>
    <t>033130</t>
  </si>
  <si>
    <t>060900</t>
  </si>
  <si>
    <t>105740</t>
  </si>
  <si>
    <t>263020</t>
  </si>
  <si>
    <t>290550</t>
  </si>
  <si>
    <t>066670</t>
  </si>
  <si>
    <t>187220</t>
  </si>
  <si>
    <t>383930</t>
  </si>
  <si>
    <t>131180</t>
  </si>
  <si>
    <t>315640</t>
  </si>
  <si>
    <t>223310</t>
  </si>
  <si>
    <t>317120</t>
  </si>
  <si>
    <t>462510</t>
  </si>
  <si>
    <t>042510</t>
  </si>
  <si>
    <t>232680</t>
  </si>
  <si>
    <t>418420</t>
  </si>
  <si>
    <t>300120</t>
  </si>
  <si>
    <t>171120</t>
  </si>
  <si>
    <t>388790</t>
  </si>
  <si>
    <t>347700</t>
  </si>
  <si>
    <t>214260</t>
  </si>
  <si>
    <t>403360</t>
  </si>
  <si>
    <t>115390</t>
  </si>
  <si>
    <t>200350</t>
  </si>
  <si>
    <t>171010</t>
  </si>
  <si>
    <t>084650</t>
  </si>
  <si>
    <t>217500</t>
  </si>
  <si>
    <t>092590</t>
  </si>
  <si>
    <t>038390</t>
  </si>
  <si>
    <t>294140</t>
  </si>
  <si>
    <t>443250</t>
  </si>
  <si>
    <t>228670</t>
  </si>
  <si>
    <t>228850</t>
  </si>
  <si>
    <t>412350</t>
  </si>
  <si>
    <t>199550</t>
  </si>
  <si>
    <t>281740</t>
  </si>
  <si>
    <t>277810</t>
  </si>
  <si>
    <t>215100</t>
  </si>
  <si>
    <t>090360</t>
  </si>
  <si>
    <t>238500</t>
  </si>
  <si>
    <t>108490</t>
  </si>
  <si>
    <t>900260</t>
  </si>
  <si>
    <t>223220</t>
  </si>
  <si>
    <t>067730</t>
  </si>
  <si>
    <t>071280</t>
  </si>
  <si>
    <t>032350</t>
  </si>
  <si>
    <t>089860</t>
  </si>
  <si>
    <t>330590</t>
  </si>
  <si>
    <t>000400</t>
  </si>
  <si>
    <t>023530</t>
  </si>
  <si>
    <t>020150</t>
  </si>
  <si>
    <t>280360</t>
  </si>
  <si>
    <t>286940</t>
  </si>
  <si>
    <t>004000</t>
  </si>
  <si>
    <t>004990</t>
  </si>
  <si>
    <t>005300</t>
  </si>
  <si>
    <t>011170</t>
  </si>
  <si>
    <t>071840</t>
  </si>
  <si>
    <t>328130</t>
  </si>
  <si>
    <t>038060</t>
  </si>
  <si>
    <t>162120</t>
  </si>
  <si>
    <t>253610</t>
  </si>
  <si>
    <t>141080</t>
  </si>
  <si>
    <t>058470</t>
  </si>
  <si>
    <t>016100</t>
  </si>
  <si>
    <t>012700</t>
  </si>
  <si>
    <t>302550</t>
  </si>
  <si>
    <t>073570</t>
  </si>
  <si>
    <t>377450</t>
  </si>
  <si>
    <t>277070</t>
  </si>
  <si>
    <t>042500</t>
  </si>
  <si>
    <t>193250</t>
  </si>
  <si>
    <t>219420</t>
  </si>
  <si>
    <t>439090</t>
  </si>
  <si>
    <t>027740</t>
  </si>
  <si>
    <t>195500</t>
  </si>
  <si>
    <t>357430</t>
  </si>
  <si>
    <t>377480</t>
  </si>
  <si>
    <t>305090</t>
  </si>
  <si>
    <t>448780</t>
  </si>
  <si>
    <t>424980</t>
  </si>
  <si>
    <t>169330</t>
  </si>
  <si>
    <t>038290</t>
  </si>
  <si>
    <t>001080</t>
  </si>
  <si>
    <t>267980</t>
  </si>
  <si>
    <t>005990</t>
  </si>
  <si>
    <t>093520</t>
  </si>
  <si>
    <t>377030</t>
  </si>
  <si>
    <t>088980</t>
  </si>
  <si>
    <t>179720</t>
  </si>
  <si>
    <t>100590</t>
  </si>
  <si>
    <t>067280</t>
  </si>
  <si>
    <t>072870</t>
  </si>
  <si>
    <t>215200</t>
  </si>
  <si>
    <t>133750</t>
  </si>
  <si>
    <t>446540</t>
  </si>
  <si>
    <t>235980</t>
  </si>
  <si>
    <t>200580</t>
  </si>
  <si>
    <t>041920</t>
  </si>
  <si>
    <t>233250</t>
  </si>
  <si>
    <t>014100</t>
  </si>
  <si>
    <t>236340</t>
  </si>
  <si>
    <t>054180</t>
  </si>
  <si>
    <t>086900</t>
  </si>
  <si>
    <t>078160</t>
  </si>
  <si>
    <t>138040</t>
  </si>
  <si>
    <t>408920</t>
  </si>
  <si>
    <t>021880</t>
  </si>
  <si>
    <t>140410</t>
  </si>
  <si>
    <t>241770</t>
  </si>
  <si>
    <t>090370</t>
  </si>
  <si>
    <t>059210</t>
  </si>
  <si>
    <t>058110</t>
  </si>
  <si>
    <t>017180</t>
  </si>
  <si>
    <t>009900</t>
  </si>
  <si>
    <t>012690</t>
  </si>
  <si>
    <t>005360</t>
  </si>
  <si>
    <t>070960</t>
  </si>
  <si>
    <t>434480</t>
  </si>
  <si>
    <t>080420</t>
  </si>
  <si>
    <t>417970</t>
  </si>
  <si>
    <t>080160</t>
  </si>
  <si>
    <t>087260</t>
  </si>
  <si>
    <t>101330</t>
  </si>
  <si>
    <t>012860</t>
  </si>
  <si>
    <t>363260</t>
  </si>
  <si>
    <t>348030</t>
  </si>
  <si>
    <t>250060</t>
  </si>
  <si>
    <t>288980</t>
  </si>
  <si>
    <t>142760</t>
  </si>
  <si>
    <t>033200</t>
  </si>
  <si>
    <t>333050</t>
  </si>
  <si>
    <t>009680</t>
  </si>
  <si>
    <t>118990</t>
  </si>
  <si>
    <t>006920</t>
  </si>
  <si>
    <t>038340</t>
  </si>
  <si>
    <t>001810</t>
  </si>
  <si>
    <t>009200</t>
  </si>
  <si>
    <t>009580</t>
  </si>
  <si>
    <t>322970</t>
  </si>
  <si>
    <t>033920</t>
  </si>
  <si>
    <t>008420</t>
  </si>
  <si>
    <t>279600</t>
  </si>
  <si>
    <t>095500</t>
  </si>
  <si>
    <t>254490</t>
  </si>
  <si>
    <t>025560</t>
  </si>
  <si>
    <t>218150</t>
  </si>
  <si>
    <t>007120</t>
  </si>
  <si>
    <t>396690</t>
  </si>
  <si>
    <t>442900</t>
  </si>
  <si>
    <t>357250</t>
  </si>
  <si>
    <t>094800</t>
  </si>
  <si>
    <t>100790</t>
  </si>
  <si>
    <t>412930</t>
  </si>
  <si>
    <t>446190</t>
  </si>
  <si>
    <t>448830</t>
  </si>
  <si>
    <t>477380</t>
  </si>
  <si>
    <t>477470</t>
  </si>
  <si>
    <t>478440</t>
  </si>
  <si>
    <t>085620</t>
  </si>
  <si>
    <t>006800</t>
  </si>
  <si>
    <t>208890</t>
  </si>
  <si>
    <t>049950</t>
  </si>
  <si>
    <t>207760</t>
  </si>
  <si>
    <t>002840</t>
  </si>
  <si>
    <t>268280</t>
  </si>
  <si>
    <t>107590</t>
  </si>
  <si>
    <t>134380</t>
  </si>
  <si>
    <t>351020</t>
  </si>
  <si>
    <t>003650</t>
  </si>
  <si>
    <t>059090</t>
  </si>
  <si>
    <t>214610</t>
  </si>
  <si>
    <t>201490</t>
  </si>
  <si>
    <t>452200</t>
  </si>
  <si>
    <t>418470</t>
  </si>
  <si>
    <t>206640</t>
  </si>
  <si>
    <t>018700</t>
  </si>
  <si>
    <t>035620</t>
  </si>
  <si>
    <t>354390</t>
  </si>
  <si>
    <t>053030</t>
  </si>
  <si>
    <t>301300</t>
  </si>
  <si>
    <t>377740</t>
  </si>
  <si>
    <t>064550</t>
  </si>
  <si>
    <t>314930</t>
  </si>
  <si>
    <t>208710</t>
  </si>
  <si>
    <t>086820</t>
  </si>
  <si>
    <t>038460</t>
  </si>
  <si>
    <t>251120</t>
  </si>
  <si>
    <t>199730</t>
  </si>
  <si>
    <t>266470</t>
  </si>
  <si>
    <t>289170</t>
  </si>
  <si>
    <t>086040</t>
  </si>
  <si>
    <t>199290</t>
  </si>
  <si>
    <t>099430</t>
  </si>
  <si>
    <t>032980</t>
  </si>
  <si>
    <t>308080</t>
  </si>
  <si>
    <t>043150</t>
  </si>
  <si>
    <t>323990</t>
  </si>
  <si>
    <t>003610</t>
  </si>
  <si>
    <t>267790</t>
  </si>
  <si>
    <t>001340</t>
  </si>
  <si>
    <t>046310</t>
  </si>
  <si>
    <t>035150</t>
  </si>
  <si>
    <t>331520</t>
  </si>
  <si>
    <t>438700</t>
  </si>
  <si>
    <t>066410</t>
  </si>
  <si>
    <t>002410</t>
  </si>
  <si>
    <t>382900</t>
  </si>
  <si>
    <t>206400</t>
  </si>
  <si>
    <t>019010</t>
  </si>
  <si>
    <t>177350</t>
  </si>
  <si>
    <t>424760</t>
  </si>
  <si>
    <t>007210</t>
  </si>
  <si>
    <t>225530</t>
  </si>
  <si>
    <t>250000</t>
  </si>
  <si>
    <t>002760</t>
  </si>
  <si>
    <t>003850</t>
  </si>
  <si>
    <t>310210</t>
  </si>
  <si>
    <t>006910</t>
  </si>
  <si>
    <t>000890</t>
  </si>
  <si>
    <t>226340</t>
  </si>
  <si>
    <t>206950</t>
  </si>
  <si>
    <t>008470</t>
  </si>
  <si>
    <t>003000</t>
  </si>
  <si>
    <t>001270</t>
  </si>
  <si>
    <t>026940</t>
  </si>
  <si>
    <t>014470</t>
  </si>
  <si>
    <t>011390</t>
  </si>
  <si>
    <t>005030</t>
  </si>
  <si>
    <t>338220</t>
  </si>
  <si>
    <t>100120</t>
  </si>
  <si>
    <t>406820</t>
  </si>
  <si>
    <t>337930</t>
  </si>
  <si>
    <t>099390</t>
  </si>
  <si>
    <t>064480</t>
  </si>
  <si>
    <t>288330</t>
  </si>
  <si>
    <t>365900</t>
  </si>
  <si>
    <t>089970</t>
  </si>
  <si>
    <t>251630</t>
  </si>
  <si>
    <t>018290</t>
  </si>
  <si>
    <t>439580</t>
  </si>
  <si>
    <t>033560</t>
  </si>
  <si>
    <t>191600</t>
  </si>
  <si>
    <t>369370</t>
  </si>
  <si>
    <t>126340</t>
  </si>
  <si>
    <t>121800</t>
  </si>
  <si>
    <t>082800</t>
  </si>
  <si>
    <t>318410</t>
  </si>
  <si>
    <t>002070</t>
  </si>
  <si>
    <t>100220</t>
  </si>
  <si>
    <t>419540</t>
  </si>
  <si>
    <t>146320</t>
  </si>
  <si>
    <t>200780</t>
  </si>
  <si>
    <t>413640</t>
  </si>
  <si>
    <t>141000</t>
  </si>
  <si>
    <t>090460</t>
  </si>
  <si>
    <t>083650</t>
  </si>
  <si>
    <t>139050</t>
  </si>
  <si>
    <t>445360</t>
  </si>
  <si>
    <t>473370</t>
  </si>
  <si>
    <t>065170</t>
  </si>
  <si>
    <t>086670</t>
  </si>
  <si>
    <t>335890</t>
  </si>
  <si>
    <t>230980</t>
  </si>
  <si>
    <t>138580</t>
  </si>
  <si>
    <t>126600</t>
  </si>
  <si>
    <t>082920</t>
  </si>
  <si>
    <t>054220</t>
  </si>
  <si>
    <t>042370</t>
  </si>
  <si>
    <t>050090</t>
  </si>
  <si>
    <t>148780</t>
  </si>
  <si>
    <t>307870</t>
  </si>
  <si>
    <t>357880</t>
  </si>
  <si>
    <t>032850</t>
  </si>
  <si>
    <t>238200</t>
  </si>
  <si>
    <t>093190</t>
  </si>
  <si>
    <t>065450</t>
  </si>
  <si>
    <t>210120</t>
  </si>
  <si>
    <t>044480</t>
  </si>
  <si>
    <t>005180</t>
  </si>
  <si>
    <t>069540</t>
  </si>
  <si>
    <t>072950</t>
  </si>
  <si>
    <t>266170</t>
  </si>
  <si>
    <t>451250</t>
  </si>
  <si>
    <t>143240</t>
  </si>
  <si>
    <t>003960</t>
  </si>
  <si>
    <t>008040</t>
  </si>
  <si>
    <t>007160</t>
  </si>
  <si>
    <t>014710</t>
  </si>
  <si>
    <t>006090</t>
  </si>
  <si>
    <t>452430</t>
  </si>
  <si>
    <t>419120</t>
  </si>
  <si>
    <t>062040</t>
  </si>
  <si>
    <t>122350</t>
  </si>
  <si>
    <t>419050</t>
  </si>
  <si>
    <t>014970</t>
  </si>
  <si>
    <t>018310</t>
  </si>
  <si>
    <t>012210</t>
  </si>
  <si>
    <t>053700</t>
  </si>
  <si>
    <t>009620</t>
  </si>
  <si>
    <t>023600</t>
  </si>
  <si>
    <t>001470</t>
  </si>
  <si>
    <t>028050</t>
  </si>
  <si>
    <t>448730</t>
  </si>
  <si>
    <t>006400</t>
  </si>
  <si>
    <t>006660</t>
  </si>
  <si>
    <t>425290</t>
  </si>
  <si>
    <t>439250</t>
  </si>
  <si>
    <t>448740</t>
  </si>
  <si>
    <t>468510</t>
  </si>
  <si>
    <t>028260</t>
  </si>
  <si>
    <t>207940</t>
  </si>
  <si>
    <t>032830</t>
  </si>
  <si>
    <t>018260</t>
  </si>
  <si>
    <t>009150</t>
  </si>
  <si>
    <t>005930</t>
  </si>
  <si>
    <t>001360</t>
  </si>
  <si>
    <t>010140</t>
  </si>
  <si>
    <t>016360</t>
  </si>
  <si>
    <t>068290</t>
  </si>
  <si>
    <t>029780</t>
  </si>
  <si>
    <t>000810</t>
  </si>
  <si>
    <t>006110</t>
  </si>
  <si>
    <t>009300</t>
  </si>
  <si>
    <t>145990</t>
  </si>
  <si>
    <t>003230</t>
  </si>
  <si>
    <t>002170</t>
  </si>
  <si>
    <t>272550</t>
  </si>
  <si>
    <t>000070</t>
  </si>
  <si>
    <t>060310</t>
  </si>
  <si>
    <t>002810</t>
  </si>
  <si>
    <t>003720</t>
  </si>
  <si>
    <t>361670</t>
  </si>
  <si>
    <t>054540</t>
  </si>
  <si>
    <t>065570</t>
  </si>
  <si>
    <t>005680</t>
  </si>
  <si>
    <t>023000</t>
  </si>
  <si>
    <t>004380</t>
  </si>
  <si>
    <t>002450</t>
  </si>
  <si>
    <t>032280</t>
  </si>
  <si>
    <t>002290</t>
  </si>
  <si>
    <t>004440</t>
  </si>
  <si>
    <t>000520</t>
  </si>
  <si>
    <t>009770</t>
  </si>
  <si>
    <t>037460</t>
  </si>
  <si>
    <t>032750</t>
  </si>
  <si>
    <t>054090</t>
  </si>
  <si>
    <t>005500</t>
  </si>
  <si>
    <t>000250</t>
  </si>
  <si>
    <t>004690</t>
  </si>
  <si>
    <t>024950</t>
  </si>
  <si>
    <t>038500</t>
  </si>
  <si>
    <t>437730</t>
  </si>
  <si>
    <t>017480</t>
  </si>
  <si>
    <t>010960</t>
  </si>
  <si>
    <t>046390</t>
  </si>
  <si>
    <t>004450</t>
  </si>
  <si>
    <t>009470</t>
  </si>
  <si>
    <t>011230</t>
  </si>
  <si>
    <t>001820</t>
  </si>
  <si>
    <t>000390</t>
  </si>
  <si>
    <t>027580</t>
  </si>
  <si>
    <t>038540</t>
  </si>
  <si>
    <t>415580</t>
  </si>
  <si>
    <t>452670</t>
  </si>
  <si>
    <t>001290</t>
  </si>
  <si>
    <t>041650</t>
  </si>
  <si>
    <t>091580</t>
  </si>
  <si>
    <t>263810</t>
  </si>
  <si>
    <t>089980</t>
  </si>
  <si>
    <t>042940</t>
  </si>
  <si>
    <t>042600</t>
  </si>
  <si>
    <t>075180</t>
  </si>
  <si>
    <t>107600</t>
  </si>
  <si>
    <t>411080</t>
  </si>
  <si>
    <t>252990</t>
  </si>
  <si>
    <t>007540</t>
  </si>
  <si>
    <t>248170</t>
  </si>
  <si>
    <t>378800</t>
  </si>
  <si>
    <t>294630</t>
  </si>
  <si>
    <t>038070</t>
  </si>
  <si>
    <t>006730</t>
  </si>
  <si>
    <t>079650</t>
  </si>
  <si>
    <t>100660</t>
  </si>
  <si>
    <t>007860</t>
  </si>
  <si>
    <t>200880</t>
  </si>
  <si>
    <t>019770</t>
  </si>
  <si>
    <t>017390</t>
  </si>
  <si>
    <t>043710</t>
  </si>
  <si>
    <t>092190</t>
  </si>
  <si>
    <t>046890</t>
  </si>
  <si>
    <t>004410</t>
  </si>
  <si>
    <t>063170</t>
  </si>
  <si>
    <t>027040</t>
  </si>
  <si>
    <t>018680</t>
  </si>
  <si>
    <t>021050</t>
  </si>
  <si>
    <t>093920</t>
  </si>
  <si>
    <t>189860</t>
  </si>
  <si>
    <t>178320</t>
  </si>
  <si>
    <t>122690</t>
  </si>
  <si>
    <t>140070</t>
  </si>
  <si>
    <t>011370</t>
  </si>
  <si>
    <t>065710</t>
  </si>
  <si>
    <t>008490</t>
  </si>
  <si>
    <t>035890</t>
  </si>
  <si>
    <t>357550</t>
  </si>
  <si>
    <t>003100</t>
  </si>
  <si>
    <t>007610</t>
  </si>
  <si>
    <t>067370</t>
  </si>
  <si>
    <t>002820</t>
  </si>
  <si>
    <t>171090</t>
  </si>
  <si>
    <t>136490</t>
  </si>
  <si>
    <t>086710</t>
  </si>
  <si>
    <t>014620</t>
  </si>
  <si>
    <t>037350</t>
  </si>
  <si>
    <t>014910</t>
  </si>
  <si>
    <t>003080</t>
  </si>
  <si>
    <t>004980</t>
  </si>
  <si>
    <t>011300</t>
  </si>
  <si>
    <t>081580</t>
  </si>
  <si>
    <t>045300</t>
  </si>
  <si>
    <t>015750</t>
  </si>
  <si>
    <t>365340</t>
  </si>
  <si>
    <t>000180</t>
  </si>
  <si>
    <t>080470</t>
  </si>
  <si>
    <t>043260</t>
  </si>
  <si>
    <t>148150</t>
  </si>
  <si>
    <t>002420</t>
  </si>
  <si>
    <t>188260</t>
  </si>
  <si>
    <t>053060</t>
  </si>
  <si>
    <t>340440</t>
  </si>
  <si>
    <t>017510</t>
  </si>
  <si>
    <t>004360</t>
  </si>
  <si>
    <t>004490</t>
  </si>
  <si>
    <t>011560</t>
  </si>
  <si>
    <t>267080</t>
  </si>
  <si>
    <t>396300</t>
  </si>
  <si>
    <t>001430</t>
  </si>
  <si>
    <t>306200</t>
  </si>
  <si>
    <t>003030</t>
  </si>
  <si>
    <t>019440</t>
  </si>
  <si>
    <t>058650</t>
  </si>
  <si>
    <t>013000</t>
  </si>
  <si>
    <t>100700</t>
  </si>
  <si>
    <t>024830</t>
  </si>
  <si>
    <t>091090</t>
  </si>
  <si>
    <t>021820</t>
  </si>
  <si>
    <t>067830</t>
  </si>
  <si>
    <t>258830</t>
  </si>
  <si>
    <t>036630</t>
  </si>
  <si>
    <t>039310</t>
  </si>
  <si>
    <t>075580</t>
  </si>
  <si>
    <t>067770</t>
  </si>
  <si>
    <t>053450</t>
  </si>
  <si>
    <t>222810</t>
  </si>
  <si>
    <t>252500</t>
  </si>
  <si>
    <t>321370</t>
  </si>
  <si>
    <t>347000</t>
  </si>
  <si>
    <t>331920</t>
  </si>
  <si>
    <t>049180</t>
  </si>
  <si>
    <t>299660</t>
  </si>
  <si>
    <t>268600</t>
  </si>
  <si>
    <t>108860</t>
  </si>
  <si>
    <t>208370</t>
  </si>
  <si>
    <t>318160</t>
  </si>
  <si>
    <t>258250</t>
  </si>
  <si>
    <t>068270</t>
  </si>
  <si>
    <t>068760</t>
  </si>
  <si>
    <t>068940</t>
  </si>
  <si>
    <t>060230</t>
  </si>
  <si>
    <t>290690</t>
  </si>
  <si>
    <t>950200</t>
  </si>
  <si>
    <t>032680</t>
  </si>
  <si>
    <t>258790</t>
  </si>
  <si>
    <t>066910</t>
  </si>
  <si>
    <t>043100</t>
  </si>
  <si>
    <t>336370</t>
  </si>
  <si>
    <t>248070</t>
  </si>
  <si>
    <t>035610</t>
  </si>
  <si>
    <t>357780</t>
  </si>
  <si>
    <t>036830</t>
  </si>
  <si>
    <t>304100</t>
  </si>
  <si>
    <t>328380</t>
  </si>
  <si>
    <t>004430</t>
  </si>
  <si>
    <t>086980</t>
  </si>
  <si>
    <t>050960</t>
  </si>
  <si>
    <t>126720</t>
  </si>
  <si>
    <t>017550</t>
  </si>
  <si>
    <t>084180</t>
  </si>
  <si>
    <t>253840</t>
  </si>
  <si>
    <t>067160</t>
  </si>
  <si>
    <t>298830</t>
  </si>
  <si>
    <t>236200</t>
  </si>
  <si>
    <t>094840</t>
  </si>
  <si>
    <t>192440</t>
  </si>
  <si>
    <t>424960</t>
  </si>
  <si>
    <t>099440</t>
  </si>
  <si>
    <t>033790</t>
  </si>
  <si>
    <t>276040</t>
  </si>
  <si>
    <t>159910</t>
  </si>
  <si>
    <t>204210</t>
  </si>
  <si>
    <t>060240</t>
  </si>
  <si>
    <t>115570</t>
  </si>
  <si>
    <t>330730</t>
  </si>
  <si>
    <t>352090</t>
  </si>
  <si>
    <t>204630</t>
  </si>
  <si>
    <t>253450</t>
  </si>
  <si>
    <t>408900</t>
  </si>
  <si>
    <t>415380</t>
  </si>
  <si>
    <t>026890</t>
  </si>
  <si>
    <t>013810</t>
  </si>
  <si>
    <t>203690</t>
  </si>
  <si>
    <t>049830</t>
  </si>
  <si>
    <t>020710</t>
  </si>
  <si>
    <t>033170</t>
  </si>
  <si>
    <t>048870</t>
  </si>
  <si>
    <t>025320</t>
  </si>
  <si>
    <t>134790</t>
  </si>
  <si>
    <t>269620</t>
  </si>
  <si>
    <t>000480</t>
  </si>
  <si>
    <t>429270</t>
  </si>
  <si>
    <t>418250</t>
  </si>
  <si>
    <t>131090</t>
  </si>
  <si>
    <t>232830</t>
  </si>
  <si>
    <t>462870</t>
  </si>
  <si>
    <t>016590</t>
  </si>
  <si>
    <t>290520</t>
  </si>
  <si>
    <t>029530</t>
  </si>
  <si>
    <t>004970</t>
  </si>
  <si>
    <t>001000</t>
  </si>
  <si>
    <t>025870</t>
  </si>
  <si>
    <t>215600</t>
  </si>
  <si>
    <t>065350</t>
  </si>
  <si>
    <t>416180</t>
  </si>
  <si>
    <t>011930</t>
  </si>
  <si>
    <t>005390</t>
  </si>
  <si>
    <t>034300</t>
  </si>
  <si>
    <t>004170</t>
  </si>
  <si>
    <t>035510</t>
  </si>
  <si>
    <t>031430</t>
  </si>
  <si>
    <t>031440</t>
  </si>
  <si>
    <t>006880</t>
  </si>
  <si>
    <t>162300</t>
  </si>
  <si>
    <t>290560</t>
  </si>
  <si>
    <t>002800</t>
  </si>
  <si>
    <t>005800</t>
  </si>
  <si>
    <t>001720</t>
  </si>
  <si>
    <t>472220</t>
  </si>
  <si>
    <t>430220</t>
  </si>
  <si>
    <t>445970</t>
  </si>
  <si>
    <t>009270</t>
  </si>
  <si>
    <t>017000</t>
  </si>
  <si>
    <t>002700</t>
  </si>
  <si>
    <t>012790</t>
  </si>
  <si>
    <t>138070</t>
  </si>
  <si>
    <t>226330</t>
  </si>
  <si>
    <t>002870</t>
  </si>
  <si>
    <t>019170</t>
  </si>
  <si>
    <t>481850</t>
  </si>
  <si>
    <t>055550</t>
  </si>
  <si>
    <t>404990</t>
  </si>
  <si>
    <t>293940</t>
  </si>
  <si>
    <t>418210</t>
  </si>
  <si>
    <t>452980</t>
  </si>
  <si>
    <t>474660</t>
  </si>
  <si>
    <t>474930</t>
  </si>
  <si>
    <t>056700</t>
  </si>
  <si>
    <t>187270</t>
  </si>
  <si>
    <t>004080</t>
  </si>
  <si>
    <t>243840</t>
  </si>
  <si>
    <t>257720</t>
  </si>
  <si>
    <t>222800</t>
  </si>
  <si>
    <t>036710</t>
  </si>
  <si>
    <t>160980</t>
  </si>
  <si>
    <t>356890</t>
  </si>
  <si>
    <t>217330</t>
  </si>
  <si>
    <t>102280</t>
  </si>
  <si>
    <t>010280</t>
  </si>
  <si>
    <t>004770</t>
  </si>
  <si>
    <t>217320</t>
  </si>
  <si>
    <t>208640</t>
  </si>
  <si>
    <t>222420</t>
  </si>
  <si>
    <t>037760</t>
  </si>
  <si>
    <t>099320</t>
  </si>
  <si>
    <t>049960</t>
  </si>
  <si>
    <t>088280</t>
  </si>
  <si>
    <t>403550</t>
  </si>
  <si>
    <t>050890</t>
  </si>
  <si>
    <t>013720</t>
  </si>
  <si>
    <t>109670</t>
  </si>
  <si>
    <t>066790</t>
  </si>
  <si>
    <t>222080</t>
  </si>
  <si>
    <t>004920</t>
  </si>
  <si>
    <t>236030</t>
  </si>
  <si>
    <t>103660</t>
  </si>
  <si>
    <t>352480</t>
  </si>
  <si>
    <t>245450</t>
  </si>
  <si>
    <t>023460</t>
  </si>
  <si>
    <t>264660</t>
  </si>
  <si>
    <t>352700</t>
  </si>
  <si>
    <t>056730</t>
  </si>
  <si>
    <t>458870</t>
  </si>
  <si>
    <t>065770</t>
  </si>
  <si>
    <t>297090</t>
  </si>
  <si>
    <t>083660</t>
  </si>
  <si>
    <t>112610</t>
  </si>
  <si>
    <t>900120</t>
  </si>
  <si>
    <t>359090</t>
  </si>
  <si>
    <t>286000</t>
  </si>
  <si>
    <t>115530</t>
  </si>
  <si>
    <t>115480</t>
  </si>
  <si>
    <t>340810</t>
  </si>
  <si>
    <t>376290</t>
  </si>
  <si>
    <t>189330</t>
  </si>
  <si>
    <t>000120</t>
  </si>
  <si>
    <t>311690</t>
  </si>
  <si>
    <t>079160</t>
  </si>
  <si>
    <t>035760</t>
  </si>
  <si>
    <t>097950</t>
  </si>
  <si>
    <t>051500</t>
  </si>
  <si>
    <t>096530</t>
  </si>
  <si>
    <t>083790</t>
  </si>
  <si>
    <t>101240</t>
  </si>
  <si>
    <t>060590</t>
  </si>
  <si>
    <t>308170</t>
  </si>
  <si>
    <t>260930</t>
  </si>
  <si>
    <t>052300</t>
  </si>
  <si>
    <t>413630</t>
  </si>
  <si>
    <t>013990</t>
  </si>
  <si>
    <t>123860</t>
  </si>
  <si>
    <t>025980</t>
  </si>
  <si>
    <t>008700</t>
  </si>
  <si>
    <t>125210</t>
  </si>
  <si>
    <t>002790</t>
  </si>
  <si>
    <t>090430</t>
  </si>
  <si>
    <t>052710</t>
  </si>
  <si>
    <t>074430</t>
  </si>
  <si>
    <t>092040</t>
  </si>
  <si>
    <t>083930</t>
  </si>
  <si>
    <t>149950</t>
  </si>
  <si>
    <t>036010</t>
  </si>
  <si>
    <t>002030</t>
  </si>
  <si>
    <t>183190</t>
  </si>
  <si>
    <t>002310</t>
  </si>
  <si>
    <t>050860</t>
  </si>
  <si>
    <t>012170</t>
  </si>
  <si>
    <t>136410</t>
  </si>
  <si>
    <t>246720</t>
  </si>
  <si>
    <t>067390</t>
  </si>
  <si>
    <t>159010</t>
  </si>
  <si>
    <t>127710</t>
  </si>
  <si>
    <t>267850</t>
  </si>
  <si>
    <t>020560</t>
  </si>
  <si>
    <t>227610</t>
  </si>
  <si>
    <t>143160</t>
  </si>
  <si>
    <t>054800</t>
  </si>
  <si>
    <t>332370</t>
  </si>
  <si>
    <t>122900</t>
  </si>
  <si>
    <t>339950</t>
  </si>
  <si>
    <t>439730</t>
  </si>
  <si>
    <t>442770</t>
  </si>
  <si>
    <t>448760</t>
  </si>
  <si>
    <t>467930</t>
  </si>
  <si>
    <t>469480</t>
  </si>
  <si>
    <t>460470</t>
  </si>
  <si>
    <t>099190</t>
  </si>
  <si>
    <t>289010</t>
  </si>
  <si>
    <t>214430</t>
  </si>
  <si>
    <t>040910</t>
  </si>
  <si>
    <t>368600</t>
  </si>
  <si>
    <t>456010</t>
  </si>
  <si>
    <t>052860</t>
  </si>
  <si>
    <t>010780</t>
  </si>
  <si>
    <t>095340</t>
  </si>
  <si>
    <t>069920</t>
  </si>
  <si>
    <t>038880</t>
  </si>
  <si>
    <t>307180</t>
  </si>
  <si>
    <t>101390</t>
  </si>
  <si>
    <t>461030</t>
  </si>
  <si>
    <t>052220</t>
  </si>
  <si>
    <t>456570</t>
  </si>
  <si>
    <t>451220</t>
  </si>
  <si>
    <t>447690</t>
  </si>
  <si>
    <t>078860</t>
  </si>
  <si>
    <t>090150</t>
  </si>
  <si>
    <t>123010</t>
  </si>
  <si>
    <t>031310</t>
  </si>
  <si>
    <t>185490</t>
  </si>
  <si>
    <t>059100</t>
  </si>
  <si>
    <t>149010</t>
  </si>
  <si>
    <t>262840</t>
  </si>
  <si>
    <t>175250</t>
  </si>
  <si>
    <t>052460</t>
  </si>
  <si>
    <t>119830</t>
  </si>
  <si>
    <t>052770</t>
  </si>
  <si>
    <t>124500</t>
  </si>
  <si>
    <t>372800</t>
  </si>
  <si>
    <t>099520</t>
  </si>
  <si>
    <t>084850</t>
  </si>
  <si>
    <t>114840</t>
  </si>
  <si>
    <t>139990</t>
  </si>
  <si>
    <t>027360</t>
  </si>
  <si>
    <t>032080</t>
  </si>
  <si>
    <t>013310</t>
  </si>
  <si>
    <t>059120</t>
  </si>
  <si>
    <t>158430</t>
  </si>
  <si>
    <t>321820</t>
  </si>
  <si>
    <t>149300</t>
  </si>
  <si>
    <t>102950</t>
  </si>
  <si>
    <t>001540</t>
  </si>
  <si>
    <t>053800</t>
  </si>
  <si>
    <t>251280</t>
  </si>
  <si>
    <t>065660</t>
  </si>
  <si>
    <t>297570</t>
  </si>
  <si>
    <t>001780</t>
  </si>
  <si>
    <t>260660</t>
  </si>
  <si>
    <t>354320</t>
  </si>
  <si>
    <t>361570</t>
  </si>
  <si>
    <t>131370</t>
  </si>
  <si>
    <t>140670</t>
  </si>
  <si>
    <t>327260</t>
  </si>
  <si>
    <t>096610</t>
  </si>
  <si>
    <t>218410</t>
  </si>
  <si>
    <t>061040</t>
  </si>
  <si>
    <t>148250</t>
  </si>
  <si>
    <t>347860</t>
  </si>
  <si>
    <t>196170</t>
  </si>
  <si>
    <t>123750</t>
  </si>
  <si>
    <t>085810</t>
  </si>
  <si>
    <t>117670</t>
  </si>
  <si>
    <t>314140</t>
  </si>
  <si>
    <t>291650</t>
  </si>
  <si>
    <t>293780</t>
  </si>
  <si>
    <t>018250</t>
  </si>
  <si>
    <t>161000</t>
  </si>
  <si>
    <t>390110</t>
  </si>
  <si>
    <t>196300</t>
  </si>
  <si>
    <t>310200</t>
  </si>
  <si>
    <t>299910</t>
  </si>
  <si>
    <t>179530</t>
  </si>
  <si>
    <t>900100</t>
  </si>
  <si>
    <t>205500</t>
  </si>
  <si>
    <t>052790</t>
  </si>
  <si>
    <t>290740</t>
  </si>
  <si>
    <t>238090</t>
  </si>
  <si>
    <t>092600</t>
  </si>
  <si>
    <t>129890</t>
  </si>
  <si>
    <t>174900</t>
  </si>
  <si>
    <t>255440</t>
  </si>
  <si>
    <t>030960</t>
  </si>
  <si>
    <t>102120</t>
  </si>
  <si>
    <t>263540</t>
  </si>
  <si>
    <t>238120</t>
  </si>
  <si>
    <t>224810</t>
  </si>
  <si>
    <t>019990</t>
  </si>
  <si>
    <t>011090</t>
  </si>
  <si>
    <t>270660</t>
  </si>
  <si>
    <t>038680</t>
  </si>
  <si>
    <t>137310</t>
  </si>
  <si>
    <t>217480</t>
  </si>
  <si>
    <t>121890</t>
  </si>
  <si>
    <t>099220</t>
  </si>
  <si>
    <t>118000</t>
  </si>
  <si>
    <t>304360</t>
  </si>
  <si>
    <t>289080</t>
  </si>
  <si>
    <t>389500</t>
  </si>
  <si>
    <t>019550</t>
  </si>
  <si>
    <t>034120</t>
  </si>
  <si>
    <t>042110</t>
  </si>
  <si>
    <t>036120</t>
  </si>
  <si>
    <t>246960</t>
  </si>
  <si>
    <t>298060</t>
  </si>
  <si>
    <t>065420</t>
  </si>
  <si>
    <t>270210</t>
  </si>
  <si>
    <t>103230</t>
  </si>
  <si>
    <t>260970</t>
  </si>
  <si>
    <t>101490</t>
  </si>
  <si>
    <t>095910</t>
  </si>
  <si>
    <t>275630</t>
  </si>
  <si>
    <t>419530</t>
  </si>
  <si>
    <t>031330</t>
  </si>
  <si>
    <t>060540</t>
  </si>
  <si>
    <t>351320</t>
  </si>
  <si>
    <t>056190</t>
  </si>
  <si>
    <t>036540</t>
  </si>
  <si>
    <t>080000</t>
  </si>
  <si>
    <t>091340</t>
  </si>
  <si>
    <t>005850</t>
  </si>
  <si>
    <t>214310</t>
  </si>
  <si>
    <t>246250</t>
  </si>
  <si>
    <t>258540</t>
  </si>
  <si>
    <t>063440</t>
  </si>
  <si>
    <t>010580</t>
  </si>
  <si>
    <t>041510</t>
  </si>
  <si>
    <t>048550</t>
  </si>
  <si>
    <t>007820</t>
  </si>
  <si>
    <t>464080</t>
  </si>
  <si>
    <t>109610</t>
  </si>
  <si>
    <t>365330</t>
  </si>
  <si>
    <t>012750</t>
  </si>
  <si>
    <t>031860</t>
  </si>
  <si>
    <t>306040</t>
  </si>
  <si>
    <t>033530</t>
  </si>
  <si>
    <t>217910</t>
  </si>
  <si>
    <t>004060</t>
  </si>
  <si>
    <t>016250</t>
  </si>
  <si>
    <t>049470</t>
  </si>
  <si>
    <t>184230</t>
  </si>
  <si>
    <t>040610</t>
  </si>
  <si>
    <t>255220</t>
  </si>
  <si>
    <t>006120</t>
  </si>
  <si>
    <t>302440</t>
  </si>
  <si>
    <t>326030</t>
  </si>
  <si>
    <t>475150</t>
  </si>
  <si>
    <t>457940</t>
  </si>
  <si>
    <t>472230</t>
  </si>
  <si>
    <t>473000</t>
  </si>
  <si>
    <t>473950</t>
  </si>
  <si>
    <t>435870</t>
  </si>
  <si>
    <t>455910</t>
  </si>
  <si>
    <t>000660</t>
  </si>
  <si>
    <t>096630</t>
  </si>
  <si>
    <t>069510</t>
  </si>
  <si>
    <t>234300</t>
  </si>
  <si>
    <t>039440</t>
  </si>
  <si>
    <t>098660</t>
  </si>
  <si>
    <t>052020</t>
  </si>
  <si>
    <t>237690</t>
  </si>
  <si>
    <t>050760</t>
  </si>
  <si>
    <t>288620</t>
  </si>
  <si>
    <t>443670</t>
  </si>
  <si>
    <t>317830</t>
  </si>
  <si>
    <t>058610</t>
  </si>
  <si>
    <t>043340</t>
  </si>
  <si>
    <t>023960</t>
  </si>
  <si>
    <t>298690</t>
  </si>
  <si>
    <t>187660</t>
  </si>
  <si>
    <t>054630</t>
  </si>
  <si>
    <t>200710</t>
  </si>
  <si>
    <t>096690</t>
  </si>
  <si>
    <t>078520</t>
  </si>
  <si>
    <t>298380</t>
  </si>
  <si>
    <t>203400</t>
  </si>
  <si>
    <t>195990</t>
  </si>
  <si>
    <t>003800</t>
  </si>
  <si>
    <t>088800</t>
  </si>
  <si>
    <t>241840</t>
  </si>
  <si>
    <t>311960</t>
  </si>
  <si>
    <t>453860</t>
  </si>
  <si>
    <t>312610</t>
  </si>
  <si>
    <t>015260</t>
  </si>
  <si>
    <t>172670</t>
  </si>
  <si>
    <t>234070</t>
  </si>
  <si>
    <t>140910</t>
  </si>
  <si>
    <t>445090</t>
  </si>
  <si>
    <t>039570</t>
  </si>
  <si>
    <t>089470</t>
  </si>
  <si>
    <t>009540</t>
  </si>
  <si>
    <t>267270</t>
  </si>
  <si>
    <t>443060</t>
  </si>
  <si>
    <t>010620</t>
  </si>
  <si>
    <t>267250</t>
  </si>
  <si>
    <t>322000</t>
  </si>
  <si>
    <t>042670</t>
  </si>
  <si>
    <t>267260</t>
  </si>
  <si>
    <t>329180</t>
  </si>
  <si>
    <t>295310</t>
  </si>
  <si>
    <t>297890</t>
  </si>
  <si>
    <t>440290</t>
  </si>
  <si>
    <t>078150</t>
  </si>
  <si>
    <t>072990</t>
  </si>
  <si>
    <t>036640</t>
  </si>
  <si>
    <t>002460</t>
  </si>
  <si>
    <t>487570</t>
  </si>
  <si>
    <t>044990</t>
  </si>
  <si>
    <t>028300</t>
  </si>
  <si>
    <t>003580</t>
  </si>
  <si>
    <t>278650</t>
  </si>
  <si>
    <t>343090</t>
  </si>
  <si>
    <t>067630</t>
  </si>
  <si>
    <t>047920</t>
  </si>
  <si>
    <t>115450</t>
  </si>
  <si>
    <t>046210</t>
  </si>
  <si>
    <t>239610</t>
  </si>
  <si>
    <t>462020</t>
  </si>
  <si>
    <t>477340</t>
  </si>
  <si>
    <t>011200</t>
  </si>
  <si>
    <t>148930</t>
  </si>
  <si>
    <t>044780</t>
  </si>
  <si>
    <t>195940</t>
  </si>
  <si>
    <t>403870</t>
  </si>
  <si>
    <t>357230</t>
  </si>
  <si>
    <t>355690</t>
  </si>
  <si>
    <t>071670</t>
  </si>
  <si>
    <t>045660</t>
  </si>
  <si>
    <t>224110</t>
  </si>
  <si>
    <t>021080</t>
  </si>
  <si>
    <t>089530</t>
  </si>
  <si>
    <t>200470</t>
  </si>
  <si>
    <t>207490</t>
  </si>
  <si>
    <t>262260</t>
  </si>
  <si>
    <t>003060</t>
  </si>
  <si>
    <t>007460</t>
  </si>
  <si>
    <t>397030</t>
  </si>
  <si>
    <t>244920</t>
  </si>
  <si>
    <t>265520</t>
  </si>
  <si>
    <t>278470</t>
  </si>
  <si>
    <t>054620</t>
  </si>
  <si>
    <t>211270</t>
  </si>
  <si>
    <t>109960</t>
  </si>
  <si>
    <t>230240</t>
  </si>
  <si>
    <t>230360</t>
  </si>
  <si>
    <t>038870</t>
  </si>
  <si>
    <t>097780</t>
  </si>
  <si>
    <t>448280</t>
  </si>
  <si>
    <t>101360</t>
  </si>
  <si>
    <t>128540</t>
  </si>
  <si>
    <t>086520</t>
  </si>
  <si>
    <t>450080</t>
  </si>
  <si>
    <t>247540</t>
  </si>
  <si>
    <t>383310</t>
  </si>
  <si>
    <t>038110</t>
  </si>
  <si>
    <t>073540</t>
  </si>
  <si>
    <t>064850</t>
  </si>
  <si>
    <t>214270</t>
  </si>
  <si>
    <t>036810</t>
  </si>
  <si>
    <t>173940</t>
  </si>
  <si>
    <t>083500</t>
  </si>
  <si>
    <t>446440</t>
  </si>
  <si>
    <t>054940</t>
  </si>
  <si>
    <t>950130</t>
  </si>
  <si>
    <t>373110</t>
  </si>
  <si>
    <t>205100</t>
  </si>
  <si>
    <t>356680</t>
  </si>
  <si>
    <t>070300</t>
  </si>
  <si>
    <t>317770</t>
  </si>
  <si>
    <t>373200</t>
  </si>
  <si>
    <t>092870</t>
  </si>
  <si>
    <t>317870</t>
  </si>
  <si>
    <t>067570</t>
  </si>
  <si>
    <t>236810</t>
  </si>
  <si>
    <t>140610</t>
  </si>
  <si>
    <t>333620</t>
  </si>
  <si>
    <t>101400</t>
  </si>
  <si>
    <t>036570</t>
  </si>
  <si>
    <t>238170</t>
  </si>
  <si>
    <t>224760</t>
  </si>
  <si>
    <t>422040</t>
  </si>
  <si>
    <t>437780</t>
  </si>
  <si>
    <t>438580</t>
  </si>
  <si>
    <t>439410</t>
  </si>
  <si>
    <t>440820</t>
  </si>
  <si>
    <t>451700</t>
  </si>
  <si>
    <t>466910</t>
  </si>
  <si>
    <t>481890</t>
  </si>
  <si>
    <t>104200</t>
  </si>
  <si>
    <t>060250</t>
  </si>
  <si>
    <t>400760</t>
  </si>
  <si>
    <t>005940</t>
  </si>
  <si>
    <t>265740</t>
  </si>
  <si>
    <t>053290</t>
  </si>
  <si>
    <t>354200</t>
  </si>
  <si>
    <t>455900</t>
  </si>
  <si>
    <t>419080</t>
  </si>
  <si>
    <t>093510</t>
  </si>
  <si>
    <t>208860</t>
  </si>
  <si>
    <t>183490</t>
  </si>
  <si>
    <t>085310</t>
  </si>
  <si>
    <t>182400</t>
  </si>
  <si>
    <t>348370</t>
  </si>
  <si>
    <t>069410</t>
  </si>
  <si>
    <t>227950</t>
  </si>
  <si>
    <t>291230</t>
  </si>
  <si>
    <t>198080</t>
  </si>
  <si>
    <t>222160</t>
  </si>
  <si>
    <t>048830</t>
  </si>
  <si>
    <t>096870</t>
  </si>
  <si>
    <t>276240</t>
  </si>
  <si>
    <t>900140</t>
  </si>
  <si>
    <t>376190</t>
  </si>
  <si>
    <t>061970</t>
  </si>
  <si>
    <t>309960</t>
  </si>
  <si>
    <t>290650</t>
  </si>
  <si>
    <t>066970</t>
  </si>
  <si>
    <t>156100</t>
  </si>
  <si>
    <t>060370</t>
  </si>
  <si>
    <t>417200</t>
  </si>
  <si>
    <t>078020</t>
  </si>
  <si>
    <t>311060</t>
  </si>
  <si>
    <t>108670</t>
  </si>
  <si>
    <t>383800</t>
  </si>
  <si>
    <t>073110</t>
  </si>
  <si>
    <t>083310</t>
  </si>
  <si>
    <t>037560</t>
  </si>
  <si>
    <t>037950</t>
  </si>
  <si>
    <t>225190</t>
  </si>
  <si>
    <t>170920</t>
  </si>
  <si>
    <t>058630</t>
  </si>
  <si>
    <t>058970</t>
  </si>
  <si>
    <t>019590</t>
  </si>
  <si>
    <t>097520</t>
  </si>
  <si>
    <t>373170</t>
  </si>
  <si>
    <t>179290</t>
  </si>
  <si>
    <t>009780</t>
  </si>
  <si>
    <t>123040</t>
  </si>
  <si>
    <t>323230</t>
  </si>
  <si>
    <t>032790</t>
  </si>
  <si>
    <t>033160</t>
  </si>
  <si>
    <t>347890</t>
  </si>
  <si>
    <t>033310</t>
  </si>
  <si>
    <t>259630</t>
  </si>
  <si>
    <t>105550</t>
  </si>
  <si>
    <t>060850</t>
  </si>
  <si>
    <t>014440</t>
  </si>
  <si>
    <t>143540</t>
  </si>
  <si>
    <t>111770</t>
  </si>
  <si>
    <t>009970</t>
  </si>
  <si>
    <t>003520</t>
  </si>
  <si>
    <t>000670</t>
  </si>
  <si>
    <t>036560</t>
  </si>
  <si>
    <t>006740</t>
  </si>
  <si>
    <t>012280</t>
  </si>
  <si>
    <t>265560</t>
  </si>
  <si>
    <t>012160</t>
  </si>
  <si>
    <t>036000</t>
  </si>
  <si>
    <t>250930</t>
  </si>
  <si>
    <t>053280</t>
  </si>
  <si>
    <t>015360</t>
  </si>
  <si>
    <t>122640</t>
  </si>
  <si>
    <t>900300</t>
  </si>
  <si>
    <t>212310</t>
  </si>
  <si>
    <t>045060</t>
  </si>
  <si>
    <t>080520</t>
  </si>
  <si>
    <t>007310</t>
  </si>
  <si>
    <t>039830</t>
  </si>
  <si>
    <t>322310</t>
  </si>
  <si>
    <t>046120</t>
  </si>
  <si>
    <t>014940</t>
  </si>
  <si>
    <t>002630</t>
  </si>
  <si>
    <t>065500</t>
  </si>
  <si>
    <t>271560</t>
  </si>
  <si>
    <t>001800</t>
  </si>
  <si>
    <t>010470</t>
  </si>
  <si>
    <t>417860</t>
  </si>
  <si>
    <t>352910</t>
  </si>
  <si>
    <t>053980</t>
  </si>
  <si>
    <t>036220</t>
  </si>
  <si>
    <t>052420</t>
  </si>
  <si>
    <t>039200</t>
  </si>
  <si>
    <t>031510</t>
  </si>
  <si>
    <t>010060</t>
  </si>
  <si>
    <t>368970</t>
  </si>
  <si>
    <t>138080</t>
  </si>
  <si>
    <t>080580</t>
  </si>
  <si>
    <t>067170</t>
  </si>
  <si>
    <t>353590</t>
  </si>
  <si>
    <t>173130</t>
  </si>
  <si>
    <t>049480</t>
  </si>
  <si>
    <t>394280</t>
  </si>
  <si>
    <t>309930</t>
  </si>
  <si>
    <t>244460</t>
  </si>
  <si>
    <t>226950</t>
  </si>
  <si>
    <t>057540</t>
  </si>
  <si>
    <t>131030</t>
  </si>
  <si>
    <t>082210</t>
  </si>
  <si>
    <t>109080</t>
  </si>
  <si>
    <t>380540</t>
  </si>
  <si>
    <t>153710</t>
  </si>
  <si>
    <t>051390</t>
  </si>
  <si>
    <t>432430</t>
  </si>
  <si>
    <t>338840</t>
  </si>
  <si>
    <t>057030</t>
  </si>
  <si>
    <t>122990</t>
  </si>
  <si>
    <t>232140</t>
  </si>
  <si>
    <t>112290</t>
  </si>
  <si>
    <t>065530</t>
  </si>
  <si>
    <t>067900</t>
  </si>
  <si>
    <t>007530</t>
  </si>
  <si>
    <t>155650</t>
  </si>
  <si>
    <t>273640</t>
  </si>
  <si>
    <t>251370</t>
  </si>
  <si>
    <t>066430</t>
  </si>
  <si>
    <t>273060</t>
  </si>
  <si>
    <t>019210</t>
  </si>
  <si>
    <t>122870</t>
  </si>
  <si>
    <t>037270</t>
  </si>
  <si>
    <t>011690</t>
  </si>
  <si>
    <t>040300</t>
  </si>
  <si>
    <t>332570</t>
  </si>
  <si>
    <t>079000</t>
  </si>
  <si>
    <t>316140</t>
  </si>
  <si>
    <t>032820</t>
  </si>
  <si>
    <t>041190</t>
  </si>
  <si>
    <t>115440</t>
  </si>
  <si>
    <t>046970</t>
  </si>
  <si>
    <t>082850</t>
  </si>
  <si>
    <t>215360</t>
  </si>
  <si>
    <t>072470</t>
  </si>
  <si>
    <t>073560</t>
  </si>
  <si>
    <t>037400</t>
  </si>
  <si>
    <t>153490</t>
  </si>
  <si>
    <t>101170</t>
  </si>
  <si>
    <t>006980</t>
  </si>
  <si>
    <t>066590</t>
  </si>
  <si>
    <t>017370</t>
  </si>
  <si>
    <t>103840</t>
  </si>
  <si>
    <t>046940</t>
  </si>
  <si>
    <t>215380</t>
  </si>
  <si>
    <t>065680</t>
  </si>
  <si>
    <t>105840</t>
  </si>
  <si>
    <t>018620</t>
  </si>
  <si>
    <t>010400</t>
  </si>
  <si>
    <t>457550</t>
  </si>
  <si>
    <t>049800</t>
  </si>
  <si>
    <t>016880</t>
  </si>
  <si>
    <t>095720</t>
  </si>
  <si>
    <t>396470</t>
  </si>
  <si>
    <t>005820</t>
  </si>
  <si>
    <t>307280</t>
  </si>
  <si>
    <t>032940</t>
  </si>
  <si>
    <t>104830</t>
  </si>
  <si>
    <t>240810</t>
  </si>
  <si>
    <t>014190</t>
  </si>
  <si>
    <t>074600</t>
  </si>
  <si>
    <t>217820</t>
  </si>
  <si>
    <t>030530</t>
  </si>
  <si>
    <t>012620</t>
  </si>
  <si>
    <t>382840</t>
  </si>
  <si>
    <t>336570</t>
  </si>
  <si>
    <t>376980</t>
  </si>
  <si>
    <t>122830</t>
  </si>
  <si>
    <t>008370</t>
  </si>
  <si>
    <t>008290</t>
  </si>
  <si>
    <t>101160</t>
  </si>
  <si>
    <t>064090</t>
  </si>
  <si>
    <t>336060</t>
  </si>
  <si>
    <t>095270</t>
  </si>
  <si>
    <t>010600</t>
  </si>
  <si>
    <t>065950</t>
  </si>
  <si>
    <t>076080</t>
  </si>
  <si>
    <t>043590</t>
  </si>
  <si>
    <t>196700</t>
  </si>
  <si>
    <t>069080</t>
  </si>
  <si>
    <t>053580</t>
  </si>
  <si>
    <t>071460</t>
  </si>
  <si>
    <t>377460</t>
  </si>
  <si>
    <t>044340</t>
  </si>
  <si>
    <t>330350</t>
  </si>
  <si>
    <t>348350</t>
  </si>
  <si>
    <t>112040</t>
  </si>
  <si>
    <t>101730</t>
  </si>
  <si>
    <t>123420</t>
  </si>
  <si>
    <t>065370</t>
  </si>
  <si>
    <t>140660</t>
  </si>
  <si>
    <t>038620</t>
  </si>
  <si>
    <t>299900</t>
  </si>
  <si>
    <t>036090</t>
  </si>
  <si>
    <t>136540</t>
  </si>
  <si>
    <t>097800</t>
  </si>
  <si>
    <t>192390</t>
  </si>
  <si>
    <t>008600</t>
  </si>
  <si>
    <t>335870</t>
  </si>
  <si>
    <t>900340</t>
  </si>
  <si>
    <t>014830</t>
  </si>
  <si>
    <t>446070</t>
  </si>
  <si>
    <t>036200</t>
  </si>
  <si>
    <t>018000</t>
  </si>
  <si>
    <t>047400</t>
  </si>
  <si>
    <t>000910</t>
  </si>
  <si>
    <t>203450</t>
  </si>
  <si>
    <t>011330</t>
  </si>
  <si>
    <t>077500</t>
  </si>
  <si>
    <t>011320</t>
  </si>
  <si>
    <t>086390</t>
  </si>
  <si>
    <t>241690</t>
  </si>
  <si>
    <t>142210</t>
  </si>
  <si>
    <t>121060</t>
  </si>
  <si>
    <t>048430</t>
  </si>
  <si>
    <t>206650</t>
  </si>
  <si>
    <t>089850</t>
  </si>
  <si>
    <t>084440</t>
  </si>
  <si>
    <t>032620</t>
  </si>
  <si>
    <t>264450</t>
  </si>
  <si>
    <t>078070</t>
  </si>
  <si>
    <t>002920</t>
  </si>
  <si>
    <t>024800</t>
  </si>
  <si>
    <t>000700</t>
  </si>
  <si>
    <t>054930</t>
  </si>
  <si>
    <t>069330</t>
  </si>
  <si>
    <t>049520</t>
  </si>
  <si>
    <t>435380</t>
  </si>
  <si>
    <t>444920</t>
  </si>
  <si>
    <t>446150</t>
  </si>
  <si>
    <t>449020</t>
  </si>
  <si>
    <t>450940</t>
  </si>
  <si>
    <t>473050</t>
  </si>
  <si>
    <t>474490</t>
  </si>
  <si>
    <t>430700</t>
  </si>
  <si>
    <t>003470</t>
  </si>
  <si>
    <t>263770</t>
  </si>
  <si>
    <t>337840</t>
  </si>
  <si>
    <t>072130</t>
  </si>
  <si>
    <t>000220</t>
  </si>
  <si>
    <t>388720</t>
  </si>
  <si>
    <t>340930</t>
  </si>
  <si>
    <t>023410</t>
  </si>
  <si>
    <t>468760</t>
  </si>
  <si>
    <t>442130</t>
  </si>
  <si>
    <t>056080</t>
  </si>
  <si>
    <t>084370</t>
  </si>
  <si>
    <t>240600</t>
  </si>
  <si>
    <t>001200</t>
  </si>
  <si>
    <t>221800</t>
  </si>
  <si>
    <t>179900</t>
  </si>
  <si>
    <t>263050</t>
  </si>
  <si>
    <t>000100</t>
  </si>
  <si>
    <t>003460</t>
  </si>
  <si>
    <t>191410</t>
  </si>
  <si>
    <t>372170</t>
  </si>
  <si>
    <t>146060</t>
  </si>
  <si>
    <t>008730</t>
  </si>
  <si>
    <t>072770</t>
  </si>
  <si>
    <t>008250</t>
  </si>
  <si>
    <t>039020</t>
  </si>
  <si>
    <t>025820</t>
  </si>
  <si>
    <t>067920</t>
  </si>
  <si>
    <t>044960</t>
  </si>
  <si>
    <t>303530</t>
  </si>
  <si>
    <t>296640</t>
  </si>
  <si>
    <t>302430</t>
  </si>
  <si>
    <t>279060</t>
  </si>
  <si>
    <t>214320</t>
  </si>
  <si>
    <t>462350</t>
  </si>
  <si>
    <t>274400</t>
  </si>
  <si>
    <t>056090</t>
  </si>
  <si>
    <t>073490</t>
  </si>
  <si>
    <t>215790</t>
  </si>
  <si>
    <t>344860</t>
  </si>
  <si>
    <t>088390</t>
  </si>
  <si>
    <t>272290</t>
  </si>
  <si>
    <t>053350</t>
  </si>
  <si>
    <t>452400</t>
  </si>
  <si>
    <t>264850</t>
  </si>
  <si>
    <t>054210</t>
  </si>
  <si>
    <t>009730</t>
  </si>
  <si>
    <t>164060</t>
  </si>
  <si>
    <t>065440</t>
  </si>
  <si>
    <t>088260</t>
  </si>
  <si>
    <t>139480</t>
  </si>
  <si>
    <t>115610</t>
  </si>
  <si>
    <t>478110</t>
  </si>
  <si>
    <t>131400</t>
  </si>
  <si>
    <t>419700</t>
  </si>
  <si>
    <t>208850</t>
  </si>
  <si>
    <t>351330</t>
  </si>
  <si>
    <t>080010</t>
  </si>
  <si>
    <t>379390</t>
  </si>
  <si>
    <t>457190</t>
  </si>
  <si>
    <t>086890</t>
  </si>
  <si>
    <t>007660</t>
  </si>
  <si>
    <t>005950</t>
  </si>
  <si>
    <t>015020</t>
  </si>
  <si>
    <t>047560</t>
  </si>
  <si>
    <t>900110</t>
  </si>
  <si>
    <t>239340</t>
  </si>
  <si>
    <t>067010</t>
  </si>
  <si>
    <t>093230</t>
  </si>
  <si>
    <t>341310</t>
  </si>
  <si>
    <t>418620</t>
  </si>
  <si>
    <t>102710</t>
  </si>
  <si>
    <t>074610</t>
  </si>
  <si>
    <t>041520</t>
  </si>
  <si>
    <t>063760</t>
  </si>
  <si>
    <t>123570</t>
  </si>
  <si>
    <t>278990</t>
  </si>
  <si>
    <t>083470</t>
  </si>
  <si>
    <t>095190</t>
  </si>
  <si>
    <t>091120</t>
  </si>
  <si>
    <t>232530</t>
  </si>
  <si>
    <t>102460</t>
  </si>
  <si>
    <t>039030</t>
  </si>
  <si>
    <t>294090</t>
  </si>
  <si>
    <t>245620</t>
  </si>
  <si>
    <t>088290</t>
  </si>
  <si>
    <t>084680</t>
  </si>
  <si>
    <t>037370</t>
  </si>
  <si>
    <t>353810</t>
  </si>
  <si>
    <t>350520</t>
  </si>
  <si>
    <t>334890</t>
  </si>
  <si>
    <t>099750</t>
  </si>
  <si>
    <t>377330</t>
  </si>
  <si>
    <t>035810</t>
  </si>
  <si>
    <t>160600</t>
  </si>
  <si>
    <t>092130</t>
  </si>
  <si>
    <t>096040</t>
  </si>
  <si>
    <t>134060</t>
  </si>
  <si>
    <t>001840</t>
  </si>
  <si>
    <t>000760</t>
  </si>
  <si>
    <t>024810</t>
  </si>
  <si>
    <t>014990</t>
  </si>
  <si>
    <t>041830</t>
  </si>
  <si>
    <t>352940</t>
  </si>
  <si>
    <t>101140</t>
  </si>
  <si>
    <t>216400</t>
  </si>
  <si>
    <t>079950</t>
  </si>
  <si>
    <t>389470</t>
  </si>
  <si>
    <t>277410</t>
  </si>
  <si>
    <t>060150</t>
  </si>
  <si>
    <t>033230</t>
  </si>
  <si>
    <t>450520</t>
  </si>
  <si>
    <t>006490</t>
  </si>
  <si>
    <t>037330</t>
  </si>
  <si>
    <t>100030</t>
  </si>
  <si>
    <t>023800</t>
  </si>
  <si>
    <t>034590</t>
  </si>
  <si>
    <t>211050</t>
  </si>
  <si>
    <t>083640</t>
  </si>
  <si>
    <t>216050</t>
  </si>
  <si>
    <t>049070</t>
  </si>
  <si>
    <t>119610</t>
  </si>
  <si>
    <t>017250</t>
  </si>
  <si>
    <t>129260</t>
  </si>
  <si>
    <t>051370</t>
  </si>
  <si>
    <t>064290</t>
  </si>
  <si>
    <t>189300</t>
  </si>
  <si>
    <t>150840</t>
  </si>
  <si>
    <t>048530</t>
  </si>
  <si>
    <t>023810</t>
  </si>
  <si>
    <t>115310</t>
  </si>
  <si>
    <t>039290</t>
  </si>
  <si>
    <t>071200</t>
  </si>
  <si>
    <t>101930</t>
  </si>
  <si>
    <t>249420</t>
  </si>
  <si>
    <t>000230</t>
  </si>
  <si>
    <t>013360</t>
  </si>
  <si>
    <t>003120</t>
  </si>
  <si>
    <t>333430</t>
  </si>
  <si>
    <t>068330</t>
  </si>
  <si>
    <t>003200</t>
  </si>
  <si>
    <t>007110</t>
  </si>
  <si>
    <t>007570</t>
  </si>
  <si>
    <t>178780</t>
  </si>
  <si>
    <t>008500</t>
  </si>
  <si>
    <t>019540</t>
  </si>
  <si>
    <t>081000</t>
  </si>
  <si>
    <t>020760</t>
  </si>
  <si>
    <t>103590</t>
  </si>
  <si>
    <t>094820</t>
  </si>
  <si>
    <t>271940</t>
  </si>
  <si>
    <t>015860</t>
  </si>
  <si>
    <t>226320</t>
  </si>
  <si>
    <t>950140</t>
  </si>
  <si>
    <t>049550</t>
  </si>
  <si>
    <t>389020</t>
  </si>
  <si>
    <t>254120</t>
  </si>
  <si>
    <t>043910</t>
  </si>
  <si>
    <t>234920</t>
  </si>
  <si>
    <t>289220</t>
  </si>
  <si>
    <t>317400</t>
  </si>
  <si>
    <t>033240</t>
  </si>
  <si>
    <t>174880</t>
  </si>
  <si>
    <t>049630</t>
  </si>
  <si>
    <t>417840</t>
  </si>
  <si>
    <t>000950</t>
  </si>
  <si>
    <t>110020</t>
  </si>
  <si>
    <t>208140</t>
  </si>
  <si>
    <t>040420</t>
  </si>
  <si>
    <t>045510</t>
  </si>
  <si>
    <t>217190</t>
  </si>
  <si>
    <t>095700</t>
  </si>
  <si>
    <t>072520</t>
  </si>
  <si>
    <t>122310</t>
  </si>
  <si>
    <t>361390</t>
  </si>
  <si>
    <t>066830</t>
  </si>
  <si>
    <t>225220</t>
  </si>
  <si>
    <t>123330</t>
  </si>
  <si>
    <t>159580</t>
  </si>
  <si>
    <t>147830</t>
  </si>
  <si>
    <t>033100</t>
  </si>
  <si>
    <t>079370</t>
  </si>
  <si>
    <t>067290</t>
  </si>
  <si>
    <t>054950</t>
  </si>
  <si>
    <t>023440</t>
  </si>
  <si>
    <t>090470</t>
  </si>
  <si>
    <t>287410</t>
  </si>
  <si>
    <t>137950</t>
  </si>
  <si>
    <t>033320</t>
  </si>
  <si>
    <t>417500</t>
  </si>
  <si>
    <t>348950</t>
  </si>
  <si>
    <t>204270</t>
  </si>
  <si>
    <t>194370</t>
  </si>
  <si>
    <t>026040</t>
  </si>
  <si>
    <t>452160</t>
  </si>
  <si>
    <t>126880</t>
  </si>
  <si>
    <t>322510</t>
  </si>
  <si>
    <t>254160</t>
  </si>
  <si>
    <t>033050</t>
  </si>
  <si>
    <t>094970</t>
  </si>
  <si>
    <t>418550</t>
  </si>
  <si>
    <t>035900</t>
  </si>
  <si>
    <t>025620</t>
  </si>
  <si>
    <t>420570</t>
  </si>
  <si>
    <t>089790</t>
  </si>
  <si>
    <t>950170</t>
  </si>
  <si>
    <t>030000</t>
  </si>
  <si>
    <t>052670</t>
  </si>
  <si>
    <t>271980</t>
  </si>
  <si>
    <t>412540</t>
  </si>
  <si>
    <t>001560</t>
  </si>
  <si>
    <t>199820</t>
  </si>
  <si>
    <t>038010</t>
  </si>
  <si>
    <t>002620</t>
  </si>
  <si>
    <t>276730</t>
  </si>
  <si>
    <t>080220</t>
  </si>
  <si>
    <t>006220</t>
  </si>
  <si>
    <t>089590</t>
  </si>
  <si>
    <t>216080</t>
  </si>
  <si>
    <t>229000</t>
  </si>
  <si>
    <t>082270</t>
  </si>
  <si>
    <t>044060</t>
  </si>
  <si>
    <t>004910</t>
  </si>
  <si>
    <t>004700</t>
  </si>
  <si>
    <t>001550</t>
  </si>
  <si>
    <t>462520</t>
  </si>
  <si>
    <t>120030</t>
  </si>
  <si>
    <t>034940</t>
  </si>
  <si>
    <t>067000</t>
  </si>
  <si>
    <t>018470</t>
  </si>
  <si>
    <t>002600</t>
  </si>
  <si>
    <t>063160</t>
  </si>
  <si>
    <t>185750</t>
  </si>
  <si>
    <t>001630</t>
  </si>
  <si>
    <t>033340</t>
  </si>
  <si>
    <t>036930</t>
  </si>
  <si>
    <t>109070</t>
  </si>
  <si>
    <t>185190</t>
  </si>
  <si>
    <t>357580</t>
  </si>
  <si>
    <t>226400</t>
  </si>
  <si>
    <t>440320</t>
  </si>
  <si>
    <t>187420</t>
  </si>
  <si>
    <t>189350</t>
  </si>
  <si>
    <t>348080</t>
  </si>
  <si>
    <t>023450</t>
  </si>
  <si>
    <t>002380</t>
  </si>
  <si>
    <t>044380</t>
  </si>
  <si>
    <t>024110</t>
  </si>
  <si>
    <t>072020</t>
  </si>
  <si>
    <t>000440</t>
  </si>
  <si>
    <t>051980</t>
  </si>
  <si>
    <t>228760</t>
  </si>
  <si>
    <t>314130</t>
  </si>
  <si>
    <t>013890</t>
  </si>
  <si>
    <t>389030</t>
  </si>
  <si>
    <t>043610</t>
  </si>
  <si>
    <t>263860</t>
  </si>
  <si>
    <t>303030</t>
  </si>
  <si>
    <t>036180</t>
  </si>
  <si>
    <t>208350</t>
  </si>
  <si>
    <t>289860</t>
  </si>
  <si>
    <t>144510</t>
  </si>
  <si>
    <t>358570</t>
  </si>
  <si>
    <t>382480</t>
  </si>
  <si>
    <t>382800</t>
  </si>
  <si>
    <t>299480</t>
  </si>
  <si>
    <t>051160</t>
  </si>
  <si>
    <t>001250</t>
  </si>
  <si>
    <t>007070</t>
  </si>
  <si>
    <t>053050</t>
  </si>
  <si>
    <t>130500</t>
  </si>
  <si>
    <t>388610</t>
  </si>
  <si>
    <t>119850</t>
  </si>
  <si>
    <t>065060</t>
  </si>
  <si>
    <t>204840</t>
  </si>
  <si>
    <t>013870</t>
  </si>
  <si>
    <t>071320</t>
  </si>
  <si>
    <t>270520</t>
  </si>
  <si>
    <t>311320</t>
  </si>
  <si>
    <t>388050</t>
  </si>
  <si>
    <t>088790</t>
  </si>
  <si>
    <t>018120</t>
  </si>
  <si>
    <t>109820</t>
  </si>
  <si>
    <t>086060</t>
  </si>
  <si>
    <t>036890</t>
  </si>
  <si>
    <t>363250</t>
  </si>
  <si>
    <t>003780</t>
  </si>
  <si>
    <t>007370</t>
  </si>
  <si>
    <t>010640</t>
  </si>
  <si>
    <t>100250</t>
  </si>
  <si>
    <t>051630</t>
  </si>
  <si>
    <t>272450</t>
  </si>
  <si>
    <t>285800</t>
  </si>
  <si>
    <t>011000</t>
  </si>
  <si>
    <t>250030</t>
  </si>
  <si>
    <t>002780</t>
  </si>
  <si>
    <t>233990</t>
  </si>
  <si>
    <t>085660</t>
  </si>
  <si>
    <t>261780</t>
  </si>
  <si>
    <t>900250</t>
  </si>
  <si>
    <t>009310</t>
  </si>
  <si>
    <t>094850</t>
  </si>
  <si>
    <t>004650</t>
  </si>
  <si>
    <t>278280</t>
  </si>
  <si>
    <t>000650</t>
  </si>
  <si>
    <t>362320</t>
  </si>
  <si>
    <t>012600</t>
  </si>
  <si>
    <t>066360</t>
  </si>
  <si>
    <t>033250</t>
  </si>
  <si>
    <t>047820</t>
  </si>
  <si>
    <t>094360</t>
  </si>
  <si>
    <t>016920</t>
  </si>
  <si>
    <t>284620</t>
  </si>
  <si>
    <t>446600</t>
  </si>
  <si>
    <t>293490</t>
  </si>
  <si>
    <t>323410</t>
  </si>
  <si>
    <t>035720</t>
  </si>
  <si>
    <t>377300</t>
  </si>
  <si>
    <t>140430</t>
  </si>
  <si>
    <t>042000</t>
  </si>
  <si>
    <t>006380</t>
  </si>
  <si>
    <t>313760</t>
  </si>
  <si>
    <t>317530</t>
  </si>
  <si>
    <t>071850</t>
  </si>
  <si>
    <t>050110</t>
  </si>
  <si>
    <t>452300</t>
  </si>
  <si>
    <t>119860</t>
  </si>
  <si>
    <t>451760</t>
  </si>
  <si>
    <t>900310</t>
  </si>
  <si>
    <t>078340</t>
  </si>
  <si>
    <t>063080</t>
  </si>
  <si>
    <t>307930</t>
  </si>
  <si>
    <t>079190</t>
  </si>
  <si>
    <t>263700</t>
  </si>
  <si>
    <t>214370</t>
  </si>
  <si>
    <t>221980</t>
  </si>
  <si>
    <t>900280</t>
  </si>
  <si>
    <t>038530</t>
  </si>
  <si>
    <t>001620</t>
  </si>
  <si>
    <t>024840</t>
  </si>
  <si>
    <t>424140</t>
  </si>
  <si>
    <t>455250</t>
  </si>
  <si>
    <t>458320</t>
  </si>
  <si>
    <t>464680</t>
  </si>
  <si>
    <t>476470</t>
  </si>
  <si>
    <t>478390</t>
  </si>
  <si>
    <t>318000</t>
  </si>
  <si>
    <t>192250</t>
  </si>
  <si>
    <t>009440</t>
  </si>
  <si>
    <t>029460</t>
  </si>
  <si>
    <t>112190</t>
  </si>
  <si>
    <t>021320</t>
  </si>
  <si>
    <t>344820</t>
  </si>
  <si>
    <t>036670</t>
  </si>
  <si>
    <t>115500</t>
  </si>
  <si>
    <t>119650</t>
  </si>
  <si>
    <t>281820</t>
  </si>
  <si>
    <t>089150</t>
  </si>
  <si>
    <t>025880</t>
  </si>
  <si>
    <t>015590</t>
  </si>
  <si>
    <t>093320</t>
  </si>
  <si>
    <t>093640</t>
  </si>
  <si>
    <t>044450</t>
  </si>
  <si>
    <t>101000</t>
  </si>
  <si>
    <t>073010</t>
  </si>
  <si>
    <t>226360</t>
  </si>
  <si>
    <t>111870</t>
  </si>
  <si>
    <t>060720</t>
  </si>
  <si>
    <t>122450</t>
  </si>
  <si>
    <t>052900</t>
  </si>
  <si>
    <t>105330</t>
  </si>
  <si>
    <t>053080</t>
  </si>
  <si>
    <t>199430</t>
  </si>
  <si>
    <t>432470</t>
  </si>
  <si>
    <t>058400</t>
  </si>
  <si>
    <t>272110</t>
  </si>
  <si>
    <t>039420</t>
  </si>
  <si>
    <t>083550</t>
  </si>
  <si>
    <t>032500</t>
  </si>
  <si>
    <t>225430</t>
  </si>
  <si>
    <t>102370</t>
  </si>
  <si>
    <t>068100</t>
  </si>
  <si>
    <t>092220</t>
  </si>
  <si>
    <t>046440</t>
  </si>
  <si>
    <t>151860</t>
  </si>
  <si>
    <t>035600</t>
  </si>
  <si>
    <t>381970</t>
  </si>
  <si>
    <t>145270</t>
  </si>
  <si>
    <t>030200</t>
  </si>
  <si>
    <t>053210</t>
  </si>
  <si>
    <t>058850</t>
  </si>
  <si>
    <t>058860</t>
  </si>
  <si>
    <t>036030</t>
  </si>
  <si>
    <t>033780</t>
  </si>
  <si>
    <t>064820</t>
  </si>
  <si>
    <t>256940</t>
  </si>
  <si>
    <t>024880</t>
  </si>
  <si>
    <t>042040</t>
  </si>
  <si>
    <t>054410</t>
  </si>
  <si>
    <t>258610</t>
  </si>
  <si>
    <t>274090</t>
  </si>
  <si>
    <t>402420</t>
  </si>
  <si>
    <t>089010</t>
  </si>
  <si>
    <t>220260</t>
  </si>
  <si>
    <t>176590</t>
  </si>
  <si>
    <t>052400</t>
  </si>
  <si>
    <t>402030</t>
  </si>
  <si>
    <t>391710</t>
  </si>
  <si>
    <t>046070</t>
  </si>
  <si>
    <t>047770</t>
  </si>
  <si>
    <t>080530</t>
  </si>
  <si>
    <t>417310</t>
  </si>
  <si>
    <t>357120</t>
  </si>
  <si>
    <t>104540</t>
  </si>
  <si>
    <t>027050</t>
  </si>
  <si>
    <t>007810</t>
  </si>
  <si>
    <t>190650</t>
  </si>
  <si>
    <t>123410</t>
  </si>
  <si>
    <t>003690</t>
  </si>
  <si>
    <t>036690</t>
  </si>
  <si>
    <t>049430</t>
  </si>
  <si>
    <t>183300</t>
  </si>
  <si>
    <t>041960</t>
  </si>
  <si>
    <t>089890</t>
  </si>
  <si>
    <t>360350</t>
  </si>
  <si>
    <t>082660</t>
  </si>
  <si>
    <t>192820</t>
  </si>
  <si>
    <t>044820</t>
  </si>
  <si>
    <t>222040</t>
  </si>
  <si>
    <t>241710</t>
  </si>
  <si>
    <t>005070</t>
  </si>
  <si>
    <t>005420</t>
  </si>
  <si>
    <t>355150</t>
  </si>
  <si>
    <t>169670</t>
  </si>
  <si>
    <t>071950</t>
  </si>
  <si>
    <t>166480</t>
  </si>
  <si>
    <t>045970</t>
  </si>
  <si>
    <t>196450</t>
  </si>
  <si>
    <t>384470</t>
  </si>
  <si>
    <t>029960</t>
  </si>
  <si>
    <t>003070</t>
  </si>
  <si>
    <t>450140</t>
  </si>
  <si>
    <t>002020</t>
  </si>
  <si>
    <t>102940</t>
  </si>
  <si>
    <t>138490</t>
  </si>
  <si>
    <t>120110</t>
  </si>
  <si>
    <t>950160</t>
  </si>
  <si>
    <t>021240</t>
  </si>
  <si>
    <t>033290</t>
  </si>
  <si>
    <t>056360</t>
  </si>
  <si>
    <t>282880</t>
  </si>
  <si>
    <t>121850</t>
  </si>
  <si>
    <t>448710</t>
  </si>
  <si>
    <t>126730</t>
  </si>
  <si>
    <t>015710</t>
  </si>
  <si>
    <t>052330</t>
  </si>
  <si>
    <t>322780</t>
  </si>
  <si>
    <t>036420</t>
  </si>
  <si>
    <t>200130</t>
  </si>
  <si>
    <t>024720</t>
  </si>
  <si>
    <t>031820</t>
  </si>
  <si>
    <t>294570</t>
  </si>
  <si>
    <t>192400</t>
  </si>
  <si>
    <t>284740</t>
  </si>
  <si>
    <t>317690</t>
  </si>
  <si>
    <t>078940</t>
  </si>
  <si>
    <t>227100</t>
  </si>
  <si>
    <t>432720</t>
  </si>
  <si>
    <t>456190</t>
  </si>
  <si>
    <t>365270</t>
  </si>
  <si>
    <t>086460</t>
  </si>
  <si>
    <t>060280</t>
  </si>
  <si>
    <t>372320</t>
  </si>
  <si>
    <t>051780</t>
  </si>
  <si>
    <t>115180</t>
  </si>
  <si>
    <t>445680</t>
  </si>
  <si>
    <t>182360</t>
  </si>
  <si>
    <t>405100</t>
  </si>
  <si>
    <t>066310</t>
  </si>
  <si>
    <t>136660</t>
  </si>
  <si>
    <t>016600</t>
  </si>
  <si>
    <t>355390</t>
  </si>
  <si>
    <t>264900</t>
  </si>
  <si>
    <t>005740</t>
  </si>
  <si>
    <t>259960</t>
  </si>
  <si>
    <t>096240</t>
  </si>
  <si>
    <t>040350</t>
  </si>
  <si>
    <t>215570</t>
  </si>
  <si>
    <t>110790</t>
  </si>
  <si>
    <t>045520</t>
  </si>
  <si>
    <t>036170</t>
  </si>
  <si>
    <t>214150</t>
  </si>
  <si>
    <t>352770</t>
  </si>
  <si>
    <t>237880</t>
  </si>
  <si>
    <t>139670</t>
  </si>
  <si>
    <t>020120</t>
  </si>
  <si>
    <t>413600</t>
  </si>
  <si>
    <t>433530</t>
  </si>
  <si>
    <t>446840</t>
  </si>
  <si>
    <t>039490</t>
  </si>
  <si>
    <t>054780</t>
  </si>
  <si>
    <t>336040</t>
  </si>
  <si>
    <t>219130</t>
  </si>
  <si>
    <t>346010</t>
  </si>
  <si>
    <t>318660</t>
  </si>
  <si>
    <t>434190</t>
  </si>
  <si>
    <t>360070</t>
  </si>
  <si>
    <t>180060</t>
  </si>
  <si>
    <t>065130</t>
  </si>
  <si>
    <t>134580</t>
  </si>
  <si>
    <t>014580</t>
  </si>
  <si>
    <t>015890</t>
  </si>
  <si>
    <t>006890</t>
  </si>
  <si>
    <t>023160</t>
  </si>
  <si>
    <t>003240</t>
  </si>
  <si>
    <t>011280</t>
  </si>
  <si>
    <t>323280</t>
  </si>
  <si>
    <t>053620</t>
  </si>
  <si>
    <t>052960</t>
  </si>
  <si>
    <t>004100</t>
  </si>
  <si>
    <t>116100</t>
  </si>
  <si>
    <t>009410</t>
  </si>
  <si>
    <t>044490</t>
  </si>
  <si>
    <t>124560</t>
  </si>
  <si>
    <t>001420</t>
  </si>
  <si>
    <t>191420</t>
  </si>
  <si>
    <t>073640</t>
  </si>
  <si>
    <t>066700</t>
  </si>
  <si>
    <t>095610</t>
  </si>
  <si>
    <t>055490</t>
  </si>
  <si>
    <t>308700</t>
  </si>
  <si>
    <t>064520</t>
  </si>
  <si>
    <t>089030</t>
  </si>
  <si>
    <t>258050</t>
  </si>
  <si>
    <t>054450</t>
  </si>
  <si>
    <t>078000</t>
  </si>
  <si>
    <t>200230</t>
  </si>
  <si>
    <t>214420</t>
  </si>
  <si>
    <t>393210</t>
  </si>
  <si>
    <t>215480</t>
  </si>
  <si>
    <t>051360</t>
  </si>
  <si>
    <t>045340</t>
  </si>
  <si>
    <t>108230</t>
  </si>
  <si>
    <t>079970</t>
  </si>
  <si>
    <t>199800</t>
  </si>
  <si>
    <t>417790</t>
  </si>
  <si>
    <t>290090</t>
  </si>
  <si>
    <t>026150</t>
  </si>
  <si>
    <t>322180</t>
  </si>
  <si>
    <t>117730</t>
  </si>
  <si>
    <t>033830</t>
  </si>
  <si>
    <t>057680</t>
  </si>
  <si>
    <t>204610</t>
  </si>
  <si>
    <t>064760</t>
  </si>
  <si>
    <t>246710</t>
  </si>
  <si>
    <t>340570</t>
  </si>
  <si>
    <t>043220</t>
  </si>
  <si>
    <t>277880</t>
  </si>
  <si>
    <t>131290</t>
  </si>
  <si>
    <t>246690</t>
  </si>
  <si>
    <t>317240</t>
  </si>
  <si>
    <t>019180</t>
  </si>
  <si>
    <t>425420</t>
  </si>
  <si>
    <t>131100</t>
  </si>
  <si>
    <t>356860</t>
  </si>
  <si>
    <t>062860</t>
  </si>
  <si>
    <t>413300</t>
  </si>
  <si>
    <t>002900</t>
  </si>
  <si>
    <t>363280</t>
  </si>
  <si>
    <t>321550</t>
  </si>
  <si>
    <t>091810</t>
  </si>
  <si>
    <t>004870</t>
  </si>
  <si>
    <t>425040</t>
  </si>
  <si>
    <t>241790</t>
  </si>
  <si>
    <t>032540</t>
  </si>
  <si>
    <t>022220</t>
  </si>
  <si>
    <t>069260</t>
  </si>
  <si>
    <t>104480</t>
  </si>
  <si>
    <t>081150</t>
  </si>
  <si>
    <t>007980</t>
  </si>
  <si>
    <t>130740</t>
  </si>
  <si>
    <t>048770</t>
  </si>
  <si>
    <t>217880</t>
  </si>
  <si>
    <t>084730</t>
  </si>
  <si>
    <t>440110</t>
  </si>
  <si>
    <t>034230</t>
  </si>
  <si>
    <t>033540</t>
  </si>
  <si>
    <t>388870</t>
  </si>
  <si>
    <t>043200</t>
  </si>
  <si>
    <t>214450</t>
  </si>
  <si>
    <t>217950</t>
  </si>
  <si>
    <t>208340</t>
  </si>
  <si>
    <t>005690</t>
  </si>
  <si>
    <t>177830</t>
  </si>
  <si>
    <t>037070</t>
  </si>
  <si>
    <t>150900</t>
  </si>
  <si>
    <t>037030</t>
  </si>
  <si>
    <t>047310</t>
  </si>
  <si>
    <t>266870</t>
  </si>
  <si>
    <t>368770</t>
  </si>
  <si>
    <t>170790</t>
  </si>
  <si>
    <t>049120</t>
  </si>
  <si>
    <t>038950</t>
  </si>
  <si>
    <t>441270</t>
  </si>
  <si>
    <t>106240</t>
  </si>
  <si>
    <t>131760</t>
  </si>
  <si>
    <t>065690</t>
  </si>
  <si>
    <t>140860</t>
  </si>
  <si>
    <t>091700</t>
  </si>
  <si>
    <t>202960</t>
  </si>
  <si>
    <t>032800</t>
  </si>
  <si>
    <t>318010</t>
  </si>
  <si>
    <t>036580</t>
  </si>
  <si>
    <t>027710</t>
  </si>
  <si>
    <t>004720</t>
  </si>
  <si>
    <t>266350</t>
  </si>
  <si>
    <t>225590</t>
  </si>
  <si>
    <t>054300</t>
  </si>
  <si>
    <t>068050</t>
  </si>
  <si>
    <t>028670</t>
  </si>
  <si>
    <t>222110</t>
  </si>
  <si>
    <t>271830</t>
  </si>
  <si>
    <t>010820</t>
  </si>
  <si>
    <t>016800</t>
  </si>
  <si>
    <t>263750</t>
  </si>
  <si>
    <t>251970</t>
  </si>
  <si>
    <t>001020</t>
  </si>
  <si>
    <t>327610</t>
  </si>
  <si>
    <t>168360</t>
  </si>
  <si>
    <t>087010</t>
  </si>
  <si>
    <t>090080</t>
  </si>
  <si>
    <t>010770</t>
  </si>
  <si>
    <t>064800</t>
  </si>
  <si>
    <t>119500</t>
  </si>
  <si>
    <t>389140</t>
  </si>
  <si>
    <t>105760</t>
  </si>
  <si>
    <t>022100</t>
  </si>
  <si>
    <t>058430</t>
  </si>
  <si>
    <t>047050</t>
  </si>
  <si>
    <t>003670</t>
  </si>
  <si>
    <t>005490</t>
  </si>
  <si>
    <t>189690</t>
  </si>
  <si>
    <t>318020</t>
  </si>
  <si>
    <t>256630</t>
  </si>
  <si>
    <t>331380</t>
  </si>
  <si>
    <t>472850</t>
  </si>
  <si>
    <t>234100</t>
  </si>
  <si>
    <t>039980</t>
  </si>
  <si>
    <t>041910</t>
  </si>
  <si>
    <t>041020</t>
  </si>
  <si>
    <t>114630</t>
  </si>
  <si>
    <t>290720</t>
  </si>
  <si>
    <t>005670</t>
  </si>
  <si>
    <t>094940</t>
  </si>
  <si>
    <t>007330</t>
  </si>
  <si>
    <t>057880</t>
  </si>
  <si>
    <t>017810</t>
  </si>
  <si>
    <t>093380</t>
  </si>
  <si>
    <t>023900</t>
  </si>
  <si>
    <t>103140</t>
  </si>
  <si>
    <t>005810</t>
  </si>
  <si>
    <t>371950</t>
  </si>
  <si>
    <t>370090</t>
  </si>
  <si>
    <t>445180</t>
  </si>
  <si>
    <t>151910</t>
  </si>
  <si>
    <t>341170</t>
  </si>
  <si>
    <t>220100</t>
  </si>
  <si>
    <t>035200</t>
  </si>
  <si>
    <t>334970</t>
  </si>
  <si>
    <t>950210</t>
  </si>
  <si>
    <t>321260</t>
  </si>
  <si>
    <t>296160</t>
  </si>
  <si>
    <t>053610</t>
  </si>
  <si>
    <t>303360</t>
  </si>
  <si>
    <t>377220</t>
  </si>
  <si>
    <t>335810</t>
  </si>
  <si>
    <t>053160</t>
  </si>
  <si>
    <t>405000</t>
  </si>
  <si>
    <t>041590</t>
  </si>
  <si>
    <t>367000</t>
  </si>
  <si>
    <t>075130</t>
  </si>
  <si>
    <t>222670</t>
  </si>
  <si>
    <t>009810</t>
  </si>
  <si>
    <t>237820</t>
  </si>
  <si>
    <t>023770</t>
  </si>
  <si>
    <t>019570</t>
  </si>
  <si>
    <t>300080</t>
  </si>
  <si>
    <t>032580</t>
  </si>
  <si>
    <t>051380</t>
  </si>
  <si>
    <t>241820</t>
  </si>
  <si>
    <t>178920</t>
  </si>
  <si>
    <t>237750</t>
  </si>
  <si>
    <t>460940</t>
  </si>
  <si>
    <t>319660</t>
  </si>
  <si>
    <t>031980</t>
  </si>
  <si>
    <t>002230</t>
  </si>
  <si>
    <t>043370</t>
  </si>
  <si>
    <t>239890</t>
  </si>
  <si>
    <t>347740</t>
  </si>
  <si>
    <t>137400</t>
  </si>
  <si>
    <t>257370</t>
  </si>
  <si>
    <t>024940</t>
  </si>
  <si>
    <t>147760</t>
  </si>
  <si>
    <t>128660</t>
  </si>
  <si>
    <t>006140</t>
  </si>
  <si>
    <t>376180</t>
  </si>
  <si>
    <t>304840</t>
  </si>
  <si>
    <t>062970</t>
  </si>
  <si>
    <t>087600</t>
  </si>
  <si>
    <t>291810</t>
  </si>
  <si>
    <t>378340</t>
  </si>
  <si>
    <t>161580</t>
  </si>
  <si>
    <t>347770</t>
  </si>
  <si>
    <t>163730</t>
  </si>
  <si>
    <t>417180</t>
  </si>
  <si>
    <t>446750</t>
  </si>
  <si>
    <t>448370</t>
  </si>
  <si>
    <t>454750</t>
  </si>
  <si>
    <t>454640</t>
  </si>
  <si>
    <t>469880</t>
  </si>
  <si>
    <t>469900</t>
  </si>
  <si>
    <t>475240</t>
  </si>
  <si>
    <t>475250</t>
  </si>
  <si>
    <t>406760</t>
  </si>
  <si>
    <t>418170</t>
  </si>
  <si>
    <t>430230</t>
  </si>
  <si>
    <t>435620</t>
  </si>
  <si>
    <t>086790</t>
  </si>
  <si>
    <t>299030</t>
  </si>
  <si>
    <t>067310</t>
  </si>
  <si>
    <t>166090</t>
  </si>
  <si>
    <t>293480</t>
  </si>
  <si>
    <t>039130</t>
  </si>
  <si>
    <t>136480</t>
  </si>
  <si>
    <t>003380</t>
  </si>
  <si>
    <t>450330</t>
  </si>
  <si>
    <t>101670</t>
  </si>
  <si>
    <t>365590</t>
  </si>
  <si>
    <t>149980</t>
  </si>
  <si>
    <t>013030</t>
  </si>
  <si>
    <t>352820</t>
  </si>
  <si>
    <t>126700</t>
  </si>
  <si>
    <t>106080</t>
  </si>
  <si>
    <t>071090</t>
  </si>
  <si>
    <t>450050</t>
  </si>
  <si>
    <t>160190</t>
  </si>
  <si>
    <t>221840</t>
  </si>
  <si>
    <t>106190</t>
  </si>
  <si>
    <t>019490</t>
  </si>
  <si>
    <t>000080</t>
  </si>
  <si>
    <t>000140</t>
  </si>
  <si>
    <t>065650</t>
  </si>
  <si>
    <t>066130</t>
  </si>
  <si>
    <t>004590</t>
  </si>
  <si>
    <t>036460</t>
  </si>
  <si>
    <t>039340</t>
  </si>
  <si>
    <t>005430</t>
  </si>
  <si>
    <t>034950</t>
  </si>
  <si>
    <t>010040</t>
  </si>
  <si>
    <t>025540</t>
  </si>
  <si>
    <t>222980</t>
  </si>
  <si>
    <t>010100</t>
  </si>
  <si>
    <t>331660</t>
  </si>
  <si>
    <t>256840</t>
  </si>
  <si>
    <t>219750</t>
  </si>
  <si>
    <t>004090</t>
  </si>
  <si>
    <t>025550</t>
  </si>
  <si>
    <t>002200</t>
  </si>
  <si>
    <t>002960</t>
  </si>
  <si>
    <t>017890</t>
  </si>
  <si>
    <t>000240</t>
  </si>
  <si>
    <t>033270</t>
  </si>
  <si>
    <t>080720</t>
  </si>
  <si>
    <t>123890</t>
  </si>
  <si>
    <t>015760</t>
  </si>
  <si>
    <t>052690</t>
  </si>
  <si>
    <t>063570</t>
  </si>
  <si>
    <t>041460</t>
  </si>
  <si>
    <t>006200</t>
  </si>
  <si>
    <t>101680</t>
  </si>
  <si>
    <t>039740</t>
  </si>
  <si>
    <t>053300</t>
  </si>
  <si>
    <t>025770</t>
  </si>
  <si>
    <t>436610</t>
  </si>
  <si>
    <t>458610</t>
  </si>
  <si>
    <t>464440</t>
  </si>
  <si>
    <t>477530</t>
  </si>
  <si>
    <t>479880</t>
  </si>
  <si>
    <t>027970</t>
  </si>
  <si>
    <t>023350</t>
  </si>
  <si>
    <t>025890</t>
  </si>
  <si>
    <t>000970</t>
  </si>
  <si>
    <t>104700</t>
  </si>
  <si>
    <t>017960</t>
  </si>
  <si>
    <t>023760</t>
  </si>
  <si>
    <t>054040</t>
  </si>
  <si>
    <t>161890</t>
  </si>
  <si>
    <t>021650</t>
  </si>
  <si>
    <t>161390</t>
  </si>
  <si>
    <t>053590</t>
  </si>
  <si>
    <t>034830</t>
  </si>
  <si>
    <t>152550</t>
  </si>
  <si>
    <t>168490</t>
  </si>
  <si>
    <t>071050</t>
  </si>
  <si>
    <t>007280</t>
  </si>
  <si>
    <t>032300</t>
  </si>
  <si>
    <t>037230</t>
  </si>
  <si>
    <t>448900</t>
  </si>
  <si>
    <t>047810</t>
  </si>
  <si>
    <t>123690</t>
  </si>
  <si>
    <t>003350</t>
  </si>
  <si>
    <t>030520</t>
  </si>
  <si>
    <t>052600</t>
  </si>
  <si>
    <t>011500</t>
  </si>
  <si>
    <t>002390</t>
  </si>
  <si>
    <t>256150</t>
  </si>
  <si>
    <t>092460</t>
  </si>
  <si>
    <t>053690</t>
  </si>
  <si>
    <t>042700</t>
  </si>
  <si>
    <t>008930</t>
  </si>
  <si>
    <t>128940</t>
  </si>
  <si>
    <t>452190</t>
  </si>
  <si>
    <t>047080</t>
  </si>
  <si>
    <t>009240</t>
  </si>
  <si>
    <t>452280</t>
  </si>
  <si>
    <t>020000</t>
  </si>
  <si>
    <t>003680</t>
  </si>
  <si>
    <t>066980</t>
  </si>
  <si>
    <t>105630</t>
  </si>
  <si>
    <t>069640</t>
  </si>
  <si>
    <t>016450</t>
  </si>
  <si>
    <t>010420</t>
  </si>
  <si>
    <t>009180</t>
  </si>
  <si>
    <t>114810</t>
  </si>
  <si>
    <t>070590</t>
  </si>
  <si>
    <t>213500</t>
  </si>
  <si>
    <t>014680</t>
  </si>
  <si>
    <t>004710</t>
  </si>
  <si>
    <t>004150</t>
  </si>
  <si>
    <t>025750</t>
  </si>
  <si>
    <t>226440</t>
  </si>
  <si>
    <t>042520</t>
  </si>
  <si>
    <t>004960</t>
  </si>
  <si>
    <t>011700</t>
  </si>
  <si>
    <t>430690</t>
  </si>
  <si>
    <t>078350</t>
  </si>
  <si>
    <t>045100</t>
  </si>
  <si>
    <t>001750</t>
  </si>
  <si>
    <t>018880</t>
  </si>
  <si>
    <t>009420</t>
  </si>
  <si>
    <t>320000</t>
  </si>
  <si>
    <t>091440</t>
  </si>
  <si>
    <t>014130</t>
  </si>
  <si>
    <t>024740</t>
  </si>
  <si>
    <t>005860</t>
  </si>
  <si>
    <t>300720</t>
  </si>
  <si>
    <t>002220</t>
  </si>
  <si>
    <t>006390</t>
  </si>
  <si>
    <t>003300</t>
  </si>
  <si>
    <t>007770</t>
  </si>
  <si>
    <t>051600</t>
  </si>
  <si>
    <t>130660</t>
  </si>
  <si>
    <t>198940</t>
  </si>
  <si>
    <t>058450</t>
  </si>
  <si>
    <t>107640</t>
  </si>
  <si>
    <t>002320</t>
  </si>
  <si>
    <t>003480</t>
  </si>
  <si>
    <t>180640</t>
  </si>
  <si>
    <t>005110</t>
  </si>
  <si>
    <t>079170</t>
  </si>
  <si>
    <t>009460</t>
  </si>
  <si>
    <t>372910</t>
  </si>
  <si>
    <t>054920</t>
  </si>
  <si>
    <t>002680</t>
  </si>
  <si>
    <t>452260</t>
  </si>
  <si>
    <t>451800</t>
  </si>
  <si>
    <t>000880</t>
  </si>
  <si>
    <t>088350</t>
  </si>
  <si>
    <t>000370</t>
  </si>
  <si>
    <t>009835</t>
  </si>
  <si>
    <t>009830</t>
  </si>
  <si>
    <t>272210</t>
  </si>
  <si>
    <t>012450</t>
  </si>
  <si>
    <t>082740</t>
  </si>
  <si>
    <t>042660</t>
  </si>
  <si>
    <t>003535</t>
  </si>
  <si>
    <t>003530</t>
  </si>
  <si>
    <t>430460</t>
  </si>
  <si>
    <t>455310</t>
  </si>
  <si>
    <t>195870</t>
  </si>
  <si>
    <t>034810</t>
  </si>
  <si>
    <t>03481K</t>
  </si>
  <si>
    <t>059270</t>
  </si>
  <si>
    <t>076610</t>
  </si>
  <si>
    <t>101530</t>
  </si>
  <si>
    <t>220180</t>
  </si>
  <si>
    <t>143210</t>
  </si>
  <si>
    <t>900270</t>
  </si>
  <si>
    <t>214180</t>
  </si>
  <si>
    <t>234340</t>
  </si>
  <si>
    <t>084990</t>
  </si>
  <si>
    <t>000725</t>
  </si>
  <si>
    <t>000720</t>
  </si>
  <si>
    <t>170030</t>
  </si>
  <si>
    <t>453340</t>
  </si>
  <si>
    <t>086280</t>
  </si>
  <si>
    <t>064350</t>
  </si>
  <si>
    <t>079430</t>
  </si>
  <si>
    <t>012330</t>
  </si>
  <si>
    <t>319400</t>
  </si>
  <si>
    <t>052260</t>
  </si>
  <si>
    <t>048410</t>
  </si>
  <si>
    <t>069960</t>
  </si>
  <si>
    <t>004560</t>
  </si>
  <si>
    <t>016790</t>
  </si>
  <si>
    <t>004310</t>
  </si>
  <si>
    <t>041440</t>
  </si>
  <si>
    <t>039010</t>
  </si>
  <si>
    <t>017800</t>
  </si>
  <si>
    <t>307950</t>
  </si>
  <si>
    <t>011210</t>
  </si>
  <si>
    <t>090850</t>
  </si>
  <si>
    <t>005385</t>
  </si>
  <si>
    <t>005387</t>
  </si>
  <si>
    <t>005389</t>
  </si>
  <si>
    <t>005380</t>
  </si>
  <si>
    <t>004020</t>
  </si>
  <si>
    <t>005440</t>
  </si>
  <si>
    <t>001500</t>
  </si>
  <si>
    <t>011760</t>
  </si>
  <si>
    <t>227840</t>
  </si>
  <si>
    <t>126560</t>
  </si>
  <si>
    <t>001450</t>
  </si>
  <si>
    <t>057050</t>
  </si>
  <si>
    <t>460930</t>
  </si>
  <si>
    <t>092300</t>
  </si>
  <si>
    <t>138360</t>
  </si>
  <si>
    <t>011080</t>
  </si>
  <si>
    <t>093240</t>
  </si>
  <si>
    <t>003010</t>
  </si>
  <si>
    <t>111110</t>
  </si>
  <si>
    <t>008775</t>
  </si>
  <si>
    <t>008770</t>
  </si>
  <si>
    <t>060560</t>
  </si>
  <si>
    <t>064240</t>
  </si>
  <si>
    <t>039610</t>
  </si>
  <si>
    <t>378850</t>
  </si>
  <si>
    <t>241590</t>
  </si>
  <si>
    <t>006060</t>
  </si>
  <si>
    <t>013520</t>
  </si>
  <si>
    <t>010690</t>
  </si>
  <si>
    <t>126640</t>
  </si>
  <si>
    <t>133820</t>
  </si>
  <si>
    <t>127980</t>
  </si>
  <si>
    <t>061250</t>
  </si>
  <si>
    <t>010660</t>
  </si>
  <si>
    <t>000850</t>
  </si>
  <si>
    <t>016580</t>
  </si>
  <si>
    <t>032560</t>
  </si>
  <si>
    <t>004800</t>
  </si>
  <si>
    <t>094280</t>
  </si>
  <si>
    <t>097870</t>
  </si>
  <si>
    <t>298040</t>
  </si>
  <si>
    <t>298050</t>
  </si>
  <si>
    <t>298020</t>
  </si>
  <si>
    <t>298000</t>
  </si>
  <si>
    <t>093370</t>
  </si>
  <si>
    <t>081660</t>
  </si>
  <si>
    <t>290270</t>
  </si>
  <si>
    <t>005870</t>
  </si>
  <si>
    <t>353190</t>
  </si>
  <si>
    <t>192410</t>
  </si>
  <si>
    <t>090710</t>
  </si>
  <si>
    <t>078590</t>
  </si>
  <si>
    <t>205470</t>
  </si>
  <si>
    <t>115160</t>
  </si>
  <si>
    <t>028080</t>
  </si>
  <si>
    <t>175140</t>
  </si>
  <si>
    <t>200670</t>
  </si>
  <si>
    <t>079980</t>
  </si>
  <si>
    <t>065510</t>
  </si>
  <si>
    <t>215090</t>
  </si>
  <si>
    <t>005010</t>
  </si>
  <si>
    <t>263920</t>
  </si>
  <si>
    <t>243070</t>
  </si>
  <si>
    <t>084110</t>
  </si>
  <si>
    <t>145020</t>
  </si>
  <si>
    <t>024060</t>
  </si>
  <si>
    <t>010240</t>
  </si>
  <si>
    <t>189980</t>
  </si>
  <si>
    <t>000545</t>
  </si>
  <si>
    <t>000540</t>
  </si>
  <si>
    <t>003280</t>
  </si>
  <si>
    <t>037440</t>
  </si>
  <si>
    <t>238490</t>
  </si>
  <si>
    <t>Source : KRX 정보데이터시스템</t>
    <phoneticPr fontId="7" type="noConversion"/>
  </si>
  <si>
    <r>
      <t xml:space="preserve">기준일 : </t>
    </r>
    <r>
      <rPr>
        <b/>
        <sz val="11"/>
        <color rgb="FFFFC000"/>
        <rFont val="맑은 고딕"/>
        <family val="3"/>
        <charset val="129"/>
        <scheme val="major"/>
      </rPr>
      <t>2024</t>
    </r>
    <r>
      <rPr>
        <b/>
        <sz val="11"/>
        <rFont val="맑은 고딕"/>
        <family val="3"/>
        <charset val="129"/>
        <scheme val="major"/>
      </rPr>
      <t>년</t>
    </r>
    <r>
      <rPr>
        <b/>
        <sz val="11"/>
        <color rgb="FFFFC000"/>
        <rFont val="맑은 고딕"/>
        <family val="3"/>
        <charset val="129"/>
        <scheme val="major"/>
      </rPr>
      <t xml:space="preserve"> 09</t>
    </r>
    <r>
      <rPr>
        <b/>
        <sz val="11"/>
        <rFont val="맑은 고딕"/>
        <family val="3"/>
        <charset val="129"/>
        <scheme val="major"/>
      </rPr>
      <t>월</t>
    </r>
    <r>
      <rPr>
        <b/>
        <sz val="11"/>
        <color rgb="FFFFC000"/>
        <rFont val="맑은 고딕"/>
        <family val="3"/>
        <charset val="129"/>
        <scheme val="major"/>
      </rPr>
      <t xml:space="preserve"> 30</t>
    </r>
    <r>
      <rPr>
        <b/>
        <sz val="11"/>
        <rFont val="맑은 고딕"/>
        <family val="3"/>
        <charset val="129"/>
        <scheme val="major"/>
      </rPr>
      <t>일</t>
    </r>
    <phoneticPr fontId="7" type="noConversion"/>
  </si>
  <si>
    <t>표시통화(참고용)</t>
    <phoneticPr fontId="7" type="noConversion"/>
  </si>
  <si>
    <t>표시통화(참고용)</t>
    <phoneticPr fontId="7" type="noConversion"/>
  </si>
  <si>
    <t>단위당 평가결과(*)</t>
    <phoneticPr fontId="7" type="noConversion"/>
  </si>
  <si>
    <t>단위당 평가결과</t>
    <phoneticPr fontId="7" type="noConversion"/>
  </si>
  <si>
    <t>NMP 등록 기초자산(자동출력)</t>
    <phoneticPr fontId="7" type="noConversion"/>
  </si>
  <si>
    <t>NMP 미등록 기초자산(수기입력)</t>
    <phoneticPr fontId="7" type="noConversion"/>
  </si>
  <si>
    <t>BYC우</t>
  </si>
  <si>
    <t>CJ4우(전환)</t>
  </si>
  <si>
    <t>CJ씨푸드1우</t>
  </si>
  <si>
    <t>CJ우</t>
  </si>
  <si>
    <t>CJ제일제당 우</t>
  </si>
  <si>
    <t>DGI</t>
  </si>
  <si>
    <t>DL우</t>
  </si>
  <si>
    <t>DL이앤씨2우(전환)</t>
  </si>
  <si>
    <t>DL이앤씨우</t>
  </si>
  <si>
    <t>GS우</t>
  </si>
  <si>
    <t>HD현대마린엔진</t>
  </si>
  <si>
    <t>HS효성</t>
  </si>
  <si>
    <t>JW중외제약2우B</t>
  </si>
  <si>
    <t>JW중외제약우</t>
  </si>
  <si>
    <t>LG생활건강우</t>
  </si>
  <si>
    <t>LG우</t>
  </si>
  <si>
    <t>LG전자우</t>
  </si>
  <si>
    <t>LG화학우</t>
  </si>
  <si>
    <t>LX하우시스우</t>
  </si>
  <si>
    <t>LX홀딩스1우</t>
  </si>
  <si>
    <t>M83</t>
  </si>
  <si>
    <t>NH투자증권우</t>
  </si>
  <si>
    <t>NPC우</t>
  </si>
  <si>
    <t>SK디스커버리우</t>
  </si>
  <si>
    <t>SK우</t>
  </si>
  <si>
    <t>SK이노베이션우</t>
  </si>
  <si>
    <t>SK증권우</t>
  </si>
  <si>
    <t>SK케미칼우</t>
  </si>
  <si>
    <t>S-Oil우</t>
  </si>
  <si>
    <t>계양전기우</t>
  </si>
  <si>
    <t>교보16호스팩</t>
  </si>
  <si>
    <t>금강공업우</t>
  </si>
  <si>
    <t>금호건설우</t>
  </si>
  <si>
    <t>금호석유우</t>
  </si>
  <si>
    <t>깨끗한나라우</t>
  </si>
  <si>
    <t>남선알미우</t>
  </si>
  <si>
    <t>남양유업우</t>
  </si>
  <si>
    <t>넥센우</t>
  </si>
  <si>
    <t>넥센타이어1우B</t>
  </si>
  <si>
    <t>넥스트바이오메디컬</t>
  </si>
  <si>
    <t>노루페인트우</t>
  </si>
  <si>
    <t>노루홀딩스우</t>
  </si>
  <si>
    <t>녹십자홀딩스2우</t>
  </si>
  <si>
    <t>대교우B</t>
  </si>
  <si>
    <t>대덕1우</t>
  </si>
  <si>
    <t>대덕전자1우</t>
  </si>
  <si>
    <t>대상우</t>
  </si>
  <si>
    <t>대상홀딩스우</t>
  </si>
  <si>
    <t>대신밸런스제18호스팩</t>
  </si>
  <si>
    <t>대신증권2우B</t>
  </si>
  <si>
    <t>대신증권우</t>
  </si>
  <si>
    <t>대원전선우</t>
  </si>
  <si>
    <t>대한제당우</t>
  </si>
  <si>
    <t>대한항공우</t>
  </si>
  <si>
    <t>대호특수강우</t>
  </si>
  <si>
    <t>덕성우</t>
  </si>
  <si>
    <t>동부건설우</t>
  </si>
  <si>
    <t>동양2우B</t>
  </si>
  <si>
    <t>동양우</t>
  </si>
  <si>
    <t>동원시스템즈우</t>
  </si>
  <si>
    <t>두산2우B</t>
  </si>
  <si>
    <t>두산우</t>
  </si>
  <si>
    <t>두산퓨얼셀1우</t>
  </si>
  <si>
    <t>두산퓨얼셀2우B</t>
  </si>
  <si>
    <t>롯데지주우</t>
  </si>
  <si>
    <t>롯데칠성우</t>
  </si>
  <si>
    <t>메타케어</t>
  </si>
  <si>
    <t>미래에셋증권2우B</t>
  </si>
  <si>
    <t>미래에셋증권우</t>
  </si>
  <si>
    <t>뱅크웨어글로벌</t>
  </si>
  <si>
    <t>부국증권우</t>
  </si>
  <si>
    <t>삼성SDI우</t>
  </si>
  <si>
    <t>삼성물산우B</t>
  </si>
  <si>
    <t>삼성전기우</t>
  </si>
  <si>
    <t>삼성전자우</t>
  </si>
  <si>
    <t>삼성화재우</t>
  </si>
  <si>
    <t>삼양사우</t>
  </si>
  <si>
    <t>삼양홀딩스우</t>
  </si>
  <si>
    <t>서울식품우</t>
  </si>
  <si>
    <t>성문전자우</t>
  </si>
  <si>
    <t>성신양회우</t>
  </si>
  <si>
    <t>세방우</t>
  </si>
  <si>
    <t>소프트센우</t>
  </si>
  <si>
    <t>솔루스첨단소재1우</t>
  </si>
  <si>
    <t>솔루스첨단소재2우B</t>
  </si>
  <si>
    <t>신풍제약우</t>
  </si>
  <si>
    <t>아모레G3우(전환)</t>
  </si>
  <si>
    <t>아모레G우</t>
  </si>
  <si>
    <t>아모레퍼시픽우</t>
  </si>
  <si>
    <t>알파녹스</t>
  </si>
  <si>
    <t>유라클</t>
  </si>
  <si>
    <t>유안타증권우</t>
  </si>
  <si>
    <t>유유제약1우</t>
  </si>
  <si>
    <t>유유제약2우B</t>
  </si>
  <si>
    <t>유한양행우</t>
  </si>
  <si>
    <t>유화증권우</t>
  </si>
  <si>
    <t>이엔셀</t>
  </si>
  <si>
    <t>인크레더블버즈</t>
  </si>
  <si>
    <t>일양약품우</t>
  </si>
  <si>
    <t>전진건설로봇</t>
  </si>
  <si>
    <t>진흥기업2우B</t>
  </si>
  <si>
    <t>진흥기업우B</t>
  </si>
  <si>
    <t>케이쓰리아이</t>
  </si>
  <si>
    <t>코리아써우</t>
  </si>
  <si>
    <t>코리아써키트2우B</t>
  </si>
  <si>
    <t>코오롱글로벌우</t>
  </si>
  <si>
    <t>코오롱모빌리티그룹우</t>
  </si>
  <si>
    <t>코오롱우</t>
  </si>
  <si>
    <t>코오롱인더우</t>
  </si>
  <si>
    <t>크라운제과우</t>
  </si>
  <si>
    <t>크라운해태홀딩스우</t>
  </si>
  <si>
    <t>태양금속우</t>
  </si>
  <si>
    <t>태영건설우</t>
  </si>
  <si>
    <t>티디에스팜</t>
  </si>
  <si>
    <t>티와이홀딩스우</t>
  </si>
  <si>
    <t>하이트진로2우B</t>
  </si>
  <si>
    <t>하이트진로홀딩스우</t>
  </si>
  <si>
    <t>한국금융지주우</t>
  </si>
  <si>
    <t>한양증권우</t>
  </si>
  <si>
    <t>한진칼우</t>
  </si>
  <si>
    <t>한화3우B</t>
  </si>
  <si>
    <t>한화갤러리아우</t>
  </si>
  <si>
    <t>한화우</t>
  </si>
  <si>
    <t>001465</t>
  </si>
  <si>
    <t>00104K</t>
  </si>
  <si>
    <t>011155</t>
  </si>
  <si>
    <t>001045</t>
  </si>
  <si>
    <t>097955</t>
  </si>
  <si>
    <t>000215</t>
  </si>
  <si>
    <t>37550L</t>
  </si>
  <si>
    <t>37550K</t>
  </si>
  <si>
    <t>078935</t>
  </si>
  <si>
    <t>001067</t>
  </si>
  <si>
    <t>001065</t>
  </si>
  <si>
    <t>051905</t>
  </si>
  <si>
    <t>003555</t>
  </si>
  <si>
    <t>066575</t>
  </si>
  <si>
    <t>051915</t>
  </si>
  <si>
    <t>108675</t>
  </si>
  <si>
    <t>38380K</t>
  </si>
  <si>
    <t>476080</t>
  </si>
  <si>
    <t>005945</t>
  </si>
  <si>
    <t>004255</t>
  </si>
  <si>
    <t>006125</t>
  </si>
  <si>
    <t>03473K</t>
  </si>
  <si>
    <t>096775</t>
  </si>
  <si>
    <t>001515</t>
  </si>
  <si>
    <t>28513K</t>
  </si>
  <si>
    <t>010955</t>
  </si>
  <si>
    <t>012205</t>
  </si>
  <si>
    <t>482520</t>
  </si>
  <si>
    <t>014285</t>
  </si>
  <si>
    <t>002995</t>
  </si>
  <si>
    <t>011785</t>
  </si>
  <si>
    <t>004545</t>
  </si>
  <si>
    <t>008355</t>
  </si>
  <si>
    <t>003925</t>
  </si>
  <si>
    <t>005725</t>
  </si>
  <si>
    <t>002355</t>
  </si>
  <si>
    <t>389650</t>
  </si>
  <si>
    <t>090355</t>
  </si>
  <si>
    <t>000325</t>
  </si>
  <si>
    <t>005257</t>
  </si>
  <si>
    <t>019685</t>
  </si>
  <si>
    <t>00806K</t>
  </si>
  <si>
    <t>35320K</t>
  </si>
  <si>
    <t>001685</t>
  </si>
  <si>
    <t>084695</t>
  </si>
  <si>
    <t>478780</t>
  </si>
  <si>
    <t>003547</t>
  </si>
  <si>
    <t>003545</t>
  </si>
  <si>
    <t>006345</t>
  </si>
  <si>
    <t>001795</t>
  </si>
  <si>
    <t>003495</t>
  </si>
  <si>
    <t>021045</t>
  </si>
  <si>
    <t>004835</t>
  </si>
  <si>
    <t>005965</t>
  </si>
  <si>
    <t>001527</t>
  </si>
  <si>
    <t>001525</t>
  </si>
  <si>
    <t>014825</t>
  </si>
  <si>
    <t>000157</t>
  </si>
  <si>
    <t>000155</t>
  </si>
  <si>
    <t>33626K</t>
  </si>
  <si>
    <t>33626L</t>
  </si>
  <si>
    <t>00499K</t>
  </si>
  <si>
    <t>005305</t>
  </si>
  <si>
    <t>00680K</t>
  </si>
  <si>
    <t>006805</t>
  </si>
  <si>
    <t>199480</t>
  </si>
  <si>
    <t>001275</t>
  </si>
  <si>
    <t>006405</t>
  </si>
  <si>
    <t>02826K</t>
  </si>
  <si>
    <t>009155</t>
  </si>
  <si>
    <t>005935</t>
  </si>
  <si>
    <t>000815</t>
  </si>
  <si>
    <t>145995</t>
  </si>
  <si>
    <t>000075</t>
  </si>
  <si>
    <t>004415</t>
  </si>
  <si>
    <t>014915</t>
  </si>
  <si>
    <t>004985</t>
  </si>
  <si>
    <t>004365</t>
  </si>
  <si>
    <t>032685</t>
  </si>
  <si>
    <t>33637K</t>
  </si>
  <si>
    <t>33637L</t>
  </si>
  <si>
    <t>019175</t>
  </si>
  <si>
    <t>00279K</t>
  </si>
  <si>
    <t>002795</t>
  </si>
  <si>
    <t>090435</t>
  </si>
  <si>
    <t>088340</t>
  </si>
  <si>
    <t>003475</t>
  </si>
  <si>
    <t>000225</t>
  </si>
  <si>
    <t>000227</t>
  </si>
  <si>
    <t>000105</t>
  </si>
  <si>
    <t>003465</t>
  </si>
  <si>
    <t>456070</t>
  </si>
  <si>
    <t>007575</t>
  </si>
  <si>
    <t>079900</t>
  </si>
  <si>
    <t>002787</t>
  </si>
  <si>
    <t>002785</t>
  </si>
  <si>
    <t>431190</t>
  </si>
  <si>
    <t>007815</t>
  </si>
  <si>
    <t>00781K</t>
  </si>
  <si>
    <t>003075</t>
  </si>
  <si>
    <t>45014K</t>
  </si>
  <si>
    <t>002025</t>
  </si>
  <si>
    <t>120115</t>
  </si>
  <si>
    <t>26490K</t>
  </si>
  <si>
    <t>005745</t>
  </si>
  <si>
    <t>004105</t>
  </si>
  <si>
    <t>009415</t>
  </si>
  <si>
    <t>464280</t>
  </si>
  <si>
    <t>36328K</t>
  </si>
  <si>
    <t>000087</t>
  </si>
  <si>
    <t>000145</t>
  </si>
  <si>
    <t>071055</t>
  </si>
  <si>
    <t>001755</t>
  </si>
  <si>
    <t>18064K</t>
  </si>
  <si>
    <t>00088K</t>
  </si>
  <si>
    <t>45226K</t>
  </si>
  <si>
    <t>000885</t>
  </si>
  <si>
    <t>2024-08-29 기준</t>
    <phoneticPr fontId="7" type="noConversion"/>
  </si>
  <si>
    <t>2024.08.29</t>
    <phoneticPr fontId="7" type="noConversion"/>
  </si>
  <si>
    <t>2024.08.29</t>
    <phoneticPr fontId="7" type="noConversion"/>
  </si>
  <si>
    <t>2024.08.28</t>
    <phoneticPr fontId="7" type="noConversion"/>
  </si>
  <si>
    <t>2024.08.27</t>
    <phoneticPr fontId="7" type="noConversion"/>
  </si>
  <si>
    <t>2024.08.26</t>
    <phoneticPr fontId="7" type="noConversion"/>
  </si>
  <si>
    <t>2024.08.23</t>
    <phoneticPr fontId="7" type="noConversion"/>
  </si>
  <si>
    <t>2024.08.22</t>
    <phoneticPr fontId="7" type="noConversion"/>
  </si>
  <si>
    <t>2024.08.21</t>
    <phoneticPr fontId="7" type="noConversion"/>
  </si>
  <si>
    <t>2024.08.20</t>
    <phoneticPr fontId="7" type="noConversion"/>
  </si>
  <si>
    <t>2024.08.19</t>
    <phoneticPr fontId="7" type="noConversion"/>
  </si>
  <si>
    <t>2024.08.16</t>
    <phoneticPr fontId="7" type="noConversion"/>
  </si>
  <si>
    <t>2024.08.14</t>
    <phoneticPr fontId="7" type="noConversion"/>
  </si>
  <si>
    <t>2024.08.13</t>
    <phoneticPr fontId="7" type="noConversion"/>
  </si>
  <si>
    <t>2024.08.12</t>
    <phoneticPr fontId="7" type="noConversion"/>
  </si>
  <si>
    <t>2024.08.09</t>
    <phoneticPr fontId="7" type="noConversion"/>
  </si>
  <si>
    <t>2024.08.08</t>
    <phoneticPr fontId="7" type="noConversion"/>
  </si>
  <si>
    <t>2024.08.07</t>
    <phoneticPr fontId="7" type="noConversion"/>
  </si>
  <si>
    <t>2024.08.06</t>
    <phoneticPr fontId="7" type="noConversion"/>
  </si>
  <si>
    <t>2024.08.05</t>
    <phoneticPr fontId="7" type="noConversion"/>
  </si>
  <si>
    <t>2024.08.02</t>
    <phoneticPr fontId="7" type="noConversion"/>
  </si>
  <si>
    <t>2024.08.01</t>
    <phoneticPr fontId="7" type="noConversion"/>
  </si>
  <si>
    <t>2024.07.31</t>
    <phoneticPr fontId="7" type="noConversion"/>
  </si>
  <si>
    <t>2024.07.30</t>
    <phoneticPr fontId="7" type="noConversion"/>
  </si>
  <si>
    <t>2024.07.29</t>
    <phoneticPr fontId="7" type="noConversion"/>
  </si>
  <si>
    <t>2024.07.26</t>
    <phoneticPr fontId="7" type="noConversion"/>
  </si>
  <si>
    <t>2024.07.25</t>
    <phoneticPr fontId="7" type="noConversion"/>
  </si>
  <si>
    <t>2024.07.24</t>
    <phoneticPr fontId="7" type="noConversion"/>
  </si>
  <si>
    <t>2024.07.23</t>
    <phoneticPr fontId="7" type="noConversion"/>
  </si>
  <si>
    <t>2024.07.22</t>
    <phoneticPr fontId="7" type="noConversion"/>
  </si>
  <si>
    <t>2024.07.19</t>
    <phoneticPr fontId="7" type="noConversion"/>
  </si>
  <si>
    <t>2024.07.18</t>
    <phoneticPr fontId="7" type="noConversion"/>
  </si>
  <si>
    <t>2024.07.17</t>
    <phoneticPr fontId="7" type="noConversion"/>
  </si>
  <si>
    <t>2024.07.16</t>
    <phoneticPr fontId="7" type="noConversion"/>
  </si>
  <si>
    <t>2024.07.15</t>
    <phoneticPr fontId="7" type="noConversion"/>
  </si>
  <si>
    <t>2024.07.12</t>
    <phoneticPr fontId="7" type="noConversion"/>
  </si>
  <si>
    <t>2024.07.11</t>
    <phoneticPr fontId="7" type="noConversion"/>
  </si>
  <si>
    <t>2024.07.10</t>
    <phoneticPr fontId="7" type="noConversion"/>
  </si>
  <si>
    <t>2024.07.09</t>
    <phoneticPr fontId="7" type="noConversion"/>
  </si>
  <si>
    <t>2024.07.08</t>
    <phoneticPr fontId="7" type="noConversion"/>
  </si>
  <si>
    <t>2024.07.05</t>
    <phoneticPr fontId="7" type="noConversion"/>
  </si>
  <si>
    <t>2024.07.04</t>
    <phoneticPr fontId="7" type="noConversion"/>
  </si>
  <si>
    <t>2024.07.03</t>
    <phoneticPr fontId="7" type="noConversion"/>
  </si>
  <si>
    <t>2024.07.02</t>
    <phoneticPr fontId="7" type="noConversion"/>
  </si>
  <si>
    <t>2024.07.01</t>
    <phoneticPr fontId="7" type="noConversion"/>
  </si>
  <si>
    <t>2024.06.28</t>
    <phoneticPr fontId="7" type="noConversion"/>
  </si>
  <si>
    <t>2024.06.27</t>
    <phoneticPr fontId="7" type="noConversion"/>
  </si>
  <si>
    <t>2024.06.26</t>
    <phoneticPr fontId="7" type="noConversion"/>
  </si>
  <si>
    <t>2024.06.25</t>
    <phoneticPr fontId="7" type="noConversion"/>
  </si>
  <si>
    <t>2024.06.24</t>
    <phoneticPr fontId="7" type="noConversion"/>
  </si>
  <si>
    <t>2024.06.21</t>
    <phoneticPr fontId="7" type="noConversion"/>
  </si>
  <si>
    <t>2024.06.20</t>
    <phoneticPr fontId="7" type="noConversion"/>
  </si>
  <si>
    <t>2024.06.19</t>
    <phoneticPr fontId="7" type="noConversion"/>
  </si>
  <si>
    <t>2024.06.18</t>
    <phoneticPr fontId="7" type="noConversion"/>
  </si>
  <si>
    <t>2024.06.17</t>
    <phoneticPr fontId="7" type="noConversion"/>
  </si>
  <si>
    <t>2024.06.14</t>
    <phoneticPr fontId="7" type="noConversion"/>
  </si>
  <si>
    <t>2024.06.13</t>
    <phoneticPr fontId="7" type="noConversion"/>
  </si>
  <si>
    <t>2024.06.12</t>
    <phoneticPr fontId="7" type="noConversion"/>
  </si>
  <si>
    <t>2024.06.11</t>
    <phoneticPr fontId="7" type="noConversion"/>
  </si>
  <si>
    <t>2024.06.10</t>
    <phoneticPr fontId="7" type="noConversion"/>
  </si>
  <si>
    <t>2024.06.07</t>
    <phoneticPr fontId="7" type="noConversion"/>
  </si>
  <si>
    <t>2024.06.05</t>
    <phoneticPr fontId="7" type="noConversion"/>
  </si>
  <si>
    <t>2024.06.04</t>
    <phoneticPr fontId="7" type="noConversion"/>
  </si>
  <si>
    <t>2024.06.03</t>
    <phoneticPr fontId="7" type="noConversion"/>
  </si>
  <si>
    <t>2024.05.31</t>
    <phoneticPr fontId="7" type="noConversion"/>
  </si>
  <si>
    <t>2024.05.30</t>
    <phoneticPr fontId="7" type="noConversion"/>
  </si>
  <si>
    <t>2024.05.29</t>
    <phoneticPr fontId="7" type="noConversion"/>
  </si>
  <si>
    <t>2024.05.28</t>
    <phoneticPr fontId="7" type="noConversion"/>
  </si>
  <si>
    <t>2024.05.27</t>
    <phoneticPr fontId="7" type="noConversion"/>
  </si>
  <si>
    <t>2024.05.24</t>
    <phoneticPr fontId="7" type="noConversion"/>
  </si>
  <si>
    <t>2024.05.23</t>
    <phoneticPr fontId="7" type="noConversion"/>
  </si>
  <si>
    <t>2024.05.22</t>
    <phoneticPr fontId="7" type="noConversion"/>
  </si>
  <si>
    <t>2024.05.21</t>
    <phoneticPr fontId="7" type="noConversion"/>
  </si>
  <si>
    <t>2024.05.20</t>
    <phoneticPr fontId="7" type="noConversion"/>
  </si>
  <si>
    <t>2024.05.17</t>
    <phoneticPr fontId="7" type="noConversion"/>
  </si>
  <si>
    <t>2024.05.16</t>
    <phoneticPr fontId="7" type="noConversion"/>
  </si>
  <si>
    <t>2024.05.14</t>
    <phoneticPr fontId="7" type="noConversion"/>
  </si>
  <si>
    <t>2024.05.13</t>
    <phoneticPr fontId="7" type="noConversion"/>
  </si>
  <si>
    <t>2024.05.10</t>
    <phoneticPr fontId="7" type="noConversion"/>
  </si>
  <si>
    <t>2024.05.09</t>
    <phoneticPr fontId="7" type="noConversion"/>
  </si>
  <si>
    <t>2024.05.08</t>
    <phoneticPr fontId="7" type="noConversion"/>
  </si>
  <si>
    <t>2024.05.07</t>
    <phoneticPr fontId="7" type="noConversion"/>
  </si>
  <si>
    <t>2024.05.03</t>
    <phoneticPr fontId="7" type="noConversion"/>
  </si>
  <si>
    <t>2024.05.02</t>
    <phoneticPr fontId="7" type="noConversion"/>
  </si>
  <si>
    <t>2024.04.30</t>
    <phoneticPr fontId="7" type="noConversion"/>
  </si>
  <si>
    <t>2024.04.29</t>
    <phoneticPr fontId="7" type="noConversion"/>
  </si>
  <si>
    <t>2024.04.26</t>
    <phoneticPr fontId="7" type="noConversion"/>
  </si>
  <si>
    <t>2024.04.25</t>
    <phoneticPr fontId="7" type="noConversion"/>
  </si>
  <si>
    <t>2024.04.24</t>
    <phoneticPr fontId="7" type="noConversion"/>
  </si>
  <si>
    <t>2024.04.23</t>
    <phoneticPr fontId="7" type="noConversion"/>
  </si>
  <si>
    <t>2024.04.22</t>
    <phoneticPr fontId="7" type="noConversion"/>
  </si>
  <si>
    <t>2024.04.19</t>
    <phoneticPr fontId="7" type="noConversion"/>
  </si>
  <si>
    <t>2024.04.18</t>
    <phoneticPr fontId="7" type="noConversion"/>
  </si>
  <si>
    <t>2024.04.17</t>
    <phoneticPr fontId="7" type="noConversion"/>
  </si>
  <si>
    <t>2024.04.16</t>
    <phoneticPr fontId="7" type="noConversion"/>
  </si>
  <si>
    <t>2024.04.15</t>
    <phoneticPr fontId="7" type="noConversion"/>
  </si>
  <si>
    <t>2024.04.12</t>
    <phoneticPr fontId="7" type="noConversion"/>
  </si>
  <si>
    <t>2024.04.11</t>
    <phoneticPr fontId="7" type="noConversion"/>
  </si>
  <si>
    <t>2024.04.09</t>
    <phoneticPr fontId="7" type="noConversion"/>
  </si>
  <si>
    <t>2024.04.08</t>
    <phoneticPr fontId="7" type="noConversion"/>
  </si>
  <si>
    <t>2024.04.05</t>
    <phoneticPr fontId="7" type="noConversion"/>
  </si>
  <si>
    <t>2024.04.04</t>
    <phoneticPr fontId="7" type="noConversion"/>
  </si>
  <si>
    <t>평가 체크리스트</t>
    <phoneticPr fontId="7" type="noConversion"/>
  </si>
  <si>
    <t xml:space="preserve">성림첨단산업                                      </t>
  </si>
  <si>
    <t>유재호</t>
  </si>
  <si>
    <t>DCF</t>
  </si>
  <si>
    <t>KRW</t>
  </si>
  <si>
    <t>month</t>
    <phoneticPr fontId="7" type="noConversion"/>
  </si>
  <si>
    <t>day</t>
    <phoneticPr fontId="7" type="noConversion"/>
  </si>
  <si>
    <t>date</t>
    <phoneticPr fontId="7" type="noConversion"/>
  </si>
  <si>
    <t>year</t>
    <phoneticPr fontId="7" type="noConversion"/>
  </si>
  <si>
    <t>sales</t>
    <phoneticPr fontId="7" type="noConversion"/>
  </si>
  <si>
    <t>cagr</t>
    <phoneticPr fontId="7" type="noConversion"/>
  </si>
  <si>
    <t>계정분류</t>
  </si>
  <si>
    <t>계정구분</t>
  </si>
  <si>
    <t>투자자산</t>
  </si>
  <si>
    <t>지분증권</t>
  </si>
  <si>
    <t>업무집행사원(GP)</t>
  </si>
  <si>
    <t>후순위출자자</t>
  </si>
  <si>
    <t>코리아에셋투자증권㈜</t>
  </si>
  <si>
    <t>창인파트너스㈜</t>
  </si>
  <si>
    <t>유한책임사원(LP)</t>
  </si>
  <si>
    <t>선순위출자자</t>
  </si>
  <si>
    <t>P펀드</t>
  </si>
  <si>
    <t>M사</t>
  </si>
  <si>
    <t>흥국생명보험㈜</t>
  </si>
  <si>
    <t>김OO</t>
  </si>
  <si>
    <t>손OO</t>
  </si>
  <si>
    <t>임OO</t>
  </si>
  <si>
    <t>최OO</t>
  </si>
  <si>
    <t>한OO</t>
  </si>
  <si>
    <t>최초출자</t>
  </si>
  <si>
    <t>흥국생명보험(지분증권), 미래컴퍼니</t>
  </si>
  <si>
    <t>주당</t>
  </si>
  <si>
    <t>비상장</t>
  </si>
  <si>
    <t>비상장</t>
    <phoneticPr fontId="7" type="noConversion"/>
  </si>
  <si>
    <t>SPC 없음</t>
  </si>
  <si>
    <t>제3기</t>
    <phoneticPr fontId="7" type="noConversion"/>
  </si>
  <si>
    <t>포스코KAICI신기술사업투자조합제1호</t>
    <phoneticPr fontId="7" type="noConversion"/>
  </si>
  <si>
    <t>제3기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</si>
</sst>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0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#,##0.00_ ;[Red]\-#,##0.00\ "/>
    <numFmt numFmtId="177" formatCode="#,##0_ "/>
    <numFmt numFmtId="178" formatCode="#,##0_ ;[Red]\-#,##0\ "/>
    <numFmt numFmtId="179" formatCode="_-* #,##0.00_-;\-* #,##0.00_-;_-* &quot;-&quot;_-;_-@_-"/>
    <numFmt numFmtId="180" formatCode="#,##0.00_ "/>
    <numFmt numFmtId="181" formatCode="_-* #,##0.000_-;\-* #,##0.000_-;_-* &quot;-&quot;_-;_-@_-"/>
    <numFmt numFmtId="182" formatCode="0.000&quot;원&quot;"/>
    <numFmt numFmtId="183" formatCode="#,##0.000_ "/>
    <numFmt numFmtId="184" formatCode="#,##0\ \(\A\)"/>
    <numFmt numFmtId="185" formatCode="#,##0.000&quot;원 / 1좌&quot;"/>
    <numFmt numFmtId="186" formatCode="#,##0&quot;원&quot;"/>
    <numFmt numFmtId="187" formatCode="#,##0&quot;좌&quot;"/>
    <numFmt numFmtId="188" formatCode="#,##0.000&quot;원&quot;"/>
    <numFmt numFmtId="189" formatCode="_-* #,##0.000_-;\-* #,##0.000_-;_-* &quot;-&quot;??_-;_-@_-"/>
    <numFmt numFmtId="190" formatCode="#,##0.000"/>
    <numFmt numFmtId="191" formatCode="#,##0.000_ ;[Red]\-#,##0.000\ "/>
    <numFmt numFmtId="192" formatCode="#,##0_);[Red]\(#,##0\)"/>
    <numFmt numFmtId="193" formatCode="0.000"/>
    <numFmt numFmtId="194" formatCode="#,##0.0_);[Red]\(#,##0.0\)"/>
    <numFmt numFmtId="195" formatCode="General\ &quot;종목&quot;"/>
    <numFmt numFmtId="196" formatCode="#,##0.000_);[Red]\(#,##0.000\)"/>
    <numFmt numFmtId="197" formatCode="General&quot;개&quot;"/>
    <numFmt numFmtId="198" formatCode="0_);[Red]\(0\)"/>
    <numFmt numFmtId="199" formatCode="#,##0&quot;번째&quot;"/>
    <numFmt numFmtId="200" formatCode="#,##0.000&quot;원 / 좌당&quot;"/>
    <numFmt numFmtId="201" formatCode="#,##0.00000000"/>
    <numFmt numFmtId="202" formatCode="0.00000000"/>
  </numFmts>
  <fonts count="99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11"/>
      <name val="돋움"/>
      <family val="3"/>
      <charset val="129"/>
    </font>
    <font>
      <b/>
      <sz val="10"/>
      <color theme="1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  <scheme val="major"/>
    </font>
    <font>
      <b/>
      <sz val="14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sz val="10"/>
      <color theme="1"/>
      <name val="가는각진제목체"/>
      <family val="2"/>
      <charset val="129"/>
    </font>
    <font>
      <sz val="10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sz val="9"/>
      <color theme="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10"/>
      <color theme="0"/>
      <name val="맑은 고딕"/>
      <family val="3"/>
      <charset val="129"/>
      <scheme val="major"/>
    </font>
    <font>
      <b/>
      <sz val="14"/>
      <color indexed="81"/>
      <name val="돋움"/>
      <family val="3"/>
      <charset val="129"/>
    </font>
    <font>
      <sz val="14"/>
      <color indexed="81"/>
      <name val="돋움"/>
      <family val="3"/>
      <charset val="129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b/>
      <sz val="14"/>
      <color theme="1"/>
      <name val="맑은 고딕"/>
      <family val="3"/>
      <charset val="129"/>
      <scheme val="major"/>
    </font>
    <font>
      <b/>
      <sz val="10"/>
      <color rgb="FFFF0000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u/>
      <sz val="10"/>
      <color theme="1"/>
      <name val="맑은 고딕"/>
      <family val="3"/>
      <charset val="129"/>
      <scheme val="major"/>
    </font>
    <font>
      <i/>
      <sz val="10"/>
      <color rgb="FFC00000"/>
      <name val="맑은 고딕"/>
      <family val="3"/>
      <charset val="129"/>
      <scheme val="major"/>
    </font>
    <font>
      <i/>
      <sz val="10"/>
      <color rgb="FFFF0000"/>
      <name val="맑은 고딕"/>
      <family val="3"/>
      <charset val="129"/>
      <scheme val="major"/>
    </font>
    <font>
      <i/>
      <sz val="8.5"/>
      <color rgb="FFFF0000"/>
      <name val="맑은 고딕"/>
      <family val="3"/>
      <charset val="129"/>
      <scheme val="major"/>
    </font>
    <font>
      <i/>
      <sz val="10"/>
      <color theme="1"/>
      <name val="맑은 고딕"/>
      <family val="3"/>
      <charset val="129"/>
      <scheme val="major"/>
    </font>
    <font>
      <b/>
      <u/>
      <sz val="7"/>
      <color theme="1"/>
      <name val="맑은 고딕"/>
      <family val="3"/>
      <charset val="129"/>
      <scheme val="major"/>
    </font>
    <font>
      <b/>
      <sz val="7"/>
      <color theme="1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ajor"/>
    </font>
    <font>
      <b/>
      <u/>
      <sz val="12"/>
      <color theme="1"/>
      <name val="맑은 고딕"/>
      <family val="3"/>
      <charset val="129"/>
      <scheme val="major"/>
    </font>
    <font>
      <b/>
      <sz val="10"/>
      <color indexed="9"/>
      <name val="맑은 고딕"/>
      <family val="3"/>
      <charset val="129"/>
      <scheme val="major"/>
    </font>
    <font>
      <b/>
      <i/>
      <sz val="10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u/>
      <sz val="10"/>
      <color theme="1"/>
      <name val="맑은 고딕"/>
      <family val="3"/>
      <charset val="129"/>
      <scheme val="major"/>
    </font>
    <font>
      <b/>
      <sz val="20"/>
      <color theme="1"/>
      <name val="맑은 고딕"/>
      <family val="3"/>
      <charset val="129"/>
      <scheme val="major"/>
    </font>
    <font>
      <b/>
      <u/>
      <sz val="10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rgb="FFFFC000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ajor"/>
    </font>
    <font>
      <sz val="10"/>
      <color rgb="FFFF000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color theme="0" tint="-0.249977111117893"/>
      <name val="맑은 고딕"/>
      <family val="3"/>
      <charset val="129"/>
      <scheme val="major"/>
    </font>
    <font>
      <b/>
      <sz val="10"/>
      <color theme="0" tint="-0.249977111117893"/>
      <name val="맑은 고딕"/>
      <family val="3"/>
      <charset val="129"/>
      <scheme val="major"/>
    </font>
    <font>
      <b/>
      <i/>
      <sz val="10"/>
      <color rgb="FFFF0000"/>
      <name val="맑은 고딕"/>
      <family val="3"/>
      <charset val="129"/>
      <scheme val="major"/>
    </font>
    <font>
      <sz val="9"/>
      <color rgb="FFFF0000"/>
      <name val="맑은 고딕"/>
      <family val="3"/>
      <charset val="129"/>
      <scheme val="major"/>
    </font>
    <font>
      <b/>
      <sz val="9"/>
      <color rgb="FFFF0000"/>
      <name val="맑은 고딕"/>
      <family val="3"/>
      <charset val="129"/>
      <scheme val="major"/>
    </font>
    <font>
      <b/>
      <sz val="9"/>
      <color rgb="FF000000"/>
      <name val="맑은 고딕"/>
      <family val="3"/>
      <charset val="129"/>
      <scheme val="major"/>
    </font>
    <font>
      <b/>
      <sz val="8"/>
      <color rgb="FF000000"/>
      <name val="맑은 고딕"/>
      <family val="3"/>
      <charset val="129"/>
      <scheme val="major"/>
    </font>
    <font>
      <b/>
      <sz val="6"/>
      <color theme="1"/>
      <name val="맑은 고딕"/>
      <family val="3"/>
      <charset val="129"/>
      <scheme val="major"/>
    </font>
    <font>
      <b/>
      <sz val="9"/>
      <color theme="0"/>
      <name val="맑은 고딕"/>
      <family val="3"/>
      <charset val="129"/>
      <scheme val="major"/>
    </font>
    <font>
      <b/>
      <i/>
      <sz val="9"/>
      <color rgb="FFFF0000"/>
      <name val="맑은 고딕"/>
      <family val="3"/>
      <charset val="129"/>
      <scheme val="major"/>
    </font>
    <font>
      <sz val="9"/>
      <color theme="4"/>
      <name val="맑은 고딕"/>
      <family val="3"/>
      <charset val="129"/>
      <scheme val="major"/>
    </font>
    <font>
      <b/>
      <u/>
      <sz val="9"/>
      <name val="맑은 고딕"/>
      <family val="3"/>
      <charset val="129"/>
      <scheme val="major"/>
    </font>
    <font>
      <b/>
      <i/>
      <u/>
      <sz val="9"/>
      <color rgb="FFC00000"/>
      <name val="맑은 고딕"/>
      <family val="3"/>
      <charset val="129"/>
      <scheme val="major"/>
    </font>
    <font>
      <sz val="9"/>
      <color theme="4" tint="0.59999389629810485"/>
      <name val="맑은 고딕"/>
      <family val="3"/>
      <charset val="129"/>
      <scheme val="major"/>
    </font>
    <font>
      <b/>
      <sz val="9"/>
      <color theme="4" tint="0.59999389629810485"/>
      <name val="맑은 고딕"/>
      <family val="3"/>
      <charset val="129"/>
      <scheme val="major"/>
    </font>
    <font>
      <b/>
      <sz val="8"/>
      <color theme="1"/>
      <name val="맑은 고딕"/>
      <family val="3"/>
      <charset val="129"/>
      <scheme val="major"/>
    </font>
    <font>
      <sz val="11"/>
      <color theme="1"/>
      <name val="맑은 고딕"/>
      <family val="2"/>
      <charset val="129"/>
      <scheme val="major"/>
    </font>
    <font>
      <b/>
      <sz val="16"/>
      <color theme="1"/>
      <name val="맑은 고딕"/>
      <family val="2"/>
      <charset val="129"/>
      <scheme val="major"/>
    </font>
    <font>
      <b/>
      <sz val="12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i/>
      <sz val="11"/>
      <color rgb="FFC00000"/>
      <name val="맑은 고딕"/>
      <family val="3"/>
      <charset val="129"/>
      <scheme val="major"/>
    </font>
    <font>
      <b/>
      <i/>
      <sz val="11"/>
      <color rgb="FFC00000"/>
      <name val="맑은 고딕"/>
      <family val="3"/>
      <charset val="129"/>
      <scheme val="major"/>
    </font>
    <font>
      <b/>
      <sz val="11"/>
      <color rgb="FFC00000"/>
      <name val="맑은 고딕"/>
      <family val="3"/>
      <charset val="129"/>
      <scheme val="major"/>
    </font>
    <font>
      <b/>
      <sz val="11"/>
      <color rgb="FF000000"/>
      <name val="맑은 고딕"/>
      <family val="3"/>
      <charset val="129"/>
    </font>
    <font>
      <b/>
      <sz val="12"/>
      <color indexed="81"/>
      <name val="돋움"/>
      <family val="3"/>
      <charset val="129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2"/>
      <color indexed="81"/>
      <name val="돋움"/>
      <family val="3"/>
      <charset val="129"/>
    </font>
    <font>
      <sz val="14"/>
      <color theme="1"/>
      <name val="맑은 고딕"/>
      <family val="2"/>
      <charset val="129"/>
      <scheme val="major"/>
    </font>
    <font>
      <b/>
      <sz val="14"/>
      <color theme="1"/>
      <name val="맑은 고딕"/>
      <family val="2"/>
      <charset val="129"/>
      <scheme val="major"/>
    </font>
    <font>
      <sz val="14"/>
      <color theme="1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b/>
      <sz val="10"/>
      <color theme="0"/>
      <name val="맑은 고딕"/>
      <family val="3"/>
      <charset val="129"/>
    </font>
  </fonts>
  <fills count="3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rgb="FFECF5F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A0F0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9EEED"/>
        <bgColor indexed="64"/>
      </patternFill>
    </fill>
    <fill>
      <patternFill patternType="solid">
        <fgColor rgb="FFF7EAE9"/>
        <bgColor indexed="64"/>
      </patternFill>
    </fill>
    <fill>
      <patternFill patternType="solid">
        <fgColor rgb="FFE7EEF5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9F9F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8DE96"/>
        <bgColor indexed="64"/>
      </patternFill>
    </fill>
    <fill>
      <patternFill patternType="solid">
        <fgColor rgb="FFFAF1F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3ECD9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11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 style="medium">
        <color rgb="FF999999"/>
      </bottom>
      <diagonal/>
    </border>
    <border>
      <left/>
      <right style="medium">
        <color rgb="FF999999"/>
      </right>
      <top style="medium">
        <color rgb="FF999999"/>
      </top>
      <bottom style="medium">
        <color rgb="FF999999"/>
      </bottom>
      <diagonal/>
    </border>
    <border>
      <left style="medium">
        <color rgb="FF999999"/>
      </left>
      <right style="medium">
        <color rgb="FF999999"/>
      </right>
      <top/>
      <bottom style="medium">
        <color rgb="FF999999"/>
      </bottom>
      <diagonal/>
    </border>
    <border>
      <left/>
      <right style="medium">
        <color rgb="FF999999"/>
      </right>
      <top/>
      <bottom style="medium">
        <color rgb="FF999999"/>
      </bottom>
      <diagonal/>
    </border>
    <border>
      <left style="medium">
        <color rgb="FF999999"/>
      </left>
      <right/>
      <top style="medium">
        <color rgb="FF999999"/>
      </top>
      <bottom style="medium">
        <color rgb="FF999999"/>
      </bottom>
      <diagonal/>
    </border>
    <border>
      <left style="medium">
        <color rgb="FF999999"/>
      </left>
      <right style="medium">
        <color rgb="FF999999"/>
      </right>
      <top/>
      <bottom/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808080"/>
      </left>
      <right style="medium">
        <color rgb="FF808080"/>
      </right>
      <top/>
      <bottom style="medium">
        <color rgb="FF808080"/>
      </bottom>
      <diagonal/>
    </border>
    <border>
      <left/>
      <right style="medium">
        <color rgb="FF808080"/>
      </right>
      <top/>
      <bottom style="medium">
        <color rgb="FF808080"/>
      </bottom>
      <diagonal/>
    </border>
    <border>
      <left/>
      <right style="medium">
        <color rgb="FF808080"/>
      </right>
      <top/>
      <bottom style="medium">
        <color rgb="FF999999"/>
      </bottom>
      <diagonal/>
    </border>
    <border>
      <left style="medium">
        <color rgb="FF808080"/>
      </left>
      <right style="medium">
        <color rgb="FF808080"/>
      </right>
      <top style="medium">
        <color rgb="FF999999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rgb="FF999999"/>
      </left>
      <right/>
      <top style="medium">
        <color rgb="FF999999"/>
      </top>
      <bottom/>
      <diagonal/>
    </border>
    <border>
      <left style="medium">
        <color rgb="FF999999"/>
      </left>
      <right/>
      <top/>
      <bottom style="medium">
        <color rgb="FF999999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C2514E"/>
      </left>
      <right/>
      <top style="thin">
        <color rgb="FFC2514E"/>
      </top>
      <bottom/>
      <diagonal/>
    </border>
    <border>
      <left/>
      <right/>
      <top style="thin">
        <color rgb="FFC2514E"/>
      </top>
      <bottom/>
      <diagonal/>
    </border>
    <border>
      <left/>
      <right style="thin">
        <color rgb="FFC2514E"/>
      </right>
      <top style="thin">
        <color rgb="FFC2514E"/>
      </top>
      <bottom/>
      <diagonal/>
    </border>
    <border>
      <left style="thin">
        <color rgb="FFC2514E"/>
      </left>
      <right/>
      <top/>
      <bottom style="thin">
        <color rgb="FFC2514E"/>
      </bottom>
      <diagonal/>
    </border>
    <border>
      <left/>
      <right/>
      <top/>
      <bottom style="thin">
        <color rgb="FFC2514E"/>
      </bottom>
      <diagonal/>
    </border>
    <border>
      <left/>
      <right style="thin">
        <color rgb="FFC2514E"/>
      </right>
      <top/>
      <bottom style="thin">
        <color rgb="FFC2514E"/>
      </bottom>
      <diagonal/>
    </border>
    <border>
      <left style="thin">
        <color rgb="FFC2514E"/>
      </left>
      <right style="thin">
        <color rgb="FFC2514E"/>
      </right>
      <top style="thin">
        <color rgb="FFC2514E"/>
      </top>
      <bottom/>
      <diagonal/>
    </border>
    <border>
      <left style="thin">
        <color rgb="FFC2514E"/>
      </left>
      <right style="thin">
        <color rgb="FFC2514E"/>
      </right>
      <top/>
      <bottom style="thin">
        <color rgb="FFC2514E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medium">
        <color rgb="FFC00000"/>
      </left>
      <right style="thin">
        <color indexed="64"/>
      </right>
      <top style="medium">
        <color rgb="FFC00000"/>
      </top>
      <bottom style="medium">
        <color rgb="FFC00000"/>
      </bottom>
      <diagonal/>
    </border>
    <border>
      <left style="thin">
        <color indexed="64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medium">
        <color rgb="FF99999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rgb="FF999999"/>
      </top>
      <bottom style="medium">
        <color rgb="FF999999"/>
      </bottom>
      <diagonal/>
    </border>
    <border>
      <left style="medium">
        <color rgb="FF999999"/>
      </left>
      <right style="medium">
        <color theme="0" tint="-0.499984740745262"/>
      </right>
      <top style="medium">
        <color rgb="FF999999"/>
      </top>
      <bottom style="medium">
        <color rgb="FF999999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rgb="FF999999"/>
      </top>
      <bottom style="medium">
        <color rgb="FF999999"/>
      </bottom>
      <diagonal/>
    </border>
    <border>
      <left style="medium">
        <color theme="0" tint="-0.499984740745262"/>
      </left>
      <right style="medium">
        <color rgb="FF999999"/>
      </right>
      <top style="medium">
        <color rgb="FF999999"/>
      </top>
      <bottom style="medium">
        <color rgb="FF999999"/>
      </bottom>
      <diagonal/>
    </border>
    <border>
      <left style="medium">
        <color rgb="FF999999"/>
      </left>
      <right style="medium">
        <color theme="0" tint="-0.499984740745262"/>
      </right>
      <top style="medium">
        <color rgb="FF999999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rgb="FF999999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rgb="FF999999"/>
      </right>
      <top style="medium">
        <color rgb="FF999999"/>
      </top>
      <bottom style="medium">
        <color theme="0" tint="-0.4999847407452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999999"/>
      </left>
      <right style="medium">
        <color rgb="FF999999"/>
      </right>
      <top style="medium">
        <color indexed="64"/>
      </top>
      <bottom/>
      <diagonal/>
    </border>
    <border>
      <left/>
      <right style="medium">
        <color rgb="FF999999"/>
      </right>
      <top style="medium">
        <color indexed="64"/>
      </top>
      <bottom style="medium">
        <color rgb="FF999999"/>
      </bottom>
      <diagonal/>
    </border>
    <border>
      <left/>
      <right style="medium">
        <color rgb="FF999999"/>
      </right>
      <top style="medium">
        <color indexed="64"/>
      </top>
      <bottom/>
      <diagonal/>
    </border>
  </borders>
  <cellStyleXfs count="27">
    <xf numFmtId="0" fontId="0" fillId="0" borderId="0"/>
    <xf numFmtId="0" fontId="6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/>
    <xf numFmtId="0" fontId="5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24" fillId="0" borderId="0">
      <alignment vertical="center"/>
    </xf>
    <xf numFmtId="0" fontId="3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12" fillId="0" borderId="0" applyFont="0" applyFill="0" applyBorder="0" applyAlignment="0" applyProtection="0">
      <alignment vertical="center"/>
    </xf>
  </cellStyleXfs>
  <cellXfs count="919">
    <xf numFmtId="0" fontId="0" fillId="0" borderId="0" xfId="0"/>
    <xf numFmtId="0" fontId="9" fillId="0" borderId="0" xfId="0" applyFont="1" applyAlignment="1">
      <alignment horizontal="center"/>
    </xf>
    <xf numFmtId="14" fontId="20" fillId="10" borderId="32" xfId="0" applyNumberFormat="1" applyFont="1" applyFill="1" applyBorder="1" applyAlignment="1">
      <alignment horizontal="center"/>
    </xf>
    <xf numFmtId="0" fontId="13" fillId="17" borderId="0" xfId="0" applyFont="1" applyFill="1" applyBorder="1" applyAlignment="1">
      <alignment horizontal="center" vertical="center"/>
    </xf>
    <xf numFmtId="0" fontId="13" fillId="19" borderId="0" xfId="0" applyFont="1" applyFill="1" applyBorder="1" applyAlignment="1">
      <alignment horizontal="center" vertical="center"/>
    </xf>
    <xf numFmtId="14" fontId="21" fillId="19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9" fillId="0" borderId="0" xfId="0" applyNumberFormat="1" applyFont="1" applyAlignment="1">
      <alignment horizontal="center"/>
    </xf>
    <xf numFmtId="49" fontId="9" fillId="0" borderId="0" xfId="0" applyNumberFormat="1" applyFont="1" applyAlignment="1">
      <alignment horizontal="center"/>
    </xf>
    <xf numFmtId="3" fontId="9" fillId="0" borderId="0" xfId="0" applyNumberFormat="1" applyFont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center" shrinkToFit="1"/>
    </xf>
    <xf numFmtId="0" fontId="0" fillId="0" borderId="0" xfId="0" applyNumberFormat="1" applyAlignment="1">
      <alignment horizontal="center" shrinkToFit="1"/>
    </xf>
    <xf numFmtId="0" fontId="19" fillId="0" borderId="0" xfId="0" applyFont="1" applyAlignment="1">
      <alignment horizontal="center" shrinkToFit="1"/>
    </xf>
    <xf numFmtId="3" fontId="0" fillId="0" borderId="0" xfId="0" applyNumberFormat="1" applyAlignment="1">
      <alignment horizontal="center" shrinkToFit="1"/>
    </xf>
    <xf numFmtId="0" fontId="0" fillId="0" borderId="0" xfId="0" quotePrefix="1" applyAlignment="1">
      <alignment horizontal="center" shrinkToFit="1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7" fillId="0" borderId="0" xfId="14" applyFont="1" applyAlignment="1">
      <alignment vertical="center"/>
    </xf>
    <xf numFmtId="0" fontId="28" fillId="0" borderId="0" xfId="14" applyFont="1" applyAlignment="1">
      <alignment vertical="center"/>
    </xf>
    <xf numFmtId="22" fontId="27" fillId="0" borderId="0" xfId="14" applyNumberFormat="1" applyFont="1" applyAlignment="1">
      <alignment horizontal="center" vertical="center"/>
    </xf>
    <xf numFmtId="0" fontId="27" fillId="0" borderId="0" xfId="14" applyFont="1" applyFill="1" applyAlignment="1">
      <alignment vertical="center"/>
    </xf>
    <xf numFmtId="0" fontId="20" fillId="0" borderId="0" xfId="14" applyFont="1" applyAlignment="1">
      <alignment vertical="center"/>
    </xf>
    <xf numFmtId="0" fontId="27" fillId="0" borderId="0" xfId="14" applyFont="1" applyAlignment="1">
      <alignment horizontal="centerContinuous" vertical="center"/>
    </xf>
    <xf numFmtId="0" fontId="20" fillId="0" borderId="81" xfId="14" applyFont="1" applyBorder="1" applyAlignment="1">
      <alignment vertical="center"/>
    </xf>
    <xf numFmtId="0" fontId="27" fillId="0" borderId="82" xfId="14" applyFont="1" applyBorder="1" applyAlignment="1">
      <alignment horizontal="centerContinuous" vertical="center"/>
    </xf>
    <xf numFmtId="0" fontId="27" fillId="0" borderId="82" xfId="14" applyFont="1" applyBorder="1" applyAlignment="1">
      <alignment vertical="center"/>
    </xf>
    <xf numFmtId="0" fontId="27" fillId="0" borderId="83" xfId="14" applyFont="1" applyBorder="1" applyAlignment="1">
      <alignment vertical="center"/>
    </xf>
    <xf numFmtId="0" fontId="20" fillId="0" borderId="84" xfId="14" applyFont="1" applyBorder="1" applyAlignment="1">
      <alignment vertical="center"/>
    </xf>
    <xf numFmtId="0" fontId="27" fillId="0" borderId="0" xfId="14" applyFont="1" applyBorder="1" applyAlignment="1">
      <alignment horizontal="centerContinuous" vertical="center"/>
    </xf>
    <xf numFmtId="0" fontId="27" fillId="0" borderId="0" xfId="14" applyFont="1" applyBorder="1" applyAlignment="1">
      <alignment vertical="center"/>
    </xf>
    <xf numFmtId="0" fontId="27" fillId="0" borderId="85" xfId="14" applyFont="1" applyBorder="1" applyAlignment="1">
      <alignment vertical="center"/>
    </xf>
    <xf numFmtId="0" fontId="20" fillId="0" borderId="86" xfId="14" applyFont="1" applyBorder="1" applyAlignment="1">
      <alignment horizontal="left" vertical="center" indent="1"/>
    </xf>
    <xf numFmtId="0" fontId="27" fillId="0" borderId="87" xfId="14" applyFont="1" applyBorder="1" applyAlignment="1">
      <alignment horizontal="centerContinuous" vertical="center"/>
    </xf>
    <xf numFmtId="0" fontId="27" fillId="0" borderId="87" xfId="14" applyFont="1" applyBorder="1" applyAlignment="1">
      <alignment vertical="center"/>
    </xf>
    <xf numFmtId="0" fontId="27" fillId="0" borderId="88" xfId="14" applyFont="1" applyBorder="1" applyAlignment="1">
      <alignment vertical="center"/>
    </xf>
    <xf numFmtId="0" fontId="21" fillId="0" borderId="0" xfId="14" applyFont="1" applyFill="1" applyAlignment="1">
      <alignment horizontal="center" vertical="center"/>
    </xf>
    <xf numFmtId="0" fontId="27" fillId="0" borderId="81" xfId="14" applyFont="1" applyBorder="1" applyAlignment="1">
      <alignment horizontal="center" vertical="center"/>
    </xf>
    <xf numFmtId="0" fontId="27" fillId="0" borderId="82" xfId="14" applyFont="1" applyBorder="1" applyAlignment="1">
      <alignment horizontal="center" vertical="center"/>
    </xf>
    <xf numFmtId="3" fontId="27" fillId="0" borderId="82" xfId="14" applyNumberFormat="1" applyFont="1" applyBorder="1" applyAlignment="1">
      <alignment horizontal="center" vertical="center"/>
    </xf>
    <xf numFmtId="9" fontId="27" fillId="0" borderId="83" xfId="14" applyNumberFormat="1" applyFont="1" applyBorder="1" applyAlignment="1">
      <alignment horizontal="center" vertical="center"/>
    </xf>
    <xf numFmtId="0" fontId="27" fillId="0" borderId="84" xfId="14" applyFont="1" applyBorder="1" applyAlignment="1">
      <alignment horizontal="center" vertical="center"/>
    </xf>
    <xf numFmtId="14" fontId="27" fillId="0" borderId="0" xfId="14" applyNumberFormat="1" applyFont="1" applyBorder="1" applyAlignment="1">
      <alignment horizontal="center" vertical="center"/>
    </xf>
    <xf numFmtId="0" fontId="27" fillId="0" borderId="0" xfId="14" applyFont="1" applyBorder="1" applyAlignment="1">
      <alignment horizontal="center" vertical="center"/>
    </xf>
    <xf numFmtId="9" fontId="27" fillId="0" borderId="85" xfId="14" applyNumberFormat="1" applyFont="1" applyBorder="1" applyAlignment="1">
      <alignment horizontal="center" vertical="center"/>
    </xf>
    <xf numFmtId="3" fontId="27" fillId="0" borderId="0" xfId="14" applyNumberFormat="1" applyFont="1" applyAlignment="1">
      <alignment vertical="center"/>
    </xf>
    <xf numFmtId="0" fontId="27" fillId="0" borderId="84" xfId="14" applyFont="1" applyFill="1" applyBorder="1" applyAlignment="1">
      <alignment horizontal="center" vertical="center"/>
    </xf>
    <xf numFmtId="0" fontId="27" fillId="0" borderId="0" xfId="14" applyFont="1" applyFill="1" applyBorder="1" applyAlignment="1">
      <alignment horizontal="center" vertical="center"/>
    </xf>
    <xf numFmtId="9" fontId="27" fillId="0" borderId="0" xfId="14" applyNumberFormat="1" applyFont="1" applyBorder="1" applyAlignment="1">
      <alignment horizontal="center" vertical="center"/>
    </xf>
    <xf numFmtId="0" fontId="27" fillId="0" borderId="86" xfId="14" applyFont="1" applyBorder="1" applyAlignment="1">
      <alignment horizontal="center" vertical="center"/>
    </xf>
    <xf numFmtId="3" fontId="27" fillId="0" borderId="87" xfId="14" applyNumberFormat="1" applyFont="1" applyBorder="1" applyAlignment="1">
      <alignment horizontal="center" vertical="center"/>
    </xf>
    <xf numFmtId="0" fontId="27" fillId="0" borderId="87" xfId="14" applyFont="1" applyBorder="1" applyAlignment="1">
      <alignment horizontal="center" vertical="center"/>
    </xf>
    <xf numFmtId="9" fontId="27" fillId="0" borderId="87" xfId="14" applyNumberFormat="1" applyFont="1" applyBorder="1" applyAlignment="1">
      <alignment horizontal="center" vertical="center"/>
    </xf>
    <xf numFmtId="9" fontId="27" fillId="0" borderId="88" xfId="14" applyNumberFormat="1" applyFont="1" applyBorder="1" applyAlignment="1">
      <alignment horizontal="center" vertical="center"/>
    </xf>
    <xf numFmtId="0" fontId="27" fillId="0" borderId="0" xfId="14" applyFont="1" applyAlignment="1">
      <alignment horizontal="center" vertical="center"/>
    </xf>
    <xf numFmtId="2" fontId="27" fillId="0" borderId="82" xfId="14" applyNumberFormat="1" applyFont="1" applyBorder="1" applyAlignment="1">
      <alignment horizontal="center" vertical="center"/>
    </xf>
    <xf numFmtId="2" fontId="27" fillId="0" borderId="83" xfId="14" applyNumberFormat="1" applyFont="1" applyBorder="1" applyAlignment="1">
      <alignment horizontal="center" vertical="center"/>
    </xf>
    <xf numFmtId="2" fontId="27" fillId="0" borderId="87" xfId="14" applyNumberFormat="1" applyFont="1" applyBorder="1" applyAlignment="1">
      <alignment horizontal="center" vertical="center"/>
    </xf>
    <xf numFmtId="2" fontId="27" fillId="0" borderId="88" xfId="14" applyNumberFormat="1" applyFont="1" applyBorder="1" applyAlignment="1">
      <alignment horizontal="center" vertical="center"/>
    </xf>
    <xf numFmtId="2" fontId="27" fillId="0" borderId="0" xfId="14" applyNumberFormat="1" applyFont="1" applyAlignment="1">
      <alignment horizontal="center" vertical="center"/>
    </xf>
    <xf numFmtId="176" fontId="25" fillId="0" borderId="0" xfId="14" applyNumberFormat="1" applyFont="1" applyAlignment="1">
      <alignment horizontal="center" vertical="center"/>
    </xf>
    <xf numFmtId="3" fontId="25" fillId="0" borderId="0" xfId="14" applyNumberFormat="1" applyFont="1" applyAlignment="1">
      <alignment horizontal="center" vertical="center"/>
    </xf>
    <xf numFmtId="0" fontId="25" fillId="0" borderId="0" xfId="14" applyFont="1" applyAlignment="1">
      <alignment horizontal="center" vertical="center"/>
    </xf>
    <xf numFmtId="0" fontId="27" fillId="0" borderId="94" xfId="14" applyNumberFormat="1" applyFont="1" applyFill="1" applyBorder="1" applyAlignment="1">
      <alignment horizontal="center" vertical="center"/>
    </xf>
    <xf numFmtId="3" fontId="27" fillId="0" borderId="0" xfId="14" applyNumberFormat="1" applyFont="1" applyBorder="1" applyAlignment="1">
      <alignment horizontal="center" vertical="center"/>
    </xf>
    <xf numFmtId="3" fontId="25" fillId="0" borderId="94" xfId="14" applyNumberFormat="1" applyFont="1" applyFill="1" applyBorder="1" applyAlignment="1">
      <alignment horizontal="center" vertical="center"/>
    </xf>
    <xf numFmtId="0" fontId="27" fillId="0" borderId="0" xfId="14" quotePrefix="1" applyFont="1" applyAlignment="1">
      <alignment vertical="center"/>
    </xf>
    <xf numFmtId="3" fontId="27" fillId="0" borderId="0" xfId="14" applyNumberFormat="1" applyFont="1" applyAlignment="1">
      <alignment horizontal="center" vertical="center"/>
    </xf>
    <xf numFmtId="41" fontId="27" fillId="0" borderId="0" xfId="14" applyNumberFormat="1" applyFont="1" applyAlignment="1">
      <alignment horizontal="center" vertical="center"/>
    </xf>
    <xf numFmtId="190" fontId="27" fillId="0" borderId="0" xfId="14" applyNumberFormat="1" applyFont="1" applyAlignment="1">
      <alignment horizontal="center" vertical="center"/>
    </xf>
    <xf numFmtId="0" fontId="20" fillId="0" borderId="92" xfId="14" applyFont="1" applyFill="1" applyBorder="1" applyAlignment="1">
      <alignment horizontal="center" vertical="center"/>
    </xf>
    <xf numFmtId="3" fontId="29" fillId="0" borderId="91" xfId="14" applyNumberFormat="1" applyFont="1" applyBorder="1" applyAlignment="1">
      <alignment horizontal="center" vertical="center"/>
    </xf>
    <xf numFmtId="3" fontId="29" fillId="0" borderId="92" xfId="14" applyNumberFormat="1" applyFont="1" applyFill="1" applyBorder="1" applyAlignment="1">
      <alignment horizontal="center" vertical="center"/>
    </xf>
    <xf numFmtId="3" fontId="25" fillId="0" borderId="0" xfId="14" applyNumberFormat="1" applyFont="1" applyAlignment="1">
      <alignment vertical="center"/>
    </xf>
    <xf numFmtId="0" fontId="21" fillId="0" borderId="0" xfId="14" applyFont="1" applyFill="1" applyAlignment="1">
      <alignment vertical="center"/>
    </xf>
    <xf numFmtId="0" fontId="20" fillId="0" borderId="81" xfId="14" applyFont="1" applyFill="1" applyBorder="1" applyAlignment="1">
      <alignment horizontal="center" vertical="center"/>
    </xf>
    <xf numFmtId="0" fontId="20" fillId="0" borderId="82" xfId="14" applyFont="1" applyFill="1" applyBorder="1" applyAlignment="1">
      <alignment horizontal="center" vertical="center"/>
    </xf>
    <xf numFmtId="0" fontId="20" fillId="0" borderId="83" xfId="14" applyFont="1" applyFill="1" applyBorder="1" applyAlignment="1">
      <alignment horizontal="center" vertical="center"/>
    </xf>
    <xf numFmtId="0" fontId="20" fillId="0" borderId="84" xfId="14" applyFont="1" applyFill="1" applyBorder="1" applyAlignment="1">
      <alignment horizontal="center" vertical="center"/>
    </xf>
    <xf numFmtId="3" fontId="27" fillId="0" borderId="0" xfId="14" applyNumberFormat="1" applyFont="1" applyFill="1" applyBorder="1" applyAlignment="1">
      <alignment horizontal="center" vertical="center"/>
    </xf>
    <xf numFmtId="3" fontId="27" fillId="0" borderId="85" xfId="14" applyNumberFormat="1" applyFont="1" applyFill="1" applyBorder="1" applyAlignment="1">
      <alignment horizontal="center" vertical="center"/>
    </xf>
    <xf numFmtId="0" fontId="20" fillId="0" borderId="86" xfId="14" applyFont="1" applyFill="1" applyBorder="1" applyAlignment="1">
      <alignment horizontal="center" vertical="center"/>
    </xf>
    <xf numFmtId="3" fontId="27" fillId="0" borderId="87" xfId="14" applyNumberFormat="1" applyFont="1" applyFill="1" applyBorder="1" applyAlignment="1">
      <alignment horizontal="center" vertical="center"/>
    </xf>
    <xf numFmtId="3" fontId="27" fillId="0" borderId="88" xfId="14" applyNumberFormat="1" applyFont="1" applyFill="1" applyBorder="1" applyAlignment="1">
      <alignment horizontal="center" vertical="center"/>
    </xf>
    <xf numFmtId="3" fontId="20" fillId="0" borderId="0" xfId="14" applyNumberFormat="1" applyFont="1" applyAlignment="1">
      <alignment horizontal="center" vertical="center"/>
    </xf>
    <xf numFmtId="0" fontId="20" fillId="0" borderId="0" xfId="14" applyFont="1" applyAlignment="1">
      <alignment horizontal="center" vertical="center" wrapText="1"/>
    </xf>
    <xf numFmtId="0" fontId="20" fillId="0" borderId="0" xfId="14" applyFont="1" applyAlignment="1">
      <alignment horizontal="center" vertical="center"/>
    </xf>
    <xf numFmtId="0" fontId="21" fillId="0" borderId="81" xfId="14" applyFont="1" applyFill="1" applyBorder="1" applyAlignment="1">
      <alignment horizontal="center" vertical="center"/>
    </xf>
    <xf numFmtId="0" fontId="20" fillId="0" borderId="82" xfId="14" applyFont="1" applyBorder="1" applyAlignment="1">
      <alignment horizontal="center" vertical="center" wrapText="1"/>
    </xf>
    <xf numFmtId="0" fontId="20" fillId="0" borderId="82" xfId="14" applyFont="1" applyBorder="1" applyAlignment="1">
      <alignment horizontal="center" vertical="center"/>
    </xf>
    <xf numFmtId="0" fontId="20" fillId="0" borderId="83" xfId="14" applyFont="1" applyBorder="1" applyAlignment="1">
      <alignment horizontal="center" vertical="center"/>
    </xf>
    <xf numFmtId="0" fontId="29" fillId="0" borderId="84" xfId="14" applyFont="1" applyFill="1" applyBorder="1" applyAlignment="1">
      <alignment horizontal="center" vertical="center" shrinkToFit="1"/>
    </xf>
    <xf numFmtId="3" fontId="27" fillId="0" borderId="0" xfId="14" applyNumberFormat="1" applyFont="1" applyBorder="1" applyAlignment="1">
      <alignment horizontal="center" vertical="center" wrapText="1"/>
    </xf>
    <xf numFmtId="3" fontId="27" fillId="0" borderId="85" xfId="14" applyNumberFormat="1" applyFont="1" applyBorder="1" applyAlignment="1">
      <alignment horizontal="center" vertical="center"/>
    </xf>
    <xf numFmtId="0" fontId="29" fillId="0" borderId="84" xfId="14" applyFont="1" applyFill="1" applyBorder="1" applyAlignment="1">
      <alignment horizontal="center" vertical="center"/>
    </xf>
    <xf numFmtId="0" fontId="29" fillId="0" borderId="0" xfId="14" applyFont="1" applyFill="1" applyAlignment="1">
      <alignment horizontal="center" vertical="center"/>
    </xf>
    <xf numFmtId="0" fontId="30" fillId="0" borderId="0" xfId="14" applyFont="1" applyFill="1" applyAlignment="1">
      <alignment vertical="center"/>
    </xf>
    <xf numFmtId="0" fontId="29" fillId="0" borderId="86" xfId="14" applyFont="1" applyFill="1" applyBorder="1" applyAlignment="1">
      <alignment horizontal="center" vertical="center"/>
    </xf>
    <xf numFmtId="3" fontId="20" fillId="0" borderId="87" xfId="14" applyNumberFormat="1" applyFont="1" applyBorder="1" applyAlignment="1">
      <alignment horizontal="center" vertical="center"/>
    </xf>
    <xf numFmtId="3" fontId="20" fillId="0" borderId="88" xfId="14" applyNumberFormat="1" applyFont="1" applyBorder="1" applyAlignment="1">
      <alignment horizontal="center" vertical="center"/>
    </xf>
    <xf numFmtId="0" fontId="27" fillId="0" borderId="0" xfId="14" applyFont="1" applyFill="1" applyAlignment="1">
      <alignment horizontal="center" vertical="center"/>
    </xf>
    <xf numFmtId="0" fontId="27" fillId="0" borderId="84" xfId="14" applyNumberFormat="1" applyFont="1" applyBorder="1" applyAlignment="1">
      <alignment horizontal="center" vertical="center"/>
    </xf>
    <xf numFmtId="0" fontId="27" fillId="0" borderId="0" xfId="14" applyNumberFormat="1" applyFont="1" applyBorder="1" applyAlignment="1">
      <alignment horizontal="center" vertical="center"/>
    </xf>
    <xf numFmtId="10" fontId="27" fillId="0" borderId="0" xfId="3" applyNumberFormat="1" applyFont="1" applyBorder="1" applyAlignment="1">
      <alignment horizontal="center" vertical="center"/>
    </xf>
    <xf numFmtId="3" fontId="27" fillId="0" borderId="84" xfId="14" applyNumberFormat="1" applyFont="1" applyBorder="1" applyAlignment="1">
      <alignment horizontal="center" vertical="center"/>
    </xf>
    <xf numFmtId="190" fontId="27" fillId="0" borderId="0" xfId="14" applyNumberFormat="1" applyFont="1" applyFill="1" applyBorder="1" applyAlignment="1">
      <alignment horizontal="center" vertical="center"/>
    </xf>
    <xf numFmtId="10" fontId="20" fillId="0" borderId="91" xfId="3" applyNumberFormat="1" applyFont="1" applyBorder="1" applyAlignment="1">
      <alignment horizontal="center" vertical="center"/>
    </xf>
    <xf numFmtId="3" fontId="20" fillId="0" borderId="91" xfId="3" applyNumberFormat="1" applyFont="1" applyBorder="1" applyAlignment="1">
      <alignment horizontal="center" vertical="center"/>
    </xf>
    <xf numFmtId="3" fontId="20" fillId="0" borderId="90" xfId="14" applyNumberFormat="1" applyFont="1" applyBorder="1" applyAlignment="1">
      <alignment horizontal="center" vertical="center"/>
    </xf>
    <xf numFmtId="3" fontId="20" fillId="0" borderId="91" xfId="14" applyNumberFormat="1" applyFont="1" applyBorder="1" applyAlignment="1">
      <alignment horizontal="center" vertical="center"/>
    </xf>
    <xf numFmtId="3" fontId="20" fillId="0" borderId="89" xfId="14" applyNumberFormat="1" applyFont="1" applyBorder="1" applyAlignment="1">
      <alignment horizontal="center" vertical="center"/>
    </xf>
    <xf numFmtId="0" fontId="27" fillId="0" borderId="91" xfId="14" applyFont="1" applyBorder="1" applyAlignment="1">
      <alignment horizontal="centerContinuous" vertical="center"/>
    </xf>
    <xf numFmtId="190" fontId="20" fillId="0" borderId="89" xfId="14" applyNumberFormat="1" applyFont="1" applyFill="1" applyBorder="1" applyAlignment="1">
      <alignment horizontal="centerContinuous" vertical="center"/>
    </xf>
    <xf numFmtId="202" fontId="27" fillId="0" borderId="0" xfId="14" applyNumberFormat="1" applyFont="1" applyAlignment="1">
      <alignment vertical="center"/>
    </xf>
    <xf numFmtId="3" fontId="27" fillId="0" borderId="84" xfId="14" applyNumberFormat="1" applyFont="1" applyFill="1" applyBorder="1" applyAlignment="1">
      <alignment horizontal="center" vertical="center"/>
    </xf>
    <xf numFmtId="190" fontId="27" fillId="0" borderId="0" xfId="14" applyNumberFormat="1" applyFont="1" applyBorder="1" applyAlignment="1">
      <alignment horizontal="center" vertical="center"/>
    </xf>
    <xf numFmtId="0" fontId="27" fillId="0" borderId="89" xfId="14" applyFont="1" applyBorder="1" applyAlignment="1">
      <alignment horizontal="centerContinuous" vertical="center"/>
    </xf>
    <xf numFmtId="190" fontId="27" fillId="0" borderId="0" xfId="14" applyNumberFormat="1" applyFont="1" applyAlignment="1">
      <alignment vertical="center"/>
    </xf>
    <xf numFmtId="10" fontId="27" fillId="0" borderId="0" xfId="3" applyNumberFormat="1" applyFont="1" applyAlignment="1">
      <alignment vertical="center"/>
    </xf>
    <xf numFmtId="190" fontId="20" fillId="0" borderId="0" xfId="14" applyNumberFormat="1" applyFont="1" applyAlignment="1">
      <alignment horizontal="center" vertical="center"/>
    </xf>
    <xf numFmtId="0" fontId="27" fillId="4" borderId="84" xfId="14" applyNumberFormat="1" applyFont="1" applyFill="1" applyBorder="1" applyAlignment="1">
      <alignment horizontal="center" vertical="center"/>
    </xf>
    <xf numFmtId="0" fontId="27" fillId="4" borderId="0" xfId="14" applyNumberFormat="1" applyFont="1" applyFill="1" applyBorder="1" applyAlignment="1">
      <alignment horizontal="center" vertical="center"/>
    </xf>
    <xf numFmtId="10" fontId="27" fillId="4" borderId="0" xfId="3" applyNumberFormat="1" applyFont="1" applyFill="1" applyBorder="1" applyAlignment="1">
      <alignment horizontal="center" vertical="center"/>
    </xf>
    <xf numFmtId="3" fontId="27" fillId="4" borderId="0" xfId="14" applyNumberFormat="1" applyFont="1" applyFill="1" applyBorder="1" applyAlignment="1">
      <alignment horizontal="center" vertical="center"/>
    </xf>
    <xf numFmtId="3" fontId="27" fillId="4" borderId="85" xfId="14" applyNumberFormat="1" applyFont="1" applyFill="1" applyBorder="1" applyAlignment="1">
      <alignment horizontal="center" vertical="center"/>
    </xf>
    <xf numFmtId="3" fontId="27" fillId="4" borderId="84" xfId="14" applyNumberFormat="1" applyFont="1" applyFill="1" applyBorder="1" applyAlignment="1">
      <alignment horizontal="center" vertical="center"/>
    </xf>
    <xf numFmtId="190" fontId="27" fillId="4" borderId="0" xfId="14" applyNumberFormat="1" applyFont="1" applyFill="1" applyBorder="1" applyAlignment="1">
      <alignment horizontal="center" vertical="center"/>
    </xf>
    <xf numFmtId="0" fontId="20" fillId="0" borderId="89" xfId="14" applyFont="1" applyBorder="1" applyAlignment="1">
      <alignment horizontal="centerContinuous" vertical="center"/>
    </xf>
    <xf numFmtId="0" fontId="21" fillId="14" borderId="0" xfId="0" applyFont="1" applyFill="1" applyAlignment="1">
      <alignment vertical="center"/>
    </xf>
    <xf numFmtId="0" fontId="29" fillId="9" borderId="82" xfId="14" applyNumberFormat="1" applyFont="1" applyFill="1" applyBorder="1" applyAlignment="1">
      <alignment horizontal="center" vertical="center"/>
    </xf>
    <xf numFmtId="14" fontId="29" fillId="9" borderId="87" xfId="14" applyNumberFormat="1" applyFont="1" applyFill="1" applyBorder="1" applyAlignment="1">
      <alignment horizontal="center" vertical="center"/>
    </xf>
    <xf numFmtId="0" fontId="20" fillId="9" borderId="90" xfId="14" applyFont="1" applyFill="1" applyBorder="1" applyAlignment="1">
      <alignment horizontal="centerContinuous" vertical="center"/>
    </xf>
    <xf numFmtId="0" fontId="27" fillId="9" borderId="91" xfId="14" applyFont="1" applyFill="1" applyBorder="1" applyAlignment="1">
      <alignment horizontal="centerContinuous" vertical="center"/>
    </xf>
    <xf numFmtId="0" fontId="27" fillId="9" borderId="89" xfId="14" applyFont="1" applyFill="1" applyBorder="1" applyAlignment="1">
      <alignment horizontal="centerContinuous" vertical="center"/>
    </xf>
    <xf numFmtId="0" fontId="20" fillId="9" borderId="91" xfId="14" applyFont="1" applyFill="1" applyBorder="1" applyAlignment="1">
      <alignment horizontal="centerContinuous" vertical="center"/>
    </xf>
    <xf numFmtId="0" fontId="20" fillId="9" borderId="89" xfId="14" applyFont="1" applyFill="1" applyBorder="1" applyAlignment="1">
      <alignment horizontal="centerContinuous" vertical="center"/>
    </xf>
    <xf numFmtId="0" fontId="29" fillId="9" borderId="90" xfId="14" applyFont="1" applyFill="1" applyBorder="1" applyAlignment="1">
      <alignment horizontal="center" vertical="center"/>
    </xf>
    <xf numFmtId="0" fontId="29" fillId="9" borderId="91" xfId="14" applyFont="1" applyFill="1" applyBorder="1" applyAlignment="1">
      <alignment horizontal="center" vertical="center"/>
    </xf>
    <xf numFmtId="0" fontId="20" fillId="9" borderId="91" xfId="14" applyFont="1" applyFill="1" applyBorder="1" applyAlignment="1">
      <alignment horizontal="center" vertical="center"/>
    </xf>
    <xf numFmtId="0" fontId="20" fillId="9" borderId="90" xfId="14" applyFont="1" applyFill="1" applyBorder="1" applyAlignment="1">
      <alignment horizontal="center" vertical="center"/>
    </xf>
    <xf numFmtId="0" fontId="20" fillId="9" borderId="89" xfId="14" applyFont="1" applyFill="1" applyBorder="1" applyAlignment="1">
      <alignment horizontal="center" vertical="center"/>
    </xf>
    <xf numFmtId="41" fontId="20" fillId="0" borderId="0" xfId="6" applyFont="1" applyAlignment="1">
      <alignment vertical="center"/>
    </xf>
    <xf numFmtId="0" fontId="27" fillId="0" borderId="0" xfId="0" applyFont="1" applyFill="1" applyAlignment="1">
      <alignment vertical="center"/>
    </xf>
    <xf numFmtId="41" fontId="35" fillId="0" borderId="0" xfId="6" applyFont="1" applyAlignment="1">
      <alignment vertical="center"/>
    </xf>
    <xf numFmtId="0" fontId="21" fillId="24" borderId="0" xfId="0" applyFont="1" applyFill="1" applyAlignment="1">
      <alignment vertical="center"/>
    </xf>
    <xf numFmtId="0" fontId="25" fillId="24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41" fontId="36" fillId="0" borderId="0" xfId="6" applyFont="1" applyAlignment="1">
      <alignment vertical="center"/>
    </xf>
    <xf numFmtId="0" fontId="37" fillId="0" borderId="0" xfId="5" applyFont="1">
      <alignment vertical="center"/>
    </xf>
    <xf numFmtId="0" fontId="38" fillId="0" borderId="0" xfId="5" applyFont="1">
      <alignment vertical="center"/>
    </xf>
    <xf numFmtId="0" fontId="20" fillId="5" borderId="58" xfId="0" applyFont="1" applyFill="1" applyBorder="1" applyAlignment="1">
      <alignment horizontal="center" vertical="center"/>
    </xf>
    <xf numFmtId="0" fontId="39" fillId="0" borderId="0" xfId="0" applyFont="1" applyBorder="1"/>
    <xf numFmtId="0" fontId="38" fillId="0" borderId="0" xfId="5" applyFont="1" applyBorder="1">
      <alignment vertical="center"/>
    </xf>
    <xf numFmtId="0" fontId="25" fillId="0" borderId="0" xfId="0" applyFont="1" applyFill="1" applyBorder="1" applyAlignment="1">
      <alignment vertical="center"/>
    </xf>
    <xf numFmtId="0" fontId="20" fillId="5" borderId="54" xfId="0" applyFont="1" applyFill="1" applyBorder="1" applyAlignment="1">
      <alignment horizontal="center" vertical="center"/>
    </xf>
    <xf numFmtId="0" fontId="20" fillId="5" borderId="56" xfId="0" applyFont="1" applyFill="1" applyBorder="1" applyAlignment="1">
      <alignment horizontal="center" vertical="center"/>
    </xf>
    <xf numFmtId="0" fontId="37" fillId="0" borderId="0" xfId="5" applyFont="1" applyBorder="1">
      <alignment vertical="center"/>
    </xf>
    <xf numFmtId="0" fontId="20" fillId="5" borderId="59" xfId="0" applyFont="1" applyFill="1" applyBorder="1" applyAlignment="1">
      <alignment horizontal="center" vertical="center"/>
    </xf>
    <xf numFmtId="0" fontId="20" fillId="5" borderId="60" xfId="0" applyFont="1" applyFill="1" applyBorder="1" applyAlignment="1">
      <alignment horizontal="center" vertical="center"/>
    </xf>
    <xf numFmtId="0" fontId="25" fillId="0" borderId="0" xfId="0" applyFont="1" applyBorder="1" applyAlignment="1">
      <alignment horizontal="center" vertical="center" wrapText="1"/>
    </xf>
    <xf numFmtId="186" fontId="25" fillId="0" borderId="55" xfId="0" applyNumberFormat="1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185" fontId="25" fillId="0" borderId="57" xfId="0" applyNumberFormat="1" applyFont="1" applyBorder="1" applyAlignment="1">
      <alignment horizontal="center" vertical="center" wrapText="1"/>
    </xf>
    <xf numFmtId="41" fontId="27" fillId="0" borderId="54" xfId="0" applyNumberFormat="1" applyFont="1" applyBorder="1" applyAlignment="1">
      <alignment horizontal="center" vertical="center"/>
    </xf>
    <xf numFmtId="41" fontId="27" fillId="0" borderId="0" xfId="0" applyNumberFormat="1" applyFont="1" applyBorder="1" applyAlignment="1">
      <alignment horizontal="center" vertical="center"/>
    </xf>
    <xf numFmtId="10" fontId="27" fillId="0" borderId="55" xfId="3" applyNumberFormat="1" applyFont="1" applyBorder="1" applyAlignment="1">
      <alignment horizontal="center" vertical="center"/>
    </xf>
    <xf numFmtId="41" fontId="20" fillId="0" borderId="50" xfId="0" applyNumberFormat="1" applyFont="1" applyBorder="1" applyAlignment="1">
      <alignment horizontal="center" vertical="center"/>
    </xf>
    <xf numFmtId="10" fontId="20" fillId="0" borderId="57" xfId="3" applyNumberFormat="1" applyFont="1" applyBorder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right" vertical="center"/>
    </xf>
    <xf numFmtId="0" fontId="21" fillId="0" borderId="0" xfId="0" applyFont="1" applyFill="1" applyAlignment="1">
      <alignment vertical="center"/>
    </xf>
    <xf numFmtId="0" fontId="20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0" fillId="5" borderId="5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41" fontId="20" fillId="0" borderId="0" xfId="2" applyFont="1" applyAlignment="1">
      <alignment horizontal="right" vertical="center"/>
    </xf>
    <xf numFmtId="0" fontId="27" fillId="0" borderId="0" xfId="0" applyFont="1" applyAlignment="1">
      <alignment horizontal="center" vertical="center"/>
    </xf>
    <xf numFmtId="41" fontId="27" fillId="0" borderId="0" xfId="2" applyFont="1" applyAlignment="1">
      <alignment horizontal="right" vertical="center"/>
    </xf>
    <xf numFmtId="0" fontId="40" fillId="0" borderId="0" xfId="0" applyFont="1" applyAlignment="1">
      <alignment vertical="center"/>
    </xf>
    <xf numFmtId="0" fontId="20" fillId="0" borderId="0" xfId="0" applyFont="1" applyFill="1" applyAlignment="1">
      <alignment horizontal="center" vertical="center"/>
    </xf>
    <xf numFmtId="0" fontId="20" fillId="0" borderId="45" xfId="0" applyFont="1" applyFill="1" applyBorder="1" applyAlignment="1">
      <alignment horizontal="center" vertical="center"/>
    </xf>
    <xf numFmtId="41" fontId="20" fillId="0" borderId="45" xfId="2" applyFont="1" applyBorder="1" applyAlignment="1">
      <alignment horizontal="right" vertical="center"/>
    </xf>
    <xf numFmtId="0" fontId="27" fillId="0" borderId="45" xfId="0" applyFont="1" applyBorder="1" applyAlignment="1">
      <alignment horizontal="center" vertical="center"/>
    </xf>
    <xf numFmtId="41" fontId="20" fillId="0" borderId="0" xfId="2" applyFont="1" applyFill="1" applyAlignment="1">
      <alignment horizontal="right" vertical="center"/>
    </xf>
    <xf numFmtId="0" fontId="27" fillId="0" borderId="0" xfId="0" applyFont="1" applyFill="1" applyAlignment="1">
      <alignment horizontal="center" vertical="center"/>
    </xf>
    <xf numFmtId="41" fontId="27" fillId="0" borderId="0" xfId="2" applyFont="1" applyFill="1" applyAlignment="1">
      <alignment horizontal="right" vertical="center"/>
    </xf>
    <xf numFmtId="0" fontId="27" fillId="0" borderId="45" xfId="0" applyFont="1" applyFill="1" applyBorder="1" applyAlignment="1">
      <alignment horizontal="center" vertical="center"/>
    </xf>
    <xf numFmtId="41" fontId="27" fillId="0" borderId="45" xfId="2" applyFont="1" applyFill="1" applyBorder="1" applyAlignment="1">
      <alignment horizontal="right" vertical="center"/>
    </xf>
    <xf numFmtId="181" fontId="20" fillId="0" borderId="0" xfId="2" applyNumberFormat="1" applyFont="1" applyFill="1" applyAlignment="1">
      <alignment horizontal="right" vertical="center"/>
    </xf>
    <xf numFmtId="0" fontId="20" fillId="0" borderId="0" xfId="0" applyFont="1" applyFill="1" applyAlignment="1">
      <alignment horizontal="center" vertical="center" shrinkToFit="1"/>
    </xf>
    <xf numFmtId="41" fontId="27" fillId="0" borderId="0" xfId="2" applyFont="1" applyFill="1">
      <alignment vertical="center"/>
    </xf>
    <xf numFmtId="41" fontId="21" fillId="2" borderId="0" xfId="2" applyFont="1" applyFill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1" fontId="21" fillId="0" borderId="0" xfId="2" applyFont="1" applyFill="1" applyAlignment="1">
      <alignment horizontal="center" vertical="center"/>
    </xf>
    <xf numFmtId="0" fontId="40" fillId="0" borderId="0" xfId="0" applyFont="1" applyFill="1" applyAlignment="1">
      <alignment vertical="center"/>
    </xf>
    <xf numFmtId="0" fontId="41" fillId="0" borderId="0" xfId="0" applyFont="1" applyAlignment="1">
      <alignment horizontal="center" vertical="center"/>
    </xf>
    <xf numFmtId="181" fontId="20" fillId="0" borderId="51" xfId="2" applyNumberFormat="1" applyFont="1" applyBorder="1" applyAlignment="1">
      <alignment horizontal="right" vertical="center"/>
    </xf>
    <xf numFmtId="0" fontId="42" fillId="8" borderId="0" xfId="0" applyFont="1" applyFill="1" applyAlignment="1">
      <alignment horizontal="center" vertical="center"/>
    </xf>
    <xf numFmtId="0" fontId="43" fillId="0" borderId="0" xfId="0" applyFont="1" applyAlignment="1">
      <alignment vertical="center"/>
    </xf>
    <xf numFmtId="181" fontId="27" fillId="8" borderId="52" xfId="2" applyNumberFormat="1" applyFont="1" applyFill="1" applyBorder="1" applyAlignment="1">
      <alignment horizontal="right" vertical="center"/>
    </xf>
    <xf numFmtId="194" fontId="27" fillId="0" borderId="52" xfId="0" applyNumberFormat="1" applyFont="1" applyBorder="1" applyAlignment="1">
      <alignment horizontal="right" vertical="center"/>
    </xf>
    <xf numFmtId="10" fontId="45" fillId="0" borderId="53" xfId="3" applyNumberFormat="1" applyFont="1" applyBorder="1" applyAlignment="1">
      <alignment horizontal="right" vertical="center"/>
    </xf>
    <xf numFmtId="10" fontId="27" fillId="0" borderId="51" xfId="0" applyNumberFormat="1" applyFont="1" applyBorder="1" applyAlignment="1">
      <alignment horizontal="right" vertical="center"/>
    </xf>
    <xf numFmtId="9" fontId="20" fillId="0" borderId="31" xfId="0" applyNumberFormat="1" applyFont="1" applyBorder="1" applyAlignment="1">
      <alignment horizontal="right"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vertical="center"/>
    </xf>
    <xf numFmtId="9" fontId="20" fillId="0" borderId="0" xfId="0" applyNumberFormat="1" applyFont="1" applyBorder="1" applyAlignment="1">
      <alignment horizontal="right" vertical="center"/>
    </xf>
    <xf numFmtId="177" fontId="27" fillId="0" borderId="0" xfId="0" applyNumberFormat="1" applyFont="1" applyAlignment="1">
      <alignment horizontal="center" vertical="center"/>
    </xf>
    <xf numFmtId="180" fontId="27" fillId="0" borderId="0" xfId="0" applyNumberFormat="1" applyFont="1" applyAlignment="1">
      <alignment horizontal="center" vertical="center"/>
    </xf>
    <xf numFmtId="177" fontId="27" fillId="0" borderId="45" xfId="0" applyNumberFormat="1" applyFont="1" applyBorder="1" applyAlignment="1">
      <alignment horizontal="center" vertical="center"/>
    </xf>
    <xf numFmtId="177" fontId="20" fillId="0" borderId="0" xfId="0" applyNumberFormat="1" applyFont="1" applyAlignment="1">
      <alignment horizontal="center" vertical="center"/>
    </xf>
    <xf numFmtId="0" fontId="27" fillId="0" borderId="0" xfId="0" applyFont="1" applyBorder="1" applyAlignment="1">
      <alignment vertical="center"/>
    </xf>
    <xf numFmtId="180" fontId="27" fillId="0" borderId="45" xfId="0" applyNumberFormat="1" applyFont="1" applyBorder="1" applyAlignment="1">
      <alignment horizontal="center" vertical="center"/>
    </xf>
    <xf numFmtId="3" fontId="20" fillId="0" borderId="80" xfId="0" applyNumberFormat="1" applyFont="1" applyBorder="1" applyAlignment="1">
      <alignment horizontal="center"/>
    </xf>
    <xf numFmtId="0" fontId="37" fillId="8" borderId="0" xfId="5" applyFont="1" applyFill="1">
      <alignment vertical="center"/>
    </xf>
    <xf numFmtId="0" fontId="37" fillId="0" borderId="0" xfId="5" quotePrefix="1" applyFont="1" applyFill="1">
      <alignment vertical="center"/>
    </xf>
    <xf numFmtId="0" fontId="38" fillId="0" borderId="0" xfId="5" applyFont="1" applyFill="1">
      <alignment vertical="center"/>
    </xf>
    <xf numFmtId="41" fontId="38" fillId="0" borderId="0" xfId="5" applyNumberFormat="1" applyFont="1" applyAlignment="1">
      <alignment horizontal="center" vertical="center"/>
    </xf>
    <xf numFmtId="3" fontId="48" fillId="0" borderId="0" xfId="5" applyNumberFormat="1" applyFont="1" applyBorder="1" applyAlignment="1">
      <alignment horizontal="center" vertical="center" wrapText="1"/>
    </xf>
    <xf numFmtId="0" fontId="27" fillId="0" borderId="0" xfId="5" applyFont="1">
      <alignment vertical="center"/>
    </xf>
    <xf numFmtId="10" fontId="27" fillId="0" borderId="45" xfId="3" applyNumberFormat="1" applyFont="1" applyBorder="1" applyAlignment="1">
      <alignment horizontal="right" vertical="center"/>
    </xf>
    <xf numFmtId="0" fontId="38" fillId="0" borderId="45" xfId="5" applyFont="1" applyBorder="1">
      <alignment vertical="center"/>
    </xf>
    <xf numFmtId="0" fontId="37" fillId="0" borderId="0" xfId="0" applyFont="1" applyAlignment="1">
      <alignment horizontal="center" vertical="center"/>
    </xf>
    <xf numFmtId="3" fontId="27" fillId="0" borderId="0" xfId="5" applyNumberFormat="1" applyFont="1" applyAlignment="1">
      <alignment horizontal="center" vertical="center"/>
    </xf>
    <xf numFmtId="0" fontId="30" fillId="0" borderId="0" xfId="0" applyFont="1" applyAlignment="1">
      <alignment vertical="center"/>
    </xf>
    <xf numFmtId="0" fontId="25" fillId="0" borderId="0" xfId="0" applyFont="1"/>
    <xf numFmtId="0" fontId="49" fillId="0" borderId="0" xfId="0" applyFont="1" applyAlignment="1">
      <alignment vertical="center"/>
    </xf>
    <xf numFmtId="0" fontId="21" fillId="25" borderId="72" xfId="0" applyFont="1" applyFill="1" applyBorder="1" applyAlignment="1"/>
    <xf numFmtId="0" fontId="27" fillId="0" borderId="72" xfId="0" applyFont="1" applyBorder="1" applyAlignment="1">
      <alignment horizontal="center" vertical="center"/>
    </xf>
    <xf numFmtId="0" fontId="21" fillId="0" borderId="0" xfId="0" applyFont="1" applyFill="1" applyBorder="1" applyAlignment="1">
      <alignment horizontal="left"/>
    </xf>
    <xf numFmtId="0" fontId="27" fillId="0" borderId="0" xfId="0" applyFont="1" applyFill="1" applyBorder="1" applyAlignment="1">
      <alignment horizontal="center" vertical="center"/>
    </xf>
    <xf numFmtId="0" fontId="29" fillId="10" borderId="72" xfId="0" applyFont="1" applyFill="1" applyBorder="1" applyAlignment="1">
      <alignment horizontal="center"/>
    </xf>
    <xf numFmtId="0" fontId="20" fillId="10" borderId="72" xfId="0" applyFont="1" applyFill="1" applyBorder="1" applyAlignment="1">
      <alignment horizontal="center" vertical="center"/>
    </xf>
    <xf numFmtId="14" fontId="27" fillId="0" borderId="72" xfId="0" applyNumberFormat="1" applyFont="1" applyBorder="1" applyAlignment="1">
      <alignment horizontal="center" vertical="center"/>
    </xf>
    <xf numFmtId="0" fontId="27" fillId="0" borderId="72" xfId="0" applyFont="1" applyBorder="1" applyAlignment="1">
      <alignment horizontal="left" vertical="center"/>
    </xf>
    <xf numFmtId="0" fontId="27" fillId="0" borderId="72" xfId="0" applyFont="1" applyBorder="1" applyAlignment="1">
      <alignment horizontal="centerContinuous" vertical="center"/>
    </xf>
    <xf numFmtId="0" fontId="21" fillId="25" borderId="72" xfId="0" applyFont="1" applyFill="1" applyBorder="1" applyAlignment="1">
      <alignment horizontal="left"/>
    </xf>
    <xf numFmtId="0" fontId="25" fillId="15" borderId="72" xfId="0" applyFont="1" applyFill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14" fontId="29" fillId="15" borderId="72" xfId="0" applyNumberFormat="1" applyFont="1" applyFill="1" applyBorder="1" applyAlignment="1">
      <alignment horizontal="center" vertical="center"/>
    </xf>
    <xf numFmtId="3" fontId="25" fillId="0" borderId="72" xfId="0" applyNumberFormat="1" applyFont="1" applyBorder="1" applyAlignment="1">
      <alignment horizontal="center" vertical="center"/>
    </xf>
    <xf numFmtId="3" fontId="27" fillId="0" borderId="72" xfId="0" applyNumberFormat="1" applyFont="1" applyBorder="1" applyAlignment="1">
      <alignment horizontal="center" vertical="center"/>
    </xf>
    <xf numFmtId="190" fontId="20" fillId="15" borderId="72" xfId="0" applyNumberFormat="1" applyFont="1" applyFill="1" applyBorder="1" applyAlignment="1">
      <alignment horizontal="center" vertical="center"/>
    </xf>
    <xf numFmtId="0" fontId="29" fillId="10" borderId="72" xfId="0" applyFont="1" applyFill="1" applyBorder="1" applyAlignment="1"/>
    <xf numFmtId="41" fontId="20" fillId="15" borderId="72" xfId="0" applyNumberFormat="1" applyFont="1" applyFill="1" applyBorder="1" applyAlignment="1">
      <alignment horizontal="center" vertical="center"/>
    </xf>
    <xf numFmtId="3" fontId="20" fillId="15" borderId="72" xfId="0" applyNumberFormat="1" applyFont="1" applyFill="1" applyBorder="1" applyAlignment="1">
      <alignment horizontal="center" vertical="center"/>
    </xf>
    <xf numFmtId="14" fontId="27" fillId="0" borderId="0" xfId="0" applyNumberFormat="1" applyFont="1" applyAlignment="1">
      <alignment vertical="center"/>
    </xf>
    <xf numFmtId="3" fontId="27" fillId="0" borderId="0" xfId="0" applyNumberFormat="1" applyFont="1" applyAlignment="1">
      <alignment vertical="center"/>
    </xf>
    <xf numFmtId="10" fontId="27" fillId="0" borderId="0" xfId="0" applyNumberFormat="1" applyFont="1" applyAlignment="1">
      <alignment vertical="center"/>
    </xf>
    <xf numFmtId="190" fontId="27" fillId="0" borderId="72" xfId="0" applyNumberFormat="1" applyFont="1" applyBorder="1" applyAlignment="1">
      <alignment horizontal="center" vertical="center"/>
    </xf>
    <xf numFmtId="4" fontId="27" fillId="0" borderId="72" xfId="0" applyNumberFormat="1" applyFont="1" applyBorder="1" applyAlignment="1">
      <alignment horizontal="center" vertical="center"/>
    </xf>
    <xf numFmtId="10" fontId="45" fillId="0" borderId="72" xfId="3" applyNumberFormat="1" applyFont="1" applyBorder="1" applyAlignment="1">
      <alignment horizontal="center" vertical="center"/>
    </xf>
    <xf numFmtId="0" fontId="27" fillId="0" borderId="0" xfId="0" applyFont="1" applyAlignment="1">
      <alignment vertical="center" wrapText="1"/>
    </xf>
    <xf numFmtId="0" fontId="27" fillId="0" borderId="0" xfId="0" applyFont="1" applyAlignment="1">
      <alignment horizontal="left" vertical="center" indent="1"/>
    </xf>
    <xf numFmtId="0" fontId="49" fillId="0" borderId="0" xfId="0" applyFont="1" applyFill="1" applyAlignment="1">
      <alignment vertical="center"/>
    </xf>
    <xf numFmtId="0" fontId="50" fillId="0" borderId="0" xfId="0" applyFont="1" applyFill="1" applyAlignment="1">
      <alignment horizontal="left" vertical="center"/>
    </xf>
    <xf numFmtId="0" fontId="29" fillId="10" borderId="73" xfId="0" applyFont="1" applyFill="1" applyBorder="1" applyAlignment="1">
      <alignment horizontal="center"/>
    </xf>
    <xf numFmtId="196" fontId="20" fillId="15" borderId="72" xfId="0" applyNumberFormat="1" applyFont="1" applyFill="1" applyBorder="1" applyAlignment="1">
      <alignment horizontal="center"/>
    </xf>
    <xf numFmtId="10" fontId="51" fillId="15" borderId="72" xfId="3" applyNumberFormat="1" applyFont="1" applyFill="1" applyBorder="1" applyAlignment="1">
      <alignment horizontal="center"/>
    </xf>
    <xf numFmtId="9" fontId="51" fillId="0" borderId="72" xfId="0" applyNumberFormat="1" applyFont="1" applyBorder="1" applyAlignment="1">
      <alignment horizontal="center"/>
    </xf>
    <xf numFmtId="0" fontId="20" fillId="10" borderId="72" xfId="0" applyFont="1" applyFill="1" applyBorder="1" applyAlignment="1">
      <alignment vertical="center" wrapText="1"/>
    </xf>
    <xf numFmtId="0" fontId="29" fillId="10" borderId="72" xfId="0" applyFont="1" applyFill="1" applyBorder="1" applyAlignment="1">
      <alignment horizontal="center" vertical="center"/>
    </xf>
    <xf numFmtId="0" fontId="27" fillId="0" borderId="72" xfId="0" applyFont="1" applyBorder="1" applyAlignment="1">
      <alignment vertical="center" wrapText="1"/>
    </xf>
    <xf numFmtId="0" fontId="20" fillId="15" borderId="72" xfId="0" applyFont="1" applyFill="1" applyBorder="1" applyAlignment="1">
      <alignment horizontal="center" vertical="center" wrapText="1"/>
    </xf>
    <xf numFmtId="0" fontId="20" fillId="15" borderId="72" xfId="0" quotePrefix="1" applyFont="1" applyFill="1" applyBorder="1" applyAlignment="1">
      <alignment horizontal="center" vertical="center" wrapText="1"/>
    </xf>
    <xf numFmtId="0" fontId="29" fillId="15" borderId="72" xfId="0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 indent="1"/>
    </xf>
    <xf numFmtId="0" fontId="21" fillId="27" borderId="72" xfId="0" applyFont="1" applyFill="1" applyBorder="1" applyAlignment="1">
      <alignment horizontal="center" vertical="center"/>
    </xf>
    <xf numFmtId="0" fontId="27" fillId="0" borderId="72" xfId="0" quotePrefix="1" applyFont="1" applyBorder="1" applyAlignment="1">
      <alignment vertical="center" wrapText="1"/>
    </xf>
    <xf numFmtId="0" fontId="40" fillId="0" borderId="0" xfId="0" applyFont="1"/>
    <xf numFmtId="0" fontId="54" fillId="0" borderId="0" xfId="0" applyFont="1" applyBorder="1" applyAlignment="1">
      <alignment horizontal="left" vertical="center"/>
    </xf>
    <xf numFmtId="14" fontId="27" fillId="0" borderId="0" xfId="0" applyNumberFormat="1" applyFont="1" applyBorder="1" applyAlignment="1">
      <alignment horizontal="left" vertical="center"/>
    </xf>
    <xf numFmtId="0" fontId="27" fillId="0" borderId="0" xfId="0" applyFont="1" applyBorder="1" applyAlignment="1">
      <alignment horizontal="left" vertical="center"/>
    </xf>
    <xf numFmtId="198" fontId="27" fillId="0" borderId="0" xfId="0" applyNumberFormat="1" applyFont="1" applyBorder="1" applyAlignment="1">
      <alignment horizontal="left" vertical="center"/>
    </xf>
    <xf numFmtId="0" fontId="20" fillId="0" borderId="0" xfId="0" applyFont="1" applyBorder="1" applyAlignment="1">
      <alignment horizontal="left"/>
    </xf>
    <xf numFmtId="0" fontId="27" fillId="0" borderId="0" xfId="0" applyFont="1" applyBorder="1" applyAlignment="1">
      <alignment horizontal="center" vertical="center"/>
    </xf>
    <xf numFmtId="0" fontId="25" fillId="0" borderId="0" xfId="0" quotePrefix="1" applyFont="1" applyAlignment="1">
      <alignment horizontal="center"/>
    </xf>
    <xf numFmtId="0" fontId="25" fillId="0" borderId="0" xfId="0" applyFont="1" applyAlignment="1">
      <alignment horizontal="left" vertical="center"/>
    </xf>
    <xf numFmtId="14" fontId="27" fillId="0" borderId="0" xfId="0" applyNumberFormat="1" applyFont="1" applyAlignment="1">
      <alignment horizontal="left" vertical="center"/>
    </xf>
    <xf numFmtId="198" fontId="27" fillId="0" borderId="0" xfId="0" applyNumberFormat="1" applyFont="1" applyAlignment="1">
      <alignment horizontal="center" vertical="center"/>
    </xf>
    <xf numFmtId="14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55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198" fontId="29" fillId="0" borderId="0" xfId="0" applyNumberFormat="1" applyFont="1" applyAlignment="1">
      <alignment horizontal="center" vertical="center"/>
    </xf>
    <xf numFmtId="49" fontId="36" fillId="0" borderId="32" xfId="0" applyNumberFormat="1" applyFont="1" applyBorder="1" applyAlignment="1">
      <alignment horizontal="left" vertical="center"/>
    </xf>
    <xf numFmtId="14" fontId="29" fillId="0" borderId="32" xfId="0" applyNumberFormat="1" applyFont="1" applyBorder="1" applyAlignment="1">
      <alignment horizontal="left" vertical="center"/>
    </xf>
    <xf numFmtId="49" fontId="29" fillId="0" borderId="32" xfId="0" applyNumberFormat="1" applyFont="1" applyBorder="1" applyAlignment="1">
      <alignment horizontal="left" vertical="center"/>
    </xf>
    <xf numFmtId="198" fontId="29" fillId="0" borderId="32" xfId="0" applyNumberFormat="1" applyFont="1" applyBorder="1" applyAlignment="1">
      <alignment horizontal="left" vertical="center"/>
    </xf>
    <xf numFmtId="49" fontId="29" fillId="0" borderId="32" xfId="0" applyNumberFormat="1" applyFont="1" applyBorder="1" applyAlignment="1">
      <alignment horizontal="center" vertical="center"/>
    </xf>
    <xf numFmtId="0" fontId="29" fillId="0" borderId="0" xfId="0" applyNumberFormat="1" applyFont="1" applyBorder="1" applyAlignment="1">
      <alignment horizontal="left" vertical="center"/>
    </xf>
    <xf numFmtId="14" fontId="29" fillId="0" borderId="0" xfId="0" applyNumberFormat="1" applyFont="1" applyBorder="1" applyAlignment="1">
      <alignment horizontal="left" vertical="center"/>
    </xf>
    <xf numFmtId="49" fontId="29" fillId="0" borderId="0" xfId="0" applyNumberFormat="1" applyFont="1" applyBorder="1" applyAlignment="1">
      <alignment horizontal="center" vertical="center"/>
    </xf>
    <xf numFmtId="198" fontId="29" fillId="0" borderId="0" xfId="0" applyNumberFormat="1" applyFont="1" applyBorder="1" applyAlignment="1">
      <alignment horizontal="center" vertical="center"/>
    </xf>
    <xf numFmtId="14" fontId="29" fillId="0" borderId="0" xfId="0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4" fontId="29" fillId="0" borderId="1" xfId="0" applyNumberFormat="1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198" fontId="29" fillId="0" borderId="1" xfId="0" applyNumberFormat="1" applyFont="1" applyBorder="1" applyAlignment="1">
      <alignment horizontal="center" vertical="center"/>
    </xf>
    <xf numFmtId="0" fontId="25" fillId="18" borderId="0" xfId="0" applyFont="1" applyFill="1" applyAlignment="1">
      <alignment horizontal="center" vertical="center" shrinkToFit="1"/>
    </xf>
    <xf numFmtId="14" fontId="27" fillId="22" borderId="0" xfId="2" applyNumberFormat="1" applyFont="1" applyFill="1" applyAlignment="1">
      <alignment horizontal="center" vertical="center" shrinkToFit="1"/>
    </xf>
    <xf numFmtId="41" fontId="27" fillId="22" borderId="0" xfId="2" applyFont="1" applyFill="1" applyAlignment="1">
      <alignment horizontal="center" vertical="center" shrinkToFit="1"/>
    </xf>
    <xf numFmtId="0" fontId="25" fillId="0" borderId="0" xfId="0" applyFont="1" applyAlignment="1">
      <alignment horizontal="center" vertical="center"/>
    </xf>
    <xf numFmtId="0" fontId="39" fillId="0" borderId="0" xfId="0" applyFont="1"/>
    <xf numFmtId="0" fontId="38" fillId="0" borderId="0" xfId="0" applyFont="1" applyAlignment="1">
      <alignment horizontal="center" vertical="center"/>
    </xf>
    <xf numFmtId="0" fontId="57" fillId="0" borderId="0" xfId="0" applyFont="1" applyAlignment="1">
      <alignment vertical="center"/>
    </xf>
    <xf numFmtId="0" fontId="52" fillId="0" borderId="0" xfId="5" applyFont="1">
      <alignment vertical="center"/>
    </xf>
    <xf numFmtId="14" fontId="52" fillId="0" borderId="0" xfId="5" applyNumberFormat="1" applyFont="1">
      <alignment vertical="center"/>
    </xf>
    <xf numFmtId="0" fontId="59" fillId="0" borderId="0" xfId="5" applyFont="1">
      <alignment vertical="center"/>
    </xf>
    <xf numFmtId="0" fontId="60" fillId="0" borderId="0" xfId="5" applyFont="1">
      <alignment vertical="center"/>
    </xf>
    <xf numFmtId="0" fontId="52" fillId="0" borderId="97" xfId="5" applyFont="1" applyBorder="1" applyAlignment="1">
      <alignment horizontal="center" vertical="center" wrapText="1"/>
    </xf>
    <xf numFmtId="0" fontId="52" fillId="0" borderId="97" xfId="5" applyFont="1" applyBorder="1" applyAlignment="1">
      <alignment horizontal="left" vertical="center" wrapText="1" indent="1"/>
    </xf>
    <xf numFmtId="180" fontId="52" fillId="18" borderId="97" xfId="5" applyNumberFormat="1" applyFont="1" applyFill="1" applyBorder="1" applyAlignment="1">
      <alignment horizontal="center" vertical="center" wrapText="1"/>
    </xf>
    <xf numFmtId="0" fontId="21" fillId="14" borderId="0" xfId="0" applyFont="1" applyFill="1"/>
    <xf numFmtId="0" fontId="29" fillId="14" borderId="0" xfId="0" applyFont="1" applyFill="1"/>
    <xf numFmtId="0" fontId="25" fillId="14" borderId="0" xfId="0" applyFont="1" applyFill="1"/>
    <xf numFmtId="0" fontId="25" fillId="0" borderId="32" xfId="0" applyFont="1" applyBorder="1"/>
    <xf numFmtId="0" fontId="29" fillId="0" borderId="0" xfId="0" quotePrefix="1" applyNumberFormat="1" applyFont="1"/>
    <xf numFmtId="0" fontId="21" fillId="19" borderId="0" xfId="0" applyFont="1" applyFill="1"/>
    <xf numFmtId="0" fontId="30" fillId="19" borderId="0" xfId="0" applyFont="1" applyFill="1"/>
    <xf numFmtId="0" fontId="20" fillId="10" borderId="32" xfId="0" applyFont="1" applyFill="1" applyBorder="1"/>
    <xf numFmtId="0" fontId="27" fillId="10" borderId="32" xfId="0" applyFont="1" applyFill="1" applyBorder="1"/>
    <xf numFmtId="0" fontId="61" fillId="0" borderId="25" xfId="0" applyFont="1" applyBorder="1"/>
    <xf numFmtId="0" fontId="36" fillId="0" borderId="25" xfId="0" applyFont="1" applyBorder="1"/>
    <xf numFmtId="0" fontId="25" fillId="0" borderId="25" xfId="0" applyFont="1" applyBorder="1"/>
    <xf numFmtId="0" fontId="20" fillId="18" borderId="97" xfId="0" applyFont="1" applyFill="1" applyBorder="1" applyAlignment="1">
      <alignment horizontal="center" vertical="center" wrapText="1"/>
    </xf>
    <xf numFmtId="14" fontId="20" fillId="18" borderId="97" xfId="0" applyNumberFormat="1" applyFont="1" applyFill="1" applyBorder="1" applyAlignment="1">
      <alignment horizontal="center" vertical="center" wrapText="1"/>
    </xf>
    <xf numFmtId="3" fontId="62" fillId="0" borderId="96" xfId="0" applyNumberFormat="1" applyFont="1" applyBorder="1" applyAlignment="1">
      <alignment horizontal="center" vertical="center" wrapText="1"/>
    </xf>
    <xf numFmtId="3" fontId="62" fillId="20" borderId="97" xfId="0" applyNumberFormat="1" applyFont="1" applyFill="1" applyBorder="1" applyAlignment="1">
      <alignment horizontal="center" vertical="center" wrapText="1"/>
    </xf>
    <xf numFmtId="0" fontId="20" fillId="10" borderId="97" xfId="0" applyFont="1" applyFill="1" applyBorder="1" applyAlignment="1">
      <alignment horizontal="left" vertical="center" wrapText="1"/>
    </xf>
    <xf numFmtId="3" fontId="62" fillId="0" borderId="97" xfId="0" applyNumberFormat="1" applyFont="1" applyBorder="1" applyAlignment="1">
      <alignment horizontal="center" vertical="center" wrapText="1"/>
    </xf>
    <xf numFmtId="0" fontId="63" fillId="0" borderId="0" xfId="0" applyFont="1"/>
    <xf numFmtId="0" fontId="27" fillId="10" borderId="97" xfId="0" applyFont="1" applyFill="1" applyBorder="1" applyAlignment="1">
      <alignment horizontal="left" vertical="center" wrapText="1"/>
    </xf>
    <xf numFmtId="0" fontId="64" fillId="0" borderId="0" xfId="0" applyFont="1"/>
    <xf numFmtId="0" fontId="29" fillId="0" borderId="0" xfId="0" applyFont="1"/>
    <xf numFmtId="0" fontId="65" fillId="0" borderId="0" xfId="0" applyFont="1"/>
    <xf numFmtId="0" fontId="36" fillId="0" borderId="0" xfId="0" applyFont="1"/>
    <xf numFmtId="0" fontId="29" fillId="0" borderId="0" xfId="0" applyFont="1" applyAlignment="1"/>
    <xf numFmtId="0" fontId="29" fillId="6" borderId="4" xfId="0" applyFont="1" applyFill="1" applyBorder="1" applyAlignment="1">
      <alignment horizontal="center" vertical="center" wrapText="1"/>
    </xf>
    <xf numFmtId="0" fontId="29" fillId="6" borderId="5" xfId="0" applyFont="1" applyFill="1" applyBorder="1" applyAlignment="1">
      <alignment horizontal="center" vertical="center" wrapText="1"/>
    </xf>
    <xf numFmtId="3" fontId="62" fillId="0" borderId="7" xfId="0" applyNumberFormat="1" applyFont="1" applyBorder="1" applyAlignment="1">
      <alignment horizontal="center" vertical="center" wrapText="1"/>
    </xf>
    <xf numFmtId="10" fontId="62" fillId="0" borderId="7" xfId="3" applyNumberFormat="1" applyFont="1" applyBorder="1" applyAlignment="1">
      <alignment horizontal="center" vertical="center" wrapText="1"/>
    </xf>
    <xf numFmtId="0" fontId="56" fillId="6" borderId="4" xfId="0" applyFont="1" applyFill="1" applyBorder="1" applyAlignment="1">
      <alignment horizontal="center" vertical="center" wrapText="1"/>
    </xf>
    <xf numFmtId="0" fontId="38" fillId="0" borderId="4" xfId="5" applyFont="1" applyFill="1" applyBorder="1" applyAlignment="1">
      <alignment horizontal="center" vertical="center"/>
    </xf>
    <xf numFmtId="3" fontId="38" fillId="0" borderId="4" xfId="5" applyNumberFormat="1" applyFont="1" applyFill="1" applyBorder="1" applyAlignment="1">
      <alignment horizontal="center" vertical="center"/>
    </xf>
    <xf numFmtId="0" fontId="66" fillId="0" borderId="0" xfId="5" applyFont="1">
      <alignment vertical="center"/>
    </xf>
    <xf numFmtId="14" fontId="38" fillId="0" borderId="4" xfId="5" applyNumberFormat="1" applyFont="1" applyFill="1" applyBorder="1" applyAlignment="1">
      <alignment horizontal="center" vertical="center"/>
    </xf>
    <xf numFmtId="183" fontId="37" fillId="0" borderId="4" xfId="5" applyNumberFormat="1" applyFont="1" applyFill="1" applyBorder="1" applyAlignment="1">
      <alignment horizontal="center" vertical="center"/>
    </xf>
    <xf numFmtId="0" fontId="67" fillId="0" borderId="0" xfId="5" applyFont="1">
      <alignment vertical="center"/>
    </xf>
    <xf numFmtId="14" fontId="38" fillId="0" borderId="0" xfId="5" applyNumberFormat="1" applyFont="1">
      <alignment vertical="center"/>
    </xf>
    <xf numFmtId="0" fontId="38" fillId="0" borderId="4" xfId="5" applyFont="1" applyBorder="1" applyAlignment="1">
      <alignment horizontal="center" vertical="center"/>
    </xf>
    <xf numFmtId="0" fontId="56" fillId="6" borderId="5" xfId="0" applyFont="1" applyFill="1" applyBorder="1" applyAlignment="1">
      <alignment horizontal="center" vertical="center" wrapText="1"/>
    </xf>
    <xf numFmtId="0" fontId="68" fillId="6" borderId="4" xfId="5" applyFont="1" applyFill="1" applyBorder="1" applyAlignment="1">
      <alignment horizontal="center" vertical="center" wrapText="1"/>
    </xf>
    <xf numFmtId="0" fontId="56" fillId="0" borderId="20" xfId="0" applyFont="1" applyBorder="1" applyAlignment="1">
      <alignment horizontal="center" vertical="center" wrapText="1"/>
    </xf>
    <xf numFmtId="186" fontId="56" fillId="0" borderId="20" xfId="0" applyNumberFormat="1" applyFont="1" applyBorder="1" applyAlignment="1">
      <alignment horizontal="center" vertical="center" wrapText="1"/>
    </xf>
    <xf numFmtId="0" fontId="56" fillId="0" borderId="19" xfId="0" applyFont="1" applyBorder="1" applyAlignment="1">
      <alignment horizontal="center" vertical="center" wrapText="1"/>
    </xf>
    <xf numFmtId="200" fontId="56" fillId="0" borderId="19" xfId="0" applyNumberFormat="1" applyFont="1" applyBorder="1" applyAlignment="1">
      <alignment horizontal="center" vertical="center" wrapText="1"/>
    </xf>
    <xf numFmtId="0" fontId="68" fillId="6" borderId="5" xfId="5" applyFont="1" applyFill="1" applyBorder="1" applyAlignment="1">
      <alignment horizontal="center" vertical="center" wrapText="1"/>
    </xf>
    <xf numFmtId="198" fontId="48" fillId="0" borderId="6" xfId="5" applyNumberFormat="1" applyFont="1" applyBorder="1" applyAlignment="1">
      <alignment horizontal="center" vertical="center" wrapText="1"/>
    </xf>
    <xf numFmtId="0" fontId="38" fillId="0" borderId="7" xfId="5" applyFont="1" applyBorder="1" applyAlignment="1">
      <alignment horizontal="center" vertical="center" wrapText="1"/>
    </xf>
    <xf numFmtId="3" fontId="38" fillId="0" borderId="7" xfId="5" applyNumberFormat="1" applyFont="1" applyBorder="1" applyAlignment="1">
      <alignment horizontal="center" vertical="center" wrapText="1"/>
    </xf>
    <xf numFmtId="2" fontId="38" fillId="0" borderId="7" xfId="5" applyNumberFormat="1" applyFont="1" applyBorder="1" applyAlignment="1">
      <alignment horizontal="center" vertical="center" wrapText="1"/>
    </xf>
    <xf numFmtId="3" fontId="37" fillId="35" borderId="7" xfId="5" applyNumberFormat="1" applyFont="1" applyFill="1" applyBorder="1" applyAlignment="1">
      <alignment horizontal="center" vertical="center" wrapText="1"/>
    </xf>
    <xf numFmtId="4" fontId="37" fillId="35" borderId="7" xfId="5" applyNumberFormat="1" applyFont="1" applyFill="1" applyBorder="1" applyAlignment="1">
      <alignment horizontal="center" vertical="center" wrapText="1"/>
    </xf>
    <xf numFmtId="3" fontId="38" fillId="0" borderId="0" xfId="5" applyNumberFormat="1" applyFont="1">
      <alignment vertical="center"/>
    </xf>
    <xf numFmtId="0" fontId="68" fillId="6" borderId="4" xfId="0" applyFont="1" applyFill="1" applyBorder="1" applyAlignment="1">
      <alignment horizontal="center" vertical="center" wrapText="1"/>
    </xf>
    <xf numFmtId="0" fontId="37" fillId="6" borderId="5" xfId="0" applyFont="1" applyFill="1" applyBorder="1" applyAlignment="1">
      <alignment horizontal="center" vertical="center" wrapText="1"/>
    </xf>
    <xf numFmtId="0" fontId="37" fillId="0" borderId="0" xfId="5" applyFont="1" applyAlignment="1">
      <alignment horizontal="right" vertical="center"/>
    </xf>
    <xf numFmtId="0" fontId="68" fillId="6" borderId="5" xfId="0" applyFont="1" applyFill="1" applyBorder="1" applyAlignment="1">
      <alignment horizontal="center" vertical="center" wrapText="1"/>
    </xf>
    <xf numFmtId="0" fontId="68" fillId="34" borderId="4" xfId="0" applyFont="1" applyFill="1" applyBorder="1" applyAlignment="1">
      <alignment horizontal="center" vertical="center" wrapText="1"/>
    </xf>
    <xf numFmtId="0" fontId="68" fillId="11" borderId="6" xfId="0" applyFont="1" applyFill="1" applyBorder="1" applyAlignment="1">
      <alignment horizontal="left" vertical="center" wrapText="1"/>
    </xf>
    <xf numFmtId="3" fontId="68" fillId="0" borderId="7" xfId="0" applyNumberFormat="1" applyFont="1" applyBorder="1" applyAlignment="1">
      <alignment horizontal="center" vertical="center" wrapText="1"/>
    </xf>
    <xf numFmtId="178" fontId="38" fillId="7" borderId="6" xfId="5" applyNumberFormat="1" applyFont="1" applyFill="1" applyBorder="1" applyAlignment="1">
      <alignment horizontal="center" vertical="center" wrapText="1"/>
    </xf>
    <xf numFmtId="3" fontId="48" fillId="0" borderId="7" xfId="5" applyNumberFormat="1" applyFont="1" applyBorder="1" applyAlignment="1">
      <alignment horizontal="center" vertical="center" wrapText="1"/>
    </xf>
    <xf numFmtId="178" fontId="38" fillId="0" borderId="6" xfId="5" applyNumberFormat="1" applyFont="1" applyFill="1" applyBorder="1" applyAlignment="1">
      <alignment horizontal="center" vertical="center" wrapText="1"/>
    </xf>
    <xf numFmtId="198" fontId="48" fillId="0" borderId="7" xfId="5" applyNumberFormat="1" applyFont="1" applyBorder="1" applyAlignment="1">
      <alignment horizontal="center" vertical="center" wrapText="1"/>
    </xf>
    <xf numFmtId="4" fontId="48" fillId="0" borderId="7" xfId="5" applyNumberFormat="1" applyFont="1" applyBorder="1" applyAlignment="1">
      <alignment horizontal="center" vertical="center" wrapText="1"/>
    </xf>
    <xf numFmtId="4" fontId="48" fillId="0" borderId="6" xfId="5" applyNumberFormat="1" applyFont="1" applyBorder="1" applyAlignment="1">
      <alignment horizontal="center" vertical="center" wrapText="1"/>
    </xf>
    <xf numFmtId="0" fontId="48" fillId="11" borderId="6" xfId="0" applyFont="1" applyFill="1" applyBorder="1" applyAlignment="1">
      <alignment horizontal="left" vertical="center" wrapText="1" indent="1"/>
    </xf>
    <xf numFmtId="3" fontId="48" fillId="0" borderId="7" xfId="0" applyNumberFormat="1" applyFont="1" applyBorder="1" applyAlignment="1">
      <alignment horizontal="center" vertical="center" wrapText="1"/>
    </xf>
    <xf numFmtId="0" fontId="48" fillId="11" borderId="6" xfId="0" applyFont="1" applyFill="1" applyBorder="1" applyAlignment="1">
      <alignment horizontal="left" vertical="center" indent="1" shrinkToFit="1"/>
    </xf>
    <xf numFmtId="0" fontId="68" fillId="11" borderId="6" xfId="0" applyFont="1" applyFill="1" applyBorder="1" applyAlignment="1">
      <alignment horizontal="center" vertical="center" wrapText="1"/>
    </xf>
    <xf numFmtId="184" fontId="68" fillId="0" borderId="7" xfId="0" applyNumberFormat="1" applyFont="1" applyBorder="1" applyAlignment="1">
      <alignment horizontal="center" vertical="center" wrapText="1"/>
    </xf>
    <xf numFmtId="0" fontId="39" fillId="0" borderId="0" xfId="0" applyFont="1" applyAlignment="1">
      <alignment horizontal="left"/>
    </xf>
    <xf numFmtId="0" fontId="69" fillId="11" borderId="6" xfId="0" applyFont="1" applyFill="1" applyBorder="1" applyAlignment="1">
      <alignment horizontal="center" vertical="center" wrapText="1"/>
    </xf>
    <xf numFmtId="183" fontId="68" fillId="0" borderId="0" xfId="0" applyNumberFormat="1" applyFont="1" applyBorder="1" applyAlignment="1">
      <alignment horizontal="center" vertical="center" wrapText="1"/>
    </xf>
    <xf numFmtId="0" fontId="56" fillId="0" borderId="18" xfId="0" applyFont="1" applyBorder="1" applyAlignment="1">
      <alignment horizontal="center" vertical="center" wrapText="1"/>
    </xf>
    <xf numFmtId="186" fontId="68" fillId="0" borderId="19" xfId="0" applyNumberFormat="1" applyFont="1" applyBorder="1" applyAlignment="1">
      <alignment horizontal="center" vertical="center" wrapText="1"/>
    </xf>
    <xf numFmtId="186" fontId="68" fillId="0" borderId="18" xfId="0" applyNumberFormat="1" applyFont="1" applyBorder="1" applyAlignment="1">
      <alignment horizontal="center" vertical="center" wrapText="1"/>
    </xf>
    <xf numFmtId="187" fontId="68" fillId="0" borderId="19" xfId="0" applyNumberFormat="1" applyFont="1" applyBorder="1" applyAlignment="1">
      <alignment horizontal="center" vertical="center" wrapText="1"/>
    </xf>
    <xf numFmtId="188" fontId="56" fillId="0" borderId="19" xfId="0" applyNumberFormat="1" applyFont="1" applyBorder="1" applyAlignment="1">
      <alignment horizontal="center" vertical="center" wrapText="1"/>
    </xf>
    <xf numFmtId="0" fontId="37" fillId="6" borderId="4" xfId="0" applyFont="1" applyFill="1" applyBorder="1" applyAlignment="1">
      <alignment horizontal="center" vertical="center" wrapText="1"/>
    </xf>
    <xf numFmtId="0" fontId="37" fillId="0" borderId="6" xfId="0" applyFont="1" applyBorder="1" applyAlignment="1">
      <alignment horizontal="center" vertical="center" wrapText="1"/>
    </xf>
    <xf numFmtId="188" fontId="38" fillId="0" borderId="7" xfId="0" applyNumberFormat="1" applyFont="1" applyBorder="1" applyAlignment="1">
      <alignment horizontal="center" vertical="center" wrapText="1"/>
    </xf>
    <xf numFmtId="0" fontId="70" fillId="0" borderId="6" xfId="0" applyFont="1" applyBorder="1" applyAlignment="1">
      <alignment horizontal="center" vertical="center" wrapText="1"/>
    </xf>
    <xf numFmtId="182" fontId="38" fillId="0" borderId="7" xfId="0" applyNumberFormat="1" applyFont="1" applyBorder="1" applyAlignment="1">
      <alignment horizontal="center" vertical="center" wrapText="1"/>
    </xf>
    <xf numFmtId="0" fontId="38" fillId="14" borderId="0" xfId="5" applyFont="1" applyFill="1">
      <alignment vertical="center"/>
    </xf>
    <xf numFmtId="0" fontId="71" fillId="14" borderId="0" xfId="5" applyFont="1" applyFill="1">
      <alignment vertical="center"/>
    </xf>
    <xf numFmtId="0" fontId="37" fillId="35" borderId="0" xfId="5" applyFont="1" applyFill="1">
      <alignment vertical="center"/>
    </xf>
    <xf numFmtId="0" fontId="68" fillId="34" borderId="5" xfId="0" applyFont="1" applyFill="1" applyBorder="1" applyAlignment="1">
      <alignment horizontal="center" vertical="center" wrapText="1"/>
    </xf>
    <xf numFmtId="0" fontId="71" fillId="13" borderId="45" xfId="0" applyFont="1" applyFill="1" applyBorder="1" applyAlignment="1">
      <alignment horizontal="center"/>
    </xf>
    <xf numFmtId="192" fontId="71" fillId="13" borderId="45" xfId="0" applyNumberFormat="1" applyFont="1" applyFill="1" applyBorder="1" applyAlignment="1">
      <alignment horizontal="center"/>
    </xf>
    <xf numFmtId="0" fontId="71" fillId="13" borderId="45" xfId="0" applyFont="1" applyFill="1" applyBorder="1" applyAlignment="1">
      <alignment horizontal="center" shrinkToFit="1"/>
    </xf>
    <xf numFmtId="0" fontId="71" fillId="0" borderId="0" xfId="0" applyFont="1" applyFill="1" applyBorder="1" applyAlignment="1">
      <alignment horizontal="center"/>
    </xf>
    <xf numFmtId="0" fontId="56" fillId="5" borderId="46" xfId="0" applyFont="1" applyFill="1" applyBorder="1" applyAlignment="1">
      <alignment horizontal="center"/>
    </xf>
    <xf numFmtId="14" fontId="56" fillId="5" borderId="46" xfId="0" applyNumberFormat="1" applyFont="1" applyFill="1" applyBorder="1" applyAlignment="1">
      <alignment horizontal="center"/>
    </xf>
    <xf numFmtId="191" fontId="56" fillId="5" borderId="46" xfId="0" applyNumberFormat="1" applyFont="1" applyFill="1" applyBorder="1" applyAlignment="1">
      <alignment horizontal="center"/>
    </xf>
    <xf numFmtId="10" fontId="56" fillId="5" borderId="46" xfId="3" applyNumberFormat="1" applyFont="1" applyFill="1" applyBorder="1" applyAlignment="1">
      <alignment horizontal="center"/>
    </xf>
    <xf numFmtId="10" fontId="56" fillId="5" borderId="46" xfId="0" applyNumberFormat="1" applyFont="1" applyFill="1" applyBorder="1" applyAlignment="1">
      <alignment horizontal="center"/>
    </xf>
    <xf numFmtId="192" fontId="56" fillId="5" borderId="46" xfId="0" applyNumberFormat="1" applyFont="1" applyFill="1" applyBorder="1" applyAlignment="1">
      <alignment horizontal="center"/>
    </xf>
    <xf numFmtId="0" fontId="56" fillId="5" borderId="46" xfId="0" applyFont="1" applyFill="1" applyBorder="1" applyAlignment="1">
      <alignment horizontal="center" shrinkToFit="1"/>
    </xf>
    <xf numFmtId="0" fontId="56" fillId="0" borderId="0" xfId="0" applyFont="1" applyFill="1" applyBorder="1" applyAlignment="1">
      <alignment horizontal="center"/>
    </xf>
    <xf numFmtId="192" fontId="39" fillId="0" borderId="0" xfId="0" applyNumberFormat="1" applyFont="1"/>
    <xf numFmtId="0" fontId="39" fillId="0" borderId="0" xfId="0" applyFont="1" applyAlignment="1">
      <alignment shrinkToFit="1"/>
    </xf>
    <xf numFmtId="0" fontId="38" fillId="0" borderId="0" xfId="0" applyFont="1" applyAlignment="1">
      <alignment vertical="center"/>
    </xf>
    <xf numFmtId="0" fontId="71" fillId="14" borderId="0" xfId="0" applyFont="1" applyFill="1" applyAlignment="1">
      <alignment vertical="center"/>
    </xf>
    <xf numFmtId="14" fontId="71" fillId="14" borderId="0" xfId="0" applyNumberFormat="1" applyFont="1" applyFill="1" applyAlignment="1">
      <alignment horizontal="center" vertical="center"/>
    </xf>
    <xf numFmtId="0" fontId="28" fillId="14" borderId="0" xfId="0" applyFont="1" applyFill="1"/>
    <xf numFmtId="0" fontId="28" fillId="14" borderId="0" xfId="0" applyFont="1" applyFill="1" applyAlignment="1">
      <alignment vertical="center"/>
    </xf>
    <xf numFmtId="41" fontId="38" fillId="0" borderId="0" xfId="0" applyNumberFormat="1" applyFont="1" applyAlignment="1">
      <alignment horizontal="center" vertical="center"/>
    </xf>
    <xf numFmtId="192" fontId="28" fillId="14" borderId="0" xfId="0" applyNumberFormat="1" applyFont="1" applyFill="1" applyAlignment="1">
      <alignment vertical="center"/>
    </xf>
    <xf numFmtId="192" fontId="38" fillId="0" borderId="0" xfId="0" applyNumberFormat="1" applyFont="1" applyAlignment="1">
      <alignment vertical="center"/>
    </xf>
    <xf numFmtId="0" fontId="38" fillId="0" borderId="0" xfId="0" applyFont="1" applyAlignment="1">
      <alignment vertical="center" shrinkToFit="1"/>
    </xf>
    <xf numFmtId="0" fontId="38" fillId="0" borderId="0" xfId="0" applyFont="1" applyBorder="1" applyAlignment="1">
      <alignment vertical="center"/>
    </xf>
    <xf numFmtId="0" fontId="38" fillId="0" borderId="32" xfId="0" applyFont="1" applyBorder="1" applyAlignment="1">
      <alignment vertical="center"/>
    </xf>
    <xf numFmtId="14" fontId="37" fillId="0" borderId="32" xfId="0" applyNumberFormat="1" applyFont="1" applyFill="1" applyBorder="1" applyAlignment="1">
      <alignment horizontal="center" vertical="center"/>
    </xf>
    <xf numFmtId="0" fontId="38" fillId="0" borderId="0" xfId="0" applyFont="1" applyFill="1" applyAlignment="1">
      <alignment vertical="center"/>
    </xf>
    <xf numFmtId="41" fontId="37" fillId="0" borderId="0" xfId="0" applyNumberFormat="1" applyFont="1" applyAlignment="1">
      <alignment horizontal="left" vertical="center"/>
    </xf>
    <xf numFmtId="178" fontId="71" fillId="19" borderId="14" xfId="0" applyNumberFormat="1" applyFont="1" applyFill="1" applyBorder="1" applyAlignment="1">
      <alignment horizontal="center" vertical="center"/>
    </xf>
    <xf numFmtId="0" fontId="38" fillId="22" borderId="13" xfId="0" applyNumberFormat="1" applyFont="1" applyFill="1" applyBorder="1" applyAlignment="1">
      <alignment horizontal="center" vertical="center"/>
    </xf>
    <xf numFmtId="178" fontId="71" fillId="19" borderId="33" xfId="0" applyNumberFormat="1" applyFont="1" applyFill="1" applyBorder="1" applyAlignment="1">
      <alignment horizontal="center" vertical="center"/>
    </xf>
    <xf numFmtId="41" fontId="38" fillId="0" borderId="0" xfId="0" applyNumberFormat="1" applyFont="1" applyFill="1" applyAlignment="1">
      <alignment vertical="center"/>
    </xf>
    <xf numFmtId="0" fontId="39" fillId="0" borderId="24" xfId="0" applyFont="1" applyBorder="1"/>
    <xf numFmtId="0" fontId="39" fillId="0" borderId="25" xfId="0" applyFont="1" applyBorder="1"/>
    <xf numFmtId="192" fontId="39" fillId="0" borderId="25" xfId="0" applyNumberFormat="1" applyFont="1" applyBorder="1"/>
    <xf numFmtId="0" fontId="39" fillId="0" borderId="26" xfId="0" applyFont="1" applyBorder="1"/>
    <xf numFmtId="178" fontId="71" fillId="19" borderId="2" xfId="0" applyNumberFormat="1" applyFont="1" applyFill="1" applyBorder="1" applyAlignment="1">
      <alignment horizontal="center" vertical="center"/>
    </xf>
    <xf numFmtId="14" fontId="38" fillId="18" borderId="3" xfId="0" applyNumberFormat="1" applyFont="1" applyFill="1" applyBorder="1" applyAlignment="1">
      <alignment horizontal="center" vertical="center"/>
    </xf>
    <xf numFmtId="0" fontId="72" fillId="0" borderId="0" xfId="0" applyFont="1" applyAlignment="1">
      <alignment horizontal="center"/>
    </xf>
    <xf numFmtId="195" fontId="37" fillId="10" borderId="33" xfId="0" applyNumberFormat="1" applyFont="1" applyFill="1" applyBorder="1" applyAlignment="1">
      <alignment horizontal="center"/>
    </xf>
    <xf numFmtId="0" fontId="73" fillId="0" borderId="0" xfId="0" applyFont="1" applyFill="1" applyAlignment="1">
      <alignment horizontal="center" vertical="center"/>
    </xf>
    <xf numFmtId="0" fontId="39" fillId="0" borderId="27" xfId="0" applyFont="1" applyBorder="1"/>
    <xf numFmtId="192" fontId="39" fillId="0" borderId="0" xfId="0" applyNumberFormat="1" applyFont="1" applyBorder="1"/>
    <xf numFmtId="0" fontId="39" fillId="0" borderId="28" xfId="0" applyFont="1" applyBorder="1"/>
    <xf numFmtId="14" fontId="38" fillId="22" borderId="3" xfId="0" applyNumberFormat="1" applyFont="1" applyFill="1" applyBorder="1" applyAlignment="1">
      <alignment horizontal="center" vertical="center"/>
    </xf>
    <xf numFmtId="178" fontId="71" fillId="19" borderId="30" xfId="0" applyNumberFormat="1" applyFont="1" applyFill="1" applyBorder="1" applyAlignment="1">
      <alignment horizontal="center" vertical="center"/>
    </xf>
    <xf numFmtId="179" fontId="38" fillId="0" borderId="0" xfId="2" applyNumberFormat="1" applyFont="1" applyAlignment="1">
      <alignment horizontal="center" vertical="center"/>
    </xf>
    <xf numFmtId="41" fontId="38" fillId="0" borderId="0" xfId="0" applyNumberFormat="1" applyFont="1" applyAlignment="1">
      <alignment vertical="center"/>
    </xf>
    <xf numFmtId="178" fontId="71" fillId="19" borderId="34" xfId="0" applyNumberFormat="1" applyFont="1" applyFill="1" applyBorder="1" applyAlignment="1">
      <alignment horizontal="center" vertical="center"/>
    </xf>
    <xf numFmtId="14" fontId="38" fillId="18" borderId="38" xfId="0" applyNumberFormat="1" applyFont="1" applyFill="1" applyBorder="1" applyAlignment="1">
      <alignment horizontal="center" vertical="center"/>
    </xf>
    <xf numFmtId="14" fontId="37" fillId="0" borderId="0" xfId="0" applyNumberFormat="1" applyFont="1" applyAlignment="1">
      <alignment horizontal="center" vertical="center"/>
    </xf>
    <xf numFmtId="195" fontId="37" fillId="10" borderId="32" xfId="0" applyNumberFormat="1" applyFont="1" applyFill="1" applyBorder="1" applyAlignment="1">
      <alignment horizontal="center"/>
    </xf>
    <xf numFmtId="0" fontId="39" fillId="0" borderId="29" xfId="0" applyFont="1" applyBorder="1"/>
    <xf numFmtId="0" fontId="39" fillId="0" borderId="32" xfId="0" applyFont="1" applyBorder="1"/>
    <xf numFmtId="192" fontId="39" fillId="0" borderId="32" xfId="0" applyNumberFormat="1" applyFont="1" applyBorder="1"/>
    <xf numFmtId="0" fontId="39" fillId="0" borderId="31" xfId="0" applyFont="1" applyBorder="1"/>
    <xf numFmtId="178" fontId="37" fillId="0" borderId="0" xfId="0" applyNumberFormat="1" applyFont="1" applyAlignment="1">
      <alignment horizontal="center" vertical="center"/>
    </xf>
    <xf numFmtId="192" fontId="38" fillId="0" borderId="0" xfId="0" applyNumberFormat="1" applyFont="1" applyAlignment="1">
      <alignment horizontal="center" vertical="center"/>
    </xf>
    <xf numFmtId="0" fontId="56" fillId="0" borderId="0" xfId="0" applyFont="1" applyAlignment="1">
      <alignment horizontal="center"/>
    </xf>
    <xf numFmtId="0" fontId="71" fillId="0" borderId="0" xfId="0" applyFont="1" applyFill="1" applyBorder="1" applyAlignment="1">
      <alignment horizontal="center" vertical="center"/>
    </xf>
    <xf numFmtId="0" fontId="67" fillId="15" borderId="0" xfId="0" applyFont="1" applyFill="1" applyAlignment="1">
      <alignment horizontal="center" vertical="center"/>
    </xf>
    <xf numFmtId="0" fontId="71" fillId="19" borderId="0" xfId="0" applyFont="1" applyFill="1" applyAlignment="1">
      <alignment horizontal="center" vertical="center"/>
    </xf>
    <xf numFmtId="178" fontId="71" fillId="0" borderId="0" xfId="0" applyNumberFormat="1" applyFont="1" applyFill="1" applyBorder="1" applyAlignment="1">
      <alignment horizontal="center" vertical="center"/>
    </xf>
    <xf numFmtId="0" fontId="71" fillId="19" borderId="0" xfId="0" applyFont="1" applyFill="1" applyBorder="1" applyAlignment="1">
      <alignment horizontal="center" vertical="center"/>
    </xf>
    <xf numFmtId="192" fontId="71" fillId="19" borderId="0" xfId="0" applyNumberFormat="1" applyFont="1" applyFill="1" applyAlignment="1">
      <alignment horizontal="center" vertical="center"/>
    </xf>
    <xf numFmtId="0" fontId="71" fillId="17" borderId="0" xfId="0" applyFont="1" applyFill="1" applyBorder="1" applyAlignment="1">
      <alignment horizontal="center" vertical="center"/>
    </xf>
    <xf numFmtId="0" fontId="71" fillId="14" borderId="0" xfId="0" applyFont="1" applyFill="1" applyBorder="1" applyAlignment="1">
      <alignment horizontal="center" vertical="center"/>
    </xf>
    <xf numFmtId="0" fontId="37" fillId="5" borderId="0" xfId="0" applyFont="1" applyFill="1" applyAlignment="1">
      <alignment vertical="center"/>
    </xf>
    <xf numFmtId="178" fontId="37" fillId="5" borderId="0" xfId="0" applyNumberFormat="1" applyFont="1" applyFill="1" applyAlignment="1">
      <alignment vertical="center"/>
    </xf>
    <xf numFmtId="0" fontId="38" fillId="0" borderId="0" xfId="0" applyFont="1" applyFill="1" applyAlignment="1">
      <alignment horizontal="center" vertical="center"/>
    </xf>
    <xf numFmtId="41" fontId="38" fillId="21" borderId="0" xfId="0" applyNumberFormat="1" applyFont="1" applyFill="1" applyAlignment="1">
      <alignment horizontal="center" vertical="center" shrinkToFit="1"/>
    </xf>
    <xf numFmtId="198" fontId="38" fillId="18" borderId="0" xfId="0" applyNumberFormat="1" applyFont="1" applyFill="1" applyBorder="1" applyAlignment="1">
      <alignment horizontal="center" vertical="center" shrinkToFit="1"/>
    </xf>
    <xf numFmtId="41" fontId="38" fillId="22" borderId="0" xfId="0" applyNumberFormat="1" applyFont="1" applyFill="1" applyAlignment="1">
      <alignment horizontal="center" vertical="center" shrinkToFit="1"/>
    </xf>
    <xf numFmtId="14" fontId="38" fillId="22" borderId="0" xfId="0" applyNumberFormat="1" applyFont="1" applyFill="1" applyAlignment="1">
      <alignment horizontal="center" vertical="center" shrinkToFit="1"/>
    </xf>
    <xf numFmtId="3" fontId="38" fillId="22" borderId="0" xfId="0" applyNumberFormat="1" applyFont="1" applyFill="1" applyAlignment="1">
      <alignment horizontal="center" vertical="center" shrinkToFit="1"/>
    </xf>
    <xf numFmtId="41" fontId="38" fillId="21" borderId="0" xfId="0" applyNumberFormat="1" applyFont="1" applyFill="1" applyBorder="1" applyAlignment="1">
      <alignment horizontal="center" vertical="center" shrinkToFit="1"/>
    </xf>
    <xf numFmtId="192" fontId="38" fillId="18" borderId="0" xfId="0" applyNumberFormat="1" applyFont="1" applyFill="1" applyAlignment="1">
      <alignment horizontal="center" vertical="center"/>
    </xf>
    <xf numFmtId="4" fontId="38" fillId="15" borderId="49" xfId="2" applyNumberFormat="1" applyFont="1" applyFill="1" applyBorder="1" applyAlignment="1">
      <alignment horizontal="center" vertical="center"/>
    </xf>
    <xf numFmtId="3" fontId="38" fillId="15" borderId="49" xfId="2" applyNumberFormat="1" applyFont="1" applyFill="1" applyBorder="1" applyAlignment="1">
      <alignment horizontal="center" vertical="center"/>
    </xf>
    <xf numFmtId="4" fontId="38" fillId="22" borderId="0" xfId="2" applyNumberFormat="1" applyFont="1" applyFill="1" applyAlignment="1">
      <alignment horizontal="center" vertical="center"/>
    </xf>
    <xf numFmtId="192" fontId="38" fillId="18" borderId="0" xfId="2" applyNumberFormat="1" applyFont="1" applyFill="1" applyAlignment="1">
      <alignment horizontal="center" vertical="center"/>
    </xf>
    <xf numFmtId="41" fontId="38" fillId="22" borderId="0" xfId="2" applyFont="1" applyFill="1" applyBorder="1" applyAlignment="1">
      <alignment horizontal="center" vertical="center"/>
    </xf>
    <xf numFmtId="9" fontId="38" fillId="22" borderId="0" xfId="3" applyFont="1" applyFill="1" applyBorder="1" applyAlignment="1">
      <alignment horizontal="center" vertical="center"/>
    </xf>
    <xf numFmtId="41" fontId="38" fillId="0" borderId="15" xfId="2" applyFont="1" applyFill="1" applyBorder="1" applyAlignment="1">
      <alignment horizontal="center" vertical="center"/>
    </xf>
    <xf numFmtId="179" fontId="38" fillId="18" borderId="0" xfId="0" applyNumberFormat="1" applyFont="1" applyFill="1" applyBorder="1" applyAlignment="1">
      <alignment horizontal="center" vertical="center"/>
    </xf>
    <xf numFmtId="0" fontId="38" fillId="10" borderId="0" xfId="0" applyFont="1" applyFill="1" applyAlignment="1">
      <alignment vertical="center"/>
    </xf>
    <xf numFmtId="178" fontId="38" fillId="10" borderId="0" xfId="0" applyNumberFormat="1" applyFont="1" applyFill="1" applyAlignment="1">
      <alignment vertical="center"/>
    </xf>
    <xf numFmtId="41" fontId="38" fillId="0" borderId="0" xfId="2" applyFont="1" applyFill="1" applyAlignment="1">
      <alignment vertical="center"/>
    </xf>
    <xf numFmtId="0" fontId="56" fillId="0" borderId="0" xfId="0" applyFont="1" applyAlignment="1">
      <alignment horizontal="center" vertical="center"/>
    </xf>
    <xf numFmtId="3" fontId="39" fillId="0" borderId="0" xfId="0" applyNumberFormat="1" applyFont="1" applyAlignment="1">
      <alignment horizontal="center" vertical="center"/>
    </xf>
    <xf numFmtId="41" fontId="38" fillId="0" borderId="0" xfId="2" applyFont="1" applyFill="1" applyAlignment="1">
      <alignment horizontal="center" vertical="center"/>
    </xf>
    <xf numFmtId="10" fontId="56" fillId="0" borderId="0" xfId="0" applyNumberFormat="1" applyFont="1" applyAlignment="1">
      <alignment horizontal="center" vertical="center"/>
    </xf>
    <xf numFmtId="0" fontId="71" fillId="19" borderId="0" xfId="0" applyFont="1" applyFill="1" applyAlignment="1">
      <alignment vertical="center"/>
    </xf>
    <xf numFmtId="178" fontId="71" fillId="19" borderId="0" xfId="0" applyNumberFormat="1" applyFont="1" applyFill="1" applyAlignment="1">
      <alignment vertical="center"/>
    </xf>
    <xf numFmtId="178" fontId="38" fillId="0" borderId="0" xfId="0" applyNumberFormat="1" applyFont="1" applyAlignment="1">
      <alignment horizontal="center" vertical="center"/>
    </xf>
    <xf numFmtId="0" fontId="73" fillId="0" borderId="0" xfId="0" applyFont="1" applyAlignment="1">
      <alignment horizontal="center" vertical="center"/>
    </xf>
    <xf numFmtId="41" fontId="38" fillId="0" borderId="0" xfId="2" applyFont="1" applyAlignment="1">
      <alignment horizontal="center" vertical="center"/>
    </xf>
    <xf numFmtId="178" fontId="38" fillId="0" borderId="0" xfId="0" applyNumberFormat="1" applyFont="1" applyAlignment="1">
      <alignment vertical="center"/>
    </xf>
    <xf numFmtId="192" fontId="39" fillId="18" borderId="0" xfId="0" applyNumberFormat="1" applyFont="1" applyFill="1"/>
    <xf numFmtId="178" fontId="67" fillId="15" borderId="0" xfId="0" applyNumberFormat="1" applyFont="1" applyFill="1" applyAlignment="1">
      <alignment horizontal="center" vertical="center"/>
    </xf>
    <xf numFmtId="178" fontId="67" fillId="15" borderId="0" xfId="0" applyNumberFormat="1" applyFont="1" applyFill="1" applyAlignment="1">
      <alignment horizontal="center" vertical="center" shrinkToFit="1"/>
    </xf>
    <xf numFmtId="0" fontId="67" fillId="15" borderId="0" xfId="0" applyFont="1" applyFill="1" applyAlignment="1">
      <alignment horizontal="center"/>
    </xf>
    <xf numFmtId="0" fontId="74" fillId="0" borderId="0" xfId="0" applyFont="1" applyAlignment="1">
      <alignment horizontal="center"/>
    </xf>
    <xf numFmtId="0" fontId="71" fillId="19" borderId="0" xfId="0" applyFont="1" applyFill="1" applyBorder="1" applyAlignment="1">
      <alignment horizontal="center" vertical="center" shrinkToFit="1"/>
    </xf>
    <xf numFmtId="14" fontId="71" fillId="19" borderId="0" xfId="2" applyNumberFormat="1" applyFont="1" applyFill="1" applyBorder="1" applyAlignment="1">
      <alignment horizontal="center" vertical="center"/>
    </xf>
    <xf numFmtId="9" fontId="39" fillId="0" borderId="0" xfId="0" applyNumberFormat="1" applyFont="1"/>
    <xf numFmtId="10" fontId="39" fillId="0" borderId="0" xfId="3" applyNumberFormat="1" applyFont="1" applyAlignment="1"/>
    <xf numFmtId="0" fontId="37" fillId="16" borderId="0" xfId="0" applyFont="1" applyFill="1" applyAlignment="1">
      <alignment vertical="center"/>
    </xf>
    <xf numFmtId="191" fontId="37" fillId="16" borderId="0" xfId="0" applyNumberFormat="1" applyFont="1" applyFill="1" applyAlignment="1">
      <alignment vertical="center"/>
    </xf>
    <xf numFmtId="0" fontId="37" fillId="18" borderId="65" xfId="0" applyFont="1" applyFill="1" applyBorder="1" applyAlignment="1">
      <alignment vertical="center"/>
    </xf>
    <xf numFmtId="191" fontId="37" fillId="18" borderId="66" xfId="0" applyNumberFormat="1" applyFont="1" applyFill="1" applyBorder="1" applyAlignment="1">
      <alignment vertical="center"/>
    </xf>
    <xf numFmtId="191" fontId="37" fillId="18" borderId="70" xfId="0" applyNumberFormat="1" applyFont="1" applyFill="1" applyBorder="1" applyAlignment="1">
      <alignment vertical="center"/>
    </xf>
    <xf numFmtId="0" fontId="37" fillId="18" borderId="68" xfId="0" applyFont="1" applyFill="1" applyBorder="1" applyAlignment="1">
      <alignment vertical="center"/>
    </xf>
    <xf numFmtId="191" fontId="37" fillId="18" borderId="69" xfId="0" applyNumberFormat="1" applyFont="1" applyFill="1" applyBorder="1" applyAlignment="1">
      <alignment vertical="center"/>
    </xf>
    <xf numFmtId="191" fontId="37" fillId="18" borderId="71" xfId="0" applyNumberFormat="1" applyFont="1" applyFill="1" applyBorder="1" applyAlignment="1">
      <alignment vertical="center"/>
    </xf>
    <xf numFmtId="191" fontId="38" fillId="0" borderId="0" xfId="0" applyNumberFormat="1" applyFont="1" applyFill="1" applyAlignment="1">
      <alignment vertical="center"/>
    </xf>
    <xf numFmtId="192" fontId="37" fillId="0" borderId="0" xfId="0" applyNumberFormat="1" applyFont="1" applyAlignment="1">
      <alignment vertical="center"/>
    </xf>
    <xf numFmtId="195" fontId="71" fillId="29" borderId="0" xfId="0" applyNumberFormat="1" applyFont="1" applyFill="1" applyAlignment="1">
      <alignment horizontal="center"/>
    </xf>
    <xf numFmtId="192" fontId="71" fillId="19" borderId="0" xfId="0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shrinkToFit="1"/>
    </xf>
    <xf numFmtId="0" fontId="56" fillId="0" borderId="0" xfId="0" applyFont="1"/>
    <xf numFmtId="0" fontId="39" fillId="0" borderId="0" xfId="0" applyFont="1" applyFill="1"/>
    <xf numFmtId="0" fontId="38" fillId="18" borderId="0" xfId="0" applyNumberFormat="1" applyFont="1" applyFill="1" applyBorder="1" applyAlignment="1">
      <alignment horizontal="center" vertical="center" shrinkToFit="1"/>
    </xf>
    <xf numFmtId="192" fontId="38" fillId="18" borderId="0" xfId="2" applyNumberFormat="1" applyFont="1" applyFill="1" applyBorder="1" applyAlignment="1">
      <alignment horizontal="center" vertical="center"/>
    </xf>
    <xf numFmtId="14" fontId="38" fillId="18" borderId="0" xfId="0" applyNumberFormat="1" applyFont="1" applyFill="1" applyBorder="1" applyAlignment="1">
      <alignment horizontal="center" vertical="center"/>
    </xf>
    <xf numFmtId="180" fontId="66" fillId="9" borderId="0" xfId="2" applyNumberFormat="1" applyFont="1" applyFill="1" applyBorder="1" applyAlignment="1">
      <alignment horizontal="center" vertical="center"/>
    </xf>
    <xf numFmtId="179" fontId="38" fillId="0" borderId="15" xfId="2" applyNumberFormat="1" applyFont="1" applyFill="1" applyBorder="1" applyAlignment="1">
      <alignment vertical="center"/>
    </xf>
    <xf numFmtId="0" fontId="37" fillId="10" borderId="0" xfId="0" applyFont="1" applyFill="1" applyAlignment="1">
      <alignment horizontal="center" vertical="center"/>
    </xf>
    <xf numFmtId="178" fontId="37" fillId="10" borderId="0" xfId="0" applyNumberFormat="1" applyFont="1" applyFill="1" applyAlignment="1">
      <alignment vertical="center"/>
    </xf>
    <xf numFmtId="191" fontId="37" fillId="10" borderId="0" xfId="0" applyNumberFormat="1" applyFont="1" applyFill="1" applyAlignment="1">
      <alignment vertical="center"/>
    </xf>
    <xf numFmtId="178" fontId="37" fillId="18" borderId="0" xfId="0" applyNumberFormat="1" applyFont="1" applyFill="1" applyAlignment="1">
      <alignment horizontal="center" vertical="center"/>
    </xf>
    <xf numFmtId="14" fontId="37" fillId="10" borderId="0" xfId="0" applyNumberFormat="1" applyFont="1" applyFill="1" applyAlignment="1">
      <alignment horizontal="center" vertical="center"/>
    </xf>
    <xf numFmtId="41" fontId="37" fillId="10" borderId="0" xfId="2" applyFont="1" applyFill="1" applyAlignment="1">
      <alignment vertical="center"/>
    </xf>
    <xf numFmtId="10" fontId="37" fillId="10" borderId="0" xfId="3" applyNumberFormat="1" applyFont="1" applyFill="1" applyAlignment="1">
      <alignment horizontal="center" vertical="center"/>
    </xf>
    <xf numFmtId="0" fontId="38" fillId="0" borderId="45" xfId="0" applyFont="1" applyBorder="1" applyAlignment="1">
      <alignment vertical="center"/>
    </xf>
    <xf numFmtId="0" fontId="39" fillId="0" borderId="45" xfId="0" applyFont="1" applyBorder="1"/>
    <xf numFmtId="0" fontId="39" fillId="0" borderId="45" xfId="0" applyFont="1" applyFill="1" applyBorder="1"/>
    <xf numFmtId="41" fontId="38" fillId="0" borderId="45" xfId="2" applyFont="1" applyBorder="1" applyAlignment="1">
      <alignment horizontal="center" vertical="center"/>
    </xf>
    <xf numFmtId="0" fontId="56" fillId="0" borderId="45" xfId="0" applyFont="1" applyBorder="1" applyAlignment="1">
      <alignment horizontal="center" vertical="center"/>
    </xf>
    <xf numFmtId="192" fontId="39" fillId="0" borderId="45" xfId="0" applyNumberFormat="1" applyFont="1" applyBorder="1"/>
    <xf numFmtId="0" fontId="39" fillId="0" borderId="45" xfId="0" applyFont="1" applyBorder="1" applyAlignment="1">
      <alignment shrinkToFit="1"/>
    </xf>
    <xf numFmtId="0" fontId="37" fillId="0" borderId="0" xfId="0" quotePrefix="1" applyFont="1" applyAlignment="1">
      <alignment horizontal="center" vertical="center"/>
    </xf>
    <xf numFmtId="178" fontId="71" fillId="19" borderId="39" xfId="0" applyNumberFormat="1" applyFont="1" applyFill="1" applyBorder="1" applyAlignment="1">
      <alignment horizontal="center" vertical="center"/>
    </xf>
    <xf numFmtId="0" fontId="56" fillId="23" borderId="40" xfId="0" applyNumberFormat="1" applyFont="1" applyFill="1" applyBorder="1" applyAlignment="1">
      <alignment horizontal="center" vertical="center"/>
    </xf>
    <xf numFmtId="14" fontId="56" fillId="23" borderId="3" xfId="0" applyNumberFormat="1" applyFont="1" applyFill="1" applyBorder="1" applyAlignment="1">
      <alignment horizontal="center" vertical="center"/>
    </xf>
    <xf numFmtId="0" fontId="72" fillId="0" borderId="0" xfId="0" applyFont="1"/>
    <xf numFmtId="14" fontId="56" fillId="23" borderId="38" xfId="0" applyNumberFormat="1" applyFont="1" applyFill="1" applyBorder="1" applyAlignment="1">
      <alignment horizontal="center" vertical="center"/>
    </xf>
    <xf numFmtId="178" fontId="71" fillId="19" borderId="0" xfId="0" applyNumberFormat="1" applyFont="1" applyFill="1" applyBorder="1" applyAlignment="1">
      <alignment horizontal="center" vertical="center"/>
    </xf>
    <xf numFmtId="178" fontId="71" fillId="19" borderId="0" xfId="0" applyNumberFormat="1" applyFont="1" applyFill="1" applyBorder="1" applyAlignment="1">
      <alignment horizontal="center" vertical="center" shrinkToFit="1"/>
    </xf>
    <xf numFmtId="192" fontId="71" fillId="19" borderId="0" xfId="0" applyNumberFormat="1" applyFont="1" applyFill="1" applyBorder="1" applyAlignment="1">
      <alignment horizontal="center" vertical="center" shrinkToFit="1"/>
    </xf>
    <xf numFmtId="0" fontId="38" fillId="18" borderId="0" xfId="0" applyNumberFormat="1" applyFont="1" applyFill="1" applyAlignment="1">
      <alignment horizontal="center" vertical="center" shrinkToFit="1"/>
    </xf>
    <xf numFmtId="198" fontId="38" fillId="18" borderId="0" xfId="0" applyNumberFormat="1" applyFont="1" applyFill="1" applyAlignment="1">
      <alignment horizontal="center" vertical="center" shrinkToFit="1"/>
    </xf>
    <xf numFmtId="41" fontId="38" fillId="20" borderId="0" xfId="0" applyNumberFormat="1" applyFont="1" applyFill="1" applyAlignment="1">
      <alignment horizontal="center" vertical="center" shrinkToFit="1"/>
    </xf>
    <xf numFmtId="14" fontId="38" fillId="18" borderId="0" xfId="0" applyNumberFormat="1" applyFont="1" applyFill="1" applyAlignment="1">
      <alignment horizontal="center" vertical="center"/>
    </xf>
    <xf numFmtId="0" fontId="76" fillId="0" borderId="0" xfId="0" applyFont="1" applyAlignment="1">
      <alignment horizontal="center" vertical="center"/>
    </xf>
    <xf numFmtId="179" fontId="38" fillId="0" borderId="0" xfId="0" applyNumberFormat="1" applyFont="1" applyAlignment="1">
      <alignment vertical="center"/>
    </xf>
    <xf numFmtId="0" fontId="37" fillId="10" borderId="0" xfId="0" applyFont="1" applyFill="1" applyAlignment="1">
      <alignment horizontal="center" vertical="center" shrinkToFit="1"/>
    </xf>
    <xf numFmtId="0" fontId="77" fillId="0" borderId="0" xfId="0" applyFont="1" applyAlignment="1">
      <alignment horizontal="center" vertical="center"/>
    </xf>
    <xf numFmtId="9" fontId="71" fillId="19" borderId="0" xfId="0" applyNumberFormat="1" applyFont="1" applyFill="1" applyAlignment="1">
      <alignment horizontal="center" vertical="center"/>
    </xf>
    <xf numFmtId="0" fontId="67" fillId="0" borderId="0" xfId="0" applyFont="1"/>
    <xf numFmtId="10" fontId="37" fillId="10" borderId="0" xfId="3" applyNumberFormat="1" applyFont="1" applyFill="1" applyAlignment="1">
      <alignment vertical="center"/>
    </xf>
    <xf numFmtId="0" fontId="74" fillId="0" borderId="0" xfId="0" applyFont="1" applyFill="1" applyAlignment="1">
      <alignment horizontal="center"/>
    </xf>
    <xf numFmtId="14" fontId="71" fillId="0" borderId="0" xfId="2" applyNumberFormat="1" applyFont="1" applyFill="1" applyBorder="1" applyAlignment="1">
      <alignment horizontal="center" vertical="center"/>
    </xf>
    <xf numFmtId="178" fontId="38" fillId="0" borderId="0" xfId="0" applyNumberFormat="1" applyFont="1" applyFill="1" applyAlignment="1">
      <alignment vertical="center"/>
    </xf>
    <xf numFmtId="10" fontId="38" fillId="10" borderId="0" xfId="3" applyNumberFormat="1" applyFont="1" applyFill="1" applyAlignment="1">
      <alignment vertical="center"/>
    </xf>
    <xf numFmtId="10" fontId="38" fillId="0" borderId="0" xfId="3" applyNumberFormat="1" applyFont="1" applyFill="1" applyAlignment="1">
      <alignment vertical="center"/>
    </xf>
    <xf numFmtId="0" fontId="78" fillId="16" borderId="0" xfId="0" applyFont="1" applyFill="1" applyAlignment="1">
      <alignment vertical="center"/>
    </xf>
    <xf numFmtId="178" fontId="37" fillId="16" borderId="0" xfId="0" applyNumberFormat="1" applyFont="1" applyFill="1" applyAlignment="1">
      <alignment vertical="center"/>
    </xf>
    <xf numFmtId="0" fontId="56" fillId="22" borderId="40" xfId="0" applyNumberFormat="1" applyFont="1" applyFill="1" applyBorder="1" applyAlignment="1">
      <alignment horizontal="center" vertical="center"/>
    </xf>
    <xf numFmtId="14" fontId="56" fillId="22" borderId="3" xfId="0" applyNumberFormat="1" applyFont="1" applyFill="1" applyBorder="1" applyAlignment="1">
      <alignment horizontal="center" vertical="center"/>
    </xf>
    <xf numFmtId="14" fontId="56" fillId="22" borderId="38" xfId="0" applyNumberFormat="1" applyFont="1" applyFill="1" applyBorder="1" applyAlignment="1">
      <alignment horizontal="center" vertical="center"/>
    </xf>
    <xf numFmtId="10" fontId="39" fillId="0" borderId="45" xfId="3" applyNumberFormat="1" applyFont="1" applyBorder="1" applyAlignment="1"/>
    <xf numFmtId="198" fontId="38" fillId="0" borderId="0" xfId="0" applyNumberFormat="1" applyFont="1" applyAlignment="1">
      <alignment vertical="center"/>
    </xf>
    <xf numFmtId="0" fontId="38" fillId="0" borderId="0" xfId="0" applyNumberFormat="1" applyFont="1" applyAlignment="1">
      <alignment horizontal="center" vertical="center"/>
    </xf>
    <xf numFmtId="0" fontId="38" fillId="0" borderId="0" xfId="0" applyNumberFormat="1" applyFont="1" applyAlignment="1">
      <alignment vertical="center"/>
    </xf>
    <xf numFmtId="186" fontId="56" fillId="5" borderId="46" xfId="0" applyNumberFormat="1" applyFont="1" applyFill="1" applyBorder="1" applyAlignment="1">
      <alignment horizontal="center"/>
    </xf>
    <xf numFmtId="0" fontId="21" fillId="14" borderId="0" xfId="0" applyFont="1" applyFill="1" applyAlignment="1">
      <alignment horizontal="left" vertical="center"/>
    </xf>
    <xf numFmtId="0" fontId="30" fillId="14" borderId="0" xfId="0" applyFont="1" applyFill="1" applyAlignment="1">
      <alignment vertical="center"/>
    </xf>
    <xf numFmtId="0" fontId="30" fillId="0" borderId="0" xfId="0" applyFont="1" applyFill="1" applyAlignment="1">
      <alignment vertical="center"/>
    </xf>
    <xf numFmtId="0" fontId="30" fillId="0" borderId="0" xfId="0" applyFont="1" applyFill="1" applyBorder="1" applyAlignment="1">
      <alignment vertical="center"/>
    </xf>
    <xf numFmtId="0" fontId="21" fillId="14" borderId="0" xfId="0" applyFont="1" applyFill="1" applyBorder="1" applyAlignment="1">
      <alignment horizontal="left" vertical="center"/>
    </xf>
    <xf numFmtId="0" fontId="30" fillId="14" borderId="0" xfId="0" applyFont="1" applyFill="1" applyBorder="1" applyAlignment="1">
      <alignment vertical="center"/>
    </xf>
    <xf numFmtId="201" fontId="25" fillId="0" borderId="0" xfId="0" applyNumberFormat="1" applyFont="1" applyAlignment="1">
      <alignment vertical="center"/>
    </xf>
    <xf numFmtId="3" fontId="25" fillId="0" borderId="0" xfId="0" applyNumberFormat="1" applyFont="1" applyFill="1" applyBorder="1" applyAlignment="1">
      <alignment vertical="center"/>
    </xf>
    <xf numFmtId="190" fontId="38" fillId="0" borderId="0" xfId="0" applyNumberFormat="1" applyFont="1" applyFill="1" applyBorder="1" applyAlignment="1">
      <alignment horizontal="center" vertical="center"/>
    </xf>
    <xf numFmtId="0" fontId="25" fillId="0" borderId="32" xfId="0" applyFont="1" applyBorder="1" applyAlignment="1">
      <alignment vertical="center"/>
    </xf>
    <xf numFmtId="178" fontId="20" fillId="18" borderId="0" xfId="2" applyNumberFormat="1" applyFont="1" applyFill="1" applyAlignment="1">
      <alignment horizontal="right" vertical="center"/>
    </xf>
    <xf numFmtId="0" fontId="36" fillId="0" borderId="32" xfId="0" applyFont="1" applyBorder="1" applyAlignment="1">
      <alignment horizontal="center" vertical="center"/>
    </xf>
    <xf numFmtId="3" fontId="36" fillId="0" borderId="32" xfId="0" applyNumberFormat="1" applyFont="1" applyBorder="1" applyAlignment="1">
      <alignment horizontal="center" vertical="center"/>
    </xf>
    <xf numFmtId="43" fontId="25" fillId="0" borderId="32" xfId="0" applyNumberFormat="1" applyFont="1" applyBorder="1" applyAlignment="1">
      <alignment vertical="center"/>
    </xf>
    <xf numFmtId="41" fontId="21" fillId="19" borderId="16" xfId="0" applyNumberFormat="1" applyFont="1" applyFill="1" applyBorder="1" applyAlignment="1">
      <alignment horizontal="center" vertical="center"/>
    </xf>
    <xf numFmtId="0" fontId="65" fillId="0" borderId="32" xfId="0" applyFont="1" applyBorder="1" applyAlignment="1">
      <alignment vertical="center"/>
    </xf>
    <xf numFmtId="176" fontId="20" fillId="8" borderId="43" xfId="0" applyNumberFormat="1" applyFont="1" applyFill="1" applyBorder="1" applyAlignment="1" applyProtection="1">
      <alignment horizontal="center" vertical="center"/>
      <protection locked="0"/>
    </xf>
    <xf numFmtId="176" fontId="21" fillId="19" borderId="43" xfId="0" applyNumberFormat="1" applyFont="1" applyFill="1" applyBorder="1" applyAlignment="1" applyProtection="1">
      <alignment horizontal="center" vertical="center"/>
      <protection locked="0"/>
    </xf>
    <xf numFmtId="41" fontId="36" fillId="9" borderId="32" xfId="2" applyFont="1" applyFill="1" applyBorder="1" applyAlignment="1">
      <alignment horizontal="center" vertical="center"/>
    </xf>
    <xf numFmtId="41" fontId="25" fillId="0" borderId="32" xfId="2" applyFont="1" applyBorder="1" applyAlignment="1">
      <alignment vertical="center"/>
    </xf>
    <xf numFmtId="41" fontId="25" fillId="0" borderId="32" xfId="2" applyNumberFormat="1" applyFont="1" applyBorder="1" applyAlignment="1">
      <alignment vertical="center"/>
    </xf>
    <xf numFmtId="0" fontId="36" fillId="18" borderId="37" xfId="0" applyFont="1" applyFill="1" applyBorder="1" applyAlignment="1">
      <alignment horizontal="centerContinuous" vertical="center"/>
    </xf>
    <xf numFmtId="0" fontId="25" fillId="18" borderId="0" xfId="0" applyFont="1" applyFill="1" applyAlignment="1">
      <alignment horizontal="centerContinuous" vertical="center"/>
    </xf>
    <xf numFmtId="0" fontId="27" fillId="10" borderId="0" xfId="0" applyFont="1" applyFill="1" applyBorder="1" applyAlignment="1">
      <alignment horizontal="center" vertical="center"/>
    </xf>
    <xf numFmtId="14" fontId="27" fillId="5" borderId="35" xfId="0" applyNumberFormat="1" applyFont="1" applyFill="1" applyBorder="1" applyAlignment="1">
      <alignment horizontal="center" vertical="center"/>
    </xf>
    <xf numFmtId="176" fontId="21" fillId="19" borderId="40" xfId="0" applyNumberFormat="1" applyFont="1" applyFill="1" applyBorder="1" applyAlignment="1" applyProtection="1">
      <alignment horizontal="center" vertical="center"/>
      <protection locked="0"/>
    </xf>
    <xf numFmtId="0" fontId="27" fillId="0" borderId="0" xfId="0" applyFont="1" applyFill="1" applyBorder="1" applyAlignment="1">
      <alignment vertical="center"/>
    </xf>
    <xf numFmtId="41" fontId="38" fillId="0" borderId="0" xfId="2" applyFont="1" applyFill="1" applyBorder="1" applyAlignment="1">
      <alignment horizontal="center" vertical="center"/>
    </xf>
    <xf numFmtId="41" fontId="27" fillId="22" borderId="0" xfId="0" applyNumberFormat="1" applyFont="1" applyFill="1" applyAlignment="1">
      <alignment horizontal="center" vertical="center" shrinkToFit="1"/>
    </xf>
    <xf numFmtId="181" fontId="27" fillId="22" borderId="0" xfId="0" applyNumberFormat="1" applyFont="1" applyFill="1" applyAlignment="1">
      <alignment horizontal="center" vertical="center" shrinkToFit="1"/>
    </xf>
    <xf numFmtId="41" fontId="27" fillId="20" borderId="0" xfId="0" applyNumberFormat="1" applyFont="1" applyFill="1" applyBorder="1" applyAlignment="1">
      <alignment horizontal="center" vertical="center" shrinkToFit="1"/>
    </xf>
    <xf numFmtId="41" fontId="27" fillId="18" borderId="0" xfId="2" applyFont="1" applyFill="1" applyAlignment="1">
      <alignment horizontal="right" vertical="center"/>
    </xf>
    <xf numFmtId="41" fontId="27" fillId="22" borderId="0" xfId="2" applyFont="1" applyFill="1" applyAlignment="1">
      <alignment horizontal="right" vertical="center" shrinkToFit="1"/>
    </xf>
    <xf numFmtId="10" fontId="27" fillId="22" borderId="0" xfId="3" applyNumberFormat="1" applyFont="1" applyFill="1" applyAlignment="1">
      <alignment horizontal="center" vertical="center" shrinkToFit="1"/>
    </xf>
    <xf numFmtId="38" fontId="27" fillId="18" borderId="0" xfId="2" applyNumberFormat="1" applyFont="1" applyFill="1" applyAlignment="1">
      <alignment horizontal="right" vertical="center"/>
    </xf>
    <xf numFmtId="10" fontId="27" fillId="0" borderId="0" xfId="0" applyNumberFormat="1" applyFont="1" applyAlignment="1">
      <alignment horizontal="center" vertical="center"/>
    </xf>
    <xf numFmtId="189" fontId="27" fillId="0" borderId="0" xfId="0" applyNumberFormat="1" applyFont="1" applyAlignment="1">
      <alignment horizontal="right" vertical="center"/>
    </xf>
    <xf numFmtId="0" fontId="27" fillId="10" borderId="32" xfId="0" applyFont="1" applyFill="1" applyBorder="1" applyAlignment="1">
      <alignment horizontal="center" vertical="center"/>
    </xf>
    <xf numFmtId="41" fontId="27" fillId="0" borderId="0" xfId="0" applyNumberFormat="1" applyFont="1" applyAlignment="1">
      <alignment vertical="center"/>
    </xf>
    <xf numFmtId="0" fontId="27" fillId="0" borderId="33" xfId="0" applyFont="1" applyBorder="1" applyAlignment="1">
      <alignment horizontal="center" vertical="center"/>
    </xf>
    <xf numFmtId="9" fontId="27" fillId="18" borderId="32" xfId="0" applyNumberFormat="1" applyFont="1" applyFill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21" fillId="14" borderId="32" xfId="0" applyFont="1" applyFill="1" applyBorder="1" applyAlignment="1">
      <alignment horizontal="left" vertical="center"/>
    </xf>
    <xf numFmtId="0" fontId="30" fillId="14" borderId="32" xfId="0" applyFont="1" applyFill="1" applyBorder="1" applyAlignment="1">
      <alignment vertical="center"/>
    </xf>
    <xf numFmtId="0" fontId="21" fillId="19" borderId="1" xfId="0" applyFont="1" applyFill="1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3" fontId="38" fillId="0" borderId="22" xfId="0" applyNumberFormat="1" applyFont="1" applyBorder="1" applyAlignment="1">
      <alignment horizontal="center" vertical="center" shrinkToFit="1"/>
    </xf>
    <xf numFmtId="190" fontId="38" fillId="0" borderId="22" xfId="0" applyNumberFormat="1" applyFont="1" applyBorder="1" applyAlignment="1">
      <alignment horizontal="center" vertical="center" shrinkToFit="1"/>
    </xf>
    <xf numFmtId="3" fontId="38" fillId="0" borderId="0" xfId="0" applyNumberFormat="1" applyFont="1" applyBorder="1" applyAlignment="1">
      <alignment horizontal="center" vertical="center" shrinkToFit="1"/>
    </xf>
    <xf numFmtId="0" fontId="27" fillId="0" borderId="32" xfId="0" applyFont="1" applyBorder="1" applyAlignment="1">
      <alignment horizontal="center" vertical="center"/>
    </xf>
    <xf numFmtId="3" fontId="38" fillId="0" borderId="32" xfId="0" applyNumberFormat="1" applyFont="1" applyBorder="1" applyAlignment="1">
      <alignment horizontal="center" vertical="center" shrinkToFit="1"/>
    </xf>
    <xf numFmtId="190" fontId="38" fillId="0" borderId="32" xfId="0" applyNumberFormat="1" applyFont="1" applyBorder="1" applyAlignment="1">
      <alignment horizontal="center" vertical="center" shrinkToFit="1"/>
    </xf>
    <xf numFmtId="0" fontId="27" fillId="0" borderId="37" xfId="0" applyFont="1" applyBorder="1" applyAlignment="1">
      <alignment horizontal="center" vertical="center"/>
    </xf>
    <xf numFmtId="3" fontId="38" fillId="0" borderId="37" xfId="0" applyNumberFormat="1" applyFont="1" applyBorder="1" applyAlignment="1">
      <alignment horizontal="center" vertical="center" shrinkToFit="1"/>
    </xf>
    <xf numFmtId="0" fontId="20" fillId="0" borderId="37" xfId="0" applyFont="1" applyFill="1" applyBorder="1" applyAlignment="1">
      <alignment horizontal="centerContinuous" vertical="center"/>
    </xf>
    <xf numFmtId="0" fontId="20" fillId="0" borderId="37" xfId="0" applyFont="1" applyBorder="1" applyAlignment="1">
      <alignment horizontal="centerContinuous" vertical="center"/>
    </xf>
    <xf numFmtId="41" fontId="20" fillId="0" borderId="37" xfId="2" applyFont="1" applyFill="1" applyBorder="1" applyAlignment="1">
      <alignment horizontal="right" vertical="center"/>
    </xf>
    <xf numFmtId="10" fontId="20" fillId="0" borderId="37" xfId="0" applyNumberFormat="1" applyFont="1" applyFill="1" applyBorder="1" applyAlignment="1">
      <alignment horizontal="center" vertical="center"/>
    </xf>
    <xf numFmtId="41" fontId="20" fillId="0" borderId="37" xfId="2" applyFont="1" applyBorder="1" applyAlignment="1">
      <alignment horizontal="right" vertical="center"/>
    </xf>
    <xf numFmtId="38" fontId="20" fillId="0" borderId="37" xfId="0" applyNumberFormat="1" applyFont="1" applyFill="1" applyBorder="1" applyAlignment="1">
      <alignment horizontal="right" vertical="center"/>
    </xf>
    <xf numFmtId="10" fontId="20" fillId="0" borderId="37" xfId="3" applyNumberFormat="1" applyFont="1" applyBorder="1" applyAlignment="1">
      <alignment horizontal="center" vertical="center"/>
    </xf>
    <xf numFmtId="0" fontId="36" fillId="9" borderId="23" xfId="0" applyFont="1" applyFill="1" applyBorder="1" applyAlignment="1">
      <alignment horizontal="center" vertical="center"/>
    </xf>
    <xf numFmtId="41" fontId="20" fillId="22" borderId="0" xfId="2" applyFont="1" applyFill="1" applyAlignment="1">
      <alignment horizontal="center" vertical="center" shrinkToFit="1"/>
    </xf>
    <xf numFmtId="41" fontId="36" fillId="22" borderId="0" xfId="2" applyFont="1" applyFill="1" applyAlignment="1">
      <alignment horizontal="right" vertical="center" shrinkToFit="1"/>
    </xf>
    <xf numFmtId="190" fontId="27" fillId="0" borderId="0" xfId="0" applyNumberFormat="1" applyFont="1" applyAlignment="1">
      <alignment vertical="center"/>
    </xf>
    <xf numFmtId="43" fontId="27" fillId="0" borderId="0" xfId="0" applyNumberFormat="1" applyFont="1" applyAlignment="1">
      <alignment vertical="center"/>
    </xf>
    <xf numFmtId="0" fontId="27" fillId="0" borderId="45" xfId="0" applyFont="1" applyBorder="1" applyAlignment="1">
      <alignment vertical="center"/>
    </xf>
    <xf numFmtId="0" fontId="30" fillId="14" borderId="45" xfId="0" applyFont="1" applyFill="1" applyBorder="1" applyAlignment="1">
      <alignment vertical="center"/>
    </xf>
    <xf numFmtId="0" fontId="27" fillId="0" borderId="45" xfId="0" applyFont="1" applyFill="1" applyBorder="1" applyAlignment="1">
      <alignment vertical="center"/>
    </xf>
    <xf numFmtId="0" fontId="36" fillId="8" borderId="16" xfId="0" applyFont="1" applyFill="1" applyBorder="1" applyAlignment="1">
      <alignment horizontal="center" vertical="center"/>
    </xf>
    <xf numFmtId="199" fontId="27" fillId="0" borderId="32" xfId="0" applyNumberFormat="1" applyFont="1" applyBorder="1" applyAlignment="1">
      <alignment horizontal="center" vertical="center"/>
    </xf>
    <xf numFmtId="0" fontId="27" fillId="0" borderId="32" xfId="0" applyFont="1" applyBorder="1" applyAlignment="1">
      <alignment vertical="center"/>
    </xf>
    <xf numFmtId="0" fontId="36" fillId="3" borderId="32" xfId="0" applyFont="1" applyFill="1" applyBorder="1" applyAlignment="1">
      <alignment vertical="center"/>
    </xf>
    <xf numFmtId="0" fontId="36" fillId="0" borderId="0" xfId="0" applyFont="1" applyAlignment="1">
      <alignment vertical="center"/>
    </xf>
    <xf numFmtId="0" fontId="27" fillId="4" borderId="0" xfId="0" applyFont="1" applyFill="1" applyAlignment="1">
      <alignment horizontal="center" vertical="center"/>
    </xf>
    <xf numFmtId="0" fontId="20" fillId="10" borderId="0" xfId="0" applyFont="1" applyFill="1" applyBorder="1" applyAlignment="1">
      <alignment horizontal="center" vertical="center"/>
    </xf>
    <xf numFmtId="14" fontId="27" fillId="33" borderId="35" xfId="0" applyNumberFormat="1" applyFont="1" applyFill="1" applyBorder="1" applyAlignment="1">
      <alignment horizontal="center" vertical="center"/>
    </xf>
    <xf numFmtId="41" fontId="36" fillId="0" borderId="32" xfId="2" applyFont="1" applyBorder="1" applyAlignment="1">
      <alignment vertical="center"/>
    </xf>
    <xf numFmtId="0" fontId="25" fillId="0" borderId="32" xfId="0" applyFont="1" applyBorder="1" applyAlignment="1">
      <alignment horizontal="center" vertical="center"/>
    </xf>
    <xf numFmtId="41" fontId="27" fillId="22" borderId="0" xfId="0" applyNumberFormat="1" applyFont="1" applyFill="1" applyAlignment="1">
      <alignment horizontal="right" vertical="center" shrinkToFit="1"/>
    </xf>
    <xf numFmtId="41" fontId="27" fillId="0" borderId="0" xfId="2" applyFont="1" applyAlignment="1">
      <alignment vertical="center"/>
    </xf>
    <xf numFmtId="0" fontId="25" fillId="0" borderId="0" xfId="0" applyFont="1" applyFill="1" applyBorder="1"/>
    <xf numFmtId="0" fontId="20" fillId="10" borderId="32" xfId="0" applyFont="1" applyFill="1" applyBorder="1" applyAlignment="1">
      <alignment horizontal="center" vertical="center"/>
    </xf>
    <xf numFmtId="10" fontId="27" fillId="18" borderId="32" xfId="0" applyNumberFormat="1" applyFont="1" applyFill="1" applyBorder="1" applyAlignment="1">
      <alignment horizontal="center" vertical="center"/>
    </xf>
    <xf numFmtId="0" fontId="25" fillId="0" borderId="32" xfId="0" applyFont="1" applyFill="1" applyBorder="1"/>
    <xf numFmtId="0" fontId="20" fillId="0" borderId="37" xfId="0" applyFont="1" applyFill="1" applyBorder="1" applyAlignment="1">
      <alignment vertical="center"/>
    </xf>
    <xf numFmtId="0" fontId="20" fillId="0" borderId="37" xfId="0" applyFont="1" applyBorder="1" applyAlignment="1">
      <alignment vertical="center"/>
    </xf>
    <xf numFmtId="10" fontId="20" fillId="0" borderId="37" xfId="2" applyNumberFormat="1" applyFont="1" applyFill="1" applyBorder="1" applyAlignment="1">
      <alignment horizontal="center" vertical="center"/>
    </xf>
    <xf numFmtId="41" fontId="20" fillId="0" borderId="37" xfId="2" applyFont="1" applyBorder="1" applyAlignment="1">
      <alignment horizontal="center" vertical="center"/>
    </xf>
    <xf numFmtId="0" fontId="36" fillId="8" borderId="76" xfId="0" applyFont="1" applyFill="1" applyBorder="1" applyAlignment="1">
      <alignment horizontal="center" vertical="center"/>
    </xf>
    <xf numFmtId="0" fontId="27" fillId="4" borderId="32" xfId="0" applyFont="1" applyFill="1" applyBorder="1" applyAlignment="1">
      <alignment horizontal="center" vertical="center"/>
    </xf>
    <xf numFmtId="41" fontId="27" fillId="22" borderId="0" xfId="0" applyNumberFormat="1" applyFont="1" applyFill="1" applyBorder="1" applyAlignment="1">
      <alignment horizontal="right" vertical="center" shrinkToFit="1"/>
    </xf>
    <xf numFmtId="0" fontId="25" fillId="18" borderId="0" xfId="0" applyFont="1" applyFill="1" applyBorder="1" applyAlignment="1">
      <alignment horizontal="center" vertical="center" shrinkToFit="1"/>
    </xf>
    <xf numFmtId="41" fontId="27" fillId="18" borderId="0" xfId="2" applyFont="1" applyFill="1" applyBorder="1" applyAlignment="1">
      <alignment horizontal="right" vertical="center"/>
    </xf>
    <xf numFmtId="41" fontId="27" fillId="0" borderId="0" xfId="2" applyFont="1" applyBorder="1" applyAlignment="1">
      <alignment vertical="center"/>
    </xf>
    <xf numFmtId="41" fontId="27" fillId="0" borderId="0" xfId="2" applyFont="1" applyBorder="1" applyAlignment="1">
      <alignment horizontal="right" vertical="center"/>
    </xf>
    <xf numFmtId="10" fontId="27" fillId="0" borderId="0" xfId="0" applyNumberFormat="1" applyFont="1" applyBorder="1" applyAlignment="1">
      <alignment horizontal="center" vertical="center"/>
    </xf>
    <xf numFmtId="189" fontId="27" fillId="0" borderId="0" xfId="0" applyNumberFormat="1" applyFont="1" applyBorder="1" applyAlignment="1">
      <alignment horizontal="right" vertical="center"/>
    </xf>
    <xf numFmtId="0" fontId="25" fillId="0" borderId="0" xfId="0" applyFont="1" applyAlignment="1">
      <alignment horizontal="center"/>
    </xf>
    <xf numFmtId="0" fontId="25" fillId="0" borderId="0" xfId="0" applyFont="1" applyFill="1"/>
    <xf numFmtId="0" fontId="40" fillId="0" borderId="26" xfId="0" applyFont="1" applyBorder="1" applyAlignment="1">
      <alignment vertical="center"/>
    </xf>
    <xf numFmtId="0" fontId="40" fillId="0" borderId="28" xfId="0" applyFont="1" applyBorder="1" applyAlignment="1">
      <alignment vertical="center"/>
    </xf>
    <xf numFmtId="0" fontId="40" fillId="0" borderId="31" xfId="0" applyFont="1" applyBorder="1" applyAlignment="1">
      <alignment vertical="center"/>
    </xf>
    <xf numFmtId="0" fontId="40" fillId="0" borderId="24" xfId="0" applyFont="1" applyBorder="1" applyAlignment="1">
      <alignment vertical="center"/>
    </xf>
    <xf numFmtId="0" fontId="40" fillId="0" borderId="27" xfId="0" applyFont="1" applyBorder="1" applyAlignment="1">
      <alignment vertical="center"/>
    </xf>
    <xf numFmtId="0" fontId="40" fillId="0" borderId="29" xfId="0" applyFont="1" applyBorder="1" applyAlignment="1">
      <alignment vertical="center"/>
    </xf>
    <xf numFmtId="0" fontId="27" fillId="22" borderId="0" xfId="2" applyNumberFormat="1" applyFont="1" applyFill="1" applyAlignment="1">
      <alignment horizontal="center" vertical="center" shrinkToFit="1"/>
    </xf>
    <xf numFmtId="0" fontId="21" fillId="0" borderId="0" xfId="0" quotePrefix="1" applyFont="1" applyAlignment="1">
      <alignment horizontal="center" vertical="center"/>
    </xf>
    <xf numFmtId="0" fontId="79" fillId="0" borderId="0" xfId="16" applyFont="1" applyBorder="1" applyAlignment="1">
      <alignment horizontal="center" vertical="center"/>
    </xf>
    <xf numFmtId="198" fontId="79" fillId="0" borderId="0" xfId="16" applyNumberFormat="1" applyFont="1" applyAlignment="1">
      <alignment horizontal="center" vertical="center"/>
    </xf>
    <xf numFmtId="0" fontId="79" fillId="0" borderId="0" xfId="16" applyFont="1" applyAlignment="1">
      <alignment horizontal="center" vertical="center"/>
    </xf>
    <xf numFmtId="3" fontId="79" fillId="0" borderId="0" xfId="16" applyNumberFormat="1" applyFont="1" applyAlignment="1">
      <alignment horizontal="center" vertical="center"/>
    </xf>
    <xf numFmtId="0" fontId="79" fillId="0" borderId="0" xfId="16" applyNumberFormat="1" applyFont="1" applyAlignment="1">
      <alignment horizontal="center" vertical="center"/>
    </xf>
    <xf numFmtId="0" fontId="52" fillId="0" borderId="0" xfId="16" applyFont="1" applyAlignment="1">
      <alignment horizontal="left" vertical="center" indent="1"/>
    </xf>
    <xf numFmtId="0" fontId="60" fillId="18" borderId="97" xfId="16" applyFont="1" applyFill="1" applyBorder="1" applyAlignment="1">
      <alignment vertical="center"/>
    </xf>
    <xf numFmtId="198" fontId="52" fillId="18" borderId="97" xfId="16" applyNumberFormat="1" applyFont="1" applyFill="1" applyBorder="1" applyAlignment="1">
      <alignment horizontal="center" vertical="center"/>
    </xf>
    <xf numFmtId="0" fontId="52" fillId="18" borderId="97" xfId="16" applyFont="1" applyFill="1" applyBorder="1" applyAlignment="1">
      <alignment horizontal="center" vertical="center"/>
    </xf>
    <xf numFmtId="3" fontId="52" fillId="18" borderId="97" xfId="16" applyNumberFormat="1" applyFont="1" applyFill="1" applyBorder="1" applyAlignment="1">
      <alignment horizontal="center" vertical="center"/>
    </xf>
    <xf numFmtId="0" fontId="52" fillId="18" borderId="97" xfId="16" applyNumberFormat="1" applyFont="1" applyFill="1" applyBorder="1" applyAlignment="1">
      <alignment horizontal="center" vertical="center"/>
    </xf>
    <xf numFmtId="4" fontId="52" fillId="18" borderId="97" xfId="16" applyNumberFormat="1" applyFont="1" applyFill="1" applyBorder="1" applyAlignment="1">
      <alignment horizontal="center" vertical="center"/>
    </xf>
    <xf numFmtId="198" fontId="81" fillId="0" borderId="97" xfId="5" applyNumberFormat="1" applyFont="1" applyBorder="1" applyAlignment="1">
      <alignment horizontal="center" vertical="center"/>
    </xf>
    <xf numFmtId="198" fontId="60" fillId="10" borderId="97" xfId="5" applyNumberFormat="1" applyFont="1" applyFill="1" applyBorder="1" applyAlignment="1">
      <alignment horizontal="center" vertical="center"/>
    </xf>
    <xf numFmtId="0" fontId="40" fillId="31" borderId="0" xfId="0" applyFont="1" applyFill="1" applyAlignment="1">
      <alignment horizontal="center" vertical="center"/>
    </xf>
    <xf numFmtId="3" fontId="40" fillId="31" borderId="0" xfId="0" applyNumberFormat="1" applyFont="1" applyFill="1" applyAlignment="1">
      <alignment horizontal="center" vertical="center"/>
    </xf>
    <xf numFmtId="22" fontId="83" fillId="0" borderId="0" xfId="0" applyNumberFormat="1" applyFont="1" applyAlignment="1">
      <alignment horizontal="center" vertical="center"/>
    </xf>
    <xf numFmtId="0" fontId="57" fillId="5" borderId="11" xfId="0" applyFont="1" applyFill="1" applyBorder="1" applyAlignment="1">
      <alignment horizontal="center" vertical="center"/>
    </xf>
    <xf numFmtId="0" fontId="57" fillId="0" borderId="11" xfId="0" quotePrefix="1" applyFont="1" applyFill="1" applyBorder="1" applyAlignment="1">
      <alignment horizontal="center" vertical="center"/>
    </xf>
    <xf numFmtId="0" fontId="57" fillId="0" borderId="11" xfId="0" applyFont="1" applyFill="1" applyBorder="1" applyAlignment="1">
      <alignment horizontal="center" vertical="center"/>
    </xf>
    <xf numFmtId="197" fontId="40" fillId="0" borderId="0" xfId="0" applyNumberFormat="1" applyFont="1" applyAlignment="1">
      <alignment horizontal="left" vertical="center"/>
    </xf>
    <xf numFmtId="0" fontId="52" fillId="0" borderId="0" xfId="0" applyFont="1" applyAlignment="1">
      <alignment horizontal="center" vertical="center"/>
    </xf>
    <xf numFmtId="0" fontId="60" fillId="30" borderId="11" xfId="0" applyFont="1" applyFill="1" applyBorder="1" applyAlignment="1">
      <alignment horizontal="center" vertical="center"/>
    </xf>
    <xf numFmtId="0" fontId="57" fillId="18" borderId="11" xfId="0" applyFont="1" applyFill="1" applyBorder="1" applyAlignment="1">
      <alignment horizontal="center" vertical="center"/>
    </xf>
    <xf numFmtId="0" fontId="84" fillId="0" borderId="0" xfId="0" applyFont="1" applyAlignment="1">
      <alignment vertical="center"/>
    </xf>
    <xf numFmtId="0" fontId="57" fillId="12" borderId="74" xfId="0" applyFont="1" applyFill="1" applyBorder="1" applyAlignment="1">
      <alignment horizontal="center" vertical="center"/>
    </xf>
    <xf numFmtId="177" fontId="57" fillId="20" borderId="75" xfId="0" applyNumberFormat="1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11" fillId="38" borderId="12" xfId="0" applyFont="1" applyFill="1" applyBorder="1" applyAlignment="1">
      <alignment horizontal="center" vertical="center"/>
    </xf>
    <xf numFmtId="0" fontId="14" fillId="32" borderId="24" xfId="0" applyFont="1" applyFill="1" applyBorder="1" applyAlignment="1">
      <alignment horizontal="center" vertical="center"/>
    </xf>
    <xf numFmtId="0" fontId="14" fillId="32" borderId="106" xfId="0" applyFont="1" applyFill="1" applyBorder="1" applyAlignment="1">
      <alignment horizontal="center" vertical="center"/>
    </xf>
    <xf numFmtId="0" fontId="11" fillId="37" borderId="24" xfId="0" applyFont="1" applyFill="1" applyBorder="1" applyAlignment="1">
      <alignment horizontal="center" vertical="center"/>
    </xf>
    <xf numFmtId="0" fontId="11" fillId="37" borderId="107" xfId="0" applyFont="1" applyFill="1" applyBorder="1" applyAlignment="1">
      <alignment horizontal="center" vertical="center"/>
    </xf>
    <xf numFmtId="0" fontId="11" fillId="37" borderId="108" xfId="0" applyFont="1" applyFill="1" applyBorder="1" applyAlignment="1">
      <alignment horizontal="center" vertical="center"/>
    </xf>
    <xf numFmtId="0" fontId="11" fillId="38" borderId="109" xfId="0" applyFont="1" applyFill="1" applyBorder="1" applyAlignment="1">
      <alignment horizontal="center" vertical="center"/>
    </xf>
    <xf numFmtId="0" fontId="11" fillId="38" borderId="110" xfId="0" applyFont="1" applyFill="1" applyBorder="1" applyAlignment="1">
      <alignment horizontal="center" vertical="center"/>
    </xf>
    <xf numFmtId="0" fontId="11" fillId="37" borderId="109" xfId="0" applyFont="1" applyFill="1" applyBorder="1" applyAlignment="1">
      <alignment horizontal="center" vertical="center"/>
    </xf>
    <xf numFmtId="0" fontId="11" fillId="37" borderId="12" xfId="0" applyFont="1" applyFill="1" applyBorder="1" applyAlignment="1">
      <alignment horizontal="center" vertical="center"/>
    </xf>
    <xf numFmtId="0" fontId="11" fillId="37" borderId="110" xfId="0" applyFont="1" applyFill="1" applyBorder="1" applyAlignment="1">
      <alignment horizontal="center" vertical="center"/>
    </xf>
    <xf numFmtId="0" fontId="11" fillId="38" borderId="79" xfId="0" applyFont="1" applyFill="1" applyBorder="1" applyAlignment="1">
      <alignment horizontal="center" vertical="center"/>
    </xf>
    <xf numFmtId="0" fontId="11" fillId="38" borderId="38" xfId="0" applyFont="1" applyFill="1" applyBorder="1" applyAlignment="1">
      <alignment horizontal="center" vertical="center"/>
    </xf>
    <xf numFmtId="0" fontId="11" fillId="38" borderId="105" xfId="0" applyFont="1" applyFill="1" applyBorder="1" applyAlignment="1">
      <alignment horizontal="center" vertical="center"/>
    </xf>
    <xf numFmtId="0" fontId="52" fillId="0" borderId="0" xfId="0" applyNumberFormat="1" applyFont="1" applyAlignment="1">
      <alignment horizontal="center" vertical="center"/>
    </xf>
    <xf numFmtId="0" fontId="40" fillId="0" borderId="0" xfId="0" applyNumberFormat="1" applyFont="1" applyAlignment="1">
      <alignment horizontal="center" vertical="center"/>
    </xf>
    <xf numFmtId="0" fontId="40" fillId="0" borderId="0" xfId="0" applyFont="1" applyFill="1" applyAlignment="1">
      <alignment horizontal="center" vertical="center"/>
    </xf>
    <xf numFmtId="3" fontId="40" fillId="0" borderId="0" xfId="0" applyNumberFormat="1" applyFont="1" applyFill="1" applyAlignment="1">
      <alignment horizontal="center" vertical="center"/>
    </xf>
    <xf numFmtId="0" fontId="57" fillId="10" borderId="0" xfId="0" applyFont="1" applyFill="1" applyAlignment="1">
      <alignment horizontal="center" vertical="center"/>
    </xf>
    <xf numFmtId="14" fontId="40" fillId="0" borderId="0" xfId="0" applyNumberFormat="1" applyFont="1" applyAlignment="1">
      <alignment vertical="center"/>
    </xf>
    <xf numFmtId="198" fontId="60" fillId="0" borderId="97" xfId="16" applyNumberFormat="1" applyFont="1" applyFill="1" applyBorder="1" applyAlignment="1">
      <alignment horizontal="center" vertical="center"/>
    </xf>
    <xf numFmtId="198" fontId="60" fillId="36" borderId="97" xfId="16" applyNumberFormat="1" applyFont="1" applyFill="1" applyBorder="1" applyAlignment="1">
      <alignment horizontal="center" vertical="center"/>
    </xf>
    <xf numFmtId="0" fontId="80" fillId="0" borderId="0" xfId="16" applyFont="1" applyAlignment="1">
      <alignment vertical="center"/>
    </xf>
    <xf numFmtId="0" fontId="48" fillId="0" borderId="6" xfId="5" applyNumberFormat="1" applyFont="1" applyBorder="1" applyAlignment="1">
      <alignment horizontal="center" vertical="center" wrapText="1"/>
    </xf>
    <xf numFmtId="0" fontId="91" fillId="0" borderId="0" xfId="16" applyFont="1" applyAlignment="1">
      <alignment horizontal="center" vertical="center"/>
    </xf>
    <xf numFmtId="0" fontId="91" fillId="0" borderId="0" xfId="16" applyFont="1" applyBorder="1" applyAlignment="1">
      <alignment horizontal="center" vertical="center"/>
    </xf>
    <xf numFmtId="198" fontId="92" fillId="0" borderId="0" xfId="16" applyNumberFormat="1" applyFont="1" applyAlignment="1">
      <alignment horizontal="left" vertical="center"/>
    </xf>
    <xf numFmtId="198" fontId="93" fillId="0" borderId="0" xfId="16" applyNumberFormat="1" applyFont="1" applyAlignment="1">
      <alignment horizontal="center" vertical="center"/>
    </xf>
    <xf numFmtId="3" fontId="93" fillId="0" borderId="0" xfId="16" applyNumberFormat="1" applyFont="1" applyAlignment="1">
      <alignment horizontal="center" vertical="center"/>
    </xf>
    <xf numFmtId="0" fontId="93" fillId="0" borderId="0" xfId="16" applyNumberFormat="1" applyFont="1" applyAlignment="1">
      <alignment horizontal="center" vertical="center"/>
    </xf>
    <xf numFmtId="198" fontId="35" fillId="0" borderId="0" xfId="16" applyNumberFormat="1" applyFont="1" applyAlignment="1">
      <alignment vertical="center"/>
    </xf>
    <xf numFmtId="0" fontId="60" fillId="10" borderId="97" xfId="16" applyFont="1" applyFill="1" applyBorder="1" applyAlignment="1">
      <alignment vertical="center"/>
    </xf>
    <xf numFmtId="198" fontId="52" fillId="10" borderId="97" xfId="16" applyNumberFormat="1" applyFont="1" applyFill="1" applyBorder="1" applyAlignment="1">
      <alignment horizontal="center" vertical="center"/>
    </xf>
    <xf numFmtId="0" fontId="52" fillId="10" borderId="97" xfId="16" applyFont="1" applyFill="1" applyBorder="1" applyAlignment="1">
      <alignment horizontal="center" vertical="center"/>
    </xf>
    <xf numFmtId="3" fontId="52" fillId="10" borderId="97" xfId="16" applyNumberFormat="1" applyFont="1" applyFill="1" applyBorder="1" applyAlignment="1">
      <alignment horizontal="center" vertical="center"/>
    </xf>
    <xf numFmtId="0" fontId="52" fillId="10" borderId="97" xfId="16" applyNumberFormat="1" applyFont="1" applyFill="1" applyBorder="1" applyAlignment="1">
      <alignment horizontal="center" vertical="center"/>
    </xf>
    <xf numFmtId="4" fontId="52" fillId="10" borderId="97" xfId="16" applyNumberFormat="1" applyFont="1" applyFill="1" applyBorder="1" applyAlignment="1">
      <alignment horizontal="center" vertical="center"/>
    </xf>
    <xf numFmtId="198" fontId="60" fillId="10" borderId="0" xfId="5" applyNumberFormat="1" applyFont="1" applyFill="1" applyBorder="1" applyAlignment="1">
      <alignment horizontal="center" vertical="center"/>
    </xf>
    <xf numFmtId="198" fontId="60" fillId="0" borderId="0" xfId="16" applyNumberFormat="1" applyFont="1" applyFill="1" applyBorder="1" applyAlignment="1">
      <alignment horizontal="center" vertical="center"/>
    </xf>
    <xf numFmtId="0" fontId="81" fillId="0" borderId="0" xfId="14" applyFont="1" applyAlignment="1">
      <alignment vertical="center"/>
    </xf>
    <xf numFmtId="0" fontId="94" fillId="0" borderId="0" xfId="0" applyFont="1" applyAlignment="1">
      <alignment vertical="center"/>
    </xf>
    <xf numFmtId="4" fontId="79" fillId="0" borderId="0" xfId="16" applyNumberFormat="1" applyFont="1" applyAlignment="1">
      <alignment horizontal="center" vertical="center"/>
    </xf>
    <xf numFmtId="4" fontId="93" fillId="0" borderId="0" xfId="16" applyNumberFormat="1" applyFont="1" applyAlignment="1">
      <alignment horizontal="center" vertical="center"/>
    </xf>
    <xf numFmtId="4" fontId="60" fillId="36" borderId="97" xfId="16" applyNumberFormat="1" applyFont="1" applyFill="1" applyBorder="1" applyAlignment="1">
      <alignment horizontal="center" vertical="center"/>
    </xf>
    <xf numFmtId="4" fontId="60" fillId="0" borderId="0" xfId="16" applyNumberFormat="1" applyFont="1" applyFill="1" applyBorder="1" applyAlignment="1">
      <alignment horizontal="center" vertical="center"/>
    </xf>
    <xf numFmtId="14" fontId="25" fillId="0" borderId="0" xfId="0" applyNumberFormat="1" applyFont="1" applyAlignment="1">
      <alignment vertical="center"/>
    </xf>
    <xf numFmtId="10" fontId="25" fillId="0" borderId="0" xfId="0" applyNumberFormat="1" applyFont="1" applyAlignment="1">
      <alignment vertical="center"/>
    </xf>
    <xf numFmtId="3" fontId="14" fillId="0" borderId="7" xfId="0" applyNumberFormat="1" applyFont="1" applyBorder="1" applyAlignment="1">
      <alignment horizontal="center" vertical="center" wrapText="1"/>
    </xf>
    <xf numFmtId="0" fontId="97" fillId="10" borderId="6" xfId="0" applyFont="1" applyFill="1" applyBorder="1" applyAlignment="1">
      <alignment horizontal="left" vertical="center" wrapText="1"/>
    </xf>
    <xf numFmtId="0" fontId="97" fillId="18" borderId="112" xfId="0" applyFont="1" applyFill="1" applyBorder="1" applyAlignment="1">
      <alignment horizontal="center" vertical="center" wrapText="1"/>
    </xf>
    <xf numFmtId="14" fontId="97" fillId="18" borderId="5" xfId="0" applyNumberFormat="1" applyFont="1" applyFill="1" applyBorder="1" applyAlignment="1">
      <alignment horizontal="center" vertical="center" wrapText="1"/>
    </xf>
    <xf numFmtId="0" fontId="97" fillId="10" borderId="4" xfId="0" applyFont="1" applyFill="1" applyBorder="1" applyAlignment="1">
      <alignment horizontal="left" vertical="center" wrapText="1"/>
    </xf>
    <xf numFmtId="191" fontId="37" fillId="18" borderId="0" xfId="0" applyNumberFormat="1" applyFont="1" applyFill="1" applyAlignment="1">
      <alignment horizontal="center" vertical="center"/>
    </xf>
    <xf numFmtId="41" fontId="95" fillId="18" borderId="0" xfId="24" applyFont="1" applyFill="1" applyAlignment="1">
      <alignment horizontal="right" vertical="center"/>
    </xf>
    <xf numFmtId="41" fontId="95" fillId="20" borderId="0" xfId="0" applyNumberFormat="1" applyFont="1" applyFill="1" applyBorder="1" applyAlignment="1">
      <alignment horizontal="center" vertical="center" shrinkToFit="1"/>
    </xf>
    <xf numFmtId="0" fontId="9" fillId="18" borderId="0" xfId="0" applyFont="1" applyFill="1" applyAlignment="1">
      <alignment horizontal="center" vertical="center" shrinkToFit="1"/>
    </xf>
    <xf numFmtId="14" fontId="95" fillId="5" borderId="35" xfId="0" applyNumberFormat="1" applyFont="1" applyFill="1" applyBorder="1" applyAlignment="1">
      <alignment horizontal="center" vertical="center"/>
    </xf>
    <xf numFmtId="41" fontId="95" fillId="18" borderId="0" xfId="24" applyFont="1" applyFill="1" applyAlignment="1">
      <alignment horizontal="right" vertical="center"/>
    </xf>
    <xf numFmtId="176" fontId="11" fillId="8" borderId="43" xfId="0" applyNumberFormat="1" applyFont="1" applyFill="1" applyBorder="1" applyAlignment="1" applyProtection="1">
      <alignment horizontal="center" vertical="center"/>
      <protection locked="0"/>
    </xf>
    <xf numFmtId="14" fontId="96" fillId="18" borderId="0" xfId="0" applyNumberFormat="1" applyFont="1" applyFill="1" applyBorder="1" applyAlignment="1">
      <alignment horizontal="center" vertical="center"/>
    </xf>
    <xf numFmtId="176" fontId="21" fillId="19" borderId="44" xfId="0" applyNumberFormat="1" applyFont="1" applyFill="1" applyBorder="1" applyAlignment="1" applyProtection="1">
      <alignment horizontal="center" vertical="center"/>
      <protection locked="0"/>
    </xf>
    <xf numFmtId="176" fontId="21" fillId="19" borderId="36" xfId="0" applyNumberFormat="1" applyFont="1" applyFill="1" applyBorder="1" applyAlignment="1" applyProtection="1">
      <alignment horizontal="center" vertical="center"/>
      <protection locked="0"/>
    </xf>
    <xf numFmtId="176" fontId="21" fillId="19" borderId="44" xfId="0" applyNumberFormat="1" applyFont="1" applyFill="1" applyBorder="1" applyAlignment="1" applyProtection="1">
      <alignment horizontal="center" vertical="center" wrapText="1"/>
      <protection locked="0"/>
    </xf>
    <xf numFmtId="176" fontId="21" fillId="19" borderId="36" xfId="0" applyNumberFormat="1" applyFont="1" applyFill="1" applyBorder="1" applyAlignment="1" applyProtection="1">
      <alignment horizontal="center" vertical="center" wrapText="1"/>
      <protection locked="0"/>
    </xf>
    <xf numFmtId="0" fontId="27" fillId="10" borderId="25" xfId="0" applyFont="1" applyFill="1" applyBorder="1" applyAlignment="1">
      <alignment horizontal="center" vertical="center"/>
    </xf>
    <xf numFmtId="0" fontId="27" fillId="10" borderId="32" xfId="0" applyFont="1" applyFill="1" applyBorder="1" applyAlignment="1">
      <alignment horizontal="center" vertical="center"/>
    </xf>
    <xf numFmtId="0" fontId="27" fillId="18" borderId="0" xfId="0" applyFont="1" applyFill="1" applyBorder="1" applyAlignment="1">
      <alignment horizontal="center" vertical="center"/>
    </xf>
    <xf numFmtId="14" fontId="27" fillId="18" borderId="0" xfId="0" applyNumberFormat="1" applyFont="1" applyFill="1" applyBorder="1" applyAlignment="1">
      <alignment horizontal="center" vertical="center"/>
    </xf>
    <xf numFmtId="3" fontId="27" fillId="18" borderId="0" xfId="0" applyNumberFormat="1" applyFont="1" applyFill="1" applyBorder="1" applyAlignment="1">
      <alignment horizontal="center" vertical="center"/>
    </xf>
    <xf numFmtId="3" fontId="27" fillId="20" borderId="0" xfId="0" applyNumberFormat="1" applyFont="1" applyFill="1" applyBorder="1" applyAlignment="1">
      <alignment horizontal="center" vertical="center" shrinkToFit="1"/>
    </xf>
    <xf numFmtId="9" fontId="25" fillId="18" borderId="0" xfId="0" applyNumberFormat="1" applyFont="1" applyFill="1" applyBorder="1" applyAlignment="1">
      <alignment horizontal="center"/>
    </xf>
    <xf numFmtId="0" fontId="25" fillId="18" borderId="0" xfId="0" applyFont="1" applyFill="1" applyBorder="1" applyAlignment="1">
      <alignment horizontal="center"/>
    </xf>
    <xf numFmtId="186" fontId="27" fillId="20" borderId="0" xfId="0" applyNumberFormat="1" applyFont="1" applyFill="1" applyBorder="1" applyAlignment="1">
      <alignment horizontal="center" vertical="center" shrinkToFit="1"/>
    </xf>
    <xf numFmtId="10" fontId="25" fillId="18" borderId="32" xfId="0" applyNumberFormat="1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9" fontId="38" fillId="22" borderId="30" xfId="3" applyFont="1" applyFill="1" applyBorder="1" applyAlignment="1">
      <alignment horizontal="center" vertical="center" shrinkToFit="1"/>
    </xf>
    <xf numFmtId="192" fontId="27" fillId="0" borderId="37" xfId="0" applyNumberFormat="1" applyFont="1" applyBorder="1" applyAlignment="1">
      <alignment horizontal="center" vertical="center" shrinkToFit="1"/>
    </xf>
    <xf numFmtId="41" fontId="27" fillId="20" borderId="0" xfId="0" applyNumberFormat="1" applyFont="1" applyFill="1" applyBorder="1" applyAlignment="1">
      <alignment horizontal="center" vertical="center" shrinkToFit="1"/>
    </xf>
    <xf numFmtId="0" fontId="27" fillId="18" borderId="32" xfId="0" applyFont="1" applyFill="1" applyBorder="1" applyAlignment="1">
      <alignment horizontal="center" vertical="center"/>
    </xf>
    <xf numFmtId="3" fontId="27" fillId="22" borderId="0" xfId="0" applyNumberFormat="1" applyFont="1" applyFill="1" applyBorder="1" applyAlignment="1">
      <alignment horizontal="center" vertical="center"/>
    </xf>
    <xf numFmtId="187" fontId="27" fillId="22" borderId="0" xfId="0" applyNumberFormat="1" applyFont="1" applyFill="1" applyBorder="1" applyAlignment="1">
      <alignment horizontal="center" vertical="center"/>
    </xf>
    <xf numFmtId="9" fontId="27" fillId="18" borderId="0" xfId="0" applyNumberFormat="1" applyFont="1" applyFill="1" applyBorder="1" applyAlignment="1">
      <alignment horizontal="center" vertical="center"/>
    </xf>
    <xf numFmtId="186" fontId="27" fillId="22" borderId="0" xfId="0" applyNumberFormat="1" applyFont="1" applyFill="1" applyBorder="1" applyAlignment="1">
      <alignment horizontal="center" vertical="center" shrinkToFit="1"/>
    </xf>
    <xf numFmtId="186" fontId="27" fillId="20" borderId="32" xfId="0" applyNumberFormat="1" applyFont="1" applyFill="1" applyBorder="1" applyAlignment="1">
      <alignment horizontal="center" vertical="center" shrinkToFit="1"/>
    </xf>
    <xf numFmtId="0" fontId="95" fillId="18" borderId="0" xfId="0" applyFont="1" applyFill="1" applyBorder="1" applyAlignment="1">
      <alignment horizontal="center" vertical="center"/>
    </xf>
    <xf numFmtId="176" fontId="21" fillId="19" borderId="47" xfId="0" applyNumberFormat="1" applyFont="1" applyFill="1" applyBorder="1" applyAlignment="1" applyProtection="1">
      <alignment horizontal="center" vertical="center" wrapText="1"/>
      <protection locked="0"/>
    </xf>
    <xf numFmtId="176" fontId="21" fillId="19" borderId="48" xfId="0" applyNumberFormat="1" applyFont="1" applyFill="1" applyBorder="1" applyAlignment="1" applyProtection="1">
      <alignment horizontal="center" vertical="center" wrapText="1"/>
      <protection locked="0"/>
    </xf>
    <xf numFmtId="0" fontId="27" fillId="18" borderId="25" xfId="0" applyFont="1" applyFill="1" applyBorder="1" applyAlignment="1">
      <alignment horizontal="center" vertical="center"/>
    </xf>
    <xf numFmtId="0" fontId="71" fillId="14" borderId="0" xfId="0" applyFont="1" applyFill="1" applyAlignment="1">
      <alignment horizontal="center" vertical="center"/>
    </xf>
    <xf numFmtId="0" fontId="75" fillId="20" borderId="64" xfId="0" applyFont="1" applyFill="1" applyBorder="1" applyAlignment="1">
      <alignment horizontal="center" vertical="center"/>
    </xf>
    <xf numFmtId="0" fontId="75" fillId="20" borderId="67" xfId="0" applyFont="1" applyFill="1" applyBorder="1" applyAlignment="1">
      <alignment horizontal="center" vertical="center"/>
    </xf>
    <xf numFmtId="0" fontId="38" fillId="0" borderId="100" xfId="5" applyFont="1" applyBorder="1" applyAlignment="1">
      <alignment horizontal="center" vertical="center" wrapText="1"/>
    </xf>
    <xf numFmtId="0" fontId="38" fillId="0" borderId="101" xfId="5" applyFont="1" applyBorder="1" applyAlignment="1">
      <alignment horizontal="center" vertical="center" wrapText="1"/>
    </xf>
    <xf numFmtId="0" fontId="38" fillId="0" borderId="103" xfId="5" applyFont="1" applyBorder="1" applyAlignment="1">
      <alignment horizontal="center" vertical="center" wrapText="1"/>
    </xf>
    <xf numFmtId="0" fontId="38" fillId="0" borderId="104" xfId="5" applyFont="1" applyBorder="1" applyAlignment="1">
      <alignment horizontal="center" vertical="center" wrapText="1"/>
    </xf>
    <xf numFmtId="0" fontId="68" fillId="6" borderId="8" xfId="5" applyFont="1" applyFill="1" applyBorder="1" applyAlignment="1">
      <alignment horizontal="center" vertical="center" wrapText="1"/>
    </xf>
    <xf numFmtId="0" fontId="68" fillId="6" borderId="98" xfId="5" applyFont="1" applyFill="1" applyBorder="1" applyAlignment="1">
      <alignment horizontal="center" vertical="center" wrapText="1"/>
    </xf>
    <xf numFmtId="0" fontId="68" fillId="6" borderId="5" xfId="5" applyFont="1" applyFill="1" applyBorder="1" applyAlignment="1">
      <alignment horizontal="center" vertical="center" wrapText="1"/>
    </xf>
    <xf numFmtId="183" fontId="68" fillId="0" borderId="8" xfId="0" applyNumberFormat="1" applyFont="1" applyBorder="1" applyAlignment="1">
      <alignment horizontal="center" vertical="center" wrapText="1"/>
    </xf>
    <xf numFmtId="183" fontId="68" fillId="0" borderId="5" xfId="0" applyNumberFormat="1" applyFont="1" applyBorder="1" applyAlignment="1">
      <alignment horizontal="center" vertical="center" wrapText="1"/>
    </xf>
    <xf numFmtId="14" fontId="56" fillId="0" borderId="21" xfId="0" applyNumberFormat="1" applyFont="1" applyBorder="1" applyAlignment="1">
      <alignment horizontal="center" vertical="center" wrapText="1"/>
    </xf>
    <xf numFmtId="14" fontId="56" fillId="0" borderId="18" xfId="0" applyNumberFormat="1" applyFont="1" applyBorder="1" applyAlignment="1">
      <alignment horizontal="center" vertical="center" wrapText="1"/>
    </xf>
    <xf numFmtId="0" fontId="68" fillId="35" borderId="8" xfId="5" applyFont="1" applyFill="1" applyBorder="1" applyAlignment="1">
      <alignment horizontal="center" vertical="center" wrapText="1"/>
    </xf>
    <xf numFmtId="0" fontId="68" fillId="35" borderId="5" xfId="5" applyFont="1" applyFill="1" applyBorder="1" applyAlignment="1">
      <alignment horizontal="center" vertical="center" wrapText="1"/>
    </xf>
    <xf numFmtId="3" fontId="68" fillId="0" borderId="8" xfId="0" applyNumberFormat="1" applyFont="1" applyBorder="1" applyAlignment="1">
      <alignment horizontal="center" vertical="center" wrapText="1"/>
    </xf>
    <xf numFmtId="3" fontId="68" fillId="0" borderId="5" xfId="0" applyNumberFormat="1" applyFont="1" applyBorder="1" applyAlignment="1">
      <alignment horizontal="center" vertical="center" wrapText="1"/>
    </xf>
    <xf numFmtId="0" fontId="48" fillId="0" borderId="99" xfId="0" applyFont="1" applyBorder="1" applyAlignment="1">
      <alignment horizontal="center" vertical="center"/>
    </xf>
    <xf numFmtId="0" fontId="48" fillId="0" borderId="102" xfId="0" applyFont="1" applyBorder="1" applyAlignment="1">
      <alignment horizontal="center" vertical="center"/>
    </xf>
    <xf numFmtId="10" fontId="68" fillId="0" borderId="8" xfId="3" applyNumberFormat="1" applyFont="1" applyBorder="1" applyAlignment="1">
      <alignment horizontal="center" vertical="center" wrapText="1"/>
    </xf>
    <xf numFmtId="10" fontId="68" fillId="0" borderId="5" xfId="3" applyNumberFormat="1" applyFont="1" applyBorder="1" applyAlignment="1">
      <alignment horizontal="center" vertical="center" wrapText="1"/>
    </xf>
    <xf numFmtId="177" fontId="68" fillId="0" borderId="8" xfId="0" applyNumberFormat="1" applyFont="1" applyBorder="1" applyAlignment="1">
      <alignment horizontal="center" vertical="center" wrapText="1"/>
    </xf>
    <xf numFmtId="177" fontId="68" fillId="0" borderId="5" xfId="0" applyNumberFormat="1" applyFont="1" applyBorder="1" applyAlignment="1">
      <alignment horizontal="center" vertical="center" wrapText="1"/>
    </xf>
    <xf numFmtId="0" fontId="20" fillId="0" borderId="90" xfId="14" applyFont="1" applyBorder="1" applyAlignment="1">
      <alignment horizontal="center" vertical="center"/>
    </xf>
    <xf numFmtId="0" fontId="20" fillId="0" borderId="91" xfId="14" applyFont="1" applyBorder="1" applyAlignment="1">
      <alignment horizontal="center" vertical="center"/>
    </xf>
    <xf numFmtId="176" fontId="29" fillId="9" borderId="93" xfId="14" applyNumberFormat="1" applyFont="1" applyFill="1" applyBorder="1" applyAlignment="1">
      <alignment horizontal="center" vertical="center" wrapText="1"/>
    </xf>
    <xf numFmtId="176" fontId="29" fillId="9" borderId="95" xfId="14" applyNumberFormat="1" applyFont="1" applyFill="1" applyBorder="1" applyAlignment="1">
      <alignment horizontal="center" vertical="center"/>
    </xf>
    <xf numFmtId="0" fontId="29" fillId="9" borderId="93" xfId="14" applyFont="1" applyFill="1" applyBorder="1" applyAlignment="1">
      <alignment horizontal="center" vertical="center"/>
    </xf>
    <xf numFmtId="0" fontId="29" fillId="9" borderId="95" xfId="14" applyFont="1" applyFill="1" applyBorder="1" applyAlignment="1">
      <alignment horizontal="center" vertical="center"/>
    </xf>
    <xf numFmtId="0" fontId="29" fillId="0" borderId="0" xfId="14" applyFont="1" applyAlignment="1">
      <alignment horizontal="center" vertical="center"/>
    </xf>
    <xf numFmtId="0" fontId="29" fillId="6" borderId="10" xfId="0" applyFont="1" applyFill="1" applyBorder="1" applyAlignment="1">
      <alignment horizontal="center" vertical="center" wrapText="1"/>
    </xf>
    <xf numFmtId="0" fontId="29" fillId="6" borderId="9" xfId="0" applyFont="1" applyFill="1" applyBorder="1" applyAlignment="1">
      <alignment horizontal="center" vertical="center" wrapText="1"/>
    </xf>
    <xf numFmtId="0" fontId="29" fillId="6" borderId="6" xfId="0" applyFont="1" applyFill="1" applyBorder="1" applyAlignment="1">
      <alignment horizontal="center" vertical="center" wrapText="1"/>
    </xf>
    <xf numFmtId="0" fontId="29" fillId="6" borderId="8" xfId="0" applyFont="1" applyFill="1" applyBorder="1" applyAlignment="1">
      <alignment horizontal="center" vertical="center" wrapText="1"/>
    </xf>
    <xf numFmtId="0" fontId="29" fillId="6" borderId="5" xfId="0" applyFont="1" applyFill="1" applyBorder="1" applyAlignment="1">
      <alignment horizontal="center" vertical="center" wrapText="1"/>
    </xf>
    <xf numFmtId="198" fontId="29" fillId="6" borderId="8" xfId="0" applyNumberFormat="1" applyFont="1" applyFill="1" applyBorder="1" applyAlignment="1">
      <alignment horizontal="center" vertical="center" wrapText="1"/>
    </xf>
    <xf numFmtId="198" fontId="29" fillId="6" borderId="5" xfId="0" applyNumberFormat="1" applyFont="1" applyFill="1" applyBorder="1" applyAlignment="1">
      <alignment horizontal="center" vertical="center" wrapText="1"/>
    </xf>
    <xf numFmtId="0" fontId="98" fillId="19" borderId="111" xfId="0" applyFont="1" applyFill="1" applyBorder="1" applyAlignment="1">
      <alignment horizontal="center" vertical="center" wrapText="1"/>
    </xf>
    <xf numFmtId="0" fontId="98" fillId="19" borderId="6" xfId="0" applyFont="1" applyFill="1" applyBorder="1" applyAlignment="1">
      <alignment horizontal="center" vertical="center" wrapText="1"/>
    </xf>
    <xf numFmtId="0" fontId="98" fillId="19" borderId="113" xfId="0" applyFont="1" applyFill="1" applyBorder="1" applyAlignment="1">
      <alignment horizontal="center" vertical="center" wrapText="1"/>
    </xf>
    <xf numFmtId="0" fontId="98" fillId="19" borderId="7" xfId="0" applyFont="1" applyFill="1" applyBorder="1" applyAlignment="1">
      <alignment horizontal="center" vertical="center" wrapText="1"/>
    </xf>
    <xf numFmtId="0" fontId="20" fillId="6" borderId="41" xfId="0" applyFont="1" applyFill="1" applyBorder="1" applyAlignment="1">
      <alignment horizontal="center" vertical="center" wrapText="1"/>
    </xf>
    <xf numFmtId="0" fontId="20" fillId="6" borderId="42" xfId="0" applyFont="1" applyFill="1" applyBorder="1" applyAlignment="1">
      <alignment horizontal="center" vertical="center" wrapText="1"/>
    </xf>
    <xf numFmtId="0" fontId="21" fillId="19" borderId="97" xfId="0" applyFont="1" applyFill="1" applyBorder="1" applyAlignment="1">
      <alignment horizontal="center" vertical="center" wrapText="1"/>
    </xf>
    <xf numFmtId="0" fontId="20" fillId="15" borderId="60" xfId="0" applyFont="1" applyFill="1" applyBorder="1" applyAlignment="1">
      <alignment horizontal="center" vertical="center" wrapText="1"/>
    </xf>
    <xf numFmtId="0" fontId="20" fillId="15" borderId="55" xfId="0" applyFont="1" applyFill="1" applyBorder="1" applyAlignment="1">
      <alignment horizontal="center" vertical="center" wrapText="1"/>
    </xf>
    <xf numFmtId="0" fontId="20" fillId="15" borderId="57" xfId="0" applyFont="1" applyFill="1" applyBorder="1" applyAlignment="1">
      <alignment horizontal="center" vertical="center" wrapText="1"/>
    </xf>
    <xf numFmtId="0" fontId="21" fillId="25" borderId="72" xfId="0" applyFont="1" applyFill="1" applyBorder="1" applyAlignment="1">
      <alignment horizontal="center" vertical="center"/>
    </xf>
    <xf numFmtId="0" fontId="21" fillId="26" borderId="72" xfId="0" applyFont="1" applyFill="1" applyBorder="1" applyAlignment="1">
      <alignment horizontal="center" vertical="center"/>
    </xf>
    <xf numFmtId="0" fontId="52" fillId="28" borderId="72" xfId="0" applyFont="1" applyFill="1" applyBorder="1" applyAlignment="1">
      <alignment horizontal="center" vertical="center" wrapText="1"/>
    </xf>
    <xf numFmtId="0" fontId="27" fillId="28" borderId="72" xfId="0" applyFont="1" applyFill="1" applyBorder="1" applyAlignment="1">
      <alignment vertical="center" wrapText="1"/>
    </xf>
    <xf numFmtId="0" fontId="27" fillId="0" borderId="72" xfId="0" quotePrefix="1" applyFont="1" applyBorder="1" applyAlignment="1">
      <alignment vertical="center" wrapText="1"/>
    </xf>
    <xf numFmtId="0" fontId="27" fillId="15" borderId="72" xfId="0" applyFont="1" applyFill="1" applyBorder="1" applyAlignment="1">
      <alignment vertical="center" wrapText="1"/>
    </xf>
    <xf numFmtId="0" fontId="25" fillId="28" borderId="72" xfId="0" quotePrefix="1" applyFont="1" applyFill="1" applyBorder="1" applyAlignment="1">
      <alignment vertical="center" wrapText="1"/>
    </xf>
    <xf numFmtId="0" fontId="27" fillId="15" borderId="72" xfId="0" quotePrefix="1" applyFont="1" applyFill="1" applyBorder="1" applyAlignment="1">
      <alignment vertical="center" wrapText="1"/>
    </xf>
    <xf numFmtId="0" fontId="25" fillId="28" borderId="72" xfId="0" applyFont="1" applyFill="1" applyBorder="1" applyAlignment="1">
      <alignment vertical="center" wrapText="1"/>
    </xf>
    <xf numFmtId="0" fontId="25" fillId="0" borderId="72" xfId="0" applyFont="1" applyBorder="1" applyAlignment="1">
      <alignment vertical="center" wrapText="1"/>
    </xf>
    <xf numFmtId="0" fontId="27" fillId="0" borderId="72" xfId="0" applyFont="1" applyBorder="1" applyAlignment="1">
      <alignment vertical="center" wrapText="1"/>
    </xf>
    <xf numFmtId="0" fontId="25" fillId="0" borderId="72" xfId="0" applyFont="1" applyFill="1" applyBorder="1" applyAlignment="1">
      <alignment vertical="center" wrapText="1"/>
    </xf>
    <xf numFmtId="0" fontId="25" fillId="0" borderId="72" xfId="0" quotePrefix="1" applyFont="1" applyBorder="1" applyAlignment="1">
      <alignment vertical="center" wrapText="1"/>
    </xf>
    <xf numFmtId="0" fontId="25" fillId="0" borderId="72" xfId="0" quotePrefix="1" applyFont="1" applyFill="1" applyBorder="1" applyAlignment="1">
      <alignment vertical="center" wrapText="1"/>
    </xf>
    <xf numFmtId="0" fontId="38" fillId="9" borderId="58" xfId="5" applyFont="1" applyFill="1" applyBorder="1" applyAlignment="1">
      <alignment horizontal="left" vertical="center" wrapText="1"/>
    </xf>
    <xf numFmtId="0" fontId="38" fillId="9" borderId="59" xfId="5" applyFont="1" applyFill="1" applyBorder="1" applyAlignment="1">
      <alignment horizontal="left" vertical="center" wrapText="1"/>
    </xf>
    <xf numFmtId="0" fontId="38" fillId="9" borderId="60" xfId="5" applyFont="1" applyFill="1" applyBorder="1" applyAlignment="1">
      <alignment horizontal="left" vertical="center" wrapText="1"/>
    </xf>
    <xf numFmtId="0" fontId="38" fillId="9" borderId="54" xfId="5" applyFont="1" applyFill="1" applyBorder="1" applyAlignment="1">
      <alignment horizontal="left" vertical="center" wrapText="1"/>
    </xf>
    <xf numFmtId="0" fontId="38" fillId="9" borderId="0" xfId="5" applyFont="1" applyFill="1" applyBorder="1" applyAlignment="1">
      <alignment horizontal="left" vertical="center" wrapText="1"/>
    </xf>
    <xf numFmtId="0" fontId="38" fillId="9" borderId="55" xfId="5" applyFont="1" applyFill="1" applyBorder="1" applyAlignment="1">
      <alignment horizontal="left" vertical="center" wrapText="1"/>
    </xf>
    <xf numFmtId="0" fontId="38" fillId="9" borderId="56" xfId="5" applyFont="1" applyFill="1" applyBorder="1" applyAlignment="1">
      <alignment horizontal="left" vertical="center" wrapText="1"/>
    </xf>
    <xf numFmtId="0" fontId="38" fillId="9" borderId="50" xfId="5" applyFont="1" applyFill="1" applyBorder="1" applyAlignment="1">
      <alignment horizontal="left" vertical="center" wrapText="1"/>
    </xf>
    <xf numFmtId="0" fontId="38" fillId="9" borderId="57" xfId="5" applyFont="1" applyFill="1" applyBorder="1" applyAlignment="1">
      <alignment horizontal="left" vertical="center" wrapText="1"/>
    </xf>
    <xf numFmtId="0" fontId="27" fillId="9" borderId="58" xfId="0" applyFont="1" applyFill="1" applyBorder="1" applyAlignment="1">
      <alignment horizontal="left" vertical="center" wrapText="1"/>
    </xf>
    <xf numFmtId="0" fontId="27" fillId="9" borderId="59" xfId="0" applyFont="1" applyFill="1" applyBorder="1" applyAlignment="1">
      <alignment horizontal="left" vertical="center" wrapText="1"/>
    </xf>
    <xf numFmtId="0" fontId="27" fillId="9" borderId="60" xfId="0" applyFont="1" applyFill="1" applyBorder="1" applyAlignment="1">
      <alignment horizontal="left" vertical="center" wrapText="1"/>
    </xf>
    <xf numFmtId="0" fontId="27" fillId="9" borderId="54" xfId="0" applyFont="1" applyFill="1" applyBorder="1" applyAlignment="1">
      <alignment horizontal="left" vertical="center" wrapText="1"/>
    </xf>
    <xf numFmtId="0" fontId="27" fillId="9" borderId="0" xfId="0" applyFont="1" applyFill="1" applyBorder="1" applyAlignment="1">
      <alignment horizontal="left" vertical="center" wrapText="1"/>
    </xf>
    <xf numFmtId="0" fontId="27" fillId="9" borderId="55" xfId="0" applyFont="1" applyFill="1" applyBorder="1" applyAlignment="1">
      <alignment horizontal="left" vertical="center" wrapText="1"/>
    </xf>
    <xf numFmtId="0" fontId="27" fillId="9" borderId="56" xfId="0" applyFont="1" applyFill="1" applyBorder="1" applyAlignment="1">
      <alignment horizontal="left" vertical="center" wrapText="1"/>
    </xf>
    <xf numFmtId="0" fontId="27" fillId="9" borderId="50" xfId="0" applyFont="1" applyFill="1" applyBorder="1" applyAlignment="1">
      <alignment horizontal="left" vertical="center" wrapText="1"/>
    </xf>
    <xf numFmtId="0" fontId="27" fillId="9" borderId="57" xfId="0" applyFont="1" applyFill="1" applyBorder="1" applyAlignment="1">
      <alignment horizontal="left" vertical="center" wrapText="1"/>
    </xf>
    <xf numFmtId="0" fontId="27" fillId="8" borderId="61" xfId="0" applyFont="1" applyFill="1" applyBorder="1" applyAlignment="1">
      <alignment horizontal="center" vertical="center"/>
    </xf>
    <xf numFmtId="0" fontId="27" fillId="8" borderId="62" xfId="0" applyFont="1" applyFill="1" applyBorder="1" applyAlignment="1">
      <alignment horizontal="center" vertical="center"/>
    </xf>
    <xf numFmtId="0" fontId="27" fillId="8" borderId="63" xfId="0" applyFont="1" applyFill="1" applyBorder="1" applyAlignment="1">
      <alignment horizontal="center" vertical="center"/>
    </xf>
    <xf numFmtId="0" fontId="27" fillId="0" borderId="59" xfId="0" applyFont="1" applyFill="1" applyBorder="1" applyAlignment="1">
      <alignment horizontal="center" vertical="center" shrinkToFit="1"/>
    </xf>
    <xf numFmtId="0" fontId="27" fillId="0" borderId="60" xfId="0" applyFont="1" applyFill="1" applyBorder="1" applyAlignment="1">
      <alignment horizontal="center" vertical="center" shrinkToFit="1"/>
    </xf>
    <xf numFmtId="0" fontId="27" fillId="0" borderId="0" xfId="0" applyFont="1" applyFill="1" applyBorder="1" applyAlignment="1">
      <alignment horizontal="center" vertical="center" shrinkToFit="1"/>
    </xf>
    <xf numFmtId="0" fontId="27" fillId="0" borderId="55" xfId="0" applyFont="1" applyFill="1" applyBorder="1" applyAlignment="1">
      <alignment horizontal="center" vertical="center" shrinkToFit="1"/>
    </xf>
    <xf numFmtId="14" fontId="27" fillId="0" borderId="0" xfId="0" applyNumberFormat="1" applyFont="1" applyFill="1" applyBorder="1" applyAlignment="1">
      <alignment horizontal="center" vertical="center"/>
    </xf>
    <xf numFmtId="14" fontId="27" fillId="0" borderId="55" xfId="0" applyNumberFormat="1" applyFont="1" applyFill="1" applyBorder="1" applyAlignment="1">
      <alignment horizontal="center" vertical="center"/>
    </xf>
    <xf numFmtId="0" fontId="27" fillId="0" borderId="55" xfId="0" applyFont="1" applyFill="1" applyBorder="1" applyAlignment="1">
      <alignment horizontal="center" vertical="center"/>
    </xf>
    <xf numFmtId="3" fontId="27" fillId="0" borderId="0" xfId="0" applyNumberFormat="1" applyFont="1" applyFill="1" applyBorder="1" applyAlignment="1">
      <alignment horizontal="center" vertical="center"/>
    </xf>
    <xf numFmtId="3" fontId="27" fillId="0" borderId="55" xfId="0" applyNumberFormat="1" applyFont="1" applyFill="1" applyBorder="1" applyAlignment="1">
      <alignment horizontal="center" vertical="center"/>
    </xf>
    <xf numFmtId="193" fontId="27" fillId="0" borderId="0" xfId="0" applyNumberFormat="1" applyFont="1" applyFill="1" applyBorder="1" applyAlignment="1">
      <alignment horizontal="center" vertical="center"/>
    </xf>
    <xf numFmtId="193" fontId="27" fillId="0" borderId="55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27" fillId="0" borderId="50" xfId="0" applyFont="1" applyFill="1" applyBorder="1" applyAlignment="1">
      <alignment horizontal="center" vertical="center"/>
    </xf>
    <xf numFmtId="0" fontId="27" fillId="0" borderId="57" xfId="0" applyFont="1" applyFill="1" applyBorder="1" applyAlignment="1">
      <alignment horizontal="center" vertical="center"/>
    </xf>
    <xf numFmtId="14" fontId="25" fillId="0" borderId="54" xfId="0" applyNumberFormat="1" applyFont="1" applyBorder="1" applyAlignment="1">
      <alignment horizontal="center" vertical="center" wrapText="1"/>
    </xf>
    <xf numFmtId="14" fontId="25" fillId="0" borderId="56" xfId="0" applyNumberFormat="1" applyFont="1" applyBorder="1" applyAlignment="1">
      <alignment horizontal="center" vertical="center" wrapText="1"/>
    </xf>
    <xf numFmtId="192" fontId="27" fillId="0" borderId="0" xfId="0" applyNumberFormat="1" applyFont="1" applyFill="1" applyBorder="1" applyAlignment="1">
      <alignment horizontal="center" vertical="center"/>
    </xf>
    <xf numFmtId="192" fontId="27" fillId="0" borderId="55" xfId="0" applyNumberFormat="1" applyFont="1" applyFill="1" applyBorder="1" applyAlignment="1">
      <alignment horizontal="center" vertical="center"/>
    </xf>
    <xf numFmtId="0" fontId="27" fillId="0" borderId="77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20" fillId="0" borderId="7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80" xfId="0" applyFont="1" applyBorder="1" applyAlignment="1">
      <alignment horizontal="center"/>
    </xf>
    <xf numFmtId="0" fontId="20" fillId="0" borderId="56" xfId="0" applyFont="1" applyBorder="1" applyAlignment="1">
      <alignment horizontal="center" vertical="center"/>
    </xf>
    <xf numFmtId="0" fontId="20" fillId="0" borderId="50" xfId="0" applyFont="1" applyBorder="1" applyAlignment="1">
      <alignment horizontal="center" vertical="center"/>
    </xf>
    <xf numFmtId="0" fontId="20" fillId="0" borderId="77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7" fillId="8" borderId="78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horizontal="center" vertical="center"/>
    </xf>
    <xf numFmtId="0" fontId="27" fillId="0" borderId="78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79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</cellXfs>
  <cellStyles count="27">
    <cellStyle name="백분율" xfId="3" builtinId="5"/>
    <cellStyle name="백분율 2" xfId="15"/>
    <cellStyle name="쉼표 [0]" xfId="2" builtinId="6"/>
    <cellStyle name="쉼표 [0] 2" xfId="6"/>
    <cellStyle name="쉼표 [0] 2 2" xfId="12"/>
    <cellStyle name="쉼표 [0] 2 2 2" xfId="24"/>
    <cellStyle name="쉼표 [0] 2 3" xfId="19"/>
    <cellStyle name="쉼표 [0] 3" xfId="7"/>
    <cellStyle name="쉼표 [0] 3 2" xfId="13"/>
    <cellStyle name="쉼표 [0] 3 2 2" xfId="25"/>
    <cellStyle name="쉼표 [0] 3 3" xfId="20"/>
    <cellStyle name="쉼표 [0] 4" xfId="10"/>
    <cellStyle name="쉼표 [0] 4 2" xfId="22"/>
    <cellStyle name="쉼표 [0] 5" xfId="18"/>
    <cellStyle name="통화 [0] 2" xfId="26"/>
    <cellStyle name="표준" xfId="0" builtinId="0"/>
    <cellStyle name="표준 2" xfId="4"/>
    <cellStyle name="표준 3" xfId="1"/>
    <cellStyle name="표준 3 2" xfId="9"/>
    <cellStyle name="표준 3 2 2" xfId="21"/>
    <cellStyle name="표준 3 3" xfId="17"/>
    <cellStyle name="표준 4" xfId="5"/>
    <cellStyle name="표준 4 2" xfId="11"/>
    <cellStyle name="표준 4 2 2" xfId="23"/>
    <cellStyle name="표준 4 3" xfId="8"/>
    <cellStyle name="표준 4 4" xfId="16"/>
    <cellStyle name="표준 5" xfId="14"/>
  </cellStyles>
  <dxfs count="495"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4"/>
      </font>
    </dxf>
    <dxf>
      <font>
        <b/>
        <i val="0"/>
        <color rgb="FFC00000"/>
      </font>
    </dxf>
    <dxf>
      <font>
        <b/>
        <i val="0"/>
        <color theme="4"/>
      </font>
    </dxf>
    <dxf>
      <font>
        <b/>
        <i val="0"/>
        <color rgb="FFC00000"/>
      </font>
    </dxf>
    <dxf>
      <font>
        <b/>
        <i val="0"/>
        <color theme="4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theme="4"/>
      </font>
    </dxf>
    <dxf>
      <font>
        <b/>
        <i val="0"/>
        <color rgb="FFC00000"/>
      </font>
    </dxf>
    <dxf>
      <font>
        <b/>
        <i val="0"/>
        <color theme="4"/>
      </font>
    </dxf>
    <dxf>
      <font>
        <b/>
        <i val="0"/>
        <color rgb="FFC00000"/>
      </font>
    </dxf>
    <dxf>
      <font>
        <b/>
        <i val="0"/>
        <color theme="4"/>
      </font>
    </dxf>
    <dxf>
      <font>
        <b/>
        <i val="0"/>
        <color rgb="FFC00000"/>
      </font>
    </dxf>
    <dxf>
      <fill>
        <patternFill patternType="lightUp"/>
      </fill>
      <border>
        <vertical/>
        <horizontal/>
      </border>
    </dxf>
    <dxf>
      <fill>
        <patternFill patternType="lightUp"/>
      </fill>
      <border>
        <vertical/>
        <horizontal/>
      </border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C00000"/>
      </font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lightUp"/>
      </fill>
    </dxf>
    <dxf>
      <fill>
        <patternFill patternType="lightUp"/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ill>
        <patternFill patternType="lightUp"/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</dxfs>
  <tableStyles count="0" defaultTableStyle="TableStyleMedium9" defaultPivotStyle="PivotStyleLight16"/>
  <colors>
    <mruColors>
      <color rgb="FFFFFFCC"/>
      <color rgb="FFE6E6E6"/>
      <color rgb="FFF0F0F0"/>
      <color rgb="FF3660A6"/>
      <color rgb="FFC6D9F1"/>
      <color rgb="FF88A9D2"/>
      <color rgb="FFF3ECD9"/>
      <color rgb="FFFAF1F0"/>
      <color rgb="FFF7EAE9"/>
      <color rgb="FFF8DE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63</xdr:row>
          <xdr:rowOff>0</xdr:rowOff>
        </xdr:from>
        <xdr:to>
          <xdr:col>7</xdr:col>
          <xdr:colOff>571500</xdr:colOff>
          <xdr:row>68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75</xdr:row>
          <xdr:rowOff>19050</xdr:rowOff>
        </xdr:from>
        <xdr:to>
          <xdr:col>7</xdr:col>
          <xdr:colOff>619125</xdr:colOff>
          <xdr:row>80</xdr:row>
          <xdr:rowOff>161925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87</xdr:row>
          <xdr:rowOff>28575</xdr:rowOff>
        </xdr:from>
        <xdr:to>
          <xdr:col>7</xdr:col>
          <xdr:colOff>619125</xdr:colOff>
          <xdr:row>92</xdr:row>
          <xdr:rowOff>152400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99</xdr:row>
          <xdr:rowOff>28575</xdr:rowOff>
        </xdr:from>
        <xdr:to>
          <xdr:col>7</xdr:col>
          <xdr:colOff>619125</xdr:colOff>
          <xdr:row>104</xdr:row>
          <xdr:rowOff>152400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111</xdr:row>
          <xdr:rowOff>28575</xdr:rowOff>
        </xdr:from>
        <xdr:to>
          <xdr:col>7</xdr:col>
          <xdr:colOff>619125</xdr:colOff>
          <xdr:row>116</xdr:row>
          <xdr:rowOff>152400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123</xdr:row>
          <xdr:rowOff>28575</xdr:rowOff>
        </xdr:from>
        <xdr:to>
          <xdr:col>7</xdr:col>
          <xdr:colOff>619125</xdr:colOff>
          <xdr:row>128</xdr:row>
          <xdr:rowOff>152400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135</xdr:row>
          <xdr:rowOff>28575</xdr:rowOff>
        </xdr:from>
        <xdr:to>
          <xdr:col>7</xdr:col>
          <xdr:colOff>619125</xdr:colOff>
          <xdr:row>140</xdr:row>
          <xdr:rowOff>152400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147</xdr:row>
          <xdr:rowOff>28575</xdr:rowOff>
        </xdr:from>
        <xdr:to>
          <xdr:col>7</xdr:col>
          <xdr:colOff>619125</xdr:colOff>
          <xdr:row>152</xdr:row>
          <xdr:rowOff>152400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159</xdr:row>
          <xdr:rowOff>28575</xdr:rowOff>
        </xdr:from>
        <xdr:to>
          <xdr:col>7</xdr:col>
          <xdr:colOff>619125</xdr:colOff>
          <xdr:row>164</xdr:row>
          <xdr:rowOff>152400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171</xdr:row>
          <xdr:rowOff>28575</xdr:rowOff>
        </xdr:from>
        <xdr:to>
          <xdr:col>7</xdr:col>
          <xdr:colOff>619125</xdr:colOff>
          <xdr:row>176</xdr:row>
          <xdr:rowOff>152400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183</xdr:row>
          <xdr:rowOff>28575</xdr:rowOff>
        </xdr:from>
        <xdr:to>
          <xdr:col>7</xdr:col>
          <xdr:colOff>619125</xdr:colOff>
          <xdr:row>188</xdr:row>
          <xdr:rowOff>152400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195</xdr:row>
          <xdr:rowOff>28575</xdr:rowOff>
        </xdr:from>
        <xdr:to>
          <xdr:col>7</xdr:col>
          <xdr:colOff>619125</xdr:colOff>
          <xdr:row>200</xdr:row>
          <xdr:rowOff>152400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207</xdr:row>
          <xdr:rowOff>28575</xdr:rowOff>
        </xdr:from>
        <xdr:to>
          <xdr:col>7</xdr:col>
          <xdr:colOff>619125</xdr:colOff>
          <xdr:row>212</xdr:row>
          <xdr:rowOff>152400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219</xdr:row>
          <xdr:rowOff>28575</xdr:rowOff>
        </xdr:from>
        <xdr:to>
          <xdr:col>7</xdr:col>
          <xdr:colOff>619125</xdr:colOff>
          <xdr:row>224</xdr:row>
          <xdr:rowOff>152400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231</xdr:row>
          <xdr:rowOff>28575</xdr:rowOff>
        </xdr:from>
        <xdr:to>
          <xdr:col>7</xdr:col>
          <xdr:colOff>619125</xdr:colOff>
          <xdr:row>236</xdr:row>
          <xdr:rowOff>152400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243</xdr:row>
          <xdr:rowOff>28575</xdr:rowOff>
        </xdr:from>
        <xdr:to>
          <xdr:col>7</xdr:col>
          <xdr:colOff>619125</xdr:colOff>
          <xdr:row>248</xdr:row>
          <xdr:rowOff>152400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255</xdr:row>
          <xdr:rowOff>28575</xdr:rowOff>
        </xdr:from>
        <xdr:to>
          <xdr:col>7</xdr:col>
          <xdr:colOff>619125</xdr:colOff>
          <xdr:row>260</xdr:row>
          <xdr:rowOff>152400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267</xdr:row>
          <xdr:rowOff>28575</xdr:rowOff>
        </xdr:from>
        <xdr:to>
          <xdr:col>7</xdr:col>
          <xdr:colOff>619125</xdr:colOff>
          <xdr:row>272</xdr:row>
          <xdr:rowOff>152400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279</xdr:row>
          <xdr:rowOff>28575</xdr:rowOff>
        </xdr:from>
        <xdr:to>
          <xdr:col>7</xdr:col>
          <xdr:colOff>619125</xdr:colOff>
          <xdr:row>284</xdr:row>
          <xdr:rowOff>152400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291</xdr:row>
          <xdr:rowOff>28575</xdr:rowOff>
        </xdr:from>
        <xdr:to>
          <xdr:col>7</xdr:col>
          <xdr:colOff>619125</xdr:colOff>
          <xdr:row>296</xdr:row>
          <xdr:rowOff>152400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303</xdr:row>
          <xdr:rowOff>28575</xdr:rowOff>
        </xdr:from>
        <xdr:to>
          <xdr:col>7</xdr:col>
          <xdr:colOff>619125</xdr:colOff>
          <xdr:row>308</xdr:row>
          <xdr:rowOff>152400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315</xdr:row>
          <xdr:rowOff>28575</xdr:rowOff>
        </xdr:from>
        <xdr:to>
          <xdr:col>7</xdr:col>
          <xdr:colOff>619125</xdr:colOff>
          <xdr:row>320</xdr:row>
          <xdr:rowOff>152400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327</xdr:row>
          <xdr:rowOff>28575</xdr:rowOff>
        </xdr:from>
        <xdr:to>
          <xdr:col>7</xdr:col>
          <xdr:colOff>619125</xdr:colOff>
          <xdr:row>332</xdr:row>
          <xdr:rowOff>152400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339</xdr:row>
          <xdr:rowOff>28575</xdr:rowOff>
        </xdr:from>
        <xdr:to>
          <xdr:col>7</xdr:col>
          <xdr:colOff>619125</xdr:colOff>
          <xdr:row>344</xdr:row>
          <xdr:rowOff>152400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351</xdr:row>
          <xdr:rowOff>28575</xdr:rowOff>
        </xdr:from>
        <xdr:to>
          <xdr:col>7</xdr:col>
          <xdr:colOff>619125</xdr:colOff>
          <xdr:row>356</xdr:row>
          <xdr:rowOff>152400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363</xdr:row>
          <xdr:rowOff>28575</xdr:rowOff>
        </xdr:from>
        <xdr:to>
          <xdr:col>7</xdr:col>
          <xdr:colOff>619125</xdr:colOff>
          <xdr:row>368</xdr:row>
          <xdr:rowOff>152400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375</xdr:row>
          <xdr:rowOff>28575</xdr:rowOff>
        </xdr:from>
        <xdr:to>
          <xdr:col>7</xdr:col>
          <xdr:colOff>619125</xdr:colOff>
          <xdr:row>380</xdr:row>
          <xdr:rowOff>152400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387</xdr:row>
          <xdr:rowOff>28575</xdr:rowOff>
        </xdr:from>
        <xdr:to>
          <xdr:col>7</xdr:col>
          <xdr:colOff>619125</xdr:colOff>
          <xdr:row>392</xdr:row>
          <xdr:rowOff>152400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399</xdr:row>
          <xdr:rowOff>28575</xdr:rowOff>
        </xdr:from>
        <xdr:to>
          <xdr:col>7</xdr:col>
          <xdr:colOff>619125</xdr:colOff>
          <xdr:row>404</xdr:row>
          <xdr:rowOff>152400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37</xdr:row>
          <xdr:rowOff>104775</xdr:rowOff>
        </xdr:from>
        <xdr:to>
          <xdr:col>4</xdr:col>
          <xdr:colOff>923925</xdr:colOff>
          <xdr:row>39</xdr:row>
          <xdr:rowOff>123825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선순위 → 중순위 → 후순위 → IRR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199</xdr:row>
          <xdr:rowOff>85725</xdr:rowOff>
        </xdr:from>
        <xdr:to>
          <xdr:col>0</xdr:col>
          <xdr:colOff>609600</xdr:colOff>
          <xdr:row>201</xdr:row>
          <xdr:rowOff>95250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1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237</xdr:row>
          <xdr:rowOff>76200</xdr:rowOff>
        </xdr:from>
        <xdr:to>
          <xdr:col>0</xdr:col>
          <xdr:colOff>609600</xdr:colOff>
          <xdr:row>239</xdr:row>
          <xdr:rowOff>95250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1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275</xdr:row>
          <xdr:rowOff>85725</xdr:rowOff>
        </xdr:from>
        <xdr:to>
          <xdr:col>0</xdr:col>
          <xdr:colOff>609600</xdr:colOff>
          <xdr:row>277</xdr:row>
          <xdr:rowOff>95250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1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313</xdr:row>
          <xdr:rowOff>85725</xdr:rowOff>
        </xdr:from>
        <xdr:to>
          <xdr:col>0</xdr:col>
          <xdr:colOff>609600</xdr:colOff>
          <xdr:row>315</xdr:row>
          <xdr:rowOff>95250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1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351</xdr:row>
          <xdr:rowOff>85725</xdr:rowOff>
        </xdr:from>
        <xdr:to>
          <xdr:col>0</xdr:col>
          <xdr:colOff>609600</xdr:colOff>
          <xdr:row>353</xdr:row>
          <xdr:rowOff>95250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1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389</xdr:row>
          <xdr:rowOff>85725</xdr:rowOff>
        </xdr:from>
        <xdr:to>
          <xdr:col>0</xdr:col>
          <xdr:colOff>609600</xdr:colOff>
          <xdr:row>391</xdr:row>
          <xdr:rowOff>95250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1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427</xdr:row>
          <xdr:rowOff>85725</xdr:rowOff>
        </xdr:from>
        <xdr:to>
          <xdr:col>0</xdr:col>
          <xdr:colOff>609600</xdr:colOff>
          <xdr:row>429</xdr:row>
          <xdr:rowOff>95250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1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465</xdr:row>
          <xdr:rowOff>85725</xdr:rowOff>
        </xdr:from>
        <xdr:to>
          <xdr:col>0</xdr:col>
          <xdr:colOff>609600</xdr:colOff>
          <xdr:row>467</xdr:row>
          <xdr:rowOff>95250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1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503</xdr:row>
          <xdr:rowOff>85725</xdr:rowOff>
        </xdr:from>
        <xdr:to>
          <xdr:col>0</xdr:col>
          <xdr:colOff>609600</xdr:colOff>
          <xdr:row>505</xdr:row>
          <xdr:rowOff>95250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1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541</xdr:row>
          <xdr:rowOff>85725</xdr:rowOff>
        </xdr:from>
        <xdr:to>
          <xdr:col>0</xdr:col>
          <xdr:colOff>609600</xdr:colOff>
          <xdr:row>543</xdr:row>
          <xdr:rowOff>95250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1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579</xdr:row>
          <xdr:rowOff>85725</xdr:rowOff>
        </xdr:from>
        <xdr:to>
          <xdr:col>0</xdr:col>
          <xdr:colOff>609600</xdr:colOff>
          <xdr:row>581</xdr:row>
          <xdr:rowOff>95250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1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617</xdr:row>
          <xdr:rowOff>85725</xdr:rowOff>
        </xdr:from>
        <xdr:to>
          <xdr:col>0</xdr:col>
          <xdr:colOff>609600</xdr:colOff>
          <xdr:row>619</xdr:row>
          <xdr:rowOff>95250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1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655</xdr:row>
          <xdr:rowOff>85725</xdr:rowOff>
        </xdr:from>
        <xdr:to>
          <xdr:col>0</xdr:col>
          <xdr:colOff>609600</xdr:colOff>
          <xdr:row>657</xdr:row>
          <xdr:rowOff>95250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1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693</xdr:row>
          <xdr:rowOff>85725</xdr:rowOff>
        </xdr:from>
        <xdr:to>
          <xdr:col>0</xdr:col>
          <xdr:colOff>609600</xdr:colOff>
          <xdr:row>695</xdr:row>
          <xdr:rowOff>95250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1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731</xdr:row>
          <xdr:rowOff>85725</xdr:rowOff>
        </xdr:from>
        <xdr:to>
          <xdr:col>0</xdr:col>
          <xdr:colOff>609600</xdr:colOff>
          <xdr:row>733</xdr:row>
          <xdr:rowOff>95250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1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769</xdr:row>
          <xdr:rowOff>85725</xdr:rowOff>
        </xdr:from>
        <xdr:to>
          <xdr:col>0</xdr:col>
          <xdr:colOff>609600</xdr:colOff>
          <xdr:row>771</xdr:row>
          <xdr:rowOff>95250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1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807</xdr:row>
          <xdr:rowOff>85725</xdr:rowOff>
        </xdr:from>
        <xdr:to>
          <xdr:col>0</xdr:col>
          <xdr:colOff>609600</xdr:colOff>
          <xdr:row>809</xdr:row>
          <xdr:rowOff>95250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1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845</xdr:row>
          <xdr:rowOff>85725</xdr:rowOff>
        </xdr:from>
        <xdr:to>
          <xdr:col>0</xdr:col>
          <xdr:colOff>609600</xdr:colOff>
          <xdr:row>847</xdr:row>
          <xdr:rowOff>95250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1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883</xdr:row>
          <xdr:rowOff>85725</xdr:rowOff>
        </xdr:from>
        <xdr:to>
          <xdr:col>0</xdr:col>
          <xdr:colOff>609600</xdr:colOff>
          <xdr:row>885</xdr:row>
          <xdr:rowOff>95250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1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921</xdr:row>
          <xdr:rowOff>85725</xdr:rowOff>
        </xdr:from>
        <xdr:to>
          <xdr:col>0</xdr:col>
          <xdr:colOff>609600</xdr:colOff>
          <xdr:row>923</xdr:row>
          <xdr:rowOff>95250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1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959</xdr:row>
          <xdr:rowOff>85725</xdr:rowOff>
        </xdr:from>
        <xdr:to>
          <xdr:col>0</xdr:col>
          <xdr:colOff>609600</xdr:colOff>
          <xdr:row>961</xdr:row>
          <xdr:rowOff>95250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1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997</xdr:row>
          <xdr:rowOff>85725</xdr:rowOff>
        </xdr:from>
        <xdr:to>
          <xdr:col>0</xdr:col>
          <xdr:colOff>609600</xdr:colOff>
          <xdr:row>999</xdr:row>
          <xdr:rowOff>95250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1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1035</xdr:row>
          <xdr:rowOff>85725</xdr:rowOff>
        </xdr:from>
        <xdr:to>
          <xdr:col>0</xdr:col>
          <xdr:colOff>609600</xdr:colOff>
          <xdr:row>1037</xdr:row>
          <xdr:rowOff>95250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1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1073</xdr:row>
          <xdr:rowOff>85725</xdr:rowOff>
        </xdr:from>
        <xdr:to>
          <xdr:col>0</xdr:col>
          <xdr:colOff>609600</xdr:colOff>
          <xdr:row>1075</xdr:row>
          <xdr:rowOff>95250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1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1111</xdr:row>
          <xdr:rowOff>85725</xdr:rowOff>
        </xdr:from>
        <xdr:to>
          <xdr:col>0</xdr:col>
          <xdr:colOff>609600</xdr:colOff>
          <xdr:row>1113</xdr:row>
          <xdr:rowOff>95250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1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1149</xdr:row>
          <xdr:rowOff>85725</xdr:rowOff>
        </xdr:from>
        <xdr:to>
          <xdr:col>0</xdr:col>
          <xdr:colOff>609600</xdr:colOff>
          <xdr:row>1151</xdr:row>
          <xdr:rowOff>95250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1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1187</xdr:row>
          <xdr:rowOff>85725</xdr:rowOff>
        </xdr:from>
        <xdr:to>
          <xdr:col>0</xdr:col>
          <xdr:colOff>609600</xdr:colOff>
          <xdr:row>1189</xdr:row>
          <xdr:rowOff>95250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1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1225</xdr:row>
          <xdr:rowOff>85725</xdr:rowOff>
        </xdr:from>
        <xdr:to>
          <xdr:col>0</xdr:col>
          <xdr:colOff>609600</xdr:colOff>
          <xdr:row>1227</xdr:row>
          <xdr:rowOff>95250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1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1263</xdr:row>
          <xdr:rowOff>85725</xdr:rowOff>
        </xdr:from>
        <xdr:to>
          <xdr:col>0</xdr:col>
          <xdr:colOff>609600</xdr:colOff>
          <xdr:row>1265</xdr:row>
          <xdr:rowOff>95250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1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921</xdr:row>
          <xdr:rowOff>85725</xdr:rowOff>
        </xdr:from>
        <xdr:to>
          <xdr:col>0</xdr:col>
          <xdr:colOff>609600</xdr:colOff>
          <xdr:row>923</xdr:row>
          <xdr:rowOff>95250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1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959</xdr:row>
          <xdr:rowOff>85725</xdr:rowOff>
        </xdr:from>
        <xdr:to>
          <xdr:col>0</xdr:col>
          <xdr:colOff>609600</xdr:colOff>
          <xdr:row>961</xdr:row>
          <xdr:rowOff>95250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1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997</xdr:row>
          <xdr:rowOff>85725</xdr:rowOff>
        </xdr:from>
        <xdr:to>
          <xdr:col>0</xdr:col>
          <xdr:colOff>609600</xdr:colOff>
          <xdr:row>999</xdr:row>
          <xdr:rowOff>95250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1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1035</xdr:row>
          <xdr:rowOff>85725</xdr:rowOff>
        </xdr:from>
        <xdr:to>
          <xdr:col>0</xdr:col>
          <xdr:colOff>609600</xdr:colOff>
          <xdr:row>1037</xdr:row>
          <xdr:rowOff>95250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1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1073</xdr:row>
          <xdr:rowOff>85725</xdr:rowOff>
        </xdr:from>
        <xdr:to>
          <xdr:col>0</xdr:col>
          <xdr:colOff>609600</xdr:colOff>
          <xdr:row>1075</xdr:row>
          <xdr:rowOff>95250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1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1111</xdr:row>
          <xdr:rowOff>85725</xdr:rowOff>
        </xdr:from>
        <xdr:to>
          <xdr:col>0</xdr:col>
          <xdr:colOff>609600</xdr:colOff>
          <xdr:row>1113</xdr:row>
          <xdr:rowOff>95250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1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1149</xdr:row>
          <xdr:rowOff>85725</xdr:rowOff>
        </xdr:from>
        <xdr:to>
          <xdr:col>0</xdr:col>
          <xdr:colOff>609600</xdr:colOff>
          <xdr:row>1151</xdr:row>
          <xdr:rowOff>95250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1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1187</xdr:row>
          <xdr:rowOff>85725</xdr:rowOff>
        </xdr:from>
        <xdr:to>
          <xdr:col>0</xdr:col>
          <xdr:colOff>609600</xdr:colOff>
          <xdr:row>1189</xdr:row>
          <xdr:rowOff>95250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1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1225</xdr:row>
          <xdr:rowOff>85725</xdr:rowOff>
        </xdr:from>
        <xdr:to>
          <xdr:col>0</xdr:col>
          <xdr:colOff>609600</xdr:colOff>
          <xdr:row>1227</xdr:row>
          <xdr:rowOff>95250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1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1263</xdr:row>
          <xdr:rowOff>85725</xdr:rowOff>
        </xdr:from>
        <xdr:to>
          <xdr:col>0</xdr:col>
          <xdr:colOff>609600</xdr:colOff>
          <xdr:row>1265</xdr:row>
          <xdr:rowOff>95250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1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10</xdr:row>
          <xdr:rowOff>38100</xdr:rowOff>
        </xdr:from>
        <xdr:to>
          <xdr:col>8</xdr:col>
          <xdr:colOff>285750</xdr:colOff>
          <xdr:row>16</xdr:row>
          <xdr:rowOff>9525</xdr:rowOff>
        </xdr:to>
        <xdr:sp macro="" textlink="">
          <xdr:nvSpPr>
            <xdr:cNvPr id="4313" name="Button 217" hidden="1">
              <a:extLst>
                <a:ext uri="{63B3BB69-23CF-44E3-9099-C40C66FF867C}">
                  <a14:compatExt spid="_x0000_s4313"/>
                </a:ext>
                <a:ext uri="{FF2B5EF4-FFF2-40B4-BE49-F238E27FC236}">
                  <a16:creationId xmlns:a16="http://schemas.microsoft.com/office/drawing/2014/main" id="{00000000-0008-0000-0100-0000D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 이동버튼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1333500</xdr:colOff>
          <xdr:row>7</xdr:row>
          <xdr:rowOff>104775</xdr:rowOff>
        </xdr:from>
        <xdr:to>
          <xdr:col>4</xdr:col>
          <xdr:colOff>1333500</xdr:colOff>
          <xdr:row>9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종가 조회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omments" Target="../comments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13" Type="http://schemas.openxmlformats.org/officeDocument/2006/relationships/ctrlProp" Target="../ctrlProps/ctrlProp40.xml"/><Relationship Id="rId18" Type="http://schemas.openxmlformats.org/officeDocument/2006/relationships/ctrlProp" Target="../ctrlProps/ctrlProp45.xml"/><Relationship Id="rId26" Type="http://schemas.openxmlformats.org/officeDocument/2006/relationships/ctrlProp" Target="../ctrlProps/ctrlProp53.xml"/><Relationship Id="rId39" Type="http://schemas.openxmlformats.org/officeDocument/2006/relationships/ctrlProp" Target="../ctrlProps/ctrlProp6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8.xml"/><Relationship Id="rId34" Type="http://schemas.openxmlformats.org/officeDocument/2006/relationships/ctrlProp" Target="../ctrlProps/ctrlProp61.xml"/><Relationship Id="rId42" Type="http://schemas.openxmlformats.org/officeDocument/2006/relationships/ctrlProp" Target="../ctrlProps/ctrlProp69.xml"/><Relationship Id="rId7" Type="http://schemas.openxmlformats.org/officeDocument/2006/relationships/ctrlProp" Target="../ctrlProps/ctrlProp34.xml"/><Relationship Id="rId12" Type="http://schemas.openxmlformats.org/officeDocument/2006/relationships/ctrlProp" Target="../ctrlProps/ctrlProp39.xml"/><Relationship Id="rId17" Type="http://schemas.openxmlformats.org/officeDocument/2006/relationships/ctrlProp" Target="../ctrlProps/ctrlProp44.xml"/><Relationship Id="rId25" Type="http://schemas.openxmlformats.org/officeDocument/2006/relationships/ctrlProp" Target="../ctrlProps/ctrlProp52.xml"/><Relationship Id="rId33" Type="http://schemas.openxmlformats.org/officeDocument/2006/relationships/ctrlProp" Target="../ctrlProps/ctrlProp60.xml"/><Relationship Id="rId38" Type="http://schemas.openxmlformats.org/officeDocument/2006/relationships/ctrlProp" Target="../ctrlProps/ctrlProp6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3.xml"/><Relationship Id="rId20" Type="http://schemas.openxmlformats.org/officeDocument/2006/relationships/ctrlProp" Target="../ctrlProps/ctrlProp47.xml"/><Relationship Id="rId29" Type="http://schemas.openxmlformats.org/officeDocument/2006/relationships/ctrlProp" Target="../ctrlProps/ctrlProp56.xml"/><Relationship Id="rId41" Type="http://schemas.openxmlformats.org/officeDocument/2006/relationships/ctrlProp" Target="../ctrlProps/ctrlProp6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3.xml"/><Relationship Id="rId11" Type="http://schemas.openxmlformats.org/officeDocument/2006/relationships/ctrlProp" Target="../ctrlProps/ctrlProp38.xml"/><Relationship Id="rId24" Type="http://schemas.openxmlformats.org/officeDocument/2006/relationships/ctrlProp" Target="../ctrlProps/ctrlProp51.xml"/><Relationship Id="rId32" Type="http://schemas.openxmlformats.org/officeDocument/2006/relationships/ctrlProp" Target="../ctrlProps/ctrlProp59.xml"/><Relationship Id="rId37" Type="http://schemas.openxmlformats.org/officeDocument/2006/relationships/ctrlProp" Target="../ctrlProps/ctrlProp64.xml"/><Relationship Id="rId40" Type="http://schemas.openxmlformats.org/officeDocument/2006/relationships/ctrlProp" Target="../ctrlProps/ctrlProp67.xml"/><Relationship Id="rId5" Type="http://schemas.openxmlformats.org/officeDocument/2006/relationships/ctrlProp" Target="../ctrlProps/ctrlProp32.xml"/><Relationship Id="rId15" Type="http://schemas.openxmlformats.org/officeDocument/2006/relationships/ctrlProp" Target="../ctrlProps/ctrlProp42.xml"/><Relationship Id="rId23" Type="http://schemas.openxmlformats.org/officeDocument/2006/relationships/ctrlProp" Target="../ctrlProps/ctrlProp50.xml"/><Relationship Id="rId28" Type="http://schemas.openxmlformats.org/officeDocument/2006/relationships/ctrlProp" Target="../ctrlProps/ctrlProp55.xml"/><Relationship Id="rId36" Type="http://schemas.openxmlformats.org/officeDocument/2006/relationships/ctrlProp" Target="../ctrlProps/ctrlProp63.xml"/><Relationship Id="rId10" Type="http://schemas.openxmlformats.org/officeDocument/2006/relationships/ctrlProp" Target="../ctrlProps/ctrlProp37.xml"/><Relationship Id="rId19" Type="http://schemas.openxmlformats.org/officeDocument/2006/relationships/ctrlProp" Target="../ctrlProps/ctrlProp46.xml"/><Relationship Id="rId31" Type="http://schemas.openxmlformats.org/officeDocument/2006/relationships/ctrlProp" Target="../ctrlProps/ctrlProp58.xml"/><Relationship Id="rId44" Type="http://schemas.openxmlformats.org/officeDocument/2006/relationships/comments" Target="../comments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Relationship Id="rId14" Type="http://schemas.openxmlformats.org/officeDocument/2006/relationships/ctrlProp" Target="../ctrlProps/ctrlProp41.xml"/><Relationship Id="rId22" Type="http://schemas.openxmlformats.org/officeDocument/2006/relationships/ctrlProp" Target="../ctrlProps/ctrlProp49.xml"/><Relationship Id="rId27" Type="http://schemas.openxmlformats.org/officeDocument/2006/relationships/ctrlProp" Target="../ctrlProps/ctrlProp54.xml"/><Relationship Id="rId30" Type="http://schemas.openxmlformats.org/officeDocument/2006/relationships/ctrlProp" Target="../ctrlProps/ctrlProp57.xml"/><Relationship Id="rId35" Type="http://schemas.openxmlformats.org/officeDocument/2006/relationships/ctrlProp" Target="../ctrlProps/ctrlProp62.xml"/><Relationship Id="rId43" Type="http://schemas.openxmlformats.org/officeDocument/2006/relationships/ctrlProp" Target="../ctrlProps/ctrlProp7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-0.249977111117893"/>
  </sheetPr>
  <dimension ref="A1:EA408"/>
  <sheetViews>
    <sheetView showGridLines="0" topLeftCell="B10" zoomScale="70" zoomScaleNormal="70" workbookViewId="0">
      <selection activeCell="N67" sqref="N67"/>
    </sheetView>
  </sheetViews>
  <sheetFormatPr defaultColWidth="8.88671875" defaultRowHeight="16.5" outlineLevelCol="1"/>
  <cols>
    <col min="1" max="1" width="10.21875" style="225" hidden="1" customWidth="1"/>
    <col min="2" max="2" width="17.5546875" style="676" bestFit="1" customWidth="1"/>
    <col min="3" max="5" width="11.77734375" style="225" customWidth="1"/>
    <col min="6" max="6" width="6.5546875" style="677" customWidth="1"/>
    <col min="7" max="7" width="6.5546875" style="659" customWidth="1"/>
    <col min="8" max="12" width="15.77734375" style="225" customWidth="1"/>
    <col min="13" max="13" width="21.77734375" style="225" customWidth="1"/>
    <col min="14" max="17" width="15.77734375" style="225" customWidth="1"/>
    <col min="18" max="18" width="8.77734375" style="225" customWidth="1"/>
    <col min="19" max="28" width="15.77734375" style="225" customWidth="1"/>
    <col min="29" max="38" width="15.77734375" style="225" hidden="1" customWidth="1" outlineLevel="1"/>
    <col min="39" max="39" width="15.77734375" style="225" hidden="1" customWidth="1" outlineLevel="1" collapsed="1"/>
    <col min="40" max="118" width="15.77734375" style="225" hidden="1" customWidth="1" outlineLevel="1"/>
    <col min="119" max="119" width="15.77734375" style="225" customWidth="1" collapsed="1"/>
    <col min="120" max="121" width="8.77734375" style="225" customWidth="1"/>
    <col min="122" max="122" width="15.77734375" style="269" customWidth="1"/>
    <col min="123" max="131" width="15.77734375" style="225" customWidth="1"/>
    <col min="132" max="16384" width="8.88671875" style="659"/>
  </cols>
  <sheetData>
    <row r="1" spans="1:131" s="404" customFormat="1" ht="12.75" thickBot="1">
      <c r="A1" s="401"/>
      <c r="B1" s="401"/>
      <c r="C1" s="401" t="s">
        <v>43</v>
      </c>
      <c r="D1" s="401" t="s">
        <v>280</v>
      </c>
      <c r="E1" s="401" t="s">
        <v>281</v>
      </c>
      <c r="F1" s="401"/>
      <c r="G1" s="401"/>
      <c r="H1" s="401" t="s">
        <v>39</v>
      </c>
      <c r="I1" s="401" t="s">
        <v>3452</v>
      </c>
      <c r="J1" s="401" t="s">
        <v>48</v>
      </c>
      <c r="K1" s="401"/>
      <c r="L1" s="401"/>
      <c r="M1" s="401"/>
      <c r="N1" s="401"/>
      <c r="O1" s="401"/>
      <c r="P1" s="401"/>
      <c r="Q1" s="401"/>
      <c r="R1" s="401"/>
      <c r="S1" s="401"/>
      <c r="T1" s="401"/>
      <c r="U1" s="401"/>
      <c r="V1" s="401"/>
      <c r="W1" s="401"/>
      <c r="X1" s="401"/>
      <c r="Y1" s="401"/>
      <c r="Z1" s="401"/>
      <c r="AA1" s="401"/>
      <c r="AB1" s="401"/>
      <c r="AC1" s="401"/>
      <c r="AD1" s="401"/>
      <c r="AE1" s="401"/>
      <c r="AF1" s="401"/>
      <c r="AG1" s="401"/>
      <c r="AH1" s="401"/>
      <c r="AI1" s="401"/>
      <c r="AJ1" s="401"/>
      <c r="AK1" s="401"/>
      <c r="AL1" s="401"/>
      <c r="AM1" s="401"/>
      <c r="AN1" s="401"/>
      <c r="AO1" s="401"/>
      <c r="AP1" s="401"/>
      <c r="AQ1" s="401"/>
      <c r="AR1" s="401"/>
      <c r="AS1" s="401"/>
      <c r="AT1" s="401"/>
      <c r="AU1" s="401"/>
      <c r="AV1" s="401"/>
      <c r="AW1" s="401"/>
      <c r="AX1" s="401"/>
      <c r="AY1" s="401"/>
      <c r="AZ1" s="401"/>
      <c r="BA1" s="401"/>
      <c r="BB1" s="401"/>
      <c r="BC1" s="401"/>
      <c r="BD1" s="401"/>
      <c r="BE1" s="401"/>
      <c r="BF1" s="401"/>
      <c r="BG1" s="401"/>
      <c r="BH1" s="401"/>
      <c r="BI1" s="401"/>
      <c r="BJ1" s="401"/>
      <c r="BK1" s="401"/>
      <c r="BL1" s="401"/>
      <c r="BM1" s="401"/>
      <c r="BN1" s="401"/>
      <c r="BO1" s="401"/>
      <c r="BP1" s="401"/>
      <c r="BQ1" s="401"/>
      <c r="BR1" s="401"/>
      <c r="BS1" s="401"/>
      <c r="BT1" s="401"/>
      <c r="BU1" s="401"/>
      <c r="BV1" s="401"/>
      <c r="BW1" s="401"/>
      <c r="BX1" s="401"/>
      <c r="BY1" s="401"/>
      <c r="BZ1" s="401"/>
      <c r="CA1" s="401"/>
      <c r="CB1" s="401"/>
      <c r="CC1" s="401"/>
      <c r="CD1" s="401"/>
      <c r="CE1" s="401"/>
      <c r="CF1" s="401"/>
      <c r="CG1" s="401"/>
      <c r="CH1" s="401"/>
      <c r="CI1" s="401"/>
      <c r="CJ1" s="401"/>
      <c r="CK1" s="401"/>
      <c r="CL1" s="401"/>
      <c r="CM1" s="401"/>
      <c r="CN1" s="401"/>
      <c r="CO1" s="401"/>
      <c r="CP1" s="401"/>
      <c r="CQ1" s="401"/>
      <c r="CR1" s="401"/>
      <c r="CS1" s="401"/>
      <c r="CT1" s="401"/>
      <c r="CU1" s="401"/>
      <c r="CV1" s="401"/>
      <c r="CW1" s="401"/>
      <c r="CX1" s="401"/>
      <c r="CY1" s="401"/>
      <c r="CZ1" s="401"/>
      <c r="DA1" s="401"/>
      <c r="DB1" s="401"/>
      <c r="DC1" s="401"/>
      <c r="DD1" s="401"/>
      <c r="DE1" s="401"/>
      <c r="DF1" s="401"/>
      <c r="DG1" s="401"/>
      <c r="DH1" s="401"/>
      <c r="DI1" s="401"/>
      <c r="DJ1" s="401"/>
      <c r="DK1" s="401"/>
      <c r="DL1" s="401"/>
      <c r="DM1" s="401"/>
      <c r="DN1" s="401"/>
      <c r="DO1" s="401"/>
      <c r="DP1" s="401"/>
      <c r="DQ1" s="401"/>
      <c r="DR1" s="401"/>
      <c r="DS1" s="401"/>
      <c r="DT1" s="401"/>
      <c r="DU1" s="401"/>
      <c r="DV1" s="401"/>
      <c r="DW1" s="401"/>
      <c r="DX1" s="401"/>
      <c r="DY1" s="401"/>
      <c r="DZ1" s="401"/>
      <c r="EA1" s="401"/>
    </row>
    <row r="2" spans="1:131" s="412" customFormat="1" ht="13.5" thickTop="1" thickBot="1">
      <c r="A2" s="405"/>
      <c r="B2" s="405"/>
      <c r="C2" s="406">
        <f>NAV!$C$7</f>
        <v>45473</v>
      </c>
      <c r="D2" s="407">
        <f>NAV!$D$2</f>
        <v>2.2156856236637315</v>
      </c>
      <c r="E2" s="408">
        <f>NAV!$F$39</f>
        <v>-5.2074881722909083E-2</v>
      </c>
      <c r="F2" s="405"/>
      <c r="G2" s="405"/>
      <c r="H2" s="409">
        <f>$C$18</f>
        <v>7.0000000000000007E-2</v>
      </c>
      <c r="I2" s="576" t="str">
        <f>$C$20</f>
        <v>YES</v>
      </c>
      <c r="J2" s="576" t="str">
        <f>$C$21</f>
        <v>YES</v>
      </c>
      <c r="K2" s="405"/>
      <c r="L2" s="405"/>
      <c r="M2" s="405"/>
      <c r="N2" s="405"/>
      <c r="O2" s="405"/>
      <c r="P2" s="405"/>
      <c r="Q2" s="405"/>
      <c r="R2" s="405"/>
      <c r="S2" s="405"/>
      <c r="T2" s="405"/>
      <c r="U2" s="405"/>
      <c r="V2" s="405"/>
      <c r="W2" s="405"/>
      <c r="X2" s="405"/>
      <c r="Y2" s="405"/>
      <c r="Z2" s="405"/>
      <c r="AA2" s="405"/>
      <c r="AB2" s="405"/>
      <c r="AC2" s="405"/>
      <c r="AD2" s="405"/>
      <c r="AE2" s="405"/>
      <c r="AF2" s="405"/>
      <c r="AG2" s="405"/>
      <c r="AH2" s="405"/>
      <c r="AI2" s="405"/>
      <c r="AJ2" s="405"/>
      <c r="AK2" s="405"/>
      <c r="AL2" s="405"/>
      <c r="AM2" s="405"/>
      <c r="AN2" s="405"/>
      <c r="AO2" s="405"/>
      <c r="AP2" s="405"/>
      <c r="AQ2" s="405"/>
      <c r="AR2" s="405"/>
      <c r="AS2" s="405"/>
      <c r="AT2" s="405"/>
      <c r="AU2" s="405"/>
      <c r="AV2" s="405"/>
      <c r="AW2" s="405"/>
      <c r="AX2" s="405"/>
      <c r="AY2" s="405"/>
      <c r="AZ2" s="405"/>
      <c r="BA2" s="405"/>
      <c r="BB2" s="405"/>
      <c r="BC2" s="405"/>
      <c r="BD2" s="405"/>
      <c r="BE2" s="405"/>
      <c r="BF2" s="405"/>
      <c r="BG2" s="405"/>
      <c r="BH2" s="405"/>
      <c r="BI2" s="405"/>
      <c r="BJ2" s="405"/>
      <c r="BK2" s="405"/>
      <c r="BL2" s="405"/>
      <c r="BM2" s="405"/>
      <c r="BN2" s="405"/>
      <c r="BO2" s="405"/>
      <c r="BP2" s="405"/>
      <c r="BQ2" s="405"/>
      <c r="BR2" s="405"/>
      <c r="BS2" s="405"/>
      <c r="BT2" s="405"/>
      <c r="BU2" s="405"/>
      <c r="BV2" s="405"/>
      <c r="BW2" s="405"/>
      <c r="BX2" s="405"/>
      <c r="BY2" s="405"/>
      <c r="BZ2" s="405"/>
      <c r="CA2" s="405"/>
      <c r="CB2" s="405"/>
      <c r="CC2" s="405"/>
      <c r="CD2" s="405"/>
      <c r="CE2" s="405"/>
      <c r="CF2" s="405"/>
      <c r="CG2" s="405"/>
      <c r="CH2" s="405"/>
      <c r="CI2" s="405"/>
      <c r="CJ2" s="405"/>
      <c r="CK2" s="405"/>
      <c r="CL2" s="405"/>
      <c r="CM2" s="405"/>
      <c r="CN2" s="405"/>
      <c r="CO2" s="405"/>
      <c r="CP2" s="405"/>
      <c r="CQ2" s="405"/>
      <c r="CR2" s="405"/>
      <c r="CS2" s="405"/>
      <c r="CT2" s="405"/>
      <c r="CU2" s="405"/>
      <c r="CV2" s="405"/>
      <c r="CW2" s="405"/>
      <c r="CX2" s="405"/>
      <c r="CY2" s="405"/>
      <c r="CZ2" s="405"/>
      <c r="DA2" s="405"/>
      <c r="DB2" s="405"/>
      <c r="DC2" s="405"/>
      <c r="DD2" s="405"/>
      <c r="DE2" s="405"/>
      <c r="DF2" s="405"/>
      <c r="DG2" s="405"/>
      <c r="DH2" s="405"/>
      <c r="DI2" s="405"/>
      <c r="DJ2" s="405"/>
      <c r="DK2" s="405"/>
      <c r="DL2" s="405"/>
      <c r="DM2" s="405"/>
      <c r="DN2" s="405"/>
      <c r="DO2" s="405"/>
      <c r="DP2" s="405"/>
      <c r="DQ2" s="405"/>
      <c r="DR2" s="405"/>
      <c r="DS2" s="405"/>
      <c r="DT2" s="405"/>
      <c r="DU2" s="405"/>
      <c r="DV2" s="405"/>
      <c r="DW2" s="405"/>
      <c r="DX2" s="405"/>
      <c r="DY2" s="405"/>
      <c r="DZ2" s="405"/>
      <c r="EA2" s="405"/>
    </row>
    <row r="3" spans="1:131" s="153" customFormat="1" ht="15" customHeight="1">
      <c r="A3" s="16"/>
      <c r="B3" s="303"/>
      <c r="C3" s="16"/>
      <c r="D3" s="16"/>
      <c r="E3" s="16"/>
      <c r="F3" s="14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</row>
    <row r="4" spans="1:131" s="153" customFormat="1" ht="15" customHeight="1">
      <c r="A4" s="16"/>
      <c r="B4" s="577" t="s">
        <v>289</v>
      </c>
      <c r="C4" s="578"/>
      <c r="D4" s="578"/>
      <c r="E4" s="579"/>
      <c r="F4" s="579"/>
      <c r="G4" s="580"/>
      <c r="H4" s="581" t="s">
        <v>277</v>
      </c>
      <c r="I4" s="582"/>
      <c r="J4" s="582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583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U4" s="584"/>
    </row>
    <row r="5" spans="1:131" s="153" customFormat="1" ht="14.25" thickBot="1">
      <c r="A5" s="16"/>
      <c r="B5" s="16"/>
      <c r="C5" s="16"/>
      <c r="D5" s="16"/>
      <c r="E5" s="16"/>
      <c r="F5" s="585"/>
      <c r="G5" s="585"/>
      <c r="H5" s="16"/>
      <c r="I5" s="16"/>
      <c r="J5" s="16"/>
      <c r="K5" s="586"/>
      <c r="L5" s="586"/>
      <c r="M5" s="586"/>
      <c r="N5" s="586"/>
      <c r="O5" s="586"/>
      <c r="P5" s="586"/>
      <c r="Q5" s="586"/>
      <c r="R5" s="586"/>
      <c r="S5" s="587">
        <v>1</v>
      </c>
      <c r="T5" s="587">
        <v>2</v>
      </c>
      <c r="U5" s="587">
        <v>3</v>
      </c>
      <c r="V5" s="587">
        <v>4</v>
      </c>
      <c r="W5" s="587">
        <v>5</v>
      </c>
      <c r="X5" s="587">
        <v>6</v>
      </c>
      <c r="Y5" s="587">
        <v>7</v>
      </c>
      <c r="Z5" s="587">
        <v>8</v>
      </c>
      <c r="AA5" s="587">
        <v>9</v>
      </c>
      <c r="AB5" s="587">
        <v>10</v>
      </c>
      <c r="AC5" s="587">
        <v>11</v>
      </c>
      <c r="AD5" s="587">
        <v>12</v>
      </c>
      <c r="AE5" s="587">
        <v>13</v>
      </c>
      <c r="AF5" s="587">
        <v>14</v>
      </c>
      <c r="AG5" s="587">
        <v>15</v>
      </c>
      <c r="AH5" s="587">
        <v>16</v>
      </c>
      <c r="AI5" s="587">
        <v>17</v>
      </c>
      <c r="AJ5" s="587">
        <v>18</v>
      </c>
      <c r="AK5" s="587">
        <v>19</v>
      </c>
      <c r="AL5" s="587">
        <v>20</v>
      </c>
      <c r="AM5" s="587">
        <v>21</v>
      </c>
      <c r="AN5" s="587">
        <v>22</v>
      </c>
      <c r="AO5" s="587">
        <v>23</v>
      </c>
      <c r="AP5" s="587">
        <v>24</v>
      </c>
      <c r="AQ5" s="587">
        <v>25</v>
      </c>
      <c r="AR5" s="587">
        <v>26</v>
      </c>
      <c r="AS5" s="587">
        <v>27</v>
      </c>
      <c r="AT5" s="587">
        <v>28</v>
      </c>
      <c r="AU5" s="587">
        <v>29</v>
      </c>
      <c r="AV5" s="587">
        <v>30</v>
      </c>
      <c r="AW5" s="587">
        <v>31</v>
      </c>
      <c r="AX5" s="587">
        <v>32</v>
      </c>
      <c r="AY5" s="587">
        <v>33</v>
      </c>
      <c r="AZ5" s="587">
        <v>34</v>
      </c>
      <c r="BA5" s="587">
        <v>35</v>
      </c>
      <c r="BB5" s="587">
        <v>36</v>
      </c>
      <c r="BC5" s="587">
        <v>37</v>
      </c>
      <c r="BD5" s="587">
        <v>38</v>
      </c>
      <c r="BE5" s="587">
        <v>39</v>
      </c>
      <c r="BF5" s="587">
        <v>40</v>
      </c>
      <c r="BG5" s="587">
        <v>41</v>
      </c>
      <c r="BH5" s="587">
        <v>42</v>
      </c>
      <c r="BI5" s="587">
        <v>43</v>
      </c>
      <c r="BJ5" s="587">
        <v>44</v>
      </c>
      <c r="BK5" s="587">
        <v>45</v>
      </c>
      <c r="BL5" s="587">
        <v>46</v>
      </c>
      <c r="BM5" s="587">
        <v>47</v>
      </c>
      <c r="BN5" s="587">
        <v>48</v>
      </c>
      <c r="BO5" s="587">
        <v>49</v>
      </c>
      <c r="BP5" s="587">
        <v>50</v>
      </c>
      <c r="BQ5" s="587">
        <v>51</v>
      </c>
      <c r="BR5" s="587">
        <v>52</v>
      </c>
      <c r="BS5" s="587">
        <v>53</v>
      </c>
      <c r="BT5" s="587">
        <v>54</v>
      </c>
      <c r="BU5" s="587">
        <v>55</v>
      </c>
      <c r="BV5" s="587">
        <v>56</v>
      </c>
      <c r="BW5" s="587">
        <v>57</v>
      </c>
      <c r="BX5" s="587">
        <v>58</v>
      </c>
      <c r="BY5" s="587">
        <v>59</v>
      </c>
      <c r="BZ5" s="587">
        <v>60</v>
      </c>
      <c r="CA5" s="587">
        <v>61</v>
      </c>
      <c r="CB5" s="587">
        <v>62</v>
      </c>
      <c r="CC5" s="587">
        <v>63</v>
      </c>
      <c r="CD5" s="587">
        <v>64</v>
      </c>
      <c r="CE5" s="587">
        <v>65</v>
      </c>
      <c r="CF5" s="587">
        <v>66</v>
      </c>
      <c r="CG5" s="587">
        <v>67</v>
      </c>
      <c r="CH5" s="587">
        <v>68</v>
      </c>
      <c r="CI5" s="587">
        <v>69</v>
      </c>
      <c r="CJ5" s="587">
        <v>70</v>
      </c>
      <c r="CK5" s="587">
        <v>71</v>
      </c>
      <c r="CL5" s="587">
        <v>72</v>
      </c>
      <c r="CM5" s="587">
        <v>73</v>
      </c>
      <c r="CN5" s="587">
        <v>74</v>
      </c>
      <c r="CO5" s="587">
        <v>75</v>
      </c>
      <c r="CP5" s="587">
        <v>76</v>
      </c>
      <c r="CQ5" s="587">
        <v>77</v>
      </c>
      <c r="CR5" s="587">
        <v>78</v>
      </c>
      <c r="CS5" s="587">
        <v>79</v>
      </c>
      <c r="CT5" s="587">
        <v>80</v>
      </c>
      <c r="CU5" s="587">
        <v>81</v>
      </c>
      <c r="CV5" s="587">
        <v>82</v>
      </c>
      <c r="CW5" s="587">
        <v>83</v>
      </c>
      <c r="CX5" s="587">
        <v>84</v>
      </c>
      <c r="CY5" s="587">
        <v>85</v>
      </c>
      <c r="CZ5" s="587">
        <v>86</v>
      </c>
      <c r="DA5" s="587">
        <v>87</v>
      </c>
      <c r="DB5" s="587">
        <v>88</v>
      </c>
      <c r="DC5" s="587">
        <v>89</v>
      </c>
      <c r="DD5" s="587">
        <v>90</v>
      </c>
      <c r="DE5" s="587">
        <v>91</v>
      </c>
      <c r="DF5" s="587">
        <v>92</v>
      </c>
      <c r="DG5" s="587">
        <v>93</v>
      </c>
      <c r="DH5" s="587">
        <v>94</v>
      </c>
      <c r="DI5" s="587">
        <v>95</v>
      </c>
      <c r="DJ5" s="587">
        <v>96</v>
      </c>
      <c r="DK5" s="587">
        <v>97</v>
      </c>
      <c r="DL5" s="587">
        <v>98</v>
      </c>
      <c r="DM5" s="587">
        <v>99</v>
      </c>
      <c r="DN5" s="587">
        <v>100</v>
      </c>
      <c r="DO5" s="588" t="s">
        <v>219</v>
      </c>
      <c r="DP5" s="588" t="str">
        <f>IF(ROUND(_xlfn.AGGREGATE(9,6,DP8:DP56),5)=ROUND(_xlfn.AGGREGATE(9,6,DQ8:DQ56),5),"이상없음","기준수익률확인")</f>
        <v>이상없음</v>
      </c>
      <c r="DQ5" s="586"/>
      <c r="DR5" s="589"/>
      <c r="DS5" s="589"/>
      <c r="DT5" s="589"/>
      <c r="DU5" s="589"/>
      <c r="DV5" s="589"/>
      <c r="DW5" s="589"/>
      <c r="DX5" s="590"/>
      <c r="DY5" s="586"/>
      <c r="EA5" s="586"/>
    </row>
    <row r="6" spans="1:131" s="153" customFormat="1" ht="14.25" customHeight="1" thickBot="1">
      <c r="A6" s="16"/>
      <c r="B6" s="591">
        <f>C9</f>
        <v>0</v>
      </c>
      <c r="C6" s="592"/>
      <c r="D6" s="586"/>
      <c r="E6" s="586"/>
      <c r="F6" s="585"/>
      <c r="G6" s="585"/>
      <c r="H6" s="800" t="s">
        <v>207</v>
      </c>
      <c r="I6" s="776" t="s">
        <v>204</v>
      </c>
      <c r="J6" s="776" t="s">
        <v>238</v>
      </c>
      <c r="K6" s="774" t="s">
        <v>205</v>
      </c>
      <c r="L6" s="774" t="s">
        <v>206</v>
      </c>
      <c r="M6" s="774" t="s">
        <v>203</v>
      </c>
      <c r="N6" s="774" t="s">
        <v>211</v>
      </c>
      <c r="O6" s="774" t="s">
        <v>240</v>
      </c>
      <c r="P6" s="776" t="s">
        <v>239</v>
      </c>
      <c r="Q6" s="774" t="s">
        <v>217</v>
      </c>
      <c r="R6" s="774" t="s">
        <v>212</v>
      </c>
      <c r="S6" s="772" t="s">
        <v>7210</v>
      </c>
      <c r="T6" s="593"/>
      <c r="U6" s="593"/>
      <c r="V6" s="593"/>
      <c r="W6" s="593"/>
      <c r="X6" s="593"/>
      <c r="Y6" s="593"/>
      <c r="Z6" s="593"/>
      <c r="AA6" s="593"/>
      <c r="AB6" s="593"/>
      <c r="AC6" s="593"/>
      <c r="AD6" s="593"/>
      <c r="AE6" s="593"/>
      <c r="AF6" s="593"/>
      <c r="AG6" s="593"/>
      <c r="AH6" s="593"/>
      <c r="AI6" s="593"/>
      <c r="AJ6" s="593"/>
      <c r="AK6" s="593"/>
      <c r="AL6" s="593"/>
      <c r="AM6" s="593"/>
      <c r="AN6" s="593"/>
      <c r="AO6" s="593"/>
      <c r="AP6" s="593"/>
      <c r="AQ6" s="593"/>
      <c r="AR6" s="593"/>
      <c r="AS6" s="593"/>
      <c r="AT6" s="593"/>
      <c r="AU6" s="593"/>
      <c r="AV6" s="593"/>
      <c r="AW6" s="593"/>
      <c r="AX6" s="593"/>
      <c r="AY6" s="593"/>
      <c r="AZ6" s="593"/>
      <c r="BA6" s="593"/>
      <c r="BB6" s="593"/>
      <c r="BC6" s="593"/>
      <c r="BD6" s="593"/>
      <c r="BE6" s="593"/>
      <c r="BF6" s="593"/>
      <c r="BG6" s="593"/>
      <c r="BH6" s="593"/>
      <c r="BI6" s="593"/>
      <c r="BJ6" s="593"/>
      <c r="BK6" s="593"/>
      <c r="BL6" s="593"/>
      <c r="BM6" s="593"/>
      <c r="BN6" s="593"/>
      <c r="BO6" s="593"/>
      <c r="BP6" s="593"/>
      <c r="BQ6" s="593"/>
      <c r="BR6" s="593"/>
      <c r="BS6" s="593"/>
      <c r="BT6" s="593"/>
      <c r="BU6" s="593"/>
      <c r="BV6" s="593"/>
      <c r="BW6" s="593"/>
      <c r="BX6" s="593"/>
      <c r="BY6" s="593"/>
      <c r="BZ6" s="593"/>
      <c r="CA6" s="593"/>
      <c r="CB6" s="593"/>
      <c r="CC6" s="593"/>
      <c r="CD6" s="593"/>
      <c r="CE6" s="593"/>
      <c r="CF6" s="593"/>
      <c r="CG6" s="593"/>
      <c r="CH6" s="593"/>
      <c r="CI6" s="593"/>
      <c r="CJ6" s="593"/>
      <c r="CK6" s="593"/>
      <c r="CL6" s="593"/>
      <c r="CM6" s="593"/>
      <c r="CN6" s="593"/>
      <c r="CO6" s="593"/>
      <c r="CP6" s="593"/>
      <c r="CQ6" s="593"/>
      <c r="CR6" s="593"/>
      <c r="CS6" s="593"/>
      <c r="CT6" s="593"/>
      <c r="CU6" s="593"/>
      <c r="CV6" s="593"/>
      <c r="CW6" s="593"/>
      <c r="CX6" s="593"/>
      <c r="CY6" s="593"/>
      <c r="CZ6" s="593"/>
      <c r="DA6" s="593"/>
      <c r="DB6" s="593"/>
      <c r="DC6" s="593"/>
      <c r="DD6" s="593"/>
      <c r="DE6" s="593"/>
      <c r="DF6" s="593"/>
      <c r="DG6" s="593"/>
      <c r="DH6" s="593"/>
      <c r="DI6" s="593"/>
      <c r="DJ6" s="593"/>
      <c r="DK6" s="593"/>
      <c r="DL6" s="593"/>
      <c r="DM6" s="593"/>
      <c r="DN6" s="593"/>
      <c r="DO6" s="594" t="s">
        <v>220</v>
      </c>
      <c r="DP6" s="774" t="s">
        <v>218</v>
      </c>
      <c r="DQ6" s="774" t="s">
        <v>222</v>
      </c>
      <c r="DR6" s="595">
        <f>NAV!$E$36</f>
        <v>25871686234</v>
      </c>
      <c r="DS6" s="596">
        <f>DR6-DR57</f>
        <v>15471686234</v>
      </c>
      <c r="DT6" s="596">
        <f>DS6-DS57</f>
        <v>15471686234</v>
      </c>
      <c r="DU6" s="596">
        <f>DT6-DT57</f>
        <v>15371686234</v>
      </c>
      <c r="DV6" s="597">
        <f>IF($C22="선순위 → 중순위 → 후순위 → 선순위 IRR → 중순위 IRR → 후순위 IRR",DU6-DU57,IF($C22="선순위 → IRR → 중순위 → IRR → 후순위 → IRR",DU6,DU6-DU57))</f>
        <v>13034935927.654099</v>
      </c>
      <c r="DW6" s="596">
        <f>DV6-DV57</f>
        <v>13034935927.654099</v>
      </c>
      <c r="DX6" s="596">
        <f>IF($C$22="선순위 → 중순위 → 후순위 → 선순위 IRR → 중순위 IRR → 후순위 IRR",IF((DW6-DW57)&gt;0.00000001,(DW6-DW57)*$E$26,(IF($C$22="선순위 → 중순위 → 후순위 → IRR",IF((DU6-DU57)&gt;0.00000001,(DU6-DU57)*$E$26,0),IF(DU6-DU57&gt;0,DU6*$E$26,IF($C$22="선순위 → IRR → 중순위 → IRR → 후순위 → IRR",(DW6-DW57)*$E$26,0)))*(DW6-DW57)*$E$26)),(DW6-DW57)*$E$26)</f>
        <v>2606987185.5308199</v>
      </c>
      <c r="DY6" s="596">
        <f>IF($C$22="선순위 → 중순위 → 후순위 → 선순위 IRR → 중순위 IRR → 후순위 IRR",DW6-DW57-DX57,IF($C$22="선순위 → 중순위 → 후순위 → IRR",DU6-DU57-DX57,DU6-DX6))</f>
        <v>10427948742.12328</v>
      </c>
      <c r="DZ6" s="598" t="b">
        <f>DZ57=DR6</f>
        <v>1</v>
      </c>
      <c r="EA6" s="599"/>
    </row>
    <row r="7" spans="1:131" s="603" customFormat="1" ht="13.5" customHeight="1" thickBot="1">
      <c r="A7" s="172"/>
      <c r="B7" s="600" t="s">
        <v>3128</v>
      </c>
      <c r="C7" s="799" t="s">
        <v>7217</v>
      </c>
      <c r="D7" s="799"/>
      <c r="E7" s="799"/>
      <c r="F7" s="585"/>
      <c r="G7" s="585"/>
      <c r="H7" s="801"/>
      <c r="I7" s="777"/>
      <c r="J7" s="777"/>
      <c r="K7" s="775"/>
      <c r="L7" s="775"/>
      <c r="M7" s="775"/>
      <c r="N7" s="775"/>
      <c r="O7" s="775"/>
      <c r="P7" s="777"/>
      <c r="Q7" s="775"/>
      <c r="R7" s="775"/>
      <c r="S7" s="770">
        <v>44389</v>
      </c>
      <c r="T7" s="601"/>
      <c r="U7" s="601"/>
      <c r="V7" s="601"/>
      <c r="W7" s="601"/>
      <c r="X7" s="601"/>
      <c r="Y7" s="601"/>
      <c r="Z7" s="601"/>
      <c r="AA7" s="601"/>
      <c r="AB7" s="601"/>
      <c r="AC7" s="601"/>
      <c r="AD7" s="601"/>
      <c r="AE7" s="601"/>
      <c r="AF7" s="601"/>
      <c r="AG7" s="601"/>
      <c r="AH7" s="601"/>
      <c r="AI7" s="601"/>
      <c r="AJ7" s="601"/>
      <c r="AK7" s="601"/>
      <c r="AL7" s="601"/>
      <c r="AM7" s="601"/>
      <c r="AN7" s="601"/>
      <c r="AO7" s="601"/>
      <c r="AP7" s="601"/>
      <c r="AQ7" s="601"/>
      <c r="AR7" s="601"/>
      <c r="AS7" s="601"/>
      <c r="AT7" s="601"/>
      <c r="AU7" s="601"/>
      <c r="AV7" s="601"/>
      <c r="AW7" s="601"/>
      <c r="AX7" s="601"/>
      <c r="AY7" s="601"/>
      <c r="AZ7" s="601"/>
      <c r="BA7" s="601"/>
      <c r="BB7" s="601"/>
      <c r="BC7" s="601"/>
      <c r="BD7" s="601"/>
      <c r="BE7" s="601"/>
      <c r="BF7" s="601"/>
      <c r="BG7" s="601"/>
      <c r="BH7" s="601"/>
      <c r="BI7" s="601"/>
      <c r="BJ7" s="601"/>
      <c r="BK7" s="601"/>
      <c r="BL7" s="601"/>
      <c r="BM7" s="601"/>
      <c r="BN7" s="601"/>
      <c r="BO7" s="601"/>
      <c r="BP7" s="601"/>
      <c r="BQ7" s="601"/>
      <c r="BR7" s="601"/>
      <c r="BS7" s="601"/>
      <c r="BT7" s="601"/>
      <c r="BU7" s="601"/>
      <c r="BV7" s="601"/>
      <c r="BW7" s="601"/>
      <c r="BX7" s="601"/>
      <c r="BY7" s="601"/>
      <c r="BZ7" s="601"/>
      <c r="CA7" s="601"/>
      <c r="CB7" s="601"/>
      <c r="CC7" s="601"/>
      <c r="CD7" s="601"/>
      <c r="CE7" s="601"/>
      <c r="CF7" s="601"/>
      <c r="CG7" s="601"/>
      <c r="CH7" s="601"/>
      <c r="CI7" s="601"/>
      <c r="CJ7" s="601"/>
      <c r="CK7" s="601"/>
      <c r="CL7" s="601"/>
      <c r="CM7" s="601"/>
      <c r="CN7" s="601"/>
      <c r="CO7" s="601"/>
      <c r="CP7" s="601"/>
      <c r="CQ7" s="601"/>
      <c r="CR7" s="601"/>
      <c r="CS7" s="601"/>
      <c r="CT7" s="601"/>
      <c r="CU7" s="601"/>
      <c r="CV7" s="601"/>
      <c r="CW7" s="601"/>
      <c r="CX7" s="601"/>
      <c r="CY7" s="601"/>
      <c r="CZ7" s="601"/>
      <c r="DA7" s="601"/>
      <c r="DB7" s="601"/>
      <c r="DC7" s="601"/>
      <c r="DD7" s="601"/>
      <c r="DE7" s="601"/>
      <c r="DF7" s="601"/>
      <c r="DG7" s="601"/>
      <c r="DH7" s="601"/>
      <c r="DI7" s="601"/>
      <c r="DJ7" s="601"/>
      <c r="DK7" s="601"/>
      <c r="DL7" s="601"/>
      <c r="DM7" s="601"/>
      <c r="DN7" s="601"/>
      <c r="DO7" s="601">
        <f>NAV!$C$7</f>
        <v>45473</v>
      </c>
      <c r="DP7" s="775"/>
      <c r="DQ7" s="775"/>
      <c r="DR7" s="594" t="str">
        <f>IF($C$22="선순위 → IRR → 중순위 → IRR → 후순위 → IRR","선순위 + IRR","선순위")</f>
        <v>선순위</v>
      </c>
      <c r="DS7" s="594" t="str">
        <f>IF($C$22="선순위 → IRR → 중순위 → IRR → 후순위 → IRR","중순위 + IRR","중순위")</f>
        <v>중순위</v>
      </c>
      <c r="DT7" s="594" t="str">
        <f>IF($C$22="선순위 → IRR → 중순위 → IRR → 후순위 → IRR","후순위 + IRR","후순위")</f>
        <v>후순위</v>
      </c>
      <c r="DU7" s="594" t="str">
        <f>IF($C$22="선순위 → IRR → 중순위 → IRR → 후순위 → IRR","-",IF($C$22="선순위 → 중순위 → 후순위 → IRR","전체 IRR","선순위 IRR"))</f>
        <v>전체 IRR</v>
      </c>
      <c r="DV7" s="594" t="str">
        <f>IF($C$22="선순위 → 중순위 → 후순위 → 선순위 IRR → 중순위 IRR → 후순위 IRR","중순위 IRR","-")</f>
        <v>-</v>
      </c>
      <c r="DW7" s="594" t="str">
        <f>IF($C$22="선순위 → 중순위 → 후순위 → 선순위 IRR → 중순위 IRR → 후순위 IRR","후순위 IRR","-")</f>
        <v>-</v>
      </c>
      <c r="DX7" s="594" t="str">
        <f>IF(DX6&lt;&gt;0,"성과보수","-")</f>
        <v>성과보수</v>
      </c>
      <c r="DY7" s="594" t="str">
        <f>IF(DY6&lt;&gt;0,"잔여이익 분배","-")</f>
        <v>잔여이익 분배</v>
      </c>
      <c r="DZ7" s="594" t="s">
        <v>233</v>
      </c>
      <c r="EA7" s="602" t="s">
        <v>234</v>
      </c>
    </row>
    <row r="8" spans="1:131" s="603" customFormat="1" ht="13.5" customHeight="1">
      <c r="A8" s="172"/>
      <c r="B8" s="600" t="s">
        <v>169</v>
      </c>
      <c r="C8" s="799" t="s">
        <v>7211</v>
      </c>
      <c r="D8" s="799"/>
      <c r="E8" s="799"/>
      <c r="F8" s="585"/>
      <c r="G8" s="604">
        <v>1</v>
      </c>
      <c r="H8" s="605">
        <f t="shared" ref="H8" si="0">IF(DX8&gt;0,DX8,"N/A")</f>
        <v>1303493592.7654099</v>
      </c>
      <c r="I8" s="605">
        <f t="shared" ref="I8" si="1">IFERROR(J8*Q8/$C$16,"N/A")</f>
        <v>1414277873.9485965</v>
      </c>
      <c r="J8" s="606">
        <f t="shared" ref="J8:J56" si="2">IFERROR($EA8,"N/A")</f>
        <v>28.285557478971931</v>
      </c>
      <c r="K8" s="768" t="s">
        <v>7196</v>
      </c>
      <c r="L8" s="768" t="s">
        <v>7197</v>
      </c>
      <c r="M8" s="769" t="s">
        <v>7198</v>
      </c>
      <c r="N8" s="767">
        <v>50000000</v>
      </c>
      <c r="O8" s="609">
        <f>-(SUMIF($S$6:$DN$6,"최초출자",S8:DN8)+SUMIF($S$6:$DN$6,"추가출자",S8:DN8))</f>
        <v>50000000</v>
      </c>
      <c r="P8" s="609">
        <f>SUMIF($S$6:$DN$6,"원본분배",S8:DN8)+SUMIF($S$6:$DN$6,"이익분배",S8:DN8)</f>
        <v>0</v>
      </c>
      <c r="Q8" s="609">
        <f>-(SUMIF($S$6:$DN$6,"최초출자",S8:DN8)+SUMIF($S$6:$DN$6,"추가출자",S8:DN8)+SUMIF($S$6:$DN$6,"원본분배",S8:DN8))</f>
        <v>50000000</v>
      </c>
      <c r="R8" s="610">
        <f>IFERROR(Q8/$Q$57,"-")</f>
        <v>4.7619047619047623E-3</v>
      </c>
      <c r="S8" s="771">
        <v>-50000000</v>
      </c>
      <c r="T8" s="611"/>
      <c r="U8" s="611"/>
      <c r="V8" s="611"/>
      <c r="W8" s="611"/>
      <c r="X8" s="611"/>
      <c r="Y8" s="611"/>
      <c r="Z8" s="611"/>
      <c r="AA8" s="611"/>
      <c r="AB8" s="611"/>
      <c r="AC8" s="611"/>
      <c r="AD8" s="611"/>
      <c r="AE8" s="611"/>
      <c r="AF8" s="611"/>
      <c r="AG8" s="611"/>
      <c r="AH8" s="611"/>
      <c r="AI8" s="611"/>
      <c r="AJ8" s="611"/>
      <c r="AK8" s="611"/>
      <c r="AL8" s="611"/>
      <c r="AM8" s="611"/>
      <c r="AN8" s="611"/>
      <c r="AO8" s="611"/>
      <c r="AP8" s="611"/>
      <c r="AQ8" s="611"/>
      <c r="AR8" s="611"/>
      <c r="AS8" s="611"/>
      <c r="AT8" s="611"/>
      <c r="AU8" s="611"/>
      <c r="AV8" s="611"/>
      <c r="AW8" s="611"/>
      <c r="AX8" s="611"/>
      <c r="AY8" s="611"/>
      <c r="AZ8" s="611"/>
      <c r="BA8" s="611"/>
      <c r="BB8" s="611"/>
      <c r="BC8" s="611"/>
      <c r="BD8" s="611"/>
      <c r="BE8" s="611"/>
      <c r="BF8" s="611"/>
      <c r="BG8" s="611"/>
      <c r="BH8" s="611"/>
      <c r="BI8" s="611"/>
      <c r="BJ8" s="611"/>
      <c r="BK8" s="611"/>
      <c r="BL8" s="611"/>
      <c r="BM8" s="611"/>
      <c r="BN8" s="611"/>
      <c r="BO8" s="611"/>
      <c r="BP8" s="611"/>
      <c r="BQ8" s="611"/>
      <c r="BR8" s="611"/>
      <c r="BS8" s="611"/>
      <c r="BT8" s="611"/>
      <c r="BU8" s="611"/>
      <c r="BV8" s="611"/>
      <c r="BW8" s="611"/>
      <c r="BX8" s="611"/>
      <c r="BY8" s="611"/>
      <c r="BZ8" s="611"/>
      <c r="CA8" s="611"/>
      <c r="CB8" s="611"/>
      <c r="CC8" s="611"/>
      <c r="CD8" s="611"/>
      <c r="CE8" s="611"/>
      <c r="CF8" s="611"/>
      <c r="CG8" s="611"/>
      <c r="CH8" s="611"/>
      <c r="CI8" s="611"/>
      <c r="CJ8" s="611"/>
      <c r="CK8" s="611"/>
      <c r="CL8" s="611"/>
      <c r="CM8" s="611"/>
      <c r="CN8" s="611"/>
      <c r="CO8" s="611"/>
      <c r="CP8" s="611"/>
      <c r="CQ8" s="611"/>
      <c r="CR8" s="611"/>
      <c r="CS8" s="611"/>
      <c r="CT8" s="611"/>
      <c r="CU8" s="611"/>
      <c r="CV8" s="611"/>
      <c r="CW8" s="611"/>
      <c r="CX8" s="611"/>
      <c r="CY8" s="611"/>
      <c r="CZ8" s="611"/>
      <c r="DA8" s="611"/>
      <c r="DB8" s="611"/>
      <c r="DC8" s="611"/>
      <c r="DD8" s="611"/>
      <c r="DE8" s="611"/>
      <c r="DF8" s="611"/>
      <c r="DG8" s="611"/>
      <c r="DH8" s="611"/>
      <c r="DI8" s="611"/>
      <c r="DJ8" s="611"/>
      <c r="DK8" s="611"/>
      <c r="DL8" s="611"/>
      <c r="DM8" s="611"/>
      <c r="DN8" s="611"/>
      <c r="DO8" s="177">
        <f>IF(M8="",0,-XNPV(DP8,S8,$S$7)*(1+DP8)^YEARFRAC($S$7,$DO$7,3))</f>
        <v>61127382.411170959</v>
      </c>
      <c r="DP8" s="612">
        <f>IFERROR(IF(HLOOKUP(L8,$C$23:$E$24,2,0)=0,1E-24%,HLOOKUP(L8,$C$23:$E$24,2,FALSE)),"-")</f>
        <v>7.0000000000000007E-2</v>
      </c>
      <c r="DQ8" s="612">
        <f>IFERROR(XIRR(S8:DO8,$S$7:$DO$7),"-")</f>
        <v>7.0000001788139296E-2</v>
      </c>
      <c r="DR8" s="177" t="str">
        <f t="shared" ref="DR8:DR39" si="3">IF(OR($C$22="선순위 → 중순위 → 후순위 → IRR",$C$22="선순위 → 중순위 → 후순위 → 선순위 IRR → 중순위 IRR → 후순위 IRR"),IF(L8="선순위출자자",IF($DR$6&gt;(-SUMIF($L$8:$L$56,"선순위출자자",$P$8:$P$56)+SUMIF($L$8:$L$56,"선순위출자자",$O$8:$O$56)),$O8-$P8,$DR$6*R8/(SUMIF($L$8:$L$56,"선순위출자자",$R$8:$R$56))),L8),IF(L8="선순위출자자",IF($DR$6&gt;SUMIF($L$8:$L$56,"선순위출자자",$DO$8:$DO$56),$DO8,$DR$6*Q8/(SUMIF($L$8:$L$56,"선순위출자자",$Q$8:$Q$56))),L8))</f>
        <v>후순위출자자</v>
      </c>
      <c r="DS8" s="177" t="str">
        <f t="shared" ref="DS8:DS39" si="4">IF(OR($C$22="선순위 → 중순위 → 후순위 → IRR",$C$22="선순위 → 중순위 → 후순위 → 선순위 IRR → 중순위 IRR → 후순위 IRR"),IF(L8="중순위출자자",IF($DS$6&gt;(-SUMIF($L$8:$L$56,"중순위출자자",$P$8:$P$56)+SUMIF($L$8:$L$56,"중순위출자자",$O$8:$O$56)),$O8-$P8,$DS$6*R8/(SUMIF($L$8:$L$56,"중순위출자자",$R$8:$R$56))),L8),IF(L8="중순위출자자",IF($DS$6&gt;SUMIF($L$8:$L$56,"중순위출자자",$DO$8:$DO$56),$DO8,$DS$6*Q8/(SUMIF($L$8:$L$56,"중순위출자자",$Q$8:$Q$56))),L8))</f>
        <v>후순위출자자</v>
      </c>
      <c r="DT8" s="177">
        <f t="shared" ref="DT8:DT39" si="5">IF(OR($C$22="선순위 → 중순위 → 후순위 → IRR",$C$22="선순위 → 중순위 → 후순위 → 선순위 IRR → 중순위 IRR → 후순위 IRR"),IF(L8="후순위출자자",IF($DT$6&gt;(-SUMIF($L$8:$L$56,"후순위출자자",$P$8:$P$56)+SUMIF($L$8:$L$56,"후순위출자자",$O$8:$O$56)),$O8-$P8,$DT$6*R8/(SUMIF($L$8:$L$56,"후순위출자자",$R$8:$R$56))),L8),IF(L8="후순위출자자",IF($DT$6&gt;SUMIF($L$8:$L$56,"후순위출자자",$DO$8:$DO$56),$DO8,$DT$6*Q8/(SUMIF($L$8:$L$56,"후순위출자자",$Q$8:$Q$56))),L8))</f>
        <v>50000000</v>
      </c>
      <c r="DU8" s="185">
        <f t="shared" ref="DU8:DU56" si="6">IF($C$22="선순위 → IRR → 중순위 → IRR → 후순위 → IRR",0,IF($C$22="선순위 → 중순위 → 후순위 → IRR",IF($DU$6&gt;($DO$57-($DR$57+$DS$57+$DT$57)),DO8-SUM(DR8:DT8),$DU$6*$R8),IF($C$22="선순위 → 중순위 → 후순위 → 선순위 IRR → 중순위 IRR → 후순위 IRR",IF(L8="선순위출자자",IF(Q8=0,0,IF($DU$6&lt;=0,L8,IF($DU$6&gt;($DO$57-SUM($DR$57:$DT$57)),DO8-SUM(DR8:DT8),MIN(DO8-SUM(DR8:DT8),$DU$6*(DO8-SUM(DR8:DT8))/(SUMIF($L$8:$L$56,"선순위출자자",$DO$8:$DO$56)-SUMIF($Q$8:$Q$56,0,$DO$8:$DO$56)-($DR$57-SUMIF($Q$8:$Q$56,0,$DR$8:$DR$56))))))),L8),$DU$6*$R8)))</f>
        <v>11127382.411170959</v>
      </c>
      <c r="DV8" s="185">
        <f>IF($C$22="선순위 → 중순위 → 후순위 → 선순위 IRR → 중순위 IRR → 후순위 IRR",IF($DV$6&lt;=0,L8,IF(L8="중순위출자자",IF(Q8=0,0,IF($DV$6&gt;SUMIF($L$8:$L$56,"중순위출자자",$DO$8:$DO$56)-$DS$57,DO8-SUM(DR8:DT8),MIN(DO8-SUM(DR8:DT8),$DV$6*(DO8-SUM(DR8:DT8))/(SUMIF($L$8:$L$56,"중순위출자자",$DO$8:$DO$56)-SUMIF(Q8:Q56,0,DO8:DO56)-($DS$57-SUMIF(Q8:Q56,0,DS8:DS56)))))),L8)),0)</f>
        <v>0</v>
      </c>
      <c r="DW8" s="185">
        <f>IF($C$22="선순위 → 중순위 → 후순위 → 선순위 IRR → 중순위 IRR → 후순위 IRR",IF($DW$6&lt;=0,L8,IF(L8="후순위출자자",IF(Q8=0,0,IF($DW$6&gt;SUMIF($L$8:$L$56,"후순위출자자",$DO$8:$DO$56)-$DT$57,DO8-SUM(DR8:DT8),MIN(DO8-SUM(DR8:DT8),$DW$6*(DO8-SUM(DR8:DT8))/(SUMIF($L$8:$L$56,"후순위출자자",$DO$8:$DO$56)-SUMIF(Q8:Q56,0,DO8:DO56)-($DT$57-SUMIF(Q8:Q56,0,DT8:DT56)))))),L8)),0)</f>
        <v>0</v>
      </c>
      <c r="DX8" s="177">
        <f t="shared" ref="DX8:DX39" si="7">IF(K8="업무집행사원(GP)",IF($DX$6&gt;0,$DX$6*(R8/SUMIF($K$8:$K$56,K8,$R$8:$R$56)),0),0)</f>
        <v>1303493592.7654099</v>
      </c>
      <c r="DY8" s="177">
        <f>IF($DY$6&gt;0,$DY$6*R8,0)</f>
        <v>49656898.772015624</v>
      </c>
      <c r="DZ8" s="177">
        <f>SUM(DR8:DY8)</f>
        <v>1414277873.9485965</v>
      </c>
      <c r="EA8" s="613">
        <f>IFERROR(DZ8/(Q8/$C$16),0)</f>
        <v>28.285557478971931</v>
      </c>
    </row>
    <row r="9" spans="1:131" s="603" customFormat="1" ht="13.5" customHeight="1">
      <c r="A9" s="172"/>
      <c r="B9" s="600" t="s">
        <v>170</v>
      </c>
      <c r="C9" s="792"/>
      <c r="D9" s="792"/>
      <c r="E9" s="792"/>
      <c r="F9" s="585"/>
      <c r="G9" s="604">
        <v>2</v>
      </c>
      <c r="H9" s="605">
        <f t="shared" ref="H9:H56" si="8">IF(DX9&gt;0,DX9,"N/A")</f>
        <v>1303493592.7654099</v>
      </c>
      <c r="I9" s="605">
        <f t="shared" ref="I9:I56" si="9">IFERROR(J9*Q9/$C$16,"N/A")</f>
        <v>1414277873.9485965</v>
      </c>
      <c r="J9" s="606">
        <f t="shared" si="2"/>
        <v>28.285557478971931</v>
      </c>
      <c r="K9" s="768" t="s">
        <v>7196</v>
      </c>
      <c r="L9" s="768" t="s">
        <v>7197</v>
      </c>
      <c r="M9" s="769" t="s">
        <v>7199</v>
      </c>
      <c r="N9" s="767">
        <v>50000000</v>
      </c>
      <c r="O9" s="609">
        <f t="shared" ref="O9:O56" si="10">-(SUMIF($S$6:$DN$6,"최초출자",S9:DN9)+SUMIF($S$6:$DN$6,"추가출자",S9:DN9))</f>
        <v>50000000</v>
      </c>
      <c r="P9" s="609">
        <f t="shared" ref="P9:P56" si="11">SUMIF($S$6:$DN$6,"원본분배",S9:DN9)+SUMIF($S$6:$DN$6,"이익분배",S9:DN9)</f>
        <v>0</v>
      </c>
      <c r="Q9" s="609">
        <f t="shared" ref="Q9:Q56" si="12">-(SUMIF($S$6:$DN$6,"최초출자",S9:DN9)+SUMIF($S$6:$DN$6,"추가출자",S9:DN9)+SUMIF($S$6:$DN$6,"원본분배",S9:DN9))</f>
        <v>50000000</v>
      </c>
      <c r="R9" s="610">
        <f t="shared" ref="R9:R57" si="13">IFERROR(Q9/$Q$57,"-")</f>
        <v>4.7619047619047623E-3</v>
      </c>
      <c r="S9" s="771">
        <v>-50000000</v>
      </c>
      <c r="T9" s="611"/>
      <c r="U9" s="611"/>
      <c r="V9" s="611"/>
      <c r="W9" s="611"/>
      <c r="X9" s="611"/>
      <c r="Y9" s="611"/>
      <c r="Z9" s="611"/>
      <c r="AA9" s="611"/>
      <c r="AB9" s="611"/>
      <c r="AC9" s="611"/>
      <c r="AD9" s="611"/>
      <c r="AE9" s="611"/>
      <c r="AF9" s="611"/>
      <c r="AG9" s="611"/>
      <c r="AH9" s="611"/>
      <c r="AI9" s="611"/>
      <c r="AJ9" s="611"/>
      <c r="AK9" s="611"/>
      <c r="AL9" s="611"/>
      <c r="AM9" s="611"/>
      <c r="AN9" s="611"/>
      <c r="AO9" s="611"/>
      <c r="AP9" s="611"/>
      <c r="AQ9" s="611"/>
      <c r="AR9" s="611"/>
      <c r="AS9" s="611"/>
      <c r="AT9" s="611"/>
      <c r="AU9" s="611"/>
      <c r="AV9" s="611"/>
      <c r="AW9" s="611"/>
      <c r="AX9" s="611"/>
      <c r="AY9" s="611"/>
      <c r="AZ9" s="611"/>
      <c r="BA9" s="611"/>
      <c r="BB9" s="611"/>
      <c r="BC9" s="611"/>
      <c r="BD9" s="611"/>
      <c r="BE9" s="611"/>
      <c r="BF9" s="611"/>
      <c r="BG9" s="611"/>
      <c r="BH9" s="611"/>
      <c r="BI9" s="611"/>
      <c r="BJ9" s="611"/>
      <c r="BK9" s="611"/>
      <c r="BL9" s="611"/>
      <c r="BM9" s="611"/>
      <c r="BN9" s="611"/>
      <c r="BO9" s="611"/>
      <c r="BP9" s="611"/>
      <c r="BQ9" s="611"/>
      <c r="BR9" s="611"/>
      <c r="BS9" s="611"/>
      <c r="BT9" s="611"/>
      <c r="BU9" s="611"/>
      <c r="BV9" s="611"/>
      <c r="BW9" s="611"/>
      <c r="BX9" s="611"/>
      <c r="BY9" s="611"/>
      <c r="BZ9" s="611"/>
      <c r="CA9" s="611"/>
      <c r="CB9" s="611"/>
      <c r="CC9" s="611"/>
      <c r="CD9" s="611"/>
      <c r="CE9" s="611"/>
      <c r="CF9" s="611"/>
      <c r="CG9" s="611"/>
      <c r="CH9" s="611"/>
      <c r="CI9" s="611"/>
      <c r="CJ9" s="611"/>
      <c r="CK9" s="611"/>
      <c r="CL9" s="611"/>
      <c r="CM9" s="611"/>
      <c r="CN9" s="611"/>
      <c r="CO9" s="611"/>
      <c r="CP9" s="611"/>
      <c r="CQ9" s="611"/>
      <c r="CR9" s="611"/>
      <c r="CS9" s="611"/>
      <c r="CT9" s="611"/>
      <c r="CU9" s="611"/>
      <c r="CV9" s="611"/>
      <c r="CW9" s="611"/>
      <c r="CX9" s="611"/>
      <c r="CY9" s="611"/>
      <c r="CZ9" s="611"/>
      <c r="DA9" s="611"/>
      <c r="DB9" s="611"/>
      <c r="DC9" s="611"/>
      <c r="DD9" s="611"/>
      <c r="DE9" s="611"/>
      <c r="DF9" s="611"/>
      <c r="DG9" s="611"/>
      <c r="DH9" s="611"/>
      <c r="DI9" s="611"/>
      <c r="DJ9" s="611"/>
      <c r="DK9" s="611"/>
      <c r="DL9" s="611"/>
      <c r="DM9" s="611"/>
      <c r="DN9" s="611"/>
      <c r="DO9" s="177">
        <f t="shared" ref="DO9:DO56" si="14">IF(M9="",0,-XNPV(DP9,S9,$S$7)*(1+DP9)^YEARFRAC($S$7,$DO$7,3))</f>
        <v>61127382.411170959</v>
      </c>
      <c r="DP9" s="612">
        <f t="shared" ref="DP9:DP56" si="15">IFERROR(IF(HLOOKUP(L9,$C$23:$E$24,2,0)=0,1E-24%,HLOOKUP(L9,$C$23:$E$24,2,FALSE)),"-")</f>
        <v>7.0000000000000007E-2</v>
      </c>
      <c r="DQ9" s="612">
        <f t="shared" ref="DQ9:DQ56" si="16">IFERROR(XIRR(S9:DO9,$S$7:$DO$7),"-")</f>
        <v>7.0000001788139296E-2</v>
      </c>
      <c r="DR9" s="177" t="str">
        <f t="shared" si="3"/>
        <v>후순위출자자</v>
      </c>
      <c r="DS9" s="177" t="str">
        <f t="shared" si="4"/>
        <v>후순위출자자</v>
      </c>
      <c r="DT9" s="177">
        <f t="shared" si="5"/>
        <v>50000000</v>
      </c>
      <c r="DU9" s="185">
        <f t="shared" si="6"/>
        <v>11127382.411170959</v>
      </c>
      <c r="DV9" s="185">
        <f t="shared" ref="DV9:DV56" si="17">IF($C$22="선순위 → 중순위 → 후순위 → 선순위 IRR → 중순위 IRR → 후순위 IRR",IF($DV$6&lt;=0,L9,IF(L9="중순위출자자",IF($DV$6&gt;SUMIF($L$8:$L$56,"중순위출자자",$DO$8:$DO$56)-$DS$57,DO9-SUM(DR9:DT9),MIN(DO9-SUM(DR9:DT9),$DV$6*(DO9-SUM(DR9:DT9))/(SUMIF($L$8:$L$56,"중순위출자자",$DO$8:$DO$56)-SUMIF(Q9:Q57,0,DO9:DO57)-($DS$57-SUMIF(Q9:Q57,0,DS9:DS57))))),L9)),0)</f>
        <v>0</v>
      </c>
      <c r="DW9" s="185">
        <f t="shared" ref="DW9:DW56" si="18">IF($C$22="선순위 → 중순위 → 후순위 → 선순위 IRR → 중순위 IRR → 후순위 IRR",IF($DW$6&lt;=0,L9,IF(L9="후순위출자자",IF(Q9=0,0,IF($DW$6&gt;SUMIF($L$8:$L$56,"후순위출자자",$DO$8:$DO$56)-$DT$57,DO9-SUM(DR9:DT9),MIN(DO9-SUM(DR9:DT9),$DW$6*(DO9-SUM(DR9:DT9))/(SUMIF($L$8:$L$56,"후순위출자자",$DO$8:$DO$56)-SUMIF(Q9:Q57,0,DO9:DO57)-($DT$57-SUMIF(Q9:Q57,0,DT9:DT57)))))),L9)),0)</f>
        <v>0</v>
      </c>
      <c r="DX9" s="177">
        <f t="shared" si="7"/>
        <v>1303493592.7654099</v>
      </c>
      <c r="DY9" s="177">
        <f t="shared" ref="DY9:DY56" si="19">IF($DY$6&gt;0,$DY$6*R9,0)</f>
        <v>49656898.772015624</v>
      </c>
      <c r="DZ9" s="177">
        <f t="shared" ref="DZ9:DZ56" si="20">SUM(DR9:DY9)</f>
        <v>1414277873.9485965</v>
      </c>
      <c r="EA9" s="613">
        <f t="shared" ref="EA9:EA56" si="21">IFERROR(DZ9/(Q9/$C$16),0)</f>
        <v>28.285557478971931</v>
      </c>
    </row>
    <row r="10" spans="1:131" s="603" customFormat="1" ht="13.5" customHeight="1">
      <c r="A10" s="172"/>
      <c r="B10" s="600" t="s">
        <v>171</v>
      </c>
      <c r="C10" s="781"/>
      <c r="D10" s="780"/>
      <c r="E10" s="780"/>
      <c r="F10" s="585"/>
      <c r="G10" s="604">
        <v>3</v>
      </c>
      <c r="H10" s="605" t="str">
        <f t="shared" si="8"/>
        <v>N/A</v>
      </c>
      <c r="I10" s="605">
        <f t="shared" si="9"/>
        <v>13294113741.982389</v>
      </c>
      <c r="J10" s="606">
        <f t="shared" si="2"/>
        <v>2.2156856236637315</v>
      </c>
      <c r="K10" s="768" t="s">
        <v>7200</v>
      </c>
      <c r="L10" s="768" t="s">
        <v>7201</v>
      </c>
      <c r="M10" s="769" t="s">
        <v>7202</v>
      </c>
      <c r="N10" s="767">
        <v>6000000000</v>
      </c>
      <c r="O10" s="609">
        <f t="shared" si="10"/>
        <v>6000000000</v>
      </c>
      <c r="P10" s="609">
        <f t="shared" si="11"/>
        <v>0</v>
      </c>
      <c r="Q10" s="609">
        <f t="shared" si="12"/>
        <v>6000000000</v>
      </c>
      <c r="R10" s="610">
        <f t="shared" si="13"/>
        <v>0.5714285714285714</v>
      </c>
      <c r="S10" s="771">
        <v>-6000000000</v>
      </c>
      <c r="T10" s="611"/>
      <c r="U10" s="611"/>
      <c r="V10" s="611"/>
      <c r="W10" s="611"/>
      <c r="X10" s="611"/>
      <c r="Y10" s="611"/>
      <c r="Z10" s="611"/>
      <c r="AA10" s="611"/>
      <c r="AB10" s="611"/>
      <c r="AC10" s="611"/>
      <c r="AD10" s="611"/>
      <c r="AE10" s="611"/>
      <c r="AF10" s="611"/>
      <c r="AG10" s="611"/>
      <c r="AH10" s="611"/>
      <c r="AI10" s="611"/>
      <c r="AJ10" s="611"/>
      <c r="AK10" s="611"/>
      <c r="AL10" s="611"/>
      <c r="AM10" s="611"/>
      <c r="AN10" s="611"/>
      <c r="AO10" s="611"/>
      <c r="AP10" s="611"/>
      <c r="AQ10" s="611"/>
      <c r="AR10" s="611"/>
      <c r="AS10" s="611"/>
      <c r="AT10" s="611"/>
      <c r="AU10" s="611"/>
      <c r="AV10" s="611"/>
      <c r="AW10" s="611"/>
      <c r="AX10" s="611"/>
      <c r="AY10" s="611"/>
      <c r="AZ10" s="611"/>
      <c r="BA10" s="611"/>
      <c r="BB10" s="611"/>
      <c r="BC10" s="611"/>
      <c r="BD10" s="611"/>
      <c r="BE10" s="611"/>
      <c r="BF10" s="611"/>
      <c r="BG10" s="611"/>
      <c r="BH10" s="611"/>
      <c r="BI10" s="611"/>
      <c r="BJ10" s="611"/>
      <c r="BK10" s="611"/>
      <c r="BL10" s="611"/>
      <c r="BM10" s="611"/>
      <c r="BN10" s="611"/>
      <c r="BO10" s="611"/>
      <c r="BP10" s="611"/>
      <c r="BQ10" s="611"/>
      <c r="BR10" s="611"/>
      <c r="BS10" s="611"/>
      <c r="BT10" s="611"/>
      <c r="BU10" s="611"/>
      <c r="BV10" s="611"/>
      <c r="BW10" s="611"/>
      <c r="BX10" s="611"/>
      <c r="BY10" s="611"/>
      <c r="BZ10" s="611"/>
      <c r="CA10" s="611"/>
      <c r="CB10" s="611"/>
      <c r="CC10" s="611"/>
      <c r="CD10" s="611"/>
      <c r="CE10" s="611"/>
      <c r="CF10" s="611"/>
      <c r="CG10" s="611"/>
      <c r="CH10" s="611"/>
      <c r="CI10" s="611"/>
      <c r="CJ10" s="611"/>
      <c r="CK10" s="611"/>
      <c r="CL10" s="611"/>
      <c r="CM10" s="611"/>
      <c r="CN10" s="611"/>
      <c r="CO10" s="611"/>
      <c r="CP10" s="611"/>
      <c r="CQ10" s="611"/>
      <c r="CR10" s="611"/>
      <c r="CS10" s="611"/>
      <c r="CT10" s="611"/>
      <c r="CU10" s="611"/>
      <c r="CV10" s="611"/>
      <c r="CW10" s="611"/>
      <c r="CX10" s="611"/>
      <c r="CY10" s="611"/>
      <c r="CZ10" s="611"/>
      <c r="DA10" s="611"/>
      <c r="DB10" s="611"/>
      <c r="DC10" s="611"/>
      <c r="DD10" s="611"/>
      <c r="DE10" s="611"/>
      <c r="DF10" s="611"/>
      <c r="DG10" s="611"/>
      <c r="DH10" s="611"/>
      <c r="DI10" s="611"/>
      <c r="DJ10" s="611"/>
      <c r="DK10" s="611"/>
      <c r="DL10" s="611"/>
      <c r="DM10" s="611"/>
      <c r="DN10" s="611"/>
      <c r="DO10" s="177">
        <f t="shared" si="14"/>
        <v>7335285889.3405151</v>
      </c>
      <c r="DP10" s="612">
        <f t="shared" si="15"/>
        <v>7.0000000000000007E-2</v>
      </c>
      <c r="DQ10" s="612">
        <f t="shared" si="16"/>
        <v>7.0000001788139296E-2</v>
      </c>
      <c r="DR10" s="177">
        <f t="shared" si="3"/>
        <v>6000000000</v>
      </c>
      <c r="DS10" s="177" t="str">
        <f t="shared" si="4"/>
        <v>선순위출자자</v>
      </c>
      <c r="DT10" s="177" t="str">
        <f t="shared" si="5"/>
        <v>선순위출자자</v>
      </c>
      <c r="DU10" s="185">
        <f t="shared" si="6"/>
        <v>1335285889.3405151</v>
      </c>
      <c r="DV10" s="185">
        <f t="shared" si="17"/>
        <v>0</v>
      </c>
      <c r="DW10" s="185">
        <f t="shared" si="18"/>
        <v>0</v>
      </c>
      <c r="DX10" s="177">
        <f t="shared" si="7"/>
        <v>0</v>
      </c>
      <c r="DY10" s="177">
        <f t="shared" si="19"/>
        <v>5958827852.6418734</v>
      </c>
      <c r="DZ10" s="177">
        <f t="shared" si="20"/>
        <v>13294113741.982388</v>
      </c>
      <c r="EA10" s="613">
        <f t="shared" si="21"/>
        <v>2.2156856236637315</v>
      </c>
    </row>
    <row r="11" spans="1:131" s="603" customFormat="1" ht="13.5" customHeight="1">
      <c r="A11" s="172"/>
      <c r="B11" s="600" t="s">
        <v>172</v>
      </c>
      <c r="C11" s="780"/>
      <c r="D11" s="780"/>
      <c r="E11" s="780"/>
      <c r="F11" s="585"/>
      <c r="G11" s="604">
        <v>4</v>
      </c>
      <c r="H11" s="605" t="str">
        <f t="shared" si="8"/>
        <v>N/A</v>
      </c>
      <c r="I11" s="605">
        <f t="shared" si="9"/>
        <v>2215685623.6637316</v>
      </c>
      <c r="J11" s="606">
        <f t="shared" si="2"/>
        <v>2.2156856236637315</v>
      </c>
      <c r="K11" s="768" t="s">
        <v>7200</v>
      </c>
      <c r="L11" s="768" t="s">
        <v>7201</v>
      </c>
      <c r="M11" s="769" t="s">
        <v>7203</v>
      </c>
      <c r="N11" s="767">
        <v>1000000000</v>
      </c>
      <c r="O11" s="609">
        <f t="shared" si="10"/>
        <v>1000000000</v>
      </c>
      <c r="P11" s="609">
        <f t="shared" si="11"/>
        <v>0</v>
      </c>
      <c r="Q11" s="609">
        <f t="shared" si="12"/>
        <v>1000000000</v>
      </c>
      <c r="R11" s="610">
        <f t="shared" si="13"/>
        <v>9.5238095238095233E-2</v>
      </c>
      <c r="S11" s="771">
        <v>-1000000000</v>
      </c>
      <c r="T11" s="611"/>
      <c r="U11" s="611"/>
      <c r="V11" s="611"/>
      <c r="W11" s="611"/>
      <c r="X11" s="611"/>
      <c r="Y11" s="611"/>
      <c r="Z11" s="611"/>
      <c r="AA11" s="611"/>
      <c r="AB11" s="611"/>
      <c r="AC11" s="611"/>
      <c r="AD11" s="611"/>
      <c r="AE11" s="611"/>
      <c r="AF11" s="611"/>
      <c r="AG11" s="611"/>
      <c r="AH11" s="611"/>
      <c r="AI11" s="611"/>
      <c r="AJ11" s="611"/>
      <c r="AK11" s="611"/>
      <c r="AL11" s="611"/>
      <c r="AM11" s="611"/>
      <c r="AN11" s="611"/>
      <c r="AO11" s="611"/>
      <c r="AP11" s="611"/>
      <c r="AQ11" s="611"/>
      <c r="AR11" s="611"/>
      <c r="AS11" s="611"/>
      <c r="AT11" s="611"/>
      <c r="AU11" s="611"/>
      <c r="AV11" s="611"/>
      <c r="AW11" s="611"/>
      <c r="AX11" s="611"/>
      <c r="AY11" s="611"/>
      <c r="AZ11" s="611"/>
      <c r="BA11" s="611"/>
      <c r="BB11" s="611"/>
      <c r="BC11" s="611"/>
      <c r="BD11" s="611"/>
      <c r="BE11" s="611"/>
      <c r="BF11" s="611"/>
      <c r="BG11" s="611"/>
      <c r="BH11" s="611"/>
      <c r="BI11" s="611"/>
      <c r="BJ11" s="611"/>
      <c r="BK11" s="611"/>
      <c r="BL11" s="611"/>
      <c r="BM11" s="611"/>
      <c r="BN11" s="611"/>
      <c r="BO11" s="611"/>
      <c r="BP11" s="611"/>
      <c r="BQ11" s="611"/>
      <c r="BR11" s="611"/>
      <c r="BS11" s="611"/>
      <c r="BT11" s="611"/>
      <c r="BU11" s="611"/>
      <c r="BV11" s="611"/>
      <c r="BW11" s="611"/>
      <c r="BX11" s="611"/>
      <c r="BY11" s="611"/>
      <c r="BZ11" s="611"/>
      <c r="CA11" s="611"/>
      <c r="CB11" s="611"/>
      <c r="CC11" s="611"/>
      <c r="CD11" s="611"/>
      <c r="CE11" s="611"/>
      <c r="CF11" s="611"/>
      <c r="CG11" s="611"/>
      <c r="CH11" s="611"/>
      <c r="CI11" s="611"/>
      <c r="CJ11" s="611"/>
      <c r="CK11" s="611"/>
      <c r="CL11" s="611"/>
      <c r="CM11" s="611"/>
      <c r="CN11" s="611"/>
      <c r="CO11" s="611"/>
      <c r="CP11" s="611"/>
      <c r="CQ11" s="611"/>
      <c r="CR11" s="611"/>
      <c r="CS11" s="611"/>
      <c r="CT11" s="611"/>
      <c r="CU11" s="611"/>
      <c r="CV11" s="611"/>
      <c r="CW11" s="611"/>
      <c r="CX11" s="611"/>
      <c r="CY11" s="611"/>
      <c r="CZ11" s="611"/>
      <c r="DA11" s="611"/>
      <c r="DB11" s="611"/>
      <c r="DC11" s="611"/>
      <c r="DD11" s="611"/>
      <c r="DE11" s="611"/>
      <c r="DF11" s="611"/>
      <c r="DG11" s="611"/>
      <c r="DH11" s="611"/>
      <c r="DI11" s="611"/>
      <c r="DJ11" s="611"/>
      <c r="DK11" s="611"/>
      <c r="DL11" s="611"/>
      <c r="DM11" s="611"/>
      <c r="DN11" s="611"/>
      <c r="DO11" s="177">
        <f t="shared" si="14"/>
        <v>1222547648.2234192</v>
      </c>
      <c r="DP11" s="612">
        <f t="shared" si="15"/>
        <v>7.0000000000000007E-2</v>
      </c>
      <c r="DQ11" s="612">
        <f t="shared" si="16"/>
        <v>7.0000001788139296E-2</v>
      </c>
      <c r="DR11" s="177">
        <f t="shared" si="3"/>
        <v>1000000000</v>
      </c>
      <c r="DS11" s="177" t="str">
        <f t="shared" si="4"/>
        <v>선순위출자자</v>
      </c>
      <c r="DT11" s="177" t="str">
        <f t="shared" si="5"/>
        <v>선순위출자자</v>
      </c>
      <c r="DU11" s="185">
        <f t="shared" si="6"/>
        <v>222547648.22341919</v>
      </c>
      <c r="DV11" s="185">
        <f t="shared" si="17"/>
        <v>0</v>
      </c>
      <c r="DW11" s="185">
        <f t="shared" si="18"/>
        <v>0</v>
      </c>
      <c r="DX11" s="177">
        <f t="shared" si="7"/>
        <v>0</v>
      </c>
      <c r="DY11" s="177">
        <f t="shared" si="19"/>
        <v>993137975.44031227</v>
      </c>
      <c r="DZ11" s="177">
        <f t="shared" si="20"/>
        <v>2215685623.6637316</v>
      </c>
      <c r="EA11" s="613">
        <f t="shared" si="21"/>
        <v>2.2156856236637315</v>
      </c>
    </row>
    <row r="12" spans="1:131" s="603" customFormat="1" ht="13.5" customHeight="1" thickBot="1">
      <c r="A12" s="172"/>
      <c r="B12" s="614" t="s">
        <v>173</v>
      </c>
      <c r="C12" s="793"/>
      <c r="D12" s="793"/>
      <c r="E12" s="793"/>
      <c r="F12" s="585"/>
      <c r="G12" s="604">
        <v>5</v>
      </c>
      <c r="H12" s="605" t="str">
        <f t="shared" si="8"/>
        <v>N/A</v>
      </c>
      <c r="I12" s="605">
        <f t="shared" si="9"/>
        <v>2215685623.6637316</v>
      </c>
      <c r="J12" s="606">
        <f t="shared" si="2"/>
        <v>2.2156856236637315</v>
      </c>
      <c r="K12" s="768" t="s">
        <v>7200</v>
      </c>
      <c r="L12" s="768" t="s">
        <v>7201</v>
      </c>
      <c r="M12" s="769" t="s">
        <v>7204</v>
      </c>
      <c r="N12" s="767">
        <v>1000000000</v>
      </c>
      <c r="O12" s="609">
        <f t="shared" si="10"/>
        <v>1000000000</v>
      </c>
      <c r="P12" s="609">
        <f t="shared" si="11"/>
        <v>0</v>
      </c>
      <c r="Q12" s="609">
        <f t="shared" si="12"/>
        <v>1000000000</v>
      </c>
      <c r="R12" s="610">
        <f t="shared" si="13"/>
        <v>9.5238095238095233E-2</v>
      </c>
      <c r="S12" s="771">
        <v>-1000000000</v>
      </c>
      <c r="T12" s="611"/>
      <c r="U12" s="611"/>
      <c r="V12" s="611"/>
      <c r="W12" s="611"/>
      <c r="X12" s="611"/>
      <c r="Y12" s="611"/>
      <c r="Z12" s="611"/>
      <c r="AA12" s="611"/>
      <c r="AB12" s="611"/>
      <c r="AC12" s="611"/>
      <c r="AD12" s="611"/>
      <c r="AE12" s="611"/>
      <c r="AF12" s="611"/>
      <c r="AG12" s="611"/>
      <c r="AH12" s="611"/>
      <c r="AI12" s="611"/>
      <c r="AJ12" s="611"/>
      <c r="AK12" s="611"/>
      <c r="AL12" s="611"/>
      <c r="AM12" s="611"/>
      <c r="AN12" s="611"/>
      <c r="AO12" s="611"/>
      <c r="AP12" s="611"/>
      <c r="AQ12" s="611"/>
      <c r="AR12" s="611"/>
      <c r="AS12" s="611"/>
      <c r="AT12" s="611"/>
      <c r="AU12" s="611"/>
      <c r="AV12" s="611"/>
      <c r="AW12" s="611"/>
      <c r="AX12" s="611"/>
      <c r="AY12" s="611"/>
      <c r="AZ12" s="611"/>
      <c r="BA12" s="611"/>
      <c r="BB12" s="611"/>
      <c r="BC12" s="611"/>
      <c r="BD12" s="611"/>
      <c r="BE12" s="611"/>
      <c r="BF12" s="611"/>
      <c r="BG12" s="611"/>
      <c r="BH12" s="611"/>
      <c r="BI12" s="611"/>
      <c r="BJ12" s="611"/>
      <c r="BK12" s="611"/>
      <c r="BL12" s="611"/>
      <c r="BM12" s="611"/>
      <c r="BN12" s="611"/>
      <c r="BO12" s="611"/>
      <c r="BP12" s="611"/>
      <c r="BQ12" s="611"/>
      <c r="BR12" s="611"/>
      <c r="BS12" s="611"/>
      <c r="BT12" s="611"/>
      <c r="BU12" s="611"/>
      <c r="BV12" s="611"/>
      <c r="BW12" s="611"/>
      <c r="BX12" s="611"/>
      <c r="BY12" s="611"/>
      <c r="BZ12" s="611"/>
      <c r="CA12" s="611"/>
      <c r="CB12" s="611"/>
      <c r="CC12" s="611"/>
      <c r="CD12" s="611"/>
      <c r="CE12" s="611"/>
      <c r="CF12" s="611"/>
      <c r="CG12" s="611"/>
      <c r="CH12" s="611"/>
      <c r="CI12" s="611"/>
      <c r="CJ12" s="611"/>
      <c r="CK12" s="611"/>
      <c r="CL12" s="611"/>
      <c r="CM12" s="611"/>
      <c r="CN12" s="611"/>
      <c r="CO12" s="611"/>
      <c r="CP12" s="611"/>
      <c r="CQ12" s="611"/>
      <c r="CR12" s="611"/>
      <c r="CS12" s="611"/>
      <c r="CT12" s="611"/>
      <c r="CU12" s="611"/>
      <c r="CV12" s="611"/>
      <c r="CW12" s="611"/>
      <c r="CX12" s="611"/>
      <c r="CY12" s="611"/>
      <c r="CZ12" s="611"/>
      <c r="DA12" s="611"/>
      <c r="DB12" s="611"/>
      <c r="DC12" s="611"/>
      <c r="DD12" s="611"/>
      <c r="DE12" s="611"/>
      <c r="DF12" s="611"/>
      <c r="DG12" s="611"/>
      <c r="DH12" s="611"/>
      <c r="DI12" s="611"/>
      <c r="DJ12" s="611"/>
      <c r="DK12" s="611"/>
      <c r="DL12" s="611"/>
      <c r="DM12" s="611"/>
      <c r="DN12" s="611"/>
      <c r="DO12" s="177">
        <f t="shared" si="14"/>
        <v>1222547648.2234192</v>
      </c>
      <c r="DP12" s="612">
        <f t="shared" si="15"/>
        <v>7.0000000000000007E-2</v>
      </c>
      <c r="DQ12" s="612">
        <f t="shared" si="16"/>
        <v>7.0000001788139296E-2</v>
      </c>
      <c r="DR12" s="177">
        <f t="shared" si="3"/>
        <v>1000000000</v>
      </c>
      <c r="DS12" s="177" t="str">
        <f t="shared" si="4"/>
        <v>선순위출자자</v>
      </c>
      <c r="DT12" s="177" t="str">
        <f t="shared" si="5"/>
        <v>선순위출자자</v>
      </c>
      <c r="DU12" s="185">
        <f t="shared" si="6"/>
        <v>222547648.22341919</v>
      </c>
      <c r="DV12" s="185">
        <f t="shared" si="17"/>
        <v>0</v>
      </c>
      <c r="DW12" s="185">
        <f t="shared" si="18"/>
        <v>0</v>
      </c>
      <c r="DX12" s="177">
        <f t="shared" si="7"/>
        <v>0</v>
      </c>
      <c r="DY12" s="177">
        <f t="shared" si="19"/>
        <v>993137975.44031227</v>
      </c>
      <c r="DZ12" s="177">
        <f t="shared" si="20"/>
        <v>2215685623.6637316</v>
      </c>
      <c r="EA12" s="613">
        <f t="shared" si="21"/>
        <v>2.2156856236637315</v>
      </c>
    </row>
    <row r="13" spans="1:131" s="603" customFormat="1" ht="13.5" customHeight="1">
      <c r="A13" s="172"/>
      <c r="B13" s="600" t="s">
        <v>174</v>
      </c>
      <c r="C13" s="794">
        <f>$N$57</f>
        <v>10500000000</v>
      </c>
      <c r="D13" s="794"/>
      <c r="E13" s="794"/>
      <c r="F13" s="585"/>
      <c r="G13" s="604">
        <v>6</v>
      </c>
      <c r="H13" s="605" t="str">
        <f t="shared" si="8"/>
        <v>N/A</v>
      </c>
      <c r="I13" s="605">
        <f t="shared" si="9"/>
        <v>2215685623.6637316</v>
      </c>
      <c r="J13" s="606">
        <f t="shared" si="2"/>
        <v>2.2156856236637315</v>
      </c>
      <c r="K13" s="768" t="s">
        <v>7200</v>
      </c>
      <c r="L13" s="768" t="s">
        <v>7201</v>
      </c>
      <c r="M13" s="769" t="s">
        <v>7203</v>
      </c>
      <c r="N13" s="767">
        <v>1000000000</v>
      </c>
      <c r="O13" s="609">
        <f t="shared" si="10"/>
        <v>1000000000</v>
      </c>
      <c r="P13" s="609">
        <f t="shared" si="11"/>
        <v>0</v>
      </c>
      <c r="Q13" s="609">
        <f t="shared" si="12"/>
        <v>1000000000</v>
      </c>
      <c r="R13" s="610">
        <f t="shared" si="13"/>
        <v>9.5238095238095233E-2</v>
      </c>
      <c r="S13" s="771">
        <v>-1000000000</v>
      </c>
      <c r="T13" s="611"/>
      <c r="U13" s="611"/>
      <c r="V13" s="611"/>
      <c r="W13" s="611"/>
      <c r="X13" s="611"/>
      <c r="Y13" s="611"/>
      <c r="Z13" s="611"/>
      <c r="AA13" s="611"/>
      <c r="AB13" s="611"/>
      <c r="AC13" s="611"/>
      <c r="AD13" s="611"/>
      <c r="AE13" s="611"/>
      <c r="AF13" s="611"/>
      <c r="AG13" s="611"/>
      <c r="AH13" s="611"/>
      <c r="AI13" s="611"/>
      <c r="AJ13" s="611"/>
      <c r="AK13" s="611"/>
      <c r="AL13" s="611"/>
      <c r="AM13" s="611"/>
      <c r="AN13" s="611"/>
      <c r="AO13" s="611"/>
      <c r="AP13" s="611"/>
      <c r="AQ13" s="611"/>
      <c r="AR13" s="611"/>
      <c r="AS13" s="611"/>
      <c r="AT13" s="611"/>
      <c r="AU13" s="611"/>
      <c r="AV13" s="611"/>
      <c r="AW13" s="611"/>
      <c r="AX13" s="611"/>
      <c r="AY13" s="611"/>
      <c r="AZ13" s="611"/>
      <c r="BA13" s="611"/>
      <c r="BB13" s="611"/>
      <c r="BC13" s="611"/>
      <c r="BD13" s="611"/>
      <c r="BE13" s="611"/>
      <c r="BF13" s="611"/>
      <c r="BG13" s="611"/>
      <c r="BH13" s="611"/>
      <c r="BI13" s="611"/>
      <c r="BJ13" s="611"/>
      <c r="BK13" s="611"/>
      <c r="BL13" s="611"/>
      <c r="BM13" s="611"/>
      <c r="BN13" s="611"/>
      <c r="BO13" s="611"/>
      <c r="BP13" s="611"/>
      <c r="BQ13" s="611"/>
      <c r="BR13" s="611"/>
      <c r="BS13" s="611"/>
      <c r="BT13" s="611"/>
      <c r="BU13" s="611"/>
      <c r="BV13" s="611"/>
      <c r="BW13" s="611"/>
      <c r="BX13" s="611"/>
      <c r="BY13" s="611"/>
      <c r="BZ13" s="611"/>
      <c r="CA13" s="611"/>
      <c r="CB13" s="611"/>
      <c r="CC13" s="611"/>
      <c r="CD13" s="611"/>
      <c r="CE13" s="611"/>
      <c r="CF13" s="611"/>
      <c r="CG13" s="611"/>
      <c r="CH13" s="611"/>
      <c r="CI13" s="611"/>
      <c r="CJ13" s="611"/>
      <c r="CK13" s="611"/>
      <c r="CL13" s="611"/>
      <c r="CM13" s="611"/>
      <c r="CN13" s="611"/>
      <c r="CO13" s="611"/>
      <c r="CP13" s="611"/>
      <c r="CQ13" s="611"/>
      <c r="CR13" s="611"/>
      <c r="CS13" s="611"/>
      <c r="CT13" s="611"/>
      <c r="CU13" s="611"/>
      <c r="CV13" s="611"/>
      <c r="CW13" s="611"/>
      <c r="CX13" s="611"/>
      <c r="CY13" s="611"/>
      <c r="CZ13" s="611"/>
      <c r="DA13" s="611"/>
      <c r="DB13" s="611"/>
      <c r="DC13" s="611"/>
      <c r="DD13" s="611"/>
      <c r="DE13" s="611"/>
      <c r="DF13" s="611"/>
      <c r="DG13" s="611"/>
      <c r="DH13" s="611"/>
      <c r="DI13" s="611"/>
      <c r="DJ13" s="611"/>
      <c r="DK13" s="611"/>
      <c r="DL13" s="611"/>
      <c r="DM13" s="611"/>
      <c r="DN13" s="611"/>
      <c r="DO13" s="177">
        <f t="shared" si="14"/>
        <v>1222547648.2234192</v>
      </c>
      <c r="DP13" s="612">
        <f t="shared" si="15"/>
        <v>7.0000000000000007E-2</v>
      </c>
      <c r="DQ13" s="612">
        <f t="shared" si="16"/>
        <v>7.0000001788139296E-2</v>
      </c>
      <c r="DR13" s="177">
        <f t="shared" si="3"/>
        <v>1000000000</v>
      </c>
      <c r="DS13" s="177" t="str">
        <f t="shared" si="4"/>
        <v>선순위출자자</v>
      </c>
      <c r="DT13" s="177" t="str">
        <f t="shared" si="5"/>
        <v>선순위출자자</v>
      </c>
      <c r="DU13" s="185">
        <f t="shared" si="6"/>
        <v>222547648.22341919</v>
      </c>
      <c r="DV13" s="185">
        <f t="shared" si="17"/>
        <v>0</v>
      </c>
      <c r="DW13" s="185">
        <f t="shared" si="18"/>
        <v>0</v>
      </c>
      <c r="DX13" s="177">
        <f t="shared" si="7"/>
        <v>0</v>
      </c>
      <c r="DY13" s="177">
        <f t="shared" si="19"/>
        <v>993137975.44031227</v>
      </c>
      <c r="DZ13" s="177">
        <f t="shared" si="20"/>
        <v>2215685623.6637316</v>
      </c>
      <c r="EA13" s="613">
        <f t="shared" si="21"/>
        <v>2.2156856236637315</v>
      </c>
    </row>
    <row r="14" spans="1:131" s="603" customFormat="1" ht="13.5" customHeight="1">
      <c r="A14" s="172"/>
      <c r="B14" s="600" t="s">
        <v>175</v>
      </c>
      <c r="C14" s="794">
        <f>$O$57</f>
        <v>10500000000</v>
      </c>
      <c r="D14" s="794"/>
      <c r="E14" s="794"/>
      <c r="F14" s="585"/>
      <c r="G14" s="604">
        <v>7</v>
      </c>
      <c r="H14" s="605" t="str">
        <f t="shared" si="8"/>
        <v>N/A</v>
      </c>
      <c r="I14" s="605">
        <f t="shared" si="9"/>
        <v>886274249.46549273</v>
      </c>
      <c r="J14" s="606">
        <f t="shared" si="2"/>
        <v>2.2156856236637319</v>
      </c>
      <c r="K14" s="768" t="s">
        <v>7200</v>
      </c>
      <c r="L14" s="768" t="s">
        <v>7201</v>
      </c>
      <c r="M14" s="769" t="s">
        <v>7205</v>
      </c>
      <c r="N14" s="767">
        <v>400000000</v>
      </c>
      <c r="O14" s="609">
        <f t="shared" si="10"/>
        <v>400000000</v>
      </c>
      <c r="P14" s="609">
        <f t="shared" si="11"/>
        <v>0</v>
      </c>
      <c r="Q14" s="609">
        <f t="shared" si="12"/>
        <v>400000000</v>
      </c>
      <c r="R14" s="610">
        <f t="shared" si="13"/>
        <v>3.8095238095238099E-2</v>
      </c>
      <c r="S14" s="771">
        <v>-400000000</v>
      </c>
      <c r="T14" s="611"/>
      <c r="U14" s="611"/>
      <c r="V14" s="611"/>
      <c r="W14" s="611"/>
      <c r="X14" s="611"/>
      <c r="Y14" s="611"/>
      <c r="Z14" s="611"/>
      <c r="AA14" s="611"/>
      <c r="AB14" s="611"/>
      <c r="AC14" s="611"/>
      <c r="AD14" s="611"/>
      <c r="AE14" s="611"/>
      <c r="AF14" s="611"/>
      <c r="AG14" s="611"/>
      <c r="AH14" s="611"/>
      <c r="AI14" s="611"/>
      <c r="AJ14" s="611"/>
      <c r="AK14" s="611"/>
      <c r="AL14" s="611"/>
      <c r="AM14" s="611"/>
      <c r="AN14" s="611"/>
      <c r="AO14" s="611"/>
      <c r="AP14" s="611"/>
      <c r="AQ14" s="611"/>
      <c r="AR14" s="611"/>
      <c r="AS14" s="611"/>
      <c r="AT14" s="611"/>
      <c r="AU14" s="611"/>
      <c r="AV14" s="611"/>
      <c r="AW14" s="611"/>
      <c r="AX14" s="611"/>
      <c r="AY14" s="611"/>
      <c r="AZ14" s="611"/>
      <c r="BA14" s="611"/>
      <c r="BB14" s="611"/>
      <c r="BC14" s="611"/>
      <c r="BD14" s="611"/>
      <c r="BE14" s="611"/>
      <c r="BF14" s="611"/>
      <c r="BG14" s="611"/>
      <c r="BH14" s="611"/>
      <c r="BI14" s="611"/>
      <c r="BJ14" s="611"/>
      <c r="BK14" s="611"/>
      <c r="BL14" s="611"/>
      <c r="BM14" s="611"/>
      <c r="BN14" s="611"/>
      <c r="BO14" s="611"/>
      <c r="BP14" s="611"/>
      <c r="BQ14" s="611"/>
      <c r="BR14" s="611"/>
      <c r="BS14" s="611"/>
      <c r="BT14" s="611"/>
      <c r="BU14" s="611"/>
      <c r="BV14" s="611"/>
      <c r="BW14" s="611"/>
      <c r="BX14" s="611"/>
      <c r="BY14" s="611"/>
      <c r="BZ14" s="611"/>
      <c r="CA14" s="611"/>
      <c r="CB14" s="611"/>
      <c r="CC14" s="611"/>
      <c r="CD14" s="611"/>
      <c r="CE14" s="611"/>
      <c r="CF14" s="611"/>
      <c r="CG14" s="611"/>
      <c r="CH14" s="611"/>
      <c r="CI14" s="611"/>
      <c r="CJ14" s="611"/>
      <c r="CK14" s="611"/>
      <c r="CL14" s="611"/>
      <c r="CM14" s="611"/>
      <c r="CN14" s="611"/>
      <c r="CO14" s="611"/>
      <c r="CP14" s="611"/>
      <c r="CQ14" s="611"/>
      <c r="CR14" s="611"/>
      <c r="CS14" s="611"/>
      <c r="CT14" s="611"/>
      <c r="CU14" s="611"/>
      <c r="CV14" s="611"/>
      <c r="CW14" s="611"/>
      <c r="CX14" s="611"/>
      <c r="CY14" s="611"/>
      <c r="CZ14" s="611"/>
      <c r="DA14" s="611"/>
      <c r="DB14" s="611"/>
      <c r="DC14" s="611"/>
      <c r="DD14" s="611"/>
      <c r="DE14" s="611"/>
      <c r="DF14" s="611"/>
      <c r="DG14" s="611"/>
      <c r="DH14" s="611"/>
      <c r="DI14" s="611"/>
      <c r="DJ14" s="611"/>
      <c r="DK14" s="611"/>
      <c r="DL14" s="611"/>
      <c r="DM14" s="611"/>
      <c r="DN14" s="611"/>
      <c r="DO14" s="177">
        <f t="shared" si="14"/>
        <v>489019059.28936768</v>
      </c>
      <c r="DP14" s="612">
        <f t="shared" si="15"/>
        <v>7.0000000000000007E-2</v>
      </c>
      <c r="DQ14" s="612">
        <f t="shared" si="16"/>
        <v>7.0000001788139296E-2</v>
      </c>
      <c r="DR14" s="177">
        <f t="shared" si="3"/>
        <v>400000000</v>
      </c>
      <c r="DS14" s="177" t="str">
        <f t="shared" si="4"/>
        <v>선순위출자자</v>
      </c>
      <c r="DT14" s="177" t="str">
        <f t="shared" si="5"/>
        <v>선순위출자자</v>
      </c>
      <c r="DU14" s="185">
        <f t="shared" si="6"/>
        <v>89019059.289367676</v>
      </c>
      <c r="DV14" s="185">
        <f t="shared" si="17"/>
        <v>0</v>
      </c>
      <c r="DW14" s="185">
        <f t="shared" si="18"/>
        <v>0</v>
      </c>
      <c r="DX14" s="177">
        <f t="shared" si="7"/>
        <v>0</v>
      </c>
      <c r="DY14" s="177">
        <f t="shared" si="19"/>
        <v>397255190.17612499</v>
      </c>
      <c r="DZ14" s="177">
        <f t="shared" si="20"/>
        <v>886274249.46549273</v>
      </c>
      <c r="EA14" s="613">
        <f t="shared" si="21"/>
        <v>2.2156856236637319</v>
      </c>
    </row>
    <row r="15" spans="1:131" s="603" customFormat="1" ht="13.5" customHeight="1">
      <c r="A15" s="172"/>
      <c r="B15" s="600" t="s">
        <v>176</v>
      </c>
      <c r="C15" s="794">
        <f>$Q$57</f>
        <v>10500000000</v>
      </c>
      <c r="D15" s="794"/>
      <c r="E15" s="794"/>
      <c r="F15" s="585"/>
      <c r="G15" s="604">
        <v>8</v>
      </c>
      <c r="H15" s="605" t="str">
        <f t="shared" si="8"/>
        <v>N/A</v>
      </c>
      <c r="I15" s="605">
        <f t="shared" si="9"/>
        <v>553921405.91593289</v>
      </c>
      <c r="J15" s="606">
        <f t="shared" si="2"/>
        <v>2.2156856236637315</v>
      </c>
      <c r="K15" s="768" t="s">
        <v>7200</v>
      </c>
      <c r="L15" s="768" t="s">
        <v>7201</v>
      </c>
      <c r="M15" s="769" t="s">
        <v>7206</v>
      </c>
      <c r="N15" s="767">
        <v>250000000</v>
      </c>
      <c r="O15" s="609">
        <f t="shared" si="10"/>
        <v>250000000</v>
      </c>
      <c r="P15" s="609">
        <f t="shared" si="11"/>
        <v>0</v>
      </c>
      <c r="Q15" s="609">
        <f t="shared" si="12"/>
        <v>250000000</v>
      </c>
      <c r="R15" s="610">
        <f t="shared" si="13"/>
        <v>2.3809523809523808E-2</v>
      </c>
      <c r="S15" s="771">
        <v>-250000000</v>
      </c>
      <c r="T15" s="611"/>
      <c r="U15" s="611"/>
      <c r="V15" s="611"/>
      <c r="W15" s="611"/>
      <c r="X15" s="611"/>
      <c r="Y15" s="611"/>
      <c r="Z15" s="611"/>
      <c r="AA15" s="611"/>
      <c r="AB15" s="611"/>
      <c r="AC15" s="611"/>
      <c r="AD15" s="611"/>
      <c r="AE15" s="611"/>
      <c r="AF15" s="611"/>
      <c r="AG15" s="611"/>
      <c r="AH15" s="611"/>
      <c r="AI15" s="611"/>
      <c r="AJ15" s="611"/>
      <c r="AK15" s="611"/>
      <c r="AL15" s="611"/>
      <c r="AM15" s="611"/>
      <c r="AN15" s="611"/>
      <c r="AO15" s="611"/>
      <c r="AP15" s="611"/>
      <c r="AQ15" s="611"/>
      <c r="AR15" s="611"/>
      <c r="AS15" s="611"/>
      <c r="AT15" s="611"/>
      <c r="AU15" s="611"/>
      <c r="AV15" s="611"/>
      <c r="AW15" s="611"/>
      <c r="AX15" s="611"/>
      <c r="AY15" s="611"/>
      <c r="AZ15" s="611"/>
      <c r="BA15" s="611"/>
      <c r="BB15" s="611"/>
      <c r="BC15" s="611"/>
      <c r="BD15" s="611"/>
      <c r="BE15" s="611"/>
      <c r="BF15" s="611"/>
      <c r="BG15" s="611"/>
      <c r="BH15" s="611"/>
      <c r="BI15" s="611"/>
      <c r="BJ15" s="611"/>
      <c r="BK15" s="611"/>
      <c r="BL15" s="611"/>
      <c r="BM15" s="611"/>
      <c r="BN15" s="611"/>
      <c r="BO15" s="611"/>
      <c r="BP15" s="611"/>
      <c r="BQ15" s="611"/>
      <c r="BR15" s="611"/>
      <c r="BS15" s="611"/>
      <c r="BT15" s="611"/>
      <c r="BU15" s="611"/>
      <c r="BV15" s="611"/>
      <c r="BW15" s="611"/>
      <c r="BX15" s="611"/>
      <c r="BY15" s="611"/>
      <c r="BZ15" s="611"/>
      <c r="CA15" s="611"/>
      <c r="CB15" s="611"/>
      <c r="CC15" s="611"/>
      <c r="CD15" s="611"/>
      <c r="CE15" s="611"/>
      <c r="CF15" s="611"/>
      <c r="CG15" s="611"/>
      <c r="CH15" s="611"/>
      <c r="CI15" s="611"/>
      <c r="CJ15" s="611"/>
      <c r="CK15" s="611"/>
      <c r="CL15" s="611"/>
      <c r="CM15" s="611"/>
      <c r="CN15" s="611"/>
      <c r="CO15" s="611"/>
      <c r="CP15" s="611"/>
      <c r="CQ15" s="611"/>
      <c r="CR15" s="611"/>
      <c r="CS15" s="611"/>
      <c r="CT15" s="611"/>
      <c r="CU15" s="611"/>
      <c r="CV15" s="611"/>
      <c r="CW15" s="611"/>
      <c r="CX15" s="611"/>
      <c r="CY15" s="611"/>
      <c r="CZ15" s="611"/>
      <c r="DA15" s="611"/>
      <c r="DB15" s="611"/>
      <c r="DC15" s="611"/>
      <c r="DD15" s="611"/>
      <c r="DE15" s="611"/>
      <c r="DF15" s="611"/>
      <c r="DG15" s="611"/>
      <c r="DH15" s="611"/>
      <c r="DI15" s="611"/>
      <c r="DJ15" s="611"/>
      <c r="DK15" s="611"/>
      <c r="DL15" s="611"/>
      <c r="DM15" s="611"/>
      <c r="DN15" s="611"/>
      <c r="DO15" s="177">
        <f t="shared" si="14"/>
        <v>305636912.0558548</v>
      </c>
      <c r="DP15" s="612">
        <f t="shared" si="15"/>
        <v>7.0000000000000007E-2</v>
      </c>
      <c r="DQ15" s="612">
        <f t="shared" si="16"/>
        <v>7.0000001788139296E-2</v>
      </c>
      <c r="DR15" s="177">
        <f t="shared" si="3"/>
        <v>250000000</v>
      </c>
      <c r="DS15" s="177" t="str">
        <f t="shared" si="4"/>
        <v>선순위출자자</v>
      </c>
      <c r="DT15" s="177" t="str">
        <f t="shared" si="5"/>
        <v>선순위출자자</v>
      </c>
      <c r="DU15" s="185">
        <f t="shared" si="6"/>
        <v>55636912.055854797</v>
      </c>
      <c r="DV15" s="185">
        <f t="shared" si="17"/>
        <v>0</v>
      </c>
      <c r="DW15" s="185">
        <f t="shared" si="18"/>
        <v>0</v>
      </c>
      <c r="DX15" s="177">
        <f t="shared" si="7"/>
        <v>0</v>
      </c>
      <c r="DY15" s="177">
        <f t="shared" si="19"/>
        <v>248284493.86007807</v>
      </c>
      <c r="DZ15" s="177">
        <f t="shared" si="20"/>
        <v>553921405.91593289</v>
      </c>
      <c r="EA15" s="613">
        <f t="shared" si="21"/>
        <v>2.2156856236637315</v>
      </c>
    </row>
    <row r="16" spans="1:131" s="603" customFormat="1" ht="13.5" customHeight="1">
      <c r="A16" s="172"/>
      <c r="B16" s="600" t="s">
        <v>181</v>
      </c>
      <c r="C16" s="783">
        <v>1</v>
      </c>
      <c r="D16" s="783"/>
      <c r="E16" s="783"/>
      <c r="F16" s="585"/>
      <c r="G16" s="604">
        <v>9</v>
      </c>
      <c r="H16" s="605" t="str">
        <f t="shared" si="8"/>
        <v>N/A</v>
      </c>
      <c r="I16" s="605">
        <f t="shared" si="9"/>
        <v>553921405.91593289</v>
      </c>
      <c r="J16" s="606">
        <f t="shared" si="2"/>
        <v>2.2156856236637315</v>
      </c>
      <c r="K16" s="768" t="s">
        <v>7200</v>
      </c>
      <c r="L16" s="768" t="s">
        <v>7201</v>
      </c>
      <c r="M16" s="769" t="s">
        <v>7207</v>
      </c>
      <c r="N16" s="767">
        <v>250000000</v>
      </c>
      <c r="O16" s="609">
        <f t="shared" si="10"/>
        <v>250000000</v>
      </c>
      <c r="P16" s="609">
        <f t="shared" si="11"/>
        <v>0</v>
      </c>
      <c r="Q16" s="609">
        <f t="shared" si="12"/>
        <v>250000000</v>
      </c>
      <c r="R16" s="610">
        <f t="shared" si="13"/>
        <v>2.3809523809523808E-2</v>
      </c>
      <c r="S16" s="771">
        <v>-250000000</v>
      </c>
      <c r="T16" s="611"/>
      <c r="U16" s="611"/>
      <c r="V16" s="611"/>
      <c r="W16" s="611"/>
      <c r="X16" s="611"/>
      <c r="Y16" s="611"/>
      <c r="Z16" s="611"/>
      <c r="AA16" s="611"/>
      <c r="AB16" s="611"/>
      <c r="AC16" s="611"/>
      <c r="AD16" s="611"/>
      <c r="AE16" s="611"/>
      <c r="AF16" s="611"/>
      <c r="AG16" s="611"/>
      <c r="AH16" s="611"/>
      <c r="AI16" s="611"/>
      <c r="AJ16" s="611"/>
      <c r="AK16" s="611"/>
      <c r="AL16" s="611"/>
      <c r="AM16" s="611"/>
      <c r="AN16" s="611"/>
      <c r="AO16" s="611"/>
      <c r="AP16" s="611"/>
      <c r="AQ16" s="611"/>
      <c r="AR16" s="611"/>
      <c r="AS16" s="611"/>
      <c r="AT16" s="611"/>
      <c r="AU16" s="611"/>
      <c r="AV16" s="611"/>
      <c r="AW16" s="611"/>
      <c r="AX16" s="611"/>
      <c r="AY16" s="611"/>
      <c r="AZ16" s="611"/>
      <c r="BA16" s="611"/>
      <c r="BB16" s="611"/>
      <c r="BC16" s="611"/>
      <c r="BD16" s="611"/>
      <c r="BE16" s="611"/>
      <c r="BF16" s="611"/>
      <c r="BG16" s="611"/>
      <c r="BH16" s="611"/>
      <c r="BI16" s="611"/>
      <c r="BJ16" s="611"/>
      <c r="BK16" s="611"/>
      <c r="BL16" s="611"/>
      <c r="BM16" s="611"/>
      <c r="BN16" s="611"/>
      <c r="BO16" s="611"/>
      <c r="BP16" s="611"/>
      <c r="BQ16" s="611"/>
      <c r="BR16" s="611"/>
      <c r="BS16" s="611"/>
      <c r="BT16" s="611"/>
      <c r="BU16" s="611"/>
      <c r="BV16" s="611"/>
      <c r="BW16" s="611"/>
      <c r="BX16" s="611"/>
      <c r="BY16" s="611"/>
      <c r="BZ16" s="611"/>
      <c r="CA16" s="611"/>
      <c r="CB16" s="611"/>
      <c r="CC16" s="611"/>
      <c r="CD16" s="611"/>
      <c r="CE16" s="611"/>
      <c r="CF16" s="611"/>
      <c r="CG16" s="611"/>
      <c r="CH16" s="611"/>
      <c r="CI16" s="611"/>
      <c r="CJ16" s="611"/>
      <c r="CK16" s="611"/>
      <c r="CL16" s="611"/>
      <c r="CM16" s="611"/>
      <c r="CN16" s="611"/>
      <c r="CO16" s="611"/>
      <c r="CP16" s="611"/>
      <c r="CQ16" s="611"/>
      <c r="CR16" s="611"/>
      <c r="CS16" s="611"/>
      <c r="CT16" s="611"/>
      <c r="CU16" s="611"/>
      <c r="CV16" s="611"/>
      <c r="CW16" s="611"/>
      <c r="CX16" s="611"/>
      <c r="CY16" s="611"/>
      <c r="CZ16" s="611"/>
      <c r="DA16" s="611"/>
      <c r="DB16" s="611"/>
      <c r="DC16" s="611"/>
      <c r="DD16" s="611"/>
      <c r="DE16" s="611"/>
      <c r="DF16" s="611"/>
      <c r="DG16" s="611"/>
      <c r="DH16" s="611"/>
      <c r="DI16" s="611"/>
      <c r="DJ16" s="611"/>
      <c r="DK16" s="611"/>
      <c r="DL16" s="611"/>
      <c r="DM16" s="611"/>
      <c r="DN16" s="611"/>
      <c r="DO16" s="177">
        <f t="shared" si="14"/>
        <v>305636912.0558548</v>
      </c>
      <c r="DP16" s="612">
        <f t="shared" si="15"/>
        <v>7.0000000000000007E-2</v>
      </c>
      <c r="DQ16" s="612">
        <f t="shared" si="16"/>
        <v>7.0000001788139296E-2</v>
      </c>
      <c r="DR16" s="177">
        <f t="shared" si="3"/>
        <v>250000000</v>
      </c>
      <c r="DS16" s="177" t="str">
        <f t="shared" si="4"/>
        <v>선순위출자자</v>
      </c>
      <c r="DT16" s="177" t="str">
        <f t="shared" si="5"/>
        <v>선순위출자자</v>
      </c>
      <c r="DU16" s="185">
        <f t="shared" si="6"/>
        <v>55636912.055854797</v>
      </c>
      <c r="DV16" s="185">
        <f t="shared" si="17"/>
        <v>0</v>
      </c>
      <c r="DW16" s="185">
        <f t="shared" si="18"/>
        <v>0</v>
      </c>
      <c r="DX16" s="177">
        <f t="shared" si="7"/>
        <v>0</v>
      </c>
      <c r="DY16" s="177">
        <f t="shared" si="19"/>
        <v>248284493.86007807</v>
      </c>
      <c r="DZ16" s="177">
        <f t="shared" si="20"/>
        <v>553921405.91593289</v>
      </c>
      <c r="EA16" s="613">
        <f t="shared" si="21"/>
        <v>2.2156856236637315</v>
      </c>
    </row>
    <row r="17" spans="1:131" s="603" customFormat="1" ht="13.5" customHeight="1">
      <c r="A17" s="172"/>
      <c r="B17" s="600" t="s">
        <v>177</v>
      </c>
      <c r="C17" s="795">
        <f>C15/C16</f>
        <v>10500000000</v>
      </c>
      <c r="D17" s="795"/>
      <c r="E17" s="795"/>
      <c r="F17" s="585"/>
      <c r="G17" s="604">
        <v>10</v>
      </c>
      <c r="H17" s="605" t="str">
        <f t="shared" si="8"/>
        <v>N/A</v>
      </c>
      <c r="I17" s="605">
        <f t="shared" si="9"/>
        <v>553921405.91593289</v>
      </c>
      <c r="J17" s="606">
        <f t="shared" si="2"/>
        <v>2.2156856236637315</v>
      </c>
      <c r="K17" s="768" t="s">
        <v>7200</v>
      </c>
      <c r="L17" s="768" t="s">
        <v>7201</v>
      </c>
      <c r="M17" s="769" t="s">
        <v>7208</v>
      </c>
      <c r="N17" s="767">
        <v>250000000</v>
      </c>
      <c r="O17" s="609">
        <f t="shared" si="10"/>
        <v>250000000</v>
      </c>
      <c r="P17" s="609">
        <f t="shared" si="11"/>
        <v>0</v>
      </c>
      <c r="Q17" s="609">
        <f t="shared" si="12"/>
        <v>250000000</v>
      </c>
      <c r="R17" s="610">
        <f t="shared" si="13"/>
        <v>2.3809523809523808E-2</v>
      </c>
      <c r="S17" s="771">
        <v>-250000000</v>
      </c>
      <c r="T17" s="611"/>
      <c r="U17" s="611"/>
      <c r="V17" s="611"/>
      <c r="W17" s="611"/>
      <c r="X17" s="611"/>
      <c r="Y17" s="611"/>
      <c r="Z17" s="611"/>
      <c r="AA17" s="611"/>
      <c r="AB17" s="611"/>
      <c r="AC17" s="611"/>
      <c r="AD17" s="611"/>
      <c r="AE17" s="611"/>
      <c r="AF17" s="611"/>
      <c r="AG17" s="611"/>
      <c r="AH17" s="611"/>
      <c r="AI17" s="611"/>
      <c r="AJ17" s="611"/>
      <c r="AK17" s="611"/>
      <c r="AL17" s="611"/>
      <c r="AM17" s="611"/>
      <c r="AN17" s="611"/>
      <c r="AO17" s="611"/>
      <c r="AP17" s="611"/>
      <c r="AQ17" s="611"/>
      <c r="AR17" s="611"/>
      <c r="AS17" s="611"/>
      <c r="AT17" s="611"/>
      <c r="AU17" s="611"/>
      <c r="AV17" s="611"/>
      <c r="AW17" s="611"/>
      <c r="AX17" s="611"/>
      <c r="AY17" s="611"/>
      <c r="AZ17" s="611"/>
      <c r="BA17" s="611"/>
      <c r="BB17" s="611"/>
      <c r="BC17" s="611"/>
      <c r="BD17" s="611"/>
      <c r="BE17" s="611"/>
      <c r="BF17" s="611"/>
      <c r="BG17" s="611"/>
      <c r="BH17" s="611"/>
      <c r="BI17" s="611"/>
      <c r="BJ17" s="611"/>
      <c r="BK17" s="611"/>
      <c r="BL17" s="611"/>
      <c r="BM17" s="611"/>
      <c r="BN17" s="611"/>
      <c r="BO17" s="611"/>
      <c r="BP17" s="611"/>
      <c r="BQ17" s="611"/>
      <c r="BR17" s="611"/>
      <c r="BS17" s="611"/>
      <c r="BT17" s="611"/>
      <c r="BU17" s="611"/>
      <c r="BV17" s="611"/>
      <c r="BW17" s="611"/>
      <c r="BX17" s="611"/>
      <c r="BY17" s="611"/>
      <c r="BZ17" s="611"/>
      <c r="CA17" s="611"/>
      <c r="CB17" s="611"/>
      <c r="CC17" s="611"/>
      <c r="CD17" s="611"/>
      <c r="CE17" s="611"/>
      <c r="CF17" s="611"/>
      <c r="CG17" s="611"/>
      <c r="CH17" s="611"/>
      <c r="CI17" s="611"/>
      <c r="CJ17" s="611"/>
      <c r="CK17" s="611"/>
      <c r="CL17" s="611"/>
      <c r="CM17" s="611"/>
      <c r="CN17" s="611"/>
      <c r="CO17" s="611"/>
      <c r="CP17" s="611"/>
      <c r="CQ17" s="611"/>
      <c r="CR17" s="611"/>
      <c r="CS17" s="611"/>
      <c r="CT17" s="611"/>
      <c r="CU17" s="611"/>
      <c r="CV17" s="611"/>
      <c r="CW17" s="611"/>
      <c r="CX17" s="611"/>
      <c r="CY17" s="611"/>
      <c r="CZ17" s="611"/>
      <c r="DA17" s="611"/>
      <c r="DB17" s="611"/>
      <c r="DC17" s="611"/>
      <c r="DD17" s="611"/>
      <c r="DE17" s="611"/>
      <c r="DF17" s="611"/>
      <c r="DG17" s="611"/>
      <c r="DH17" s="611"/>
      <c r="DI17" s="611"/>
      <c r="DJ17" s="611"/>
      <c r="DK17" s="611"/>
      <c r="DL17" s="611"/>
      <c r="DM17" s="611"/>
      <c r="DN17" s="611"/>
      <c r="DO17" s="177">
        <f t="shared" si="14"/>
        <v>305636912.0558548</v>
      </c>
      <c r="DP17" s="612">
        <f t="shared" si="15"/>
        <v>7.0000000000000007E-2</v>
      </c>
      <c r="DQ17" s="612">
        <f t="shared" si="16"/>
        <v>7.0000001788139296E-2</v>
      </c>
      <c r="DR17" s="177">
        <f t="shared" si="3"/>
        <v>250000000</v>
      </c>
      <c r="DS17" s="177" t="str">
        <f t="shared" si="4"/>
        <v>선순위출자자</v>
      </c>
      <c r="DT17" s="177" t="str">
        <f t="shared" si="5"/>
        <v>선순위출자자</v>
      </c>
      <c r="DU17" s="185">
        <f t="shared" si="6"/>
        <v>55636912.055854797</v>
      </c>
      <c r="DV17" s="185">
        <f t="shared" si="17"/>
        <v>0</v>
      </c>
      <c r="DW17" s="185">
        <f t="shared" si="18"/>
        <v>0</v>
      </c>
      <c r="DX17" s="177">
        <f t="shared" si="7"/>
        <v>0</v>
      </c>
      <c r="DY17" s="177">
        <f t="shared" si="19"/>
        <v>248284493.86007807</v>
      </c>
      <c r="DZ17" s="177">
        <f t="shared" si="20"/>
        <v>553921405.91593289</v>
      </c>
      <c r="EA17" s="613">
        <f t="shared" si="21"/>
        <v>2.2156856236637315</v>
      </c>
    </row>
    <row r="18" spans="1:131" s="603" customFormat="1" ht="13.5" customHeight="1">
      <c r="A18" s="172"/>
      <c r="B18" s="600" t="s">
        <v>178</v>
      </c>
      <c r="C18" s="796">
        <v>7.0000000000000007E-2</v>
      </c>
      <c r="D18" s="780"/>
      <c r="E18" s="780"/>
      <c r="F18" s="585"/>
      <c r="G18" s="604">
        <v>11</v>
      </c>
      <c r="H18" s="605" t="str">
        <f t="shared" si="8"/>
        <v>N/A</v>
      </c>
      <c r="I18" s="605">
        <f t="shared" si="9"/>
        <v>553921405.91593289</v>
      </c>
      <c r="J18" s="606">
        <f t="shared" si="2"/>
        <v>2.2156856236637315</v>
      </c>
      <c r="K18" s="768" t="s">
        <v>7200</v>
      </c>
      <c r="L18" s="768" t="s">
        <v>7201</v>
      </c>
      <c r="M18" s="769" t="s">
        <v>7209</v>
      </c>
      <c r="N18" s="767">
        <v>250000000</v>
      </c>
      <c r="O18" s="609">
        <f t="shared" si="10"/>
        <v>250000000</v>
      </c>
      <c r="P18" s="609">
        <f t="shared" si="11"/>
        <v>0</v>
      </c>
      <c r="Q18" s="609">
        <f t="shared" si="12"/>
        <v>250000000</v>
      </c>
      <c r="R18" s="610">
        <f t="shared" si="13"/>
        <v>2.3809523809523808E-2</v>
      </c>
      <c r="S18" s="771">
        <v>-250000000</v>
      </c>
      <c r="T18" s="611"/>
      <c r="U18" s="611"/>
      <c r="V18" s="611"/>
      <c r="W18" s="611"/>
      <c r="X18" s="611"/>
      <c r="Y18" s="611"/>
      <c r="Z18" s="611"/>
      <c r="AA18" s="611"/>
      <c r="AB18" s="611"/>
      <c r="AC18" s="611"/>
      <c r="AD18" s="611"/>
      <c r="AE18" s="611"/>
      <c r="AF18" s="611"/>
      <c r="AG18" s="611"/>
      <c r="AH18" s="611"/>
      <c r="AI18" s="611"/>
      <c r="AJ18" s="611"/>
      <c r="AK18" s="611"/>
      <c r="AL18" s="611"/>
      <c r="AM18" s="611"/>
      <c r="AN18" s="611"/>
      <c r="AO18" s="611"/>
      <c r="AP18" s="611"/>
      <c r="AQ18" s="611"/>
      <c r="AR18" s="611"/>
      <c r="AS18" s="611"/>
      <c r="AT18" s="611"/>
      <c r="AU18" s="611"/>
      <c r="AV18" s="611"/>
      <c r="AW18" s="611"/>
      <c r="AX18" s="611"/>
      <c r="AY18" s="611"/>
      <c r="AZ18" s="611"/>
      <c r="BA18" s="611"/>
      <c r="BB18" s="611"/>
      <c r="BC18" s="611"/>
      <c r="BD18" s="611"/>
      <c r="BE18" s="611"/>
      <c r="BF18" s="611"/>
      <c r="BG18" s="611"/>
      <c r="BH18" s="611"/>
      <c r="BI18" s="611"/>
      <c r="BJ18" s="611"/>
      <c r="BK18" s="611"/>
      <c r="BL18" s="611"/>
      <c r="BM18" s="611"/>
      <c r="BN18" s="611"/>
      <c r="BO18" s="611"/>
      <c r="BP18" s="611"/>
      <c r="BQ18" s="611"/>
      <c r="BR18" s="611"/>
      <c r="BS18" s="611"/>
      <c r="BT18" s="611"/>
      <c r="BU18" s="611"/>
      <c r="BV18" s="611"/>
      <c r="BW18" s="611"/>
      <c r="BX18" s="611"/>
      <c r="BY18" s="611"/>
      <c r="BZ18" s="611"/>
      <c r="CA18" s="611"/>
      <c r="CB18" s="611"/>
      <c r="CC18" s="611"/>
      <c r="CD18" s="611"/>
      <c r="CE18" s="611"/>
      <c r="CF18" s="611"/>
      <c r="CG18" s="611"/>
      <c r="CH18" s="611"/>
      <c r="CI18" s="611"/>
      <c r="CJ18" s="611"/>
      <c r="CK18" s="611"/>
      <c r="CL18" s="611"/>
      <c r="CM18" s="611"/>
      <c r="CN18" s="611"/>
      <c r="CO18" s="611"/>
      <c r="CP18" s="611"/>
      <c r="CQ18" s="611"/>
      <c r="CR18" s="611"/>
      <c r="CS18" s="611"/>
      <c r="CT18" s="611"/>
      <c r="CU18" s="611"/>
      <c r="CV18" s="611"/>
      <c r="CW18" s="611"/>
      <c r="CX18" s="611"/>
      <c r="CY18" s="611"/>
      <c r="CZ18" s="611"/>
      <c r="DA18" s="611"/>
      <c r="DB18" s="611"/>
      <c r="DC18" s="611"/>
      <c r="DD18" s="611"/>
      <c r="DE18" s="611"/>
      <c r="DF18" s="611"/>
      <c r="DG18" s="611"/>
      <c r="DH18" s="611"/>
      <c r="DI18" s="611"/>
      <c r="DJ18" s="611"/>
      <c r="DK18" s="611"/>
      <c r="DL18" s="611"/>
      <c r="DM18" s="611"/>
      <c r="DN18" s="611"/>
      <c r="DO18" s="177">
        <f t="shared" si="14"/>
        <v>305636912.0558548</v>
      </c>
      <c r="DP18" s="612">
        <f t="shared" si="15"/>
        <v>7.0000000000000007E-2</v>
      </c>
      <c r="DQ18" s="612">
        <f t="shared" si="16"/>
        <v>7.0000001788139296E-2</v>
      </c>
      <c r="DR18" s="177">
        <f t="shared" si="3"/>
        <v>250000000</v>
      </c>
      <c r="DS18" s="177" t="str">
        <f t="shared" si="4"/>
        <v>선순위출자자</v>
      </c>
      <c r="DT18" s="177" t="str">
        <f t="shared" si="5"/>
        <v>선순위출자자</v>
      </c>
      <c r="DU18" s="185">
        <f t="shared" si="6"/>
        <v>55636912.055854797</v>
      </c>
      <c r="DV18" s="185">
        <f t="shared" si="17"/>
        <v>0</v>
      </c>
      <c r="DW18" s="185">
        <f t="shared" si="18"/>
        <v>0</v>
      </c>
      <c r="DX18" s="177">
        <f t="shared" si="7"/>
        <v>0</v>
      </c>
      <c r="DY18" s="177">
        <f t="shared" si="19"/>
        <v>248284493.86007807</v>
      </c>
      <c r="DZ18" s="177">
        <f t="shared" si="20"/>
        <v>553921405.91593289</v>
      </c>
      <c r="EA18" s="613">
        <f t="shared" si="21"/>
        <v>2.2156856236637315</v>
      </c>
    </row>
    <row r="19" spans="1:131" s="603" customFormat="1" ht="13.5" customHeight="1">
      <c r="A19" s="172"/>
      <c r="B19" s="600" t="s">
        <v>179</v>
      </c>
      <c r="C19" s="786" t="s">
        <v>53</v>
      </c>
      <c r="D19" s="786"/>
      <c r="E19" s="786"/>
      <c r="F19" s="585"/>
      <c r="G19" s="604">
        <v>12</v>
      </c>
      <c r="H19" s="605" t="str">
        <f t="shared" si="8"/>
        <v>N/A</v>
      </c>
      <c r="I19" s="605">
        <f t="shared" si="9"/>
        <v>0</v>
      </c>
      <c r="J19" s="606">
        <f t="shared" si="2"/>
        <v>0</v>
      </c>
      <c r="K19" s="607"/>
      <c r="L19" s="607"/>
      <c r="M19" s="300"/>
      <c r="N19" s="608"/>
      <c r="O19" s="609">
        <f t="shared" si="10"/>
        <v>0</v>
      </c>
      <c r="P19" s="609">
        <f t="shared" si="11"/>
        <v>0</v>
      </c>
      <c r="Q19" s="609">
        <f t="shared" si="12"/>
        <v>0</v>
      </c>
      <c r="R19" s="610">
        <f t="shared" si="13"/>
        <v>0</v>
      </c>
      <c r="S19" s="611"/>
      <c r="T19" s="611"/>
      <c r="U19" s="611"/>
      <c r="V19" s="611"/>
      <c r="W19" s="611"/>
      <c r="X19" s="611"/>
      <c r="Y19" s="611"/>
      <c r="Z19" s="611"/>
      <c r="AA19" s="611"/>
      <c r="AB19" s="611"/>
      <c r="AC19" s="611"/>
      <c r="AD19" s="611"/>
      <c r="AE19" s="611"/>
      <c r="AF19" s="611"/>
      <c r="AG19" s="611"/>
      <c r="AH19" s="611"/>
      <c r="AI19" s="611"/>
      <c r="AJ19" s="611"/>
      <c r="AK19" s="611"/>
      <c r="AL19" s="611"/>
      <c r="AM19" s="611"/>
      <c r="AN19" s="611"/>
      <c r="AO19" s="611"/>
      <c r="AP19" s="611"/>
      <c r="AQ19" s="611"/>
      <c r="AR19" s="611"/>
      <c r="AS19" s="611"/>
      <c r="AT19" s="611"/>
      <c r="AU19" s="611"/>
      <c r="AV19" s="611"/>
      <c r="AW19" s="611"/>
      <c r="AX19" s="611"/>
      <c r="AY19" s="611"/>
      <c r="AZ19" s="611"/>
      <c r="BA19" s="611"/>
      <c r="BB19" s="611"/>
      <c r="BC19" s="611"/>
      <c r="BD19" s="611"/>
      <c r="BE19" s="611"/>
      <c r="BF19" s="611"/>
      <c r="BG19" s="611"/>
      <c r="BH19" s="611"/>
      <c r="BI19" s="611"/>
      <c r="BJ19" s="611"/>
      <c r="BK19" s="611"/>
      <c r="BL19" s="611"/>
      <c r="BM19" s="611"/>
      <c r="BN19" s="611"/>
      <c r="BO19" s="611"/>
      <c r="BP19" s="611"/>
      <c r="BQ19" s="611"/>
      <c r="BR19" s="611"/>
      <c r="BS19" s="611"/>
      <c r="BT19" s="611"/>
      <c r="BU19" s="611"/>
      <c r="BV19" s="611"/>
      <c r="BW19" s="611"/>
      <c r="BX19" s="611"/>
      <c r="BY19" s="611"/>
      <c r="BZ19" s="611"/>
      <c r="CA19" s="611"/>
      <c r="CB19" s="611"/>
      <c r="CC19" s="611"/>
      <c r="CD19" s="611"/>
      <c r="CE19" s="611"/>
      <c r="CF19" s="611"/>
      <c r="CG19" s="611"/>
      <c r="CH19" s="611"/>
      <c r="CI19" s="611"/>
      <c r="CJ19" s="611"/>
      <c r="CK19" s="611"/>
      <c r="CL19" s="611"/>
      <c r="CM19" s="611"/>
      <c r="CN19" s="611"/>
      <c r="CO19" s="611"/>
      <c r="CP19" s="611"/>
      <c r="CQ19" s="611"/>
      <c r="CR19" s="611"/>
      <c r="CS19" s="611"/>
      <c r="CT19" s="611"/>
      <c r="CU19" s="611"/>
      <c r="CV19" s="611"/>
      <c r="CW19" s="611"/>
      <c r="CX19" s="611"/>
      <c r="CY19" s="611"/>
      <c r="CZ19" s="611"/>
      <c r="DA19" s="611"/>
      <c r="DB19" s="611"/>
      <c r="DC19" s="611"/>
      <c r="DD19" s="611"/>
      <c r="DE19" s="611"/>
      <c r="DF19" s="611"/>
      <c r="DG19" s="611"/>
      <c r="DH19" s="611"/>
      <c r="DI19" s="611"/>
      <c r="DJ19" s="611"/>
      <c r="DK19" s="611"/>
      <c r="DL19" s="611"/>
      <c r="DM19" s="611"/>
      <c r="DN19" s="611"/>
      <c r="DO19" s="177">
        <f t="shared" si="14"/>
        <v>0</v>
      </c>
      <c r="DP19" s="612" t="str">
        <f t="shared" si="15"/>
        <v>-</v>
      </c>
      <c r="DQ19" s="612" t="str">
        <f t="shared" si="16"/>
        <v>-</v>
      </c>
      <c r="DR19" s="177">
        <f t="shared" si="3"/>
        <v>0</v>
      </c>
      <c r="DS19" s="177">
        <f t="shared" si="4"/>
        <v>0</v>
      </c>
      <c r="DT19" s="177">
        <f t="shared" si="5"/>
        <v>0</v>
      </c>
      <c r="DU19" s="185">
        <f t="shared" si="6"/>
        <v>0</v>
      </c>
      <c r="DV19" s="185">
        <f t="shared" si="17"/>
        <v>0</v>
      </c>
      <c r="DW19" s="185">
        <f t="shared" si="18"/>
        <v>0</v>
      </c>
      <c r="DX19" s="177">
        <f t="shared" si="7"/>
        <v>0</v>
      </c>
      <c r="DY19" s="177">
        <f t="shared" si="19"/>
        <v>0</v>
      </c>
      <c r="DZ19" s="177">
        <f t="shared" si="20"/>
        <v>0</v>
      </c>
      <c r="EA19" s="613">
        <f t="shared" si="21"/>
        <v>0</v>
      </c>
    </row>
    <row r="20" spans="1:131" s="603" customFormat="1" ht="13.5" customHeight="1">
      <c r="A20" s="172"/>
      <c r="B20" s="600" t="s">
        <v>3455</v>
      </c>
      <c r="C20" s="797" t="str">
        <f>IF(OR(COUNTIF(L8:L56,"중순위출자자"),COUNTIF(L8:L56,"후순위출자자"))=TRUE,"YES","NO")</f>
        <v>YES</v>
      </c>
      <c r="D20" s="797"/>
      <c r="E20" s="797"/>
      <c r="F20" s="585"/>
      <c r="G20" s="604">
        <v>13</v>
      </c>
      <c r="H20" s="605" t="str">
        <f t="shared" si="8"/>
        <v>N/A</v>
      </c>
      <c r="I20" s="605">
        <f t="shared" si="9"/>
        <v>0</v>
      </c>
      <c r="J20" s="606">
        <f t="shared" si="2"/>
        <v>0</v>
      </c>
      <c r="K20" s="607"/>
      <c r="L20" s="607"/>
      <c r="M20" s="300"/>
      <c r="N20" s="608"/>
      <c r="O20" s="609">
        <f t="shared" si="10"/>
        <v>0</v>
      </c>
      <c r="P20" s="609">
        <f t="shared" si="11"/>
        <v>0</v>
      </c>
      <c r="Q20" s="609">
        <f t="shared" si="12"/>
        <v>0</v>
      </c>
      <c r="R20" s="610">
        <f t="shared" si="13"/>
        <v>0</v>
      </c>
      <c r="S20" s="611"/>
      <c r="T20" s="611"/>
      <c r="U20" s="611"/>
      <c r="V20" s="611"/>
      <c r="W20" s="611"/>
      <c r="X20" s="611"/>
      <c r="Y20" s="611"/>
      <c r="Z20" s="611"/>
      <c r="AA20" s="611"/>
      <c r="AB20" s="611"/>
      <c r="AC20" s="611"/>
      <c r="AD20" s="611"/>
      <c r="AE20" s="611"/>
      <c r="AF20" s="611"/>
      <c r="AG20" s="611"/>
      <c r="AH20" s="611"/>
      <c r="AI20" s="611"/>
      <c r="AJ20" s="611"/>
      <c r="AK20" s="611"/>
      <c r="AL20" s="611"/>
      <c r="AM20" s="611"/>
      <c r="AN20" s="611"/>
      <c r="AO20" s="611"/>
      <c r="AP20" s="611"/>
      <c r="AQ20" s="611"/>
      <c r="AR20" s="611"/>
      <c r="AS20" s="611"/>
      <c r="AT20" s="611"/>
      <c r="AU20" s="611"/>
      <c r="AV20" s="611"/>
      <c r="AW20" s="611"/>
      <c r="AX20" s="611"/>
      <c r="AY20" s="611"/>
      <c r="AZ20" s="611"/>
      <c r="BA20" s="611"/>
      <c r="BB20" s="611"/>
      <c r="BC20" s="611"/>
      <c r="BD20" s="611"/>
      <c r="BE20" s="611"/>
      <c r="BF20" s="611"/>
      <c r="BG20" s="611"/>
      <c r="BH20" s="611"/>
      <c r="BI20" s="611"/>
      <c r="BJ20" s="611"/>
      <c r="BK20" s="611"/>
      <c r="BL20" s="611"/>
      <c r="BM20" s="611"/>
      <c r="BN20" s="611"/>
      <c r="BO20" s="611"/>
      <c r="BP20" s="611"/>
      <c r="BQ20" s="611"/>
      <c r="BR20" s="611"/>
      <c r="BS20" s="611"/>
      <c r="BT20" s="611"/>
      <c r="BU20" s="611"/>
      <c r="BV20" s="611"/>
      <c r="BW20" s="611"/>
      <c r="BX20" s="611"/>
      <c r="BY20" s="611"/>
      <c r="BZ20" s="611"/>
      <c r="CA20" s="611"/>
      <c r="CB20" s="611"/>
      <c r="CC20" s="611"/>
      <c r="CD20" s="611"/>
      <c r="CE20" s="611"/>
      <c r="CF20" s="611"/>
      <c r="CG20" s="611"/>
      <c r="CH20" s="611"/>
      <c r="CI20" s="611"/>
      <c r="CJ20" s="611"/>
      <c r="CK20" s="611"/>
      <c r="CL20" s="611"/>
      <c r="CM20" s="611"/>
      <c r="CN20" s="611"/>
      <c r="CO20" s="611"/>
      <c r="CP20" s="611"/>
      <c r="CQ20" s="611"/>
      <c r="CR20" s="611"/>
      <c r="CS20" s="611"/>
      <c r="CT20" s="611"/>
      <c r="CU20" s="611"/>
      <c r="CV20" s="611"/>
      <c r="CW20" s="611"/>
      <c r="CX20" s="611"/>
      <c r="CY20" s="611"/>
      <c r="CZ20" s="611"/>
      <c r="DA20" s="611"/>
      <c r="DB20" s="611"/>
      <c r="DC20" s="611"/>
      <c r="DD20" s="611"/>
      <c r="DE20" s="611"/>
      <c r="DF20" s="611"/>
      <c r="DG20" s="611"/>
      <c r="DH20" s="611"/>
      <c r="DI20" s="611"/>
      <c r="DJ20" s="611"/>
      <c r="DK20" s="611"/>
      <c r="DL20" s="611"/>
      <c r="DM20" s="611"/>
      <c r="DN20" s="611"/>
      <c r="DO20" s="177">
        <f t="shared" si="14"/>
        <v>0</v>
      </c>
      <c r="DP20" s="612" t="str">
        <f t="shared" si="15"/>
        <v>-</v>
      </c>
      <c r="DQ20" s="612" t="str">
        <f t="shared" si="16"/>
        <v>-</v>
      </c>
      <c r="DR20" s="177">
        <f t="shared" si="3"/>
        <v>0</v>
      </c>
      <c r="DS20" s="177">
        <f t="shared" si="4"/>
        <v>0</v>
      </c>
      <c r="DT20" s="177">
        <f t="shared" si="5"/>
        <v>0</v>
      </c>
      <c r="DU20" s="185">
        <f t="shared" si="6"/>
        <v>0</v>
      </c>
      <c r="DV20" s="185">
        <f t="shared" si="17"/>
        <v>0</v>
      </c>
      <c r="DW20" s="185">
        <f t="shared" si="18"/>
        <v>0</v>
      </c>
      <c r="DX20" s="177">
        <f t="shared" si="7"/>
        <v>0</v>
      </c>
      <c r="DY20" s="177">
        <f t="shared" si="19"/>
        <v>0</v>
      </c>
      <c r="DZ20" s="177">
        <f t="shared" si="20"/>
        <v>0</v>
      </c>
      <c r="EA20" s="613">
        <f t="shared" si="21"/>
        <v>0</v>
      </c>
    </row>
    <row r="21" spans="1:131" s="603" customFormat="1" ht="13.5" customHeight="1">
      <c r="A21" s="172"/>
      <c r="B21" s="600" t="s">
        <v>3456</v>
      </c>
      <c r="C21" s="797" t="str">
        <f>IF(DX6&gt;0,"YES","NO")</f>
        <v>YES</v>
      </c>
      <c r="D21" s="797"/>
      <c r="E21" s="797"/>
      <c r="F21" s="585"/>
      <c r="G21" s="604">
        <v>14</v>
      </c>
      <c r="H21" s="605" t="str">
        <f t="shared" si="8"/>
        <v>N/A</v>
      </c>
      <c r="I21" s="605">
        <f t="shared" si="9"/>
        <v>0</v>
      </c>
      <c r="J21" s="606">
        <f t="shared" si="2"/>
        <v>0</v>
      </c>
      <c r="K21" s="607"/>
      <c r="L21" s="607"/>
      <c r="M21" s="300"/>
      <c r="N21" s="608"/>
      <c r="O21" s="609">
        <f t="shared" si="10"/>
        <v>0</v>
      </c>
      <c r="P21" s="609">
        <f t="shared" si="11"/>
        <v>0</v>
      </c>
      <c r="Q21" s="609">
        <f t="shared" si="12"/>
        <v>0</v>
      </c>
      <c r="R21" s="610">
        <f t="shared" si="13"/>
        <v>0</v>
      </c>
      <c r="S21" s="611"/>
      <c r="T21" s="611"/>
      <c r="U21" s="611"/>
      <c r="V21" s="611"/>
      <c r="W21" s="611"/>
      <c r="X21" s="611"/>
      <c r="Y21" s="611"/>
      <c r="Z21" s="611"/>
      <c r="AA21" s="611"/>
      <c r="AB21" s="611"/>
      <c r="AC21" s="611"/>
      <c r="AD21" s="611"/>
      <c r="AE21" s="611"/>
      <c r="AF21" s="611"/>
      <c r="AG21" s="611"/>
      <c r="AH21" s="611"/>
      <c r="AI21" s="611"/>
      <c r="AJ21" s="611"/>
      <c r="AK21" s="611"/>
      <c r="AL21" s="611"/>
      <c r="AM21" s="611"/>
      <c r="AN21" s="611"/>
      <c r="AO21" s="611"/>
      <c r="AP21" s="611"/>
      <c r="AQ21" s="611"/>
      <c r="AR21" s="611"/>
      <c r="AS21" s="611"/>
      <c r="AT21" s="611"/>
      <c r="AU21" s="611"/>
      <c r="AV21" s="611"/>
      <c r="AW21" s="611"/>
      <c r="AX21" s="611"/>
      <c r="AY21" s="611"/>
      <c r="AZ21" s="611"/>
      <c r="BA21" s="611"/>
      <c r="BB21" s="611"/>
      <c r="BC21" s="611"/>
      <c r="BD21" s="611"/>
      <c r="BE21" s="611"/>
      <c r="BF21" s="611"/>
      <c r="BG21" s="611"/>
      <c r="BH21" s="611"/>
      <c r="BI21" s="611"/>
      <c r="BJ21" s="611"/>
      <c r="BK21" s="611"/>
      <c r="BL21" s="611"/>
      <c r="BM21" s="611"/>
      <c r="BN21" s="611"/>
      <c r="BO21" s="611"/>
      <c r="BP21" s="611"/>
      <c r="BQ21" s="611"/>
      <c r="BR21" s="611"/>
      <c r="BS21" s="611"/>
      <c r="BT21" s="611"/>
      <c r="BU21" s="611"/>
      <c r="BV21" s="611"/>
      <c r="BW21" s="611"/>
      <c r="BX21" s="611"/>
      <c r="BY21" s="611"/>
      <c r="BZ21" s="611"/>
      <c r="CA21" s="611"/>
      <c r="CB21" s="611"/>
      <c r="CC21" s="611"/>
      <c r="CD21" s="611"/>
      <c r="CE21" s="611"/>
      <c r="CF21" s="611"/>
      <c r="CG21" s="611"/>
      <c r="CH21" s="611"/>
      <c r="CI21" s="611"/>
      <c r="CJ21" s="611"/>
      <c r="CK21" s="611"/>
      <c r="CL21" s="611"/>
      <c r="CM21" s="611"/>
      <c r="CN21" s="611"/>
      <c r="CO21" s="611"/>
      <c r="CP21" s="611"/>
      <c r="CQ21" s="611"/>
      <c r="CR21" s="611"/>
      <c r="CS21" s="611"/>
      <c r="CT21" s="611"/>
      <c r="CU21" s="611"/>
      <c r="CV21" s="611"/>
      <c r="CW21" s="611"/>
      <c r="CX21" s="611"/>
      <c r="CY21" s="611"/>
      <c r="CZ21" s="611"/>
      <c r="DA21" s="611"/>
      <c r="DB21" s="611"/>
      <c r="DC21" s="611"/>
      <c r="DD21" s="611"/>
      <c r="DE21" s="611"/>
      <c r="DF21" s="611"/>
      <c r="DG21" s="611"/>
      <c r="DH21" s="611"/>
      <c r="DI21" s="611"/>
      <c r="DJ21" s="611"/>
      <c r="DK21" s="611"/>
      <c r="DL21" s="611"/>
      <c r="DM21" s="611"/>
      <c r="DN21" s="611"/>
      <c r="DO21" s="177">
        <f t="shared" si="14"/>
        <v>0</v>
      </c>
      <c r="DP21" s="612" t="str">
        <f t="shared" si="15"/>
        <v>-</v>
      </c>
      <c r="DQ21" s="612" t="str">
        <f t="shared" si="16"/>
        <v>-</v>
      </c>
      <c r="DR21" s="177">
        <f t="shared" si="3"/>
        <v>0</v>
      </c>
      <c r="DS21" s="177">
        <f t="shared" si="4"/>
        <v>0</v>
      </c>
      <c r="DT21" s="177">
        <f t="shared" si="5"/>
        <v>0</v>
      </c>
      <c r="DU21" s="185">
        <f t="shared" si="6"/>
        <v>0</v>
      </c>
      <c r="DV21" s="185">
        <f t="shared" si="17"/>
        <v>0</v>
      </c>
      <c r="DW21" s="185">
        <f t="shared" si="18"/>
        <v>0</v>
      </c>
      <c r="DX21" s="177">
        <f t="shared" si="7"/>
        <v>0</v>
      </c>
      <c r="DY21" s="177">
        <f t="shared" si="19"/>
        <v>0</v>
      </c>
      <c r="DZ21" s="177">
        <f t="shared" si="20"/>
        <v>0</v>
      </c>
      <c r="EA21" s="613">
        <f t="shared" si="21"/>
        <v>0</v>
      </c>
    </row>
    <row r="22" spans="1:131" s="603" customFormat="1" ht="14.25" thickBot="1">
      <c r="A22" s="172"/>
      <c r="B22" s="614" t="s">
        <v>200</v>
      </c>
      <c r="C22" s="798" t="s">
        <v>3471</v>
      </c>
      <c r="D22" s="798"/>
      <c r="E22" s="798"/>
      <c r="F22" s="585"/>
      <c r="G22" s="604">
        <v>15</v>
      </c>
      <c r="H22" s="605" t="str">
        <f t="shared" si="8"/>
        <v>N/A</v>
      </c>
      <c r="I22" s="605">
        <f t="shared" si="9"/>
        <v>0</v>
      </c>
      <c r="J22" s="606">
        <f t="shared" si="2"/>
        <v>0</v>
      </c>
      <c r="K22" s="607"/>
      <c r="L22" s="607"/>
      <c r="M22" s="300"/>
      <c r="N22" s="608"/>
      <c r="O22" s="609">
        <f t="shared" si="10"/>
        <v>0</v>
      </c>
      <c r="P22" s="609">
        <f t="shared" si="11"/>
        <v>0</v>
      </c>
      <c r="Q22" s="609">
        <f t="shared" si="12"/>
        <v>0</v>
      </c>
      <c r="R22" s="610">
        <f t="shared" si="13"/>
        <v>0</v>
      </c>
      <c r="S22" s="611"/>
      <c r="T22" s="611"/>
      <c r="U22" s="611"/>
      <c r="V22" s="611"/>
      <c r="W22" s="611"/>
      <c r="X22" s="611"/>
      <c r="Y22" s="611"/>
      <c r="Z22" s="611"/>
      <c r="AA22" s="611"/>
      <c r="AB22" s="611"/>
      <c r="AC22" s="611"/>
      <c r="AD22" s="611"/>
      <c r="AE22" s="611"/>
      <c r="AF22" s="611"/>
      <c r="AG22" s="611"/>
      <c r="AH22" s="611"/>
      <c r="AI22" s="611"/>
      <c r="AJ22" s="611"/>
      <c r="AK22" s="611"/>
      <c r="AL22" s="611"/>
      <c r="AM22" s="611"/>
      <c r="AN22" s="611"/>
      <c r="AO22" s="611"/>
      <c r="AP22" s="611"/>
      <c r="AQ22" s="611"/>
      <c r="AR22" s="611"/>
      <c r="AS22" s="611"/>
      <c r="AT22" s="611"/>
      <c r="AU22" s="611"/>
      <c r="AV22" s="611"/>
      <c r="AW22" s="611"/>
      <c r="AX22" s="611"/>
      <c r="AY22" s="611"/>
      <c r="AZ22" s="611"/>
      <c r="BA22" s="611"/>
      <c r="BB22" s="611"/>
      <c r="BC22" s="611"/>
      <c r="BD22" s="611"/>
      <c r="BE22" s="611"/>
      <c r="BF22" s="611"/>
      <c r="BG22" s="611"/>
      <c r="BH22" s="611"/>
      <c r="BI22" s="611"/>
      <c r="BJ22" s="611"/>
      <c r="BK22" s="611"/>
      <c r="BL22" s="611"/>
      <c r="BM22" s="611"/>
      <c r="BN22" s="611"/>
      <c r="BO22" s="611"/>
      <c r="BP22" s="611"/>
      <c r="BQ22" s="611"/>
      <c r="BR22" s="611"/>
      <c r="BS22" s="611"/>
      <c r="BT22" s="611"/>
      <c r="BU22" s="611"/>
      <c r="BV22" s="611"/>
      <c r="BW22" s="611"/>
      <c r="BX22" s="611"/>
      <c r="BY22" s="611"/>
      <c r="BZ22" s="611"/>
      <c r="CA22" s="611"/>
      <c r="CB22" s="611"/>
      <c r="CC22" s="611"/>
      <c r="CD22" s="611"/>
      <c r="CE22" s="611"/>
      <c r="CF22" s="611"/>
      <c r="CG22" s="611"/>
      <c r="CH22" s="611"/>
      <c r="CI22" s="611"/>
      <c r="CJ22" s="611"/>
      <c r="CK22" s="611"/>
      <c r="CL22" s="611"/>
      <c r="CM22" s="611"/>
      <c r="CN22" s="611"/>
      <c r="CO22" s="611"/>
      <c r="CP22" s="611"/>
      <c r="CQ22" s="611"/>
      <c r="CR22" s="611"/>
      <c r="CS22" s="611"/>
      <c r="CT22" s="611"/>
      <c r="CU22" s="611"/>
      <c r="CV22" s="611"/>
      <c r="CW22" s="611"/>
      <c r="CX22" s="611"/>
      <c r="CY22" s="611"/>
      <c r="CZ22" s="611"/>
      <c r="DA22" s="611"/>
      <c r="DB22" s="611"/>
      <c r="DC22" s="611"/>
      <c r="DD22" s="611"/>
      <c r="DE22" s="611"/>
      <c r="DF22" s="611"/>
      <c r="DG22" s="611"/>
      <c r="DH22" s="611"/>
      <c r="DI22" s="611"/>
      <c r="DJ22" s="611"/>
      <c r="DK22" s="611"/>
      <c r="DL22" s="611"/>
      <c r="DM22" s="611"/>
      <c r="DN22" s="611"/>
      <c r="DO22" s="177">
        <f t="shared" si="14"/>
        <v>0</v>
      </c>
      <c r="DP22" s="612" t="str">
        <f t="shared" si="15"/>
        <v>-</v>
      </c>
      <c r="DQ22" s="612" t="str">
        <f t="shared" si="16"/>
        <v>-</v>
      </c>
      <c r="DR22" s="177">
        <f t="shared" si="3"/>
        <v>0</v>
      </c>
      <c r="DS22" s="177">
        <f t="shared" si="4"/>
        <v>0</v>
      </c>
      <c r="DT22" s="177">
        <f t="shared" si="5"/>
        <v>0</v>
      </c>
      <c r="DU22" s="185">
        <f t="shared" si="6"/>
        <v>0</v>
      </c>
      <c r="DV22" s="185">
        <f t="shared" si="17"/>
        <v>0</v>
      </c>
      <c r="DW22" s="185">
        <f t="shared" si="18"/>
        <v>0</v>
      </c>
      <c r="DX22" s="177">
        <f t="shared" si="7"/>
        <v>0</v>
      </c>
      <c r="DY22" s="177">
        <f t="shared" si="19"/>
        <v>0</v>
      </c>
      <c r="DZ22" s="177">
        <f t="shared" si="20"/>
        <v>0</v>
      </c>
      <c r="EA22" s="613">
        <f t="shared" si="21"/>
        <v>0</v>
      </c>
    </row>
    <row r="23" spans="1:131" s="603" customFormat="1" ht="13.5">
      <c r="A23" s="172"/>
      <c r="B23" s="778" t="s">
        <v>798</v>
      </c>
      <c r="C23" s="616" t="s">
        <v>226</v>
      </c>
      <c r="D23" s="616" t="s">
        <v>227</v>
      </c>
      <c r="E23" s="616" t="s">
        <v>228</v>
      </c>
      <c r="F23" s="585"/>
      <c r="G23" s="604">
        <v>16</v>
      </c>
      <c r="H23" s="605" t="str">
        <f t="shared" si="8"/>
        <v>N/A</v>
      </c>
      <c r="I23" s="605">
        <f t="shared" si="9"/>
        <v>0</v>
      </c>
      <c r="J23" s="606">
        <f t="shared" si="2"/>
        <v>0</v>
      </c>
      <c r="K23" s="607"/>
      <c r="L23" s="607"/>
      <c r="M23" s="300"/>
      <c r="N23" s="608"/>
      <c r="O23" s="609">
        <f t="shared" si="10"/>
        <v>0</v>
      </c>
      <c r="P23" s="609">
        <f t="shared" si="11"/>
        <v>0</v>
      </c>
      <c r="Q23" s="609">
        <f t="shared" si="12"/>
        <v>0</v>
      </c>
      <c r="R23" s="610">
        <f t="shared" si="13"/>
        <v>0</v>
      </c>
      <c r="S23" s="611"/>
      <c r="T23" s="611"/>
      <c r="U23" s="611"/>
      <c r="V23" s="611"/>
      <c r="W23" s="611"/>
      <c r="X23" s="611"/>
      <c r="Y23" s="611"/>
      <c r="Z23" s="611"/>
      <c r="AA23" s="611"/>
      <c r="AB23" s="611"/>
      <c r="AC23" s="611"/>
      <c r="AD23" s="611"/>
      <c r="AE23" s="611"/>
      <c r="AF23" s="611"/>
      <c r="AG23" s="611"/>
      <c r="AH23" s="611"/>
      <c r="AI23" s="611"/>
      <c r="AJ23" s="611"/>
      <c r="AK23" s="611"/>
      <c r="AL23" s="611"/>
      <c r="AM23" s="611"/>
      <c r="AN23" s="611"/>
      <c r="AO23" s="611"/>
      <c r="AP23" s="611"/>
      <c r="AQ23" s="611"/>
      <c r="AR23" s="611"/>
      <c r="AS23" s="611"/>
      <c r="AT23" s="611"/>
      <c r="AU23" s="611"/>
      <c r="AV23" s="611"/>
      <c r="AW23" s="611"/>
      <c r="AX23" s="611"/>
      <c r="AY23" s="611"/>
      <c r="AZ23" s="611"/>
      <c r="BA23" s="611"/>
      <c r="BB23" s="611"/>
      <c r="BC23" s="611"/>
      <c r="BD23" s="611"/>
      <c r="BE23" s="611"/>
      <c r="BF23" s="611"/>
      <c r="BG23" s="611"/>
      <c r="BH23" s="611"/>
      <c r="BI23" s="611"/>
      <c r="BJ23" s="611"/>
      <c r="BK23" s="611"/>
      <c r="BL23" s="611"/>
      <c r="BM23" s="611"/>
      <c r="BN23" s="611"/>
      <c r="BO23" s="611"/>
      <c r="BP23" s="611"/>
      <c r="BQ23" s="611"/>
      <c r="BR23" s="611"/>
      <c r="BS23" s="611"/>
      <c r="BT23" s="611"/>
      <c r="BU23" s="611"/>
      <c r="BV23" s="611"/>
      <c r="BW23" s="611"/>
      <c r="BX23" s="611"/>
      <c r="BY23" s="611"/>
      <c r="BZ23" s="611"/>
      <c r="CA23" s="611"/>
      <c r="CB23" s="611"/>
      <c r="CC23" s="611"/>
      <c r="CD23" s="611"/>
      <c r="CE23" s="611"/>
      <c r="CF23" s="611"/>
      <c r="CG23" s="611"/>
      <c r="CH23" s="611"/>
      <c r="CI23" s="611"/>
      <c r="CJ23" s="611"/>
      <c r="CK23" s="611"/>
      <c r="CL23" s="611"/>
      <c r="CM23" s="611"/>
      <c r="CN23" s="611"/>
      <c r="CO23" s="611"/>
      <c r="CP23" s="611"/>
      <c r="CQ23" s="611"/>
      <c r="CR23" s="611"/>
      <c r="CS23" s="611"/>
      <c r="CT23" s="611"/>
      <c r="CU23" s="611"/>
      <c r="CV23" s="611"/>
      <c r="CW23" s="611"/>
      <c r="CX23" s="611"/>
      <c r="CY23" s="611"/>
      <c r="CZ23" s="611"/>
      <c r="DA23" s="611"/>
      <c r="DB23" s="611"/>
      <c r="DC23" s="611"/>
      <c r="DD23" s="611"/>
      <c r="DE23" s="611"/>
      <c r="DF23" s="611"/>
      <c r="DG23" s="611"/>
      <c r="DH23" s="611"/>
      <c r="DI23" s="611"/>
      <c r="DJ23" s="611"/>
      <c r="DK23" s="611"/>
      <c r="DL23" s="611"/>
      <c r="DM23" s="611"/>
      <c r="DN23" s="611"/>
      <c r="DO23" s="177">
        <f t="shared" si="14"/>
        <v>0</v>
      </c>
      <c r="DP23" s="612" t="str">
        <f t="shared" si="15"/>
        <v>-</v>
      </c>
      <c r="DQ23" s="612" t="str">
        <f t="shared" si="16"/>
        <v>-</v>
      </c>
      <c r="DR23" s="177">
        <f t="shared" si="3"/>
        <v>0</v>
      </c>
      <c r="DS23" s="177">
        <f t="shared" si="4"/>
        <v>0</v>
      </c>
      <c r="DT23" s="177">
        <f t="shared" si="5"/>
        <v>0</v>
      </c>
      <c r="DU23" s="185">
        <f t="shared" si="6"/>
        <v>0</v>
      </c>
      <c r="DV23" s="185">
        <f t="shared" si="17"/>
        <v>0</v>
      </c>
      <c r="DW23" s="185">
        <f t="shared" si="18"/>
        <v>0</v>
      </c>
      <c r="DX23" s="177">
        <f t="shared" si="7"/>
        <v>0</v>
      </c>
      <c r="DY23" s="177">
        <f t="shared" si="19"/>
        <v>0</v>
      </c>
      <c r="DZ23" s="177">
        <f t="shared" si="20"/>
        <v>0</v>
      </c>
      <c r="EA23" s="613">
        <f t="shared" si="21"/>
        <v>0</v>
      </c>
    </row>
    <row r="24" spans="1:131" s="603" customFormat="1" ht="14.25" thickBot="1">
      <c r="A24" s="172"/>
      <c r="B24" s="779"/>
      <c r="C24" s="617">
        <f>$C$18</f>
        <v>7.0000000000000007E-2</v>
      </c>
      <c r="D24" s="617">
        <f>$C$18</f>
        <v>7.0000000000000007E-2</v>
      </c>
      <c r="E24" s="617">
        <f>$C$18</f>
        <v>7.0000000000000007E-2</v>
      </c>
      <c r="F24" s="585"/>
      <c r="G24" s="604">
        <v>17</v>
      </c>
      <c r="H24" s="605" t="str">
        <f t="shared" si="8"/>
        <v>N/A</v>
      </c>
      <c r="I24" s="605">
        <f t="shared" si="9"/>
        <v>0</v>
      </c>
      <c r="J24" s="606">
        <f t="shared" si="2"/>
        <v>0</v>
      </c>
      <c r="K24" s="607"/>
      <c r="L24" s="607"/>
      <c r="M24" s="300"/>
      <c r="N24" s="608"/>
      <c r="O24" s="609">
        <f t="shared" si="10"/>
        <v>0</v>
      </c>
      <c r="P24" s="609">
        <f t="shared" si="11"/>
        <v>0</v>
      </c>
      <c r="Q24" s="609">
        <f t="shared" si="12"/>
        <v>0</v>
      </c>
      <c r="R24" s="610">
        <f t="shared" si="13"/>
        <v>0</v>
      </c>
      <c r="S24" s="611"/>
      <c r="T24" s="611"/>
      <c r="U24" s="611"/>
      <c r="V24" s="611"/>
      <c r="W24" s="611"/>
      <c r="X24" s="611"/>
      <c r="Y24" s="611"/>
      <c r="Z24" s="611"/>
      <c r="AA24" s="611"/>
      <c r="AB24" s="611"/>
      <c r="AC24" s="611"/>
      <c r="AD24" s="611"/>
      <c r="AE24" s="611"/>
      <c r="AF24" s="611"/>
      <c r="AG24" s="611"/>
      <c r="AH24" s="611"/>
      <c r="AI24" s="611"/>
      <c r="AJ24" s="611"/>
      <c r="AK24" s="611"/>
      <c r="AL24" s="611"/>
      <c r="AM24" s="611"/>
      <c r="AN24" s="611"/>
      <c r="AO24" s="611"/>
      <c r="AP24" s="611"/>
      <c r="AQ24" s="611"/>
      <c r="AR24" s="611"/>
      <c r="AS24" s="611"/>
      <c r="AT24" s="611"/>
      <c r="AU24" s="611"/>
      <c r="AV24" s="611"/>
      <c r="AW24" s="611"/>
      <c r="AX24" s="611"/>
      <c r="AY24" s="611"/>
      <c r="AZ24" s="611"/>
      <c r="BA24" s="611"/>
      <c r="BB24" s="611"/>
      <c r="BC24" s="611"/>
      <c r="BD24" s="611"/>
      <c r="BE24" s="611"/>
      <c r="BF24" s="611"/>
      <c r="BG24" s="611"/>
      <c r="BH24" s="611"/>
      <c r="BI24" s="611"/>
      <c r="BJ24" s="611"/>
      <c r="BK24" s="611"/>
      <c r="BL24" s="611"/>
      <c r="BM24" s="611"/>
      <c r="BN24" s="611"/>
      <c r="BO24" s="611"/>
      <c r="BP24" s="611"/>
      <c r="BQ24" s="611"/>
      <c r="BR24" s="611"/>
      <c r="BS24" s="611"/>
      <c r="BT24" s="611"/>
      <c r="BU24" s="611"/>
      <c r="BV24" s="611"/>
      <c r="BW24" s="611"/>
      <c r="BX24" s="611"/>
      <c r="BY24" s="611"/>
      <c r="BZ24" s="611"/>
      <c r="CA24" s="611"/>
      <c r="CB24" s="611"/>
      <c r="CC24" s="611"/>
      <c r="CD24" s="611"/>
      <c r="CE24" s="611"/>
      <c r="CF24" s="611"/>
      <c r="CG24" s="611"/>
      <c r="CH24" s="611"/>
      <c r="CI24" s="611"/>
      <c r="CJ24" s="611"/>
      <c r="CK24" s="611"/>
      <c r="CL24" s="611"/>
      <c r="CM24" s="611"/>
      <c r="CN24" s="611"/>
      <c r="CO24" s="611"/>
      <c r="CP24" s="611"/>
      <c r="CQ24" s="611"/>
      <c r="CR24" s="611"/>
      <c r="CS24" s="611"/>
      <c r="CT24" s="611"/>
      <c r="CU24" s="611"/>
      <c r="CV24" s="611"/>
      <c r="CW24" s="611"/>
      <c r="CX24" s="611"/>
      <c r="CY24" s="611"/>
      <c r="CZ24" s="611"/>
      <c r="DA24" s="611"/>
      <c r="DB24" s="611"/>
      <c r="DC24" s="611"/>
      <c r="DD24" s="611"/>
      <c r="DE24" s="611"/>
      <c r="DF24" s="611"/>
      <c r="DG24" s="611"/>
      <c r="DH24" s="611"/>
      <c r="DI24" s="611"/>
      <c r="DJ24" s="611"/>
      <c r="DK24" s="611"/>
      <c r="DL24" s="611"/>
      <c r="DM24" s="611"/>
      <c r="DN24" s="611"/>
      <c r="DO24" s="177">
        <f t="shared" si="14"/>
        <v>0</v>
      </c>
      <c r="DP24" s="612" t="str">
        <f t="shared" si="15"/>
        <v>-</v>
      </c>
      <c r="DQ24" s="612" t="str">
        <f t="shared" si="16"/>
        <v>-</v>
      </c>
      <c r="DR24" s="177">
        <f t="shared" si="3"/>
        <v>0</v>
      </c>
      <c r="DS24" s="177">
        <f t="shared" si="4"/>
        <v>0</v>
      </c>
      <c r="DT24" s="177">
        <f t="shared" si="5"/>
        <v>0</v>
      </c>
      <c r="DU24" s="185">
        <f t="shared" si="6"/>
        <v>0</v>
      </c>
      <c r="DV24" s="185">
        <f t="shared" si="17"/>
        <v>0</v>
      </c>
      <c r="DW24" s="185">
        <f t="shared" si="18"/>
        <v>0</v>
      </c>
      <c r="DX24" s="177">
        <f t="shared" si="7"/>
        <v>0</v>
      </c>
      <c r="DY24" s="177">
        <f t="shared" si="19"/>
        <v>0</v>
      </c>
      <c r="DZ24" s="177">
        <f t="shared" si="20"/>
        <v>0</v>
      </c>
      <c r="EA24" s="613">
        <f t="shared" si="21"/>
        <v>0</v>
      </c>
    </row>
    <row r="25" spans="1:131" s="603" customFormat="1" ht="13.5">
      <c r="A25" s="172"/>
      <c r="B25" s="788" t="s">
        <v>180</v>
      </c>
      <c r="C25" s="789" t="s">
        <v>182</v>
      </c>
      <c r="D25" s="789"/>
      <c r="E25" s="618" t="s">
        <v>183</v>
      </c>
      <c r="F25" s="585"/>
      <c r="G25" s="604">
        <v>18</v>
      </c>
      <c r="H25" s="605" t="str">
        <f t="shared" si="8"/>
        <v>N/A</v>
      </c>
      <c r="I25" s="605">
        <f t="shared" si="9"/>
        <v>0</v>
      </c>
      <c r="J25" s="606">
        <f t="shared" si="2"/>
        <v>0</v>
      </c>
      <c r="K25" s="607"/>
      <c r="L25" s="607"/>
      <c r="M25" s="300"/>
      <c r="N25" s="608"/>
      <c r="O25" s="609">
        <f t="shared" si="10"/>
        <v>0</v>
      </c>
      <c r="P25" s="609">
        <f t="shared" si="11"/>
        <v>0</v>
      </c>
      <c r="Q25" s="609">
        <f t="shared" si="12"/>
        <v>0</v>
      </c>
      <c r="R25" s="610">
        <f t="shared" si="13"/>
        <v>0</v>
      </c>
      <c r="S25" s="611"/>
      <c r="T25" s="611"/>
      <c r="U25" s="611"/>
      <c r="V25" s="611"/>
      <c r="W25" s="611"/>
      <c r="X25" s="611"/>
      <c r="Y25" s="611"/>
      <c r="Z25" s="611"/>
      <c r="AA25" s="611"/>
      <c r="AB25" s="611"/>
      <c r="AC25" s="611"/>
      <c r="AD25" s="611"/>
      <c r="AE25" s="611"/>
      <c r="AF25" s="611"/>
      <c r="AG25" s="611"/>
      <c r="AH25" s="611"/>
      <c r="AI25" s="611"/>
      <c r="AJ25" s="611"/>
      <c r="AK25" s="611"/>
      <c r="AL25" s="611"/>
      <c r="AM25" s="611"/>
      <c r="AN25" s="611"/>
      <c r="AO25" s="611"/>
      <c r="AP25" s="611"/>
      <c r="AQ25" s="611"/>
      <c r="AR25" s="611"/>
      <c r="AS25" s="611"/>
      <c r="AT25" s="611"/>
      <c r="AU25" s="611"/>
      <c r="AV25" s="611"/>
      <c r="AW25" s="611"/>
      <c r="AX25" s="611"/>
      <c r="AY25" s="611"/>
      <c r="AZ25" s="611"/>
      <c r="BA25" s="611"/>
      <c r="BB25" s="611"/>
      <c r="BC25" s="611"/>
      <c r="BD25" s="611"/>
      <c r="BE25" s="611"/>
      <c r="BF25" s="611"/>
      <c r="BG25" s="611"/>
      <c r="BH25" s="611"/>
      <c r="BI25" s="611"/>
      <c r="BJ25" s="611"/>
      <c r="BK25" s="611"/>
      <c r="BL25" s="611"/>
      <c r="BM25" s="611"/>
      <c r="BN25" s="611"/>
      <c r="BO25" s="611"/>
      <c r="BP25" s="611"/>
      <c r="BQ25" s="611"/>
      <c r="BR25" s="611"/>
      <c r="BS25" s="611"/>
      <c r="BT25" s="611"/>
      <c r="BU25" s="611"/>
      <c r="BV25" s="611"/>
      <c r="BW25" s="611"/>
      <c r="BX25" s="611"/>
      <c r="BY25" s="611"/>
      <c r="BZ25" s="611"/>
      <c r="CA25" s="611"/>
      <c r="CB25" s="611"/>
      <c r="CC25" s="611"/>
      <c r="CD25" s="611"/>
      <c r="CE25" s="611"/>
      <c r="CF25" s="611"/>
      <c r="CG25" s="611"/>
      <c r="CH25" s="611"/>
      <c r="CI25" s="611"/>
      <c r="CJ25" s="611"/>
      <c r="CK25" s="611"/>
      <c r="CL25" s="611"/>
      <c r="CM25" s="611"/>
      <c r="CN25" s="611"/>
      <c r="CO25" s="611"/>
      <c r="CP25" s="611"/>
      <c r="CQ25" s="611"/>
      <c r="CR25" s="611"/>
      <c r="CS25" s="611"/>
      <c r="CT25" s="611"/>
      <c r="CU25" s="611"/>
      <c r="CV25" s="611"/>
      <c r="CW25" s="611"/>
      <c r="CX25" s="611"/>
      <c r="CY25" s="611"/>
      <c r="CZ25" s="611"/>
      <c r="DA25" s="611"/>
      <c r="DB25" s="611"/>
      <c r="DC25" s="611"/>
      <c r="DD25" s="611"/>
      <c r="DE25" s="611"/>
      <c r="DF25" s="611"/>
      <c r="DG25" s="611"/>
      <c r="DH25" s="611"/>
      <c r="DI25" s="611"/>
      <c r="DJ25" s="611"/>
      <c r="DK25" s="611"/>
      <c r="DL25" s="611"/>
      <c r="DM25" s="611"/>
      <c r="DN25" s="611"/>
      <c r="DO25" s="177">
        <f t="shared" si="14"/>
        <v>0</v>
      </c>
      <c r="DP25" s="612" t="str">
        <f t="shared" si="15"/>
        <v>-</v>
      </c>
      <c r="DQ25" s="612" t="str">
        <f t="shared" si="16"/>
        <v>-</v>
      </c>
      <c r="DR25" s="177">
        <f t="shared" si="3"/>
        <v>0</v>
      </c>
      <c r="DS25" s="177">
        <f t="shared" si="4"/>
        <v>0</v>
      </c>
      <c r="DT25" s="177">
        <f t="shared" si="5"/>
        <v>0</v>
      </c>
      <c r="DU25" s="185">
        <f t="shared" si="6"/>
        <v>0</v>
      </c>
      <c r="DV25" s="185">
        <f t="shared" si="17"/>
        <v>0</v>
      </c>
      <c r="DW25" s="185">
        <f t="shared" si="18"/>
        <v>0</v>
      </c>
      <c r="DX25" s="177">
        <f t="shared" si="7"/>
        <v>0</v>
      </c>
      <c r="DY25" s="177">
        <f t="shared" si="19"/>
        <v>0</v>
      </c>
      <c r="DZ25" s="177">
        <f t="shared" si="20"/>
        <v>0</v>
      </c>
      <c r="EA25" s="613">
        <f t="shared" si="21"/>
        <v>0</v>
      </c>
    </row>
    <row r="26" spans="1:131" s="603" customFormat="1" ht="14.25" thickBot="1">
      <c r="A26" s="172"/>
      <c r="B26" s="779"/>
      <c r="C26" s="790">
        <f>1-E26</f>
        <v>0.8</v>
      </c>
      <c r="D26" s="790"/>
      <c r="E26" s="617">
        <v>0.2</v>
      </c>
      <c r="F26" s="585"/>
      <c r="G26" s="604">
        <v>19</v>
      </c>
      <c r="H26" s="605" t="str">
        <f t="shared" si="8"/>
        <v>N/A</v>
      </c>
      <c r="I26" s="605">
        <f t="shared" si="9"/>
        <v>0</v>
      </c>
      <c r="J26" s="606">
        <f t="shared" si="2"/>
        <v>0</v>
      </c>
      <c r="K26" s="607"/>
      <c r="L26" s="607"/>
      <c r="M26" s="300"/>
      <c r="N26" s="608"/>
      <c r="O26" s="609">
        <f t="shared" si="10"/>
        <v>0</v>
      </c>
      <c r="P26" s="609">
        <f t="shared" si="11"/>
        <v>0</v>
      </c>
      <c r="Q26" s="609">
        <f t="shared" si="12"/>
        <v>0</v>
      </c>
      <c r="R26" s="610">
        <f t="shared" si="13"/>
        <v>0</v>
      </c>
      <c r="S26" s="611"/>
      <c r="T26" s="611"/>
      <c r="U26" s="611"/>
      <c r="V26" s="611"/>
      <c r="W26" s="611"/>
      <c r="X26" s="611"/>
      <c r="Y26" s="611"/>
      <c r="Z26" s="611"/>
      <c r="AA26" s="611"/>
      <c r="AB26" s="611"/>
      <c r="AC26" s="611"/>
      <c r="AD26" s="611"/>
      <c r="AE26" s="611"/>
      <c r="AF26" s="611"/>
      <c r="AG26" s="611"/>
      <c r="AH26" s="611"/>
      <c r="AI26" s="611"/>
      <c r="AJ26" s="611"/>
      <c r="AK26" s="611"/>
      <c r="AL26" s="611"/>
      <c r="AM26" s="611"/>
      <c r="AN26" s="611"/>
      <c r="AO26" s="611"/>
      <c r="AP26" s="611"/>
      <c r="AQ26" s="611"/>
      <c r="AR26" s="611"/>
      <c r="AS26" s="611"/>
      <c r="AT26" s="611"/>
      <c r="AU26" s="611"/>
      <c r="AV26" s="611"/>
      <c r="AW26" s="611"/>
      <c r="AX26" s="611"/>
      <c r="AY26" s="611"/>
      <c r="AZ26" s="611"/>
      <c r="BA26" s="611"/>
      <c r="BB26" s="611"/>
      <c r="BC26" s="611"/>
      <c r="BD26" s="611"/>
      <c r="BE26" s="611"/>
      <c r="BF26" s="611"/>
      <c r="BG26" s="611"/>
      <c r="BH26" s="611"/>
      <c r="BI26" s="611"/>
      <c r="BJ26" s="611"/>
      <c r="BK26" s="611"/>
      <c r="BL26" s="611"/>
      <c r="BM26" s="611"/>
      <c r="BN26" s="611"/>
      <c r="BO26" s="611"/>
      <c r="BP26" s="611"/>
      <c r="BQ26" s="611"/>
      <c r="BR26" s="611"/>
      <c r="BS26" s="611"/>
      <c r="BT26" s="611"/>
      <c r="BU26" s="611"/>
      <c r="BV26" s="611"/>
      <c r="BW26" s="611"/>
      <c r="BX26" s="611"/>
      <c r="BY26" s="611"/>
      <c r="BZ26" s="611"/>
      <c r="CA26" s="611"/>
      <c r="CB26" s="611"/>
      <c r="CC26" s="611"/>
      <c r="CD26" s="611"/>
      <c r="CE26" s="611"/>
      <c r="CF26" s="611"/>
      <c r="CG26" s="611"/>
      <c r="CH26" s="611"/>
      <c r="CI26" s="611"/>
      <c r="CJ26" s="611"/>
      <c r="CK26" s="611"/>
      <c r="CL26" s="611"/>
      <c r="CM26" s="611"/>
      <c r="CN26" s="611"/>
      <c r="CO26" s="611"/>
      <c r="CP26" s="611"/>
      <c r="CQ26" s="611"/>
      <c r="CR26" s="611"/>
      <c r="CS26" s="611"/>
      <c r="CT26" s="611"/>
      <c r="CU26" s="611"/>
      <c r="CV26" s="611"/>
      <c r="CW26" s="611"/>
      <c r="CX26" s="611"/>
      <c r="CY26" s="611"/>
      <c r="CZ26" s="611"/>
      <c r="DA26" s="611"/>
      <c r="DB26" s="611"/>
      <c r="DC26" s="611"/>
      <c r="DD26" s="611"/>
      <c r="DE26" s="611"/>
      <c r="DF26" s="611"/>
      <c r="DG26" s="611"/>
      <c r="DH26" s="611"/>
      <c r="DI26" s="611"/>
      <c r="DJ26" s="611"/>
      <c r="DK26" s="611"/>
      <c r="DL26" s="611"/>
      <c r="DM26" s="611"/>
      <c r="DN26" s="611"/>
      <c r="DO26" s="177">
        <f t="shared" si="14"/>
        <v>0</v>
      </c>
      <c r="DP26" s="612" t="str">
        <f t="shared" si="15"/>
        <v>-</v>
      </c>
      <c r="DQ26" s="612" t="str">
        <f t="shared" si="16"/>
        <v>-</v>
      </c>
      <c r="DR26" s="177">
        <f t="shared" si="3"/>
        <v>0</v>
      </c>
      <c r="DS26" s="177">
        <f t="shared" si="4"/>
        <v>0</v>
      </c>
      <c r="DT26" s="177">
        <f t="shared" si="5"/>
        <v>0</v>
      </c>
      <c r="DU26" s="185">
        <f t="shared" si="6"/>
        <v>0</v>
      </c>
      <c r="DV26" s="185">
        <f t="shared" si="17"/>
        <v>0</v>
      </c>
      <c r="DW26" s="185">
        <f t="shared" si="18"/>
        <v>0</v>
      </c>
      <c r="DX26" s="177">
        <f t="shared" si="7"/>
        <v>0</v>
      </c>
      <c r="DY26" s="177">
        <f t="shared" si="19"/>
        <v>0</v>
      </c>
      <c r="DZ26" s="177">
        <f t="shared" si="20"/>
        <v>0</v>
      </c>
      <c r="EA26" s="613">
        <f t="shared" si="21"/>
        <v>0</v>
      </c>
    </row>
    <row r="27" spans="1:131" s="603" customFormat="1" ht="13.5">
      <c r="A27" s="172"/>
      <c r="B27" s="619" t="s">
        <v>3129</v>
      </c>
      <c r="C27" s="172"/>
      <c r="D27" s="172"/>
      <c r="E27" s="172"/>
      <c r="F27" s="585"/>
      <c r="G27" s="604">
        <v>20</v>
      </c>
      <c r="H27" s="605" t="str">
        <f t="shared" si="8"/>
        <v>N/A</v>
      </c>
      <c r="I27" s="605">
        <f t="shared" si="9"/>
        <v>0</v>
      </c>
      <c r="J27" s="606">
        <f t="shared" si="2"/>
        <v>0</v>
      </c>
      <c r="K27" s="607"/>
      <c r="L27" s="607"/>
      <c r="M27" s="300"/>
      <c r="N27" s="608"/>
      <c r="O27" s="609">
        <f t="shared" si="10"/>
        <v>0</v>
      </c>
      <c r="P27" s="609">
        <f t="shared" si="11"/>
        <v>0</v>
      </c>
      <c r="Q27" s="609">
        <f t="shared" si="12"/>
        <v>0</v>
      </c>
      <c r="R27" s="610">
        <f t="shared" si="13"/>
        <v>0</v>
      </c>
      <c r="S27" s="611"/>
      <c r="T27" s="611"/>
      <c r="U27" s="611"/>
      <c r="V27" s="611"/>
      <c r="W27" s="611"/>
      <c r="X27" s="611"/>
      <c r="Y27" s="611"/>
      <c r="Z27" s="611"/>
      <c r="AA27" s="611"/>
      <c r="AB27" s="611"/>
      <c r="AC27" s="611"/>
      <c r="AD27" s="611"/>
      <c r="AE27" s="611"/>
      <c r="AF27" s="611"/>
      <c r="AG27" s="611"/>
      <c r="AH27" s="611"/>
      <c r="AI27" s="611"/>
      <c r="AJ27" s="611"/>
      <c r="AK27" s="611"/>
      <c r="AL27" s="611"/>
      <c r="AM27" s="611"/>
      <c r="AN27" s="611"/>
      <c r="AO27" s="611"/>
      <c r="AP27" s="611"/>
      <c r="AQ27" s="611"/>
      <c r="AR27" s="611"/>
      <c r="AS27" s="611"/>
      <c r="AT27" s="611"/>
      <c r="AU27" s="611"/>
      <c r="AV27" s="611"/>
      <c r="AW27" s="611"/>
      <c r="AX27" s="611"/>
      <c r="AY27" s="611"/>
      <c r="AZ27" s="611"/>
      <c r="BA27" s="611"/>
      <c r="BB27" s="611"/>
      <c r="BC27" s="611"/>
      <c r="BD27" s="611"/>
      <c r="BE27" s="611"/>
      <c r="BF27" s="611"/>
      <c r="BG27" s="611"/>
      <c r="BH27" s="611"/>
      <c r="BI27" s="611"/>
      <c r="BJ27" s="611"/>
      <c r="BK27" s="611"/>
      <c r="BL27" s="611"/>
      <c r="BM27" s="611"/>
      <c r="BN27" s="611"/>
      <c r="BO27" s="611"/>
      <c r="BP27" s="611"/>
      <c r="BQ27" s="611"/>
      <c r="BR27" s="611"/>
      <c r="BS27" s="611"/>
      <c r="BT27" s="611"/>
      <c r="BU27" s="611"/>
      <c r="BV27" s="611"/>
      <c r="BW27" s="611"/>
      <c r="BX27" s="611"/>
      <c r="BY27" s="611"/>
      <c r="BZ27" s="611"/>
      <c r="CA27" s="611"/>
      <c r="CB27" s="611"/>
      <c r="CC27" s="611"/>
      <c r="CD27" s="611"/>
      <c r="CE27" s="611"/>
      <c r="CF27" s="611"/>
      <c r="CG27" s="611"/>
      <c r="CH27" s="611"/>
      <c r="CI27" s="611"/>
      <c r="CJ27" s="611"/>
      <c r="CK27" s="611"/>
      <c r="CL27" s="611"/>
      <c r="CM27" s="611"/>
      <c r="CN27" s="611"/>
      <c r="CO27" s="611"/>
      <c r="CP27" s="611"/>
      <c r="CQ27" s="611"/>
      <c r="CR27" s="611"/>
      <c r="CS27" s="611"/>
      <c r="CT27" s="611"/>
      <c r="CU27" s="611"/>
      <c r="CV27" s="611"/>
      <c r="CW27" s="611"/>
      <c r="CX27" s="611"/>
      <c r="CY27" s="611"/>
      <c r="CZ27" s="611"/>
      <c r="DA27" s="611"/>
      <c r="DB27" s="611"/>
      <c r="DC27" s="611"/>
      <c r="DD27" s="611"/>
      <c r="DE27" s="611"/>
      <c r="DF27" s="611"/>
      <c r="DG27" s="611"/>
      <c r="DH27" s="611"/>
      <c r="DI27" s="611"/>
      <c r="DJ27" s="611"/>
      <c r="DK27" s="611"/>
      <c r="DL27" s="611"/>
      <c r="DM27" s="611"/>
      <c r="DN27" s="611"/>
      <c r="DO27" s="177">
        <f t="shared" si="14"/>
        <v>0</v>
      </c>
      <c r="DP27" s="612" t="str">
        <f t="shared" si="15"/>
        <v>-</v>
      </c>
      <c r="DQ27" s="612" t="str">
        <f t="shared" si="16"/>
        <v>-</v>
      </c>
      <c r="DR27" s="177">
        <f t="shared" si="3"/>
        <v>0</v>
      </c>
      <c r="DS27" s="177">
        <f t="shared" si="4"/>
        <v>0</v>
      </c>
      <c r="DT27" s="177">
        <f t="shared" si="5"/>
        <v>0</v>
      </c>
      <c r="DU27" s="185">
        <f t="shared" si="6"/>
        <v>0</v>
      </c>
      <c r="DV27" s="185">
        <f t="shared" si="17"/>
        <v>0</v>
      </c>
      <c r="DW27" s="185">
        <f t="shared" si="18"/>
        <v>0</v>
      </c>
      <c r="DX27" s="177">
        <f t="shared" si="7"/>
        <v>0</v>
      </c>
      <c r="DY27" s="177">
        <f t="shared" si="19"/>
        <v>0</v>
      </c>
      <c r="DZ27" s="177">
        <f t="shared" si="20"/>
        <v>0</v>
      </c>
      <c r="EA27" s="613">
        <f t="shared" si="21"/>
        <v>0</v>
      </c>
    </row>
    <row r="28" spans="1:131" s="603" customFormat="1" ht="13.5">
      <c r="A28" s="172"/>
      <c r="B28" s="172"/>
      <c r="C28" s="172"/>
      <c r="D28" s="172"/>
      <c r="E28" s="172"/>
      <c r="F28" s="585"/>
      <c r="G28" s="604">
        <v>21</v>
      </c>
      <c r="H28" s="605" t="str">
        <f t="shared" si="8"/>
        <v>N/A</v>
      </c>
      <c r="I28" s="605">
        <f t="shared" si="9"/>
        <v>0</v>
      </c>
      <c r="J28" s="606">
        <f t="shared" si="2"/>
        <v>0</v>
      </c>
      <c r="K28" s="607"/>
      <c r="L28" s="607"/>
      <c r="M28" s="300"/>
      <c r="N28" s="608"/>
      <c r="O28" s="609">
        <f t="shared" si="10"/>
        <v>0</v>
      </c>
      <c r="P28" s="609">
        <f t="shared" si="11"/>
        <v>0</v>
      </c>
      <c r="Q28" s="609">
        <f t="shared" si="12"/>
        <v>0</v>
      </c>
      <c r="R28" s="610">
        <f t="shared" si="13"/>
        <v>0</v>
      </c>
      <c r="S28" s="611"/>
      <c r="T28" s="611"/>
      <c r="U28" s="611"/>
      <c r="V28" s="611"/>
      <c r="W28" s="611"/>
      <c r="X28" s="611"/>
      <c r="Y28" s="611"/>
      <c r="Z28" s="611"/>
      <c r="AA28" s="611"/>
      <c r="AB28" s="611"/>
      <c r="AC28" s="611"/>
      <c r="AD28" s="611"/>
      <c r="AE28" s="611"/>
      <c r="AF28" s="611"/>
      <c r="AG28" s="611"/>
      <c r="AH28" s="611"/>
      <c r="AI28" s="611"/>
      <c r="AJ28" s="611"/>
      <c r="AK28" s="611"/>
      <c r="AL28" s="611"/>
      <c r="AM28" s="611"/>
      <c r="AN28" s="611"/>
      <c r="AO28" s="611"/>
      <c r="AP28" s="611"/>
      <c r="AQ28" s="611"/>
      <c r="AR28" s="611"/>
      <c r="AS28" s="611"/>
      <c r="AT28" s="611"/>
      <c r="AU28" s="611"/>
      <c r="AV28" s="611"/>
      <c r="AW28" s="611"/>
      <c r="AX28" s="611"/>
      <c r="AY28" s="611"/>
      <c r="AZ28" s="611"/>
      <c r="BA28" s="611"/>
      <c r="BB28" s="611"/>
      <c r="BC28" s="611"/>
      <c r="BD28" s="611"/>
      <c r="BE28" s="611"/>
      <c r="BF28" s="611"/>
      <c r="BG28" s="611"/>
      <c r="BH28" s="611"/>
      <c r="BI28" s="611"/>
      <c r="BJ28" s="611"/>
      <c r="BK28" s="611"/>
      <c r="BL28" s="611"/>
      <c r="BM28" s="611"/>
      <c r="BN28" s="611"/>
      <c r="BO28" s="611"/>
      <c r="BP28" s="611"/>
      <c r="BQ28" s="611"/>
      <c r="BR28" s="611"/>
      <c r="BS28" s="611"/>
      <c r="BT28" s="611"/>
      <c r="BU28" s="611"/>
      <c r="BV28" s="611"/>
      <c r="BW28" s="611"/>
      <c r="BX28" s="611"/>
      <c r="BY28" s="611"/>
      <c r="BZ28" s="611"/>
      <c r="CA28" s="611"/>
      <c r="CB28" s="611"/>
      <c r="CC28" s="611"/>
      <c r="CD28" s="611"/>
      <c r="CE28" s="611"/>
      <c r="CF28" s="611"/>
      <c r="CG28" s="611"/>
      <c r="CH28" s="611"/>
      <c r="CI28" s="611"/>
      <c r="CJ28" s="611"/>
      <c r="CK28" s="611"/>
      <c r="CL28" s="611"/>
      <c r="CM28" s="611"/>
      <c r="CN28" s="611"/>
      <c r="CO28" s="611"/>
      <c r="CP28" s="611"/>
      <c r="CQ28" s="611"/>
      <c r="CR28" s="611"/>
      <c r="CS28" s="611"/>
      <c r="CT28" s="611"/>
      <c r="CU28" s="611"/>
      <c r="CV28" s="611"/>
      <c r="CW28" s="611"/>
      <c r="CX28" s="611"/>
      <c r="CY28" s="611"/>
      <c r="CZ28" s="611"/>
      <c r="DA28" s="611"/>
      <c r="DB28" s="611"/>
      <c r="DC28" s="611"/>
      <c r="DD28" s="611"/>
      <c r="DE28" s="611"/>
      <c r="DF28" s="611"/>
      <c r="DG28" s="611"/>
      <c r="DH28" s="611"/>
      <c r="DI28" s="611"/>
      <c r="DJ28" s="611"/>
      <c r="DK28" s="611"/>
      <c r="DL28" s="611"/>
      <c r="DM28" s="611"/>
      <c r="DN28" s="611"/>
      <c r="DO28" s="177">
        <f t="shared" si="14"/>
        <v>0</v>
      </c>
      <c r="DP28" s="612" t="str">
        <f t="shared" si="15"/>
        <v>-</v>
      </c>
      <c r="DQ28" s="612" t="str">
        <f t="shared" si="16"/>
        <v>-</v>
      </c>
      <c r="DR28" s="177">
        <f t="shared" si="3"/>
        <v>0</v>
      </c>
      <c r="DS28" s="177">
        <f t="shared" si="4"/>
        <v>0</v>
      </c>
      <c r="DT28" s="177">
        <f t="shared" si="5"/>
        <v>0</v>
      </c>
      <c r="DU28" s="185">
        <f t="shared" si="6"/>
        <v>0</v>
      </c>
      <c r="DV28" s="185">
        <f t="shared" si="17"/>
        <v>0</v>
      </c>
      <c r="DW28" s="185">
        <f t="shared" si="18"/>
        <v>0</v>
      </c>
      <c r="DX28" s="177">
        <f t="shared" si="7"/>
        <v>0</v>
      </c>
      <c r="DY28" s="177">
        <f t="shared" si="19"/>
        <v>0</v>
      </c>
      <c r="DZ28" s="177">
        <f t="shared" si="20"/>
        <v>0</v>
      </c>
      <c r="EA28" s="613">
        <f t="shared" si="21"/>
        <v>0</v>
      </c>
    </row>
    <row r="29" spans="1:131" s="603" customFormat="1" ht="14.25" thickBot="1">
      <c r="A29" s="172"/>
      <c r="B29" s="620" t="s">
        <v>288</v>
      </c>
      <c r="C29" s="621"/>
      <c r="D29" s="621"/>
      <c r="E29" s="585"/>
      <c r="F29" s="585"/>
      <c r="G29" s="604">
        <v>22</v>
      </c>
      <c r="H29" s="605" t="str">
        <f t="shared" si="8"/>
        <v>N/A</v>
      </c>
      <c r="I29" s="605">
        <f t="shared" si="9"/>
        <v>0</v>
      </c>
      <c r="J29" s="606">
        <f t="shared" si="2"/>
        <v>0</v>
      </c>
      <c r="K29" s="607"/>
      <c r="L29" s="607"/>
      <c r="M29" s="300"/>
      <c r="N29" s="608"/>
      <c r="O29" s="609">
        <f t="shared" si="10"/>
        <v>0</v>
      </c>
      <c r="P29" s="609">
        <f t="shared" si="11"/>
        <v>0</v>
      </c>
      <c r="Q29" s="609">
        <f t="shared" si="12"/>
        <v>0</v>
      </c>
      <c r="R29" s="610">
        <f t="shared" si="13"/>
        <v>0</v>
      </c>
      <c r="S29" s="611"/>
      <c r="T29" s="611"/>
      <c r="U29" s="611"/>
      <c r="V29" s="611"/>
      <c r="W29" s="611"/>
      <c r="X29" s="611"/>
      <c r="Y29" s="611"/>
      <c r="Z29" s="611"/>
      <c r="AA29" s="611"/>
      <c r="AB29" s="611"/>
      <c r="AC29" s="611"/>
      <c r="AD29" s="611"/>
      <c r="AE29" s="611"/>
      <c r="AF29" s="611"/>
      <c r="AG29" s="611"/>
      <c r="AH29" s="611"/>
      <c r="AI29" s="611"/>
      <c r="AJ29" s="611"/>
      <c r="AK29" s="611"/>
      <c r="AL29" s="611"/>
      <c r="AM29" s="611"/>
      <c r="AN29" s="611"/>
      <c r="AO29" s="611"/>
      <c r="AP29" s="611"/>
      <c r="AQ29" s="611"/>
      <c r="AR29" s="611"/>
      <c r="AS29" s="611"/>
      <c r="AT29" s="611"/>
      <c r="AU29" s="611"/>
      <c r="AV29" s="611"/>
      <c r="AW29" s="611"/>
      <c r="AX29" s="611"/>
      <c r="AY29" s="611"/>
      <c r="AZ29" s="611"/>
      <c r="BA29" s="611"/>
      <c r="BB29" s="611"/>
      <c r="BC29" s="611"/>
      <c r="BD29" s="611"/>
      <c r="BE29" s="611"/>
      <c r="BF29" s="611"/>
      <c r="BG29" s="611"/>
      <c r="BH29" s="611"/>
      <c r="BI29" s="611"/>
      <c r="BJ29" s="611"/>
      <c r="BK29" s="611"/>
      <c r="BL29" s="611"/>
      <c r="BM29" s="611"/>
      <c r="BN29" s="611"/>
      <c r="BO29" s="611"/>
      <c r="BP29" s="611"/>
      <c r="BQ29" s="611"/>
      <c r="BR29" s="611"/>
      <c r="BS29" s="611"/>
      <c r="BT29" s="611"/>
      <c r="BU29" s="611"/>
      <c r="BV29" s="611"/>
      <c r="BW29" s="611"/>
      <c r="BX29" s="611"/>
      <c r="BY29" s="611"/>
      <c r="BZ29" s="611"/>
      <c r="CA29" s="611"/>
      <c r="CB29" s="611"/>
      <c r="CC29" s="611"/>
      <c r="CD29" s="611"/>
      <c r="CE29" s="611"/>
      <c r="CF29" s="611"/>
      <c r="CG29" s="611"/>
      <c r="CH29" s="611"/>
      <c r="CI29" s="611"/>
      <c r="CJ29" s="611"/>
      <c r="CK29" s="611"/>
      <c r="CL29" s="611"/>
      <c r="CM29" s="611"/>
      <c r="CN29" s="611"/>
      <c r="CO29" s="611"/>
      <c r="CP29" s="611"/>
      <c r="CQ29" s="611"/>
      <c r="CR29" s="611"/>
      <c r="CS29" s="611"/>
      <c r="CT29" s="611"/>
      <c r="CU29" s="611"/>
      <c r="CV29" s="611"/>
      <c r="CW29" s="611"/>
      <c r="CX29" s="611"/>
      <c r="CY29" s="611"/>
      <c r="CZ29" s="611"/>
      <c r="DA29" s="611"/>
      <c r="DB29" s="611"/>
      <c r="DC29" s="611"/>
      <c r="DD29" s="611"/>
      <c r="DE29" s="611"/>
      <c r="DF29" s="611"/>
      <c r="DG29" s="611"/>
      <c r="DH29" s="611"/>
      <c r="DI29" s="611"/>
      <c r="DJ29" s="611"/>
      <c r="DK29" s="611"/>
      <c r="DL29" s="611"/>
      <c r="DM29" s="611"/>
      <c r="DN29" s="611"/>
      <c r="DO29" s="177">
        <f t="shared" si="14"/>
        <v>0</v>
      </c>
      <c r="DP29" s="612" t="str">
        <f t="shared" si="15"/>
        <v>-</v>
      </c>
      <c r="DQ29" s="612" t="str">
        <f t="shared" si="16"/>
        <v>-</v>
      </c>
      <c r="DR29" s="177">
        <f t="shared" si="3"/>
        <v>0</v>
      </c>
      <c r="DS29" s="177">
        <f t="shared" si="4"/>
        <v>0</v>
      </c>
      <c r="DT29" s="177">
        <f t="shared" si="5"/>
        <v>0</v>
      </c>
      <c r="DU29" s="185">
        <f t="shared" si="6"/>
        <v>0</v>
      </c>
      <c r="DV29" s="185">
        <f t="shared" si="17"/>
        <v>0</v>
      </c>
      <c r="DW29" s="185">
        <f t="shared" si="18"/>
        <v>0</v>
      </c>
      <c r="DX29" s="177">
        <f t="shared" si="7"/>
        <v>0</v>
      </c>
      <c r="DY29" s="177">
        <f t="shared" si="19"/>
        <v>0</v>
      </c>
      <c r="DZ29" s="177">
        <f t="shared" si="20"/>
        <v>0</v>
      </c>
      <c r="EA29" s="613">
        <f t="shared" si="21"/>
        <v>0</v>
      </c>
    </row>
    <row r="30" spans="1:131" s="603" customFormat="1" ht="13.5">
      <c r="A30" s="172"/>
      <c r="B30" s="622" t="s">
        <v>206</v>
      </c>
      <c r="C30" s="622" t="s">
        <v>235</v>
      </c>
      <c r="D30" s="622" t="s">
        <v>236</v>
      </c>
      <c r="E30" s="622" t="s">
        <v>237</v>
      </c>
      <c r="F30" s="585"/>
      <c r="G30" s="604">
        <v>23</v>
      </c>
      <c r="H30" s="605" t="str">
        <f t="shared" si="8"/>
        <v>N/A</v>
      </c>
      <c r="I30" s="605">
        <f t="shared" si="9"/>
        <v>0</v>
      </c>
      <c r="J30" s="606">
        <f t="shared" si="2"/>
        <v>0</v>
      </c>
      <c r="K30" s="607"/>
      <c r="L30" s="607"/>
      <c r="M30" s="300"/>
      <c r="N30" s="608"/>
      <c r="O30" s="609">
        <f t="shared" si="10"/>
        <v>0</v>
      </c>
      <c r="P30" s="609">
        <f t="shared" si="11"/>
        <v>0</v>
      </c>
      <c r="Q30" s="609">
        <f t="shared" si="12"/>
        <v>0</v>
      </c>
      <c r="R30" s="610">
        <f t="shared" si="13"/>
        <v>0</v>
      </c>
      <c r="S30" s="611"/>
      <c r="T30" s="611"/>
      <c r="U30" s="611"/>
      <c r="V30" s="611"/>
      <c r="W30" s="611"/>
      <c r="X30" s="611"/>
      <c r="Y30" s="611"/>
      <c r="Z30" s="611"/>
      <c r="AA30" s="611"/>
      <c r="AB30" s="611"/>
      <c r="AC30" s="611"/>
      <c r="AD30" s="611"/>
      <c r="AE30" s="611"/>
      <c r="AF30" s="611"/>
      <c r="AG30" s="611"/>
      <c r="AH30" s="611"/>
      <c r="AI30" s="611"/>
      <c r="AJ30" s="611"/>
      <c r="AK30" s="611"/>
      <c r="AL30" s="611"/>
      <c r="AM30" s="611"/>
      <c r="AN30" s="611"/>
      <c r="AO30" s="611"/>
      <c r="AP30" s="611"/>
      <c r="AQ30" s="611"/>
      <c r="AR30" s="611"/>
      <c r="AS30" s="611"/>
      <c r="AT30" s="611"/>
      <c r="AU30" s="611"/>
      <c r="AV30" s="611"/>
      <c r="AW30" s="611"/>
      <c r="AX30" s="611"/>
      <c r="AY30" s="611"/>
      <c r="AZ30" s="611"/>
      <c r="BA30" s="611"/>
      <c r="BB30" s="611"/>
      <c r="BC30" s="611"/>
      <c r="BD30" s="611"/>
      <c r="BE30" s="611"/>
      <c r="BF30" s="611"/>
      <c r="BG30" s="611"/>
      <c r="BH30" s="611"/>
      <c r="BI30" s="611"/>
      <c r="BJ30" s="611"/>
      <c r="BK30" s="611"/>
      <c r="BL30" s="611"/>
      <c r="BM30" s="611"/>
      <c r="BN30" s="611"/>
      <c r="BO30" s="611"/>
      <c r="BP30" s="611"/>
      <c r="BQ30" s="611"/>
      <c r="BR30" s="611"/>
      <c r="BS30" s="611"/>
      <c r="BT30" s="611"/>
      <c r="BU30" s="611"/>
      <c r="BV30" s="611"/>
      <c r="BW30" s="611"/>
      <c r="BX30" s="611"/>
      <c r="BY30" s="611"/>
      <c r="BZ30" s="611"/>
      <c r="CA30" s="611"/>
      <c r="CB30" s="611"/>
      <c r="CC30" s="611"/>
      <c r="CD30" s="611"/>
      <c r="CE30" s="611"/>
      <c r="CF30" s="611"/>
      <c r="CG30" s="611"/>
      <c r="CH30" s="611"/>
      <c r="CI30" s="611"/>
      <c r="CJ30" s="611"/>
      <c r="CK30" s="611"/>
      <c r="CL30" s="611"/>
      <c r="CM30" s="611"/>
      <c r="CN30" s="611"/>
      <c r="CO30" s="611"/>
      <c r="CP30" s="611"/>
      <c r="CQ30" s="611"/>
      <c r="CR30" s="611"/>
      <c r="CS30" s="611"/>
      <c r="CT30" s="611"/>
      <c r="CU30" s="611"/>
      <c r="CV30" s="611"/>
      <c r="CW30" s="611"/>
      <c r="CX30" s="611"/>
      <c r="CY30" s="611"/>
      <c r="CZ30" s="611"/>
      <c r="DA30" s="611"/>
      <c r="DB30" s="611"/>
      <c r="DC30" s="611"/>
      <c r="DD30" s="611"/>
      <c r="DE30" s="611"/>
      <c r="DF30" s="611"/>
      <c r="DG30" s="611"/>
      <c r="DH30" s="611"/>
      <c r="DI30" s="611"/>
      <c r="DJ30" s="611"/>
      <c r="DK30" s="611"/>
      <c r="DL30" s="611"/>
      <c r="DM30" s="611"/>
      <c r="DN30" s="611"/>
      <c r="DO30" s="177">
        <f t="shared" si="14"/>
        <v>0</v>
      </c>
      <c r="DP30" s="612" t="str">
        <f t="shared" si="15"/>
        <v>-</v>
      </c>
      <c r="DQ30" s="612" t="str">
        <f t="shared" si="16"/>
        <v>-</v>
      </c>
      <c r="DR30" s="177">
        <f t="shared" si="3"/>
        <v>0</v>
      </c>
      <c r="DS30" s="177">
        <f t="shared" si="4"/>
        <v>0</v>
      </c>
      <c r="DT30" s="177">
        <f t="shared" si="5"/>
        <v>0</v>
      </c>
      <c r="DU30" s="185">
        <f t="shared" si="6"/>
        <v>0</v>
      </c>
      <c r="DV30" s="185">
        <f t="shared" si="17"/>
        <v>0</v>
      </c>
      <c r="DW30" s="185">
        <f t="shared" si="18"/>
        <v>0</v>
      </c>
      <c r="DX30" s="177">
        <f t="shared" si="7"/>
        <v>0</v>
      </c>
      <c r="DY30" s="177">
        <f t="shared" si="19"/>
        <v>0</v>
      </c>
      <c r="DZ30" s="177">
        <f t="shared" si="20"/>
        <v>0</v>
      </c>
      <c r="EA30" s="613">
        <f t="shared" si="21"/>
        <v>0</v>
      </c>
    </row>
    <row r="31" spans="1:131" s="603" customFormat="1" ht="13.5">
      <c r="A31" s="172"/>
      <c r="B31" s="623" t="s">
        <v>229</v>
      </c>
      <c r="C31" s="624">
        <f>SUMIF($L$8:$L$56,B31,$Q$8:$Q$56)</f>
        <v>10400000000</v>
      </c>
      <c r="D31" s="624">
        <f>SUMIF($L$8:$L$56,B31,$DZ$8:$DZ$56)</f>
        <v>23043130486.102798</v>
      </c>
      <c r="E31" s="625">
        <f>IFERROR((D31/C31)*$C$16,"선순위 없음")</f>
        <v>2.2156856236637306</v>
      </c>
      <c r="F31" s="585"/>
      <c r="G31" s="604">
        <v>24</v>
      </c>
      <c r="H31" s="605" t="str">
        <f t="shared" si="8"/>
        <v>N/A</v>
      </c>
      <c r="I31" s="605">
        <f t="shared" si="9"/>
        <v>0</v>
      </c>
      <c r="J31" s="606">
        <f t="shared" si="2"/>
        <v>0</v>
      </c>
      <c r="K31" s="607"/>
      <c r="L31" s="607"/>
      <c r="M31" s="300"/>
      <c r="N31" s="608"/>
      <c r="O31" s="609">
        <f t="shared" si="10"/>
        <v>0</v>
      </c>
      <c r="P31" s="609">
        <f t="shared" si="11"/>
        <v>0</v>
      </c>
      <c r="Q31" s="609">
        <f t="shared" si="12"/>
        <v>0</v>
      </c>
      <c r="R31" s="610">
        <f t="shared" si="13"/>
        <v>0</v>
      </c>
      <c r="S31" s="611"/>
      <c r="T31" s="611"/>
      <c r="U31" s="611"/>
      <c r="V31" s="611"/>
      <c r="W31" s="611"/>
      <c r="X31" s="611"/>
      <c r="Y31" s="611"/>
      <c r="Z31" s="611"/>
      <c r="AA31" s="611"/>
      <c r="AB31" s="611"/>
      <c r="AC31" s="611"/>
      <c r="AD31" s="611"/>
      <c r="AE31" s="611"/>
      <c r="AF31" s="611"/>
      <c r="AG31" s="611"/>
      <c r="AH31" s="611"/>
      <c r="AI31" s="611"/>
      <c r="AJ31" s="611"/>
      <c r="AK31" s="611"/>
      <c r="AL31" s="611"/>
      <c r="AM31" s="611"/>
      <c r="AN31" s="611"/>
      <c r="AO31" s="611"/>
      <c r="AP31" s="611"/>
      <c r="AQ31" s="611"/>
      <c r="AR31" s="611"/>
      <c r="AS31" s="611"/>
      <c r="AT31" s="611"/>
      <c r="AU31" s="611"/>
      <c r="AV31" s="611"/>
      <c r="AW31" s="611"/>
      <c r="AX31" s="611"/>
      <c r="AY31" s="611"/>
      <c r="AZ31" s="611"/>
      <c r="BA31" s="611"/>
      <c r="BB31" s="611"/>
      <c r="BC31" s="611"/>
      <c r="BD31" s="611"/>
      <c r="BE31" s="611"/>
      <c r="BF31" s="611"/>
      <c r="BG31" s="611"/>
      <c r="BH31" s="611"/>
      <c r="BI31" s="611"/>
      <c r="BJ31" s="611"/>
      <c r="BK31" s="611"/>
      <c r="BL31" s="611"/>
      <c r="BM31" s="611"/>
      <c r="BN31" s="611"/>
      <c r="BO31" s="611"/>
      <c r="BP31" s="611"/>
      <c r="BQ31" s="611"/>
      <c r="BR31" s="611"/>
      <c r="BS31" s="611"/>
      <c r="BT31" s="611"/>
      <c r="BU31" s="611"/>
      <c r="BV31" s="611"/>
      <c r="BW31" s="611"/>
      <c r="BX31" s="611"/>
      <c r="BY31" s="611"/>
      <c r="BZ31" s="611"/>
      <c r="CA31" s="611"/>
      <c r="CB31" s="611"/>
      <c r="CC31" s="611"/>
      <c r="CD31" s="611"/>
      <c r="CE31" s="611"/>
      <c r="CF31" s="611"/>
      <c r="CG31" s="611"/>
      <c r="CH31" s="611"/>
      <c r="CI31" s="611"/>
      <c r="CJ31" s="611"/>
      <c r="CK31" s="611"/>
      <c r="CL31" s="611"/>
      <c r="CM31" s="611"/>
      <c r="CN31" s="611"/>
      <c r="CO31" s="611"/>
      <c r="CP31" s="611"/>
      <c r="CQ31" s="611"/>
      <c r="CR31" s="611"/>
      <c r="CS31" s="611"/>
      <c r="CT31" s="611"/>
      <c r="CU31" s="611"/>
      <c r="CV31" s="611"/>
      <c r="CW31" s="611"/>
      <c r="CX31" s="611"/>
      <c r="CY31" s="611"/>
      <c r="CZ31" s="611"/>
      <c r="DA31" s="611"/>
      <c r="DB31" s="611"/>
      <c r="DC31" s="611"/>
      <c r="DD31" s="611"/>
      <c r="DE31" s="611"/>
      <c r="DF31" s="611"/>
      <c r="DG31" s="611"/>
      <c r="DH31" s="611"/>
      <c r="DI31" s="611"/>
      <c r="DJ31" s="611"/>
      <c r="DK31" s="611"/>
      <c r="DL31" s="611"/>
      <c r="DM31" s="611"/>
      <c r="DN31" s="611"/>
      <c r="DO31" s="177">
        <f t="shared" si="14"/>
        <v>0</v>
      </c>
      <c r="DP31" s="612" t="str">
        <f t="shared" si="15"/>
        <v>-</v>
      </c>
      <c r="DQ31" s="612" t="str">
        <f t="shared" si="16"/>
        <v>-</v>
      </c>
      <c r="DR31" s="177">
        <f t="shared" si="3"/>
        <v>0</v>
      </c>
      <c r="DS31" s="177">
        <f t="shared" si="4"/>
        <v>0</v>
      </c>
      <c r="DT31" s="177">
        <f t="shared" si="5"/>
        <v>0</v>
      </c>
      <c r="DU31" s="185">
        <f t="shared" si="6"/>
        <v>0</v>
      </c>
      <c r="DV31" s="185">
        <f t="shared" si="17"/>
        <v>0</v>
      </c>
      <c r="DW31" s="185">
        <f t="shared" si="18"/>
        <v>0</v>
      </c>
      <c r="DX31" s="177">
        <f t="shared" si="7"/>
        <v>0</v>
      </c>
      <c r="DY31" s="177">
        <f t="shared" si="19"/>
        <v>0</v>
      </c>
      <c r="DZ31" s="177">
        <f t="shared" si="20"/>
        <v>0</v>
      </c>
      <c r="EA31" s="613">
        <f t="shared" si="21"/>
        <v>0</v>
      </c>
    </row>
    <row r="32" spans="1:131" s="603" customFormat="1" ht="13.5">
      <c r="A32" s="172"/>
      <c r="B32" s="275" t="s">
        <v>230</v>
      </c>
      <c r="C32" s="626">
        <f>SUMIF($L$8:$L$56,B32,$Q$8:$Q$56)</f>
        <v>0</v>
      </c>
      <c r="D32" s="626">
        <f>SUMIF($L$8:$L$56,B32,$DZ$8:$DZ$56)</f>
        <v>0</v>
      </c>
      <c r="E32" s="626" t="str">
        <f>IFERROR((D32/C32)*$C$16,"중순위 없음")</f>
        <v>중순위 없음</v>
      </c>
      <c r="F32" s="585"/>
      <c r="G32" s="604">
        <v>25</v>
      </c>
      <c r="H32" s="605" t="str">
        <f t="shared" si="8"/>
        <v>N/A</v>
      </c>
      <c r="I32" s="605">
        <f t="shared" si="9"/>
        <v>0</v>
      </c>
      <c r="J32" s="606">
        <f t="shared" si="2"/>
        <v>0</v>
      </c>
      <c r="K32" s="607"/>
      <c r="L32" s="607"/>
      <c r="M32" s="300"/>
      <c r="N32" s="608"/>
      <c r="O32" s="609">
        <f t="shared" si="10"/>
        <v>0</v>
      </c>
      <c r="P32" s="609">
        <f t="shared" si="11"/>
        <v>0</v>
      </c>
      <c r="Q32" s="609">
        <f t="shared" si="12"/>
        <v>0</v>
      </c>
      <c r="R32" s="610">
        <f t="shared" si="13"/>
        <v>0</v>
      </c>
      <c r="S32" s="611"/>
      <c r="T32" s="611"/>
      <c r="U32" s="611"/>
      <c r="V32" s="611"/>
      <c r="W32" s="611"/>
      <c r="X32" s="611"/>
      <c r="Y32" s="611"/>
      <c r="Z32" s="611"/>
      <c r="AA32" s="611"/>
      <c r="AB32" s="611"/>
      <c r="AC32" s="611"/>
      <c r="AD32" s="611"/>
      <c r="AE32" s="611"/>
      <c r="AF32" s="611"/>
      <c r="AG32" s="611"/>
      <c r="AH32" s="611"/>
      <c r="AI32" s="611"/>
      <c r="AJ32" s="611"/>
      <c r="AK32" s="611"/>
      <c r="AL32" s="611"/>
      <c r="AM32" s="611"/>
      <c r="AN32" s="611"/>
      <c r="AO32" s="611"/>
      <c r="AP32" s="611"/>
      <c r="AQ32" s="611"/>
      <c r="AR32" s="611"/>
      <c r="AS32" s="611"/>
      <c r="AT32" s="611"/>
      <c r="AU32" s="611"/>
      <c r="AV32" s="611"/>
      <c r="AW32" s="611"/>
      <c r="AX32" s="611"/>
      <c r="AY32" s="611"/>
      <c r="AZ32" s="611"/>
      <c r="BA32" s="611"/>
      <c r="BB32" s="611"/>
      <c r="BC32" s="611"/>
      <c r="BD32" s="611"/>
      <c r="BE32" s="611"/>
      <c r="BF32" s="611"/>
      <c r="BG32" s="611"/>
      <c r="BH32" s="611"/>
      <c r="BI32" s="611"/>
      <c r="BJ32" s="611"/>
      <c r="BK32" s="611"/>
      <c r="BL32" s="611"/>
      <c r="BM32" s="611"/>
      <c r="BN32" s="611"/>
      <c r="BO32" s="611"/>
      <c r="BP32" s="611"/>
      <c r="BQ32" s="611"/>
      <c r="BR32" s="611"/>
      <c r="BS32" s="611"/>
      <c r="BT32" s="611"/>
      <c r="BU32" s="611"/>
      <c r="BV32" s="611"/>
      <c r="BW32" s="611"/>
      <c r="BX32" s="611"/>
      <c r="BY32" s="611"/>
      <c r="BZ32" s="611"/>
      <c r="CA32" s="611"/>
      <c r="CB32" s="611"/>
      <c r="CC32" s="611"/>
      <c r="CD32" s="611"/>
      <c r="CE32" s="611"/>
      <c r="CF32" s="611"/>
      <c r="CG32" s="611"/>
      <c r="CH32" s="611"/>
      <c r="CI32" s="611"/>
      <c r="CJ32" s="611"/>
      <c r="CK32" s="611"/>
      <c r="CL32" s="611"/>
      <c r="CM32" s="611"/>
      <c r="CN32" s="611"/>
      <c r="CO32" s="611"/>
      <c r="CP32" s="611"/>
      <c r="CQ32" s="611"/>
      <c r="CR32" s="611"/>
      <c r="CS32" s="611"/>
      <c r="CT32" s="611"/>
      <c r="CU32" s="611"/>
      <c r="CV32" s="611"/>
      <c r="CW32" s="611"/>
      <c r="CX32" s="611"/>
      <c r="CY32" s="611"/>
      <c r="CZ32" s="611"/>
      <c r="DA32" s="611"/>
      <c r="DB32" s="611"/>
      <c r="DC32" s="611"/>
      <c r="DD32" s="611"/>
      <c r="DE32" s="611"/>
      <c r="DF32" s="611"/>
      <c r="DG32" s="611"/>
      <c r="DH32" s="611"/>
      <c r="DI32" s="611"/>
      <c r="DJ32" s="611"/>
      <c r="DK32" s="611"/>
      <c r="DL32" s="611"/>
      <c r="DM32" s="611"/>
      <c r="DN32" s="611"/>
      <c r="DO32" s="177">
        <f t="shared" si="14"/>
        <v>0</v>
      </c>
      <c r="DP32" s="612" t="str">
        <f t="shared" si="15"/>
        <v>-</v>
      </c>
      <c r="DQ32" s="612" t="str">
        <f t="shared" si="16"/>
        <v>-</v>
      </c>
      <c r="DR32" s="177">
        <f t="shared" si="3"/>
        <v>0</v>
      </c>
      <c r="DS32" s="177">
        <f t="shared" si="4"/>
        <v>0</v>
      </c>
      <c r="DT32" s="177">
        <f t="shared" si="5"/>
        <v>0</v>
      </c>
      <c r="DU32" s="185">
        <f t="shared" si="6"/>
        <v>0</v>
      </c>
      <c r="DV32" s="185">
        <f t="shared" si="17"/>
        <v>0</v>
      </c>
      <c r="DW32" s="185">
        <f t="shared" si="18"/>
        <v>0</v>
      </c>
      <c r="DX32" s="177">
        <f t="shared" si="7"/>
        <v>0</v>
      </c>
      <c r="DY32" s="177">
        <f t="shared" si="19"/>
        <v>0</v>
      </c>
      <c r="DZ32" s="177">
        <f t="shared" si="20"/>
        <v>0</v>
      </c>
      <c r="EA32" s="613">
        <f t="shared" si="21"/>
        <v>0</v>
      </c>
    </row>
    <row r="33" spans="1:131" s="603" customFormat="1" ht="14.25" thickBot="1">
      <c r="A33" s="172"/>
      <c r="B33" s="627" t="s">
        <v>231</v>
      </c>
      <c r="C33" s="628">
        <f>SUMIF($L$8:$L$56,B33,$Q$8:$Q$56)</f>
        <v>100000000</v>
      </c>
      <c r="D33" s="628">
        <f>SUMIF($L$8:$L$56,B33,$DZ$8:$DZ$56)</f>
        <v>2828555747.897193</v>
      </c>
      <c r="E33" s="629">
        <f>IFERROR((D33/C33)*$C$16,"후순위 없음")</f>
        <v>28.285557478971931</v>
      </c>
      <c r="F33" s="585"/>
      <c r="G33" s="604">
        <v>26</v>
      </c>
      <c r="H33" s="605" t="str">
        <f t="shared" si="8"/>
        <v>N/A</v>
      </c>
      <c r="I33" s="605">
        <f t="shared" si="9"/>
        <v>0</v>
      </c>
      <c r="J33" s="606">
        <f t="shared" si="2"/>
        <v>0</v>
      </c>
      <c r="K33" s="607"/>
      <c r="L33" s="607"/>
      <c r="M33" s="300"/>
      <c r="N33" s="608"/>
      <c r="O33" s="609">
        <f t="shared" si="10"/>
        <v>0</v>
      </c>
      <c r="P33" s="609">
        <f t="shared" si="11"/>
        <v>0</v>
      </c>
      <c r="Q33" s="609">
        <f t="shared" si="12"/>
        <v>0</v>
      </c>
      <c r="R33" s="610">
        <f t="shared" si="13"/>
        <v>0</v>
      </c>
      <c r="S33" s="611"/>
      <c r="T33" s="611"/>
      <c r="U33" s="611"/>
      <c r="V33" s="611"/>
      <c r="W33" s="611"/>
      <c r="X33" s="611"/>
      <c r="Y33" s="611"/>
      <c r="Z33" s="611"/>
      <c r="AA33" s="611"/>
      <c r="AB33" s="611"/>
      <c r="AC33" s="611"/>
      <c r="AD33" s="611"/>
      <c r="AE33" s="611"/>
      <c r="AF33" s="611"/>
      <c r="AG33" s="611"/>
      <c r="AH33" s="611"/>
      <c r="AI33" s="611"/>
      <c r="AJ33" s="611"/>
      <c r="AK33" s="611"/>
      <c r="AL33" s="611"/>
      <c r="AM33" s="611"/>
      <c r="AN33" s="611"/>
      <c r="AO33" s="611"/>
      <c r="AP33" s="611"/>
      <c r="AQ33" s="611"/>
      <c r="AR33" s="611"/>
      <c r="AS33" s="611"/>
      <c r="AT33" s="611"/>
      <c r="AU33" s="611"/>
      <c r="AV33" s="611"/>
      <c r="AW33" s="611"/>
      <c r="AX33" s="611"/>
      <c r="AY33" s="611"/>
      <c r="AZ33" s="611"/>
      <c r="BA33" s="611"/>
      <c r="BB33" s="611"/>
      <c r="BC33" s="611"/>
      <c r="BD33" s="611"/>
      <c r="BE33" s="611"/>
      <c r="BF33" s="611"/>
      <c r="BG33" s="611"/>
      <c r="BH33" s="611"/>
      <c r="BI33" s="611"/>
      <c r="BJ33" s="611"/>
      <c r="BK33" s="611"/>
      <c r="BL33" s="611"/>
      <c r="BM33" s="611"/>
      <c r="BN33" s="611"/>
      <c r="BO33" s="611"/>
      <c r="BP33" s="611"/>
      <c r="BQ33" s="611"/>
      <c r="BR33" s="611"/>
      <c r="BS33" s="611"/>
      <c r="BT33" s="611"/>
      <c r="BU33" s="611"/>
      <c r="BV33" s="611"/>
      <c r="BW33" s="611"/>
      <c r="BX33" s="611"/>
      <c r="BY33" s="611"/>
      <c r="BZ33" s="611"/>
      <c r="CA33" s="611"/>
      <c r="CB33" s="611"/>
      <c r="CC33" s="611"/>
      <c r="CD33" s="611"/>
      <c r="CE33" s="611"/>
      <c r="CF33" s="611"/>
      <c r="CG33" s="611"/>
      <c r="CH33" s="611"/>
      <c r="CI33" s="611"/>
      <c r="CJ33" s="611"/>
      <c r="CK33" s="611"/>
      <c r="CL33" s="611"/>
      <c r="CM33" s="611"/>
      <c r="CN33" s="611"/>
      <c r="CO33" s="611"/>
      <c r="CP33" s="611"/>
      <c r="CQ33" s="611"/>
      <c r="CR33" s="611"/>
      <c r="CS33" s="611"/>
      <c r="CT33" s="611"/>
      <c r="CU33" s="611"/>
      <c r="CV33" s="611"/>
      <c r="CW33" s="611"/>
      <c r="CX33" s="611"/>
      <c r="CY33" s="611"/>
      <c r="CZ33" s="611"/>
      <c r="DA33" s="611"/>
      <c r="DB33" s="611"/>
      <c r="DC33" s="611"/>
      <c r="DD33" s="611"/>
      <c r="DE33" s="611"/>
      <c r="DF33" s="611"/>
      <c r="DG33" s="611"/>
      <c r="DH33" s="611"/>
      <c r="DI33" s="611"/>
      <c r="DJ33" s="611"/>
      <c r="DK33" s="611"/>
      <c r="DL33" s="611"/>
      <c r="DM33" s="611"/>
      <c r="DN33" s="611"/>
      <c r="DO33" s="177">
        <f t="shared" si="14"/>
        <v>0</v>
      </c>
      <c r="DP33" s="612" t="str">
        <f t="shared" si="15"/>
        <v>-</v>
      </c>
      <c r="DQ33" s="612" t="str">
        <f t="shared" si="16"/>
        <v>-</v>
      </c>
      <c r="DR33" s="177">
        <f t="shared" si="3"/>
        <v>0</v>
      </c>
      <c r="DS33" s="177">
        <f t="shared" si="4"/>
        <v>0</v>
      </c>
      <c r="DT33" s="177">
        <f t="shared" si="5"/>
        <v>0</v>
      </c>
      <c r="DU33" s="185">
        <f t="shared" si="6"/>
        <v>0</v>
      </c>
      <c r="DV33" s="185">
        <f t="shared" si="17"/>
        <v>0</v>
      </c>
      <c r="DW33" s="185">
        <f t="shared" si="18"/>
        <v>0</v>
      </c>
      <c r="DX33" s="177">
        <f t="shared" si="7"/>
        <v>0</v>
      </c>
      <c r="DY33" s="177">
        <f t="shared" si="19"/>
        <v>0</v>
      </c>
      <c r="DZ33" s="177">
        <f t="shared" si="20"/>
        <v>0</v>
      </c>
      <c r="EA33" s="613">
        <f t="shared" si="21"/>
        <v>0</v>
      </c>
    </row>
    <row r="34" spans="1:131" s="603" customFormat="1" ht="14.25" thickBot="1">
      <c r="A34" s="172"/>
      <c r="B34" s="630" t="s">
        <v>232</v>
      </c>
      <c r="C34" s="631">
        <f>SUM(C31:C33)</f>
        <v>10500000000</v>
      </c>
      <c r="D34" s="631">
        <f>SUM(D31:D33)</f>
        <v>25871686233.999992</v>
      </c>
      <c r="E34" s="631"/>
      <c r="G34" s="604">
        <v>27</v>
      </c>
      <c r="H34" s="605" t="str">
        <f t="shared" si="8"/>
        <v>N/A</v>
      </c>
      <c r="I34" s="605">
        <f t="shared" si="9"/>
        <v>0</v>
      </c>
      <c r="J34" s="606">
        <f t="shared" si="2"/>
        <v>0</v>
      </c>
      <c r="K34" s="607"/>
      <c r="L34" s="607"/>
      <c r="M34" s="300"/>
      <c r="N34" s="608"/>
      <c r="O34" s="609">
        <f t="shared" si="10"/>
        <v>0</v>
      </c>
      <c r="P34" s="609">
        <f t="shared" si="11"/>
        <v>0</v>
      </c>
      <c r="Q34" s="609">
        <f t="shared" si="12"/>
        <v>0</v>
      </c>
      <c r="R34" s="610">
        <f t="shared" si="13"/>
        <v>0</v>
      </c>
      <c r="S34" s="611"/>
      <c r="T34" s="611"/>
      <c r="U34" s="611"/>
      <c r="V34" s="611"/>
      <c r="W34" s="611"/>
      <c r="X34" s="611"/>
      <c r="Y34" s="611"/>
      <c r="Z34" s="611"/>
      <c r="AA34" s="611"/>
      <c r="AB34" s="611"/>
      <c r="AC34" s="611"/>
      <c r="AD34" s="611"/>
      <c r="AE34" s="611"/>
      <c r="AF34" s="611"/>
      <c r="AG34" s="611"/>
      <c r="AH34" s="611"/>
      <c r="AI34" s="611"/>
      <c r="AJ34" s="611"/>
      <c r="AK34" s="611"/>
      <c r="AL34" s="611"/>
      <c r="AM34" s="611"/>
      <c r="AN34" s="611"/>
      <c r="AO34" s="611"/>
      <c r="AP34" s="611"/>
      <c r="AQ34" s="611"/>
      <c r="AR34" s="611"/>
      <c r="AS34" s="611"/>
      <c r="AT34" s="611"/>
      <c r="AU34" s="611"/>
      <c r="AV34" s="611"/>
      <c r="AW34" s="611"/>
      <c r="AX34" s="611"/>
      <c r="AY34" s="611"/>
      <c r="AZ34" s="611"/>
      <c r="BA34" s="611"/>
      <c r="BB34" s="611"/>
      <c r="BC34" s="611"/>
      <c r="BD34" s="611"/>
      <c r="BE34" s="611"/>
      <c r="BF34" s="611"/>
      <c r="BG34" s="611"/>
      <c r="BH34" s="611"/>
      <c r="BI34" s="611"/>
      <c r="BJ34" s="611"/>
      <c r="BK34" s="611"/>
      <c r="BL34" s="611"/>
      <c r="BM34" s="611"/>
      <c r="BN34" s="611"/>
      <c r="BO34" s="611"/>
      <c r="BP34" s="611"/>
      <c r="BQ34" s="611"/>
      <c r="BR34" s="611"/>
      <c r="BS34" s="611"/>
      <c r="BT34" s="611"/>
      <c r="BU34" s="611"/>
      <c r="BV34" s="611"/>
      <c r="BW34" s="611"/>
      <c r="BX34" s="611"/>
      <c r="BY34" s="611"/>
      <c r="BZ34" s="611"/>
      <c r="CA34" s="611"/>
      <c r="CB34" s="611"/>
      <c r="CC34" s="611"/>
      <c r="CD34" s="611"/>
      <c r="CE34" s="611"/>
      <c r="CF34" s="611"/>
      <c r="CG34" s="611"/>
      <c r="CH34" s="611"/>
      <c r="CI34" s="611"/>
      <c r="CJ34" s="611"/>
      <c r="CK34" s="611"/>
      <c r="CL34" s="611"/>
      <c r="CM34" s="611"/>
      <c r="CN34" s="611"/>
      <c r="CO34" s="611"/>
      <c r="CP34" s="611"/>
      <c r="CQ34" s="611"/>
      <c r="CR34" s="611"/>
      <c r="CS34" s="611"/>
      <c r="CT34" s="611"/>
      <c r="CU34" s="611"/>
      <c r="CV34" s="611"/>
      <c r="CW34" s="611"/>
      <c r="CX34" s="611"/>
      <c r="CY34" s="611"/>
      <c r="CZ34" s="611"/>
      <c r="DA34" s="611"/>
      <c r="DB34" s="611"/>
      <c r="DC34" s="611"/>
      <c r="DD34" s="611"/>
      <c r="DE34" s="611"/>
      <c r="DF34" s="611"/>
      <c r="DG34" s="611"/>
      <c r="DH34" s="611"/>
      <c r="DI34" s="611"/>
      <c r="DJ34" s="611"/>
      <c r="DK34" s="611"/>
      <c r="DL34" s="611"/>
      <c r="DM34" s="611"/>
      <c r="DN34" s="611"/>
      <c r="DO34" s="177">
        <f t="shared" si="14"/>
        <v>0</v>
      </c>
      <c r="DP34" s="612" t="str">
        <f t="shared" si="15"/>
        <v>-</v>
      </c>
      <c r="DQ34" s="612" t="str">
        <f t="shared" si="16"/>
        <v>-</v>
      </c>
      <c r="DR34" s="177">
        <f t="shared" si="3"/>
        <v>0</v>
      </c>
      <c r="DS34" s="177">
        <f t="shared" si="4"/>
        <v>0</v>
      </c>
      <c r="DT34" s="177">
        <f t="shared" si="5"/>
        <v>0</v>
      </c>
      <c r="DU34" s="185">
        <f t="shared" si="6"/>
        <v>0</v>
      </c>
      <c r="DV34" s="185">
        <f t="shared" si="17"/>
        <v>0</v>
      </c>
      <c r="DW34" s="185">
        <f t="shared" si="18"/>
        <v>0</v>
      </c>
      <c r="DX34" s="177">
        <f t="shared" si="7"/>
        <v>0</v>
      </c>
      <c r="DY34" s="177">
        <f t="shared" si="19"/>
        <v>0</v>
      </c>
      <c r="DZ34" s="177">
        <f t="shared" si="20"/>
        <v>0</v>
      </c>
      <c r="EA34" s="613">
        <f t="shared" si="21"/>
        <v>0</v>
      </c>
    </row>
    <row r="35" spans="1:131" s="603" customFormat="1" ht="13.5">
      <c r="A35" s="172"/>
      <c r="B35" s="275"/>
      <c r="C35" s="626"/>
      <c r="D35" s="626"/>
      <c r="E35" s="626"/>
      <c r="G35" s="604">
        <v>28</v>
      </c>
      <c r="H35" s="605" t="str">
        <f t="shared" si="8"/>
        <v>N/A</v>
      </c>
      <c r="I35" s="605">
        <f t="shared" si="9"/>
        <v>0</v>
      </c>
      <c r="J35" s="606">
        <f t="shared" si="2"/>
        <v>0</v>
      </c>
      <c r="K35" s="607"/>
      <c r="L35" s="607"/>
      <c r="M35" s="300"/>
      <c r="N35" s="608"/>
      <c r="O35" s="609">
        <f t="shared" si="10"/>
        <v>0</v>
      </c>
      <c r="P35" s="609">
        <f t="shared" si="11"/>
        <v>0</v>
      </c>
      <c r="Q35" s="609">
        <f t="shared" si="12"/>
        <v>0</v>
      </c>
      <c r="R35" s="610">
        <f t="shared" si="13"/>
        <v>0</v>
      </c>
      <c r="S35" s="611"/>
      <c r="T35" s="611"/>
      <c r="U35" s="611"/>
      <c r="V35" s="611"/>
      <c r="W35" s="611"/>
      <c r="X35" s="611"/>
      <c r="Y35" s="611"/>
      <c r="Z35" s="611"/>
      <c r="AA35" s="611"/>
      <c r="AB35" s="611"/>
      <c r="AC35" s="611"/>
      <c r="AD35" s="611"/>
      <c r="AE35" s="611"/>
      <c r="AF35" s="611"/>
      <c r="AG35" s="611"/>
      <c r="AH35" s="611"/>
      <c r="AI35" s="611"/>
      <c r="AJ35" s="611"/>
      <c r="AK35" s="611"/>
      <c r="AL35" s="611"/>
      <c r="AM35" s="611"/>
      <c r="AN35" s="611"/>
      <c r="AO35" s="611"/>
      <c r="AP35" s="611"/>
      <c r="AQ35" s="611"/>
      <c r="AR35" s="611"/>
      <c r="AS35" s="611"/>
      <c r="AT35" s="611"/>
      <c r="AU35" s="611"/>
      <c r="AV35" s="611"/>
      <c r="AW35" s="611"/>
      <c r="AX35" s="611"/>
      <c r="AY35" s="611"/>
      <c r="AZ35" s="611"/>
      <c r="BA35" s="611"/>
      <c r="BB35" s="611"/>
      <c r="BC35" s="611"/>
      <c r="BD35" s="611"/>
      <c r="BE35" s="611"/>
      <c r="BF35" s="611"/>
      <c r="BG35" s="611"/>
      <c r="BH35" s="611"/>
      <c r="BI35" s="611"/>
      <c r="BJ35" s="611"/>
      <c r="BK35" s="611"/>
      <c r="BL35" s="611"/>
      <c r="BM35" s="611"/>
      <c r="BN35" s="611"/>
      <c r="BO35" s="611"/>
      <c r="BP35" s="611"/>
      <c r="BQ35" s="611"/>
      <c r="BR35" s="611"/>
      <c r="BS35" s="611"/>
      <c r="BT35" s="611"/>
      <c r="BU35" s="611"/>
      <c r="BV35" s="611"/>
      <c r="BW35" s="611"/>
      <c r="BX35" s="611"/>
      <c r="BY35" s="611"/>
      <c r="BZ35" s="611"/>
      <c r="CA35" s="611"/>
      <c r="CB35" s="611"/>
      <c r="CC35" s="611"/>
      <c r="CD35" s="611"/>
      <c r="CE35" s="611"/>
      <c r="CF35" s="611"/>
      <c r="CG35" s="611"/>
      <c r="CH35" s="611"/>
      <c r="CI35" s="611"/>
      <c r="CJ35" s="611"/>
      <c r="CK35" s="611"/>
      <c r="CL35" s="611"/>
      <c r="CM35" s="611"/>
      <c r="CN35" s="611"/>
      <c r="CO35" s="611"/>
      <c r="CP35" s="611"/>
      <c r="CQ35" s="611"/>
      <c r="CR35" s="611"/>
      <c r="CS35" s="611"/>
      <c r="CT35" s="611"/>
      <c r="CU35" s="611"/>
      <c r="CV35" s="611"/>
      <c r="CW35" s="611"/>
      <c r="CX35" s="611"/>
      <c r="CY35" s="611"/>
      <c r="CZ35" s="611"/>
      <c r="DA35" s="611"/>
      <c r="DB35" s="611"/>
      <c r="DC35" s="611"/>
      <c r="DD35" s="611"/>
      <c r="DE35" s="611"/>
      <c r="DF35" s="611"/>
      <c r="DG35" s="611"/>
      <c r="DH35" s="611"/>
      <c r="DI35" s="611"/>
      <c r="DJ35" s="611"/>
      <c r="DK35" s="611"/>
      <c r="DL35" s="611"/>
      <c r="DM35" s="611"/>
      <c r="DN35" s="611"/>
      <c r="DO35" s="177">
        <f t="shared" si="14"/>
        <v>0</v>
      </c>
      <c r="DP35" s="612" t="str">
        <f t="shared" si="15"/>
        <v>-</v>
      </c>
      <c r="DQ35" s="612" t="str">
        <f t="shared" si="16"/>
        <v>-</v>
      </c>
      <c r="DR35" s="177">
        <f t="shared" si="3"/>
        <v>0</v>
      </c>
      <c r="DS35" s="177">
        <f t="shared" si="4"/>
        <v>0</v>
      </c>
      <c r="DT35" s="177">
        <f t="shared" si="5"/>
        <v>0</v>
      </c>
      <c r="DU35" s="185">
        <f t="shared" si="6"/>
        <v>0</v>
      </c>
      <c r="DV35" s="185">
        <f t="shared" si="17"/>
        <v>0</v>
      </c>
      <c r="DW35" s="185">
        <f t="shared" si="18"/>
        <v>0</v>
      </c>
      <c r="DX35" s="177">
        <f t="shared" si="7"/>
        <v>0</v>
      </c>
      <c r="DY35" s="177">
        <f t="shared" si="19"/>
        <v>0</v>
      </c>
      <c r="DZ35" s="177">
        <f t="shared" si="20"/>
        <v>0</v>
      </c>
      <c r="EA35" s="613">
        <f t="shared" si="21"/>
        <v>0</v>
      </c>
    </row>
    <row r="36" spans="1:131" s="603" customFormat="1" ht="14.25" thickBot="1">
      <c r="A36" s="172"/>
      <c r="B36" s="620" t="s">
        <v>3453</v>
      </c>
      <c r="C36" s="621"/>
      <c r="D36" s="621"/>
      <c r="G36" s="604">
        <v>29</v>
      </c>
      <c r="H36" s="605" t="str">
        <f t="shared" si="8"/>
        <v>N/A</v>
      </c>
      <c r="I36" s="605">
        <f t="shared" si="9"/>
        <v>0</v>
      </c>
      <c r="J36" s="606">
        <f t="shared" si="2"/>
        <v>0</v>
      </c>
      <c r="K36" s="607"/>
      <c r="L36" s="607"/>
      <c r="M36" s="300"/>
      <c r="N36" s="608"/>
      <c r="O36" s="609">
        <f t="shared" si="10"/>
        <v>0</v>
      </c>
      <c r="P36" s="609">
        <f t="shared" si="11"/>
        <v>0</v>
      </c>
      <c r="Q36" s="609">
        <f t="shared" si="12"/>
        <v>0</v>
      </c>
      <c r="R36" s="610">
        <f t="shared" si="13"/>
        <v>0</v>
      </c>
      <c r="S36" s="611"/>
      <c r="T36" s="611"/>
      <c r="U36" s="611"/>
      <c r="V36" s="611"/>
      <c r="W36" s="611"/>
      <c r="X36" s="611"/>
      <c r="Y36" s="611"/>
      <c r="Z36" s="611"/>
      <c r="AA36" s="611"/>
      <c r="AB36" s="611"/>
      <c r="AC36" s="611"/>
      <c r="AD36" s="611"/>
      <c r="AE36" s="611"/>
      <c r="AF36" s="611"/>
      <c r="AG36" s="611"/>
      <c r="AH36" s="611"/>
      <c r="AI36" s="611"/>
      <c r="AJ36" s="611"/>
      <c r="AK36" s="611"/>
      <c r="AL36" s="611"/>
      <c r="AM36" s="611"/>
      <c r="AN36" s="611"/>
      <c r="AO36" s="611"/>
      <c r="AP36" s="611"/>
      <c r="AQ36" s="611"/>
      <c r="AR36" s="611"/>
      <c r="AS36" s="611"/>
      <c r="AT36" s="611"/>
      <c r="AU36" s="611"/>
      <c r="AV36" s="611"/>
      <c r="AW36" s="611"/>
      <c r="AX36" s="611"/>
      <c r="AY36" s="611"/>
      <c r="AZ36" s="611"/>
      <c r="BA36" s="611"/>
      <c r="BB36" s="611"/>
      <c r="BC36" s="611"/>
      <c r="BD36" s="611"/>
      <c r="BE36" s="611"/>
      <c r="BF36" s="611"/>
      <c r="BG36" s="611"/>
      <c r="BH36" s="611"/>
      <c r="BI36" s="611"/>
      <c r="BJ36" s="611"/>
      <c r="BK36" s="611"/>
      <c r="BL36" s="611"/>
      <c r="BM36" s="611"/>
      <c r="BN36" s="611"/>
      <c r="BO36" s="611"/>
      <c r="BP36" s="611"/>
      <c r="BQ36" s="611"/>
      <c r="BR36" s="611"/>
      <c r="BS36" s="611"/>
      <c r="BT36" s="611"/>
      <c r="BU36" s="611"/>
      <c r="BV36" s="611"/>
      <c r="BW36" s="611"/>
      <c r="BX36" s="611"/>
      <c r="BY36" s="611"/>
      <c r="BZ36" s="611"/>
      <c r="CA36" s="611"/>
      <c r="CB36" s="611"/>
      <c r="CC36" s="611"/>
      <c r="CD36" s="611"/>
      <c r="CE36" s="611"/>
      <c r="CF36" s="611"/>
      <c r="CG36" s="611"/>
      <c r="CH36" s="611"/>
      <c r="CI36" s="611"/>
      <c r="CJ36" s="611"/>
      <c r="CK36" s="611"/>
      <c r="CL36" s="611"/>
      <c r="CM36" s="611"/>
      <c r="CN36" s="611"/>
      <c r="CO36" s="611"/>
      <c r="CP36" s="611"/>
      <c r="CQ36" s="611"/>
      <c r="CR36" s="611"/>
      <c r="CS36" s="611"/>
      <c r="CT36" s="611"/>
      <c r="CU36" s="611"/>
      <c r="CV36" s="611"/>
      <c r="CW36" s="611"/>
      <c r="CX36" s="611"/>
      <c r="CY36" s="611"/>
      <c r="CZ36" s="611"/>
      <c r="DA36" s="611"/>
      <c r="DB36" s="611"/>
      <c r="DC36" s="611"/>
      <c r="DD36" s="611"/>
      <c r="DE36" s="611"/>
      <c r="DF36" s="611"/>
      <c r="DG36" s="611"/>
      <c r="DH36" s="611"/>
      <c r="DI36" s="611"/>
      <c r="DJ36" s="611"/>
      <c r="DK36" s="611"/>
      <c r="DL36" s="611"/>
      <c r="DM36" s="611"/>
      <c r="DN36" s="611"/>
      <c r="DO36" s="177">
        <f t="shared" si="14"/>
        <v>0</v>
      </c>
      <c r="DP36" s="612" t="str">
        <f t="shared" si="15"/>
        <v>-</v>
      </c>
      <c r="DQ36" s="612" t="str">
        <f t="shared" si="16"/>
        <v>-</v>
      </c>
      <c r="DR36" s="177">
        <f t="shared" si="3"/>
        <v>0</v>
      </c>
      <c r="DS36" s="177">
        <f t="shared" si="4"/>
        <v>0</v>
      </c>
      <c r="DT36" s="177">
        <f t="shared" si="5"/>
        <v>0</v>
      </c>
      <c r="DU36" s="185">
        <f t="shared" si="6"/>
        <v>0</v>
      </c>
      <c r="DV36" s="185">
        <f t="shared" si="17"/>
        <v>0</v>
      </c>
      <c r="DW36" s="185">
        <f t="shared" si="18"/>
        <v>0</v>
      </c>
      <c r="DX36" s="177">
        <f t="shared" si="7"/>
        <v>0</v>
      </c>
      <c r="DY36" s="177">
        <f t="shared" si="19"/>
        <v>0</v>
      </c>
      <c r="DZ36" s="177">
        <f t="shared" si="20"/>
        <v>0</v>
      </c>
      <c r="EA36" s="613">
        <f t="shared" si="21"/>
        <v>0</v>
      </c>
    </row>
    <row r="37" spans="1:131" s="603" customFormat="1" ht="14.25" thickBot="1">
      <c r="A37" s="172"/>
      <c r="B37" s="630" t="s">
        <v>284</v>
      </c>
      <c r="C37" s="791" t="str">
        <f>IF((NAV!$E$36+$P$57)-$O$57&gt;0,"손실없음",NAV!$E$36+$P$57-$O$57)</f>
        <v>손실없음</v>
      </c>
      <c r="D37" s="791"/>
      <c r="E37" s="791"/>
      <c r="G37" s="604">
        <v>30</v>
      </c>
      <c r="H37" s="605" t="str">
        <f t="shared" si="8"/>
        <v>N/A</v>
      </c>
      <c r="I37" s="605">
        <f t="shared" si="9"/>
        <v>0</v>
      </c>
      <c r="J37" s="606">
        <f t="shared" si="2"/>
        <v>0</v>
      </c>
      <c r="K37" s="607"/>
      <c r="L37" s="607"/>
      <c r="M37" s="300"/>
      <c r="N37" s="608"/>
      <c r="O37" s="609">
        <f t="shared" si="10"/>
        <v>0</v>
      </c>
      <c r="P37" s="609">
        <f t="shared" si="11"/>
        <v>0</v>
      </c>
      <c r="Q37" s="609">
        <f t="shared" si="12"/>
        <v>0</v>
      </c>
      <c r="R37" s="610">
        <f t="shared" si="13"/>
        <v>0</v>
      </c>
      <c r="S37" s="611"/>
      <c r="T37" s="611"/>
      <c r="U37" s="611"/>
      <c r="V37" s="611"/>
      <c r="W37" s="611"/>
      <c r="X37" s="611"/>
      <c r="Y37" s="611"/>
      <c r="Z37" s="611"/>
      <c r="AA37" s="611"/>
      <c r="AB37" s="611"/>
      <c r="AC37" s="611"/>
      <c r="AD37" s="611"/>
      <c r="AE37" s="611"/>
      <c r="AF37" s="611"/>
      <c r="AG37" s="611"/>
      <c r="AH37" s="611"/>
      <c r="AI37" s="611"/>
      <c r="AJ37" s="611"/>
      <c r="AK37" s="611"/>
      <c r="AL37" s="611"/>
      <c r="AM37" s="611"/>
      <c r="AN37" s="611"/>
      <c r="AO37" s="611"/>
      <c r="AP37" s="611"/>
      <c r="AQ37" s="611"/>
      <c r="AR37" s="611"/>
      <c r="AS37" s="611"/>
      <c r="AT37" s="611"/>
      <c r="AU37" s="611"/>
      <c r="AV37" s="611"/>
      <c r="AW37" s="611"/>
      <c r="AX37" s="611"/>
      <c r="AY37" s="611"/>
      <c r="AZ37" s="611"/>
      <c r="BA37" s="611"/>
      <c r="BB37" s="611"/>
      <c r="BC37" s="611"/>
      <c r="BD37" s="611"/>
      <c r="BE37" s="611"/>
      <c r="BF37" s="611"/>
      <c r="BG37" s="611"/>
      <c r="BH37" s="611"/>
      <c r="BI37" s="611"/>
      <c r="BJ37" s="611"/>
      <c r="BK37" s="611"/>
      <c r="BL37" s="611"/>
      <c r="BM37" s="611"/>
      <c r="BN37" s="611"/>
      <c r="BO37" s="611"/>
      <c r="BP37" s="611"/>
      <c r="BQ37" s="611"/>
      <c r="BR37" s="611"/>
      <c r="BS37" s="611"/>
      <c r="BT37" s="611"/>
      <c r="BU37" s="611"/>
      <c r="BV37" s="611"/>
      <c r="BW37" s="611"/>
      <c r="BX37" s="611"/>
      <c r="BY37" s="611"/>
      <c r="BZ37" s="611"/>
      <c r="CA37" s="611"/>
      <c r="CB37" s="611"/>
      <c r="CC37" s="611"/>
      <c r="CD37" s="611"/>
      <c r="CE37" s="611"/>
      <c r="CF37" s="611"/>
      <c r="CG37" s="611"/>
      <c r="CH37" s="611"/>
      <c r="CI37" s="611"/>
      <c r="CJ37" s="611"/>
      <c r="CK37" s="611"/>
      <c r="CL37" s="611"/>
      <c r="CM37" s="611"/>
      <c r="CN37" s="611"/>
      <c r="CO37" s="611"/>
      <c r="CP37" s="611"/>
      <c r="CQ37" s="611"/>
      <c r="CR37" s="611"/>
      <c r="CS37" s="611"/>
      <c r="CT37" s="611"/>
      <c r="CU37" s="611"/>
      <c r="CV37" s="611"/>
      <c r="CW37" s="611"/>
      <c r="CX37" s="611"/>
      <c r="CY37" s="611"/>
      <c r="CZ37" s="611"/>
      <c r="DA37" s="611"/>
      <c r="DB37" s="611"/>
      <c r="DC37" s="611"/>
      <c r="DD37" s="611"/>
      <c r="DE37" s="611"/>
      <c r="DF37" s="611"/>
      <c r="DG37" s="611"/>
      <c r="DH37" s="611"/>
      <c r="DI37" s="611"/>
      <c r="DJ37" s="611"/>
      <c r="DK37" s="611"/>
      <c r="DL37" s="611"/>
      <c r="DM37" s="611"/>
      <c r="DN37" s="611"/>
      <c r="DO37" s="177">
        <f t="shared" si="14"/>
        <v>0</v>
      </c>
      <c r="DP37" s="612" t="str">
        <f t="shared" si="15"/>
        <v>-</v>
      </c>
      <c r="DQ37" s="612" t="str">
        <f t="shared" si="16"/>
        <v>-</v>
      </c>
      <c r="DR37" s="177">
        <f t="shared" si="3"/>
        <v>0</v>
      </c>
      <c r="DS37" s="177">
        <f t="shared" si="4"/>
        <v>0</v>
      </c>
      <c r="DT37" s="177">
        <f t="shared" si="5"/>
        <v>0</v>
      </c>
      <c r="DU37" s="185">
        <f t="shared" si="6"/>
        <v>0</v>
      </c>
      <c r="DV37" s="185">
        <f t="shared" si="17"/>
        <v>0</v>
      </c>
      <c r="DW37" s="185">
        <f t="shared" si="18"/>
        <v>0</v>
      </c>
      <c r="DX37" s="177">
        <f t="shared" si="7"/>
        <v>0</v>
      </c>
      <c r="DY37" s="177">
        <f t="shared" si="19"/>
        <v>0</v>
      </c>
      <c r="DZ37" s="177">
        <f t="shared" si="20"/>
        <v>0</v>
      </c>
      <c r="EA37" s="613">
        <f t="shared" si="21"/>
        <v>0</v>
      </c>
    </row>
    <row r="38" spans="1:131" s="603" customFormat="1" ht="13.5">
      <c r="A38" s="172"/>
      <c r="B38" s="275"/>
      <c r="C38" s="626"/>
      <c r="D38" s="626"/>
      <c r="E38" s="626"/>
      <c r="G38" s="604">
        <v>31</v>
      </c>
      <c r="H38" s="605" t="str">
        <f t="shared" si="8"/>
        <v>N/A</v>
      </c>
      <c r="I38" s="605">
        <f t="shared" si="9"/>
        <v>0</v>
      </c>
      <c r="J38" s="606">
        <f t="shared" si="2"/>
        <v>0</v>
      </c>
      <c r="K38" s="607"/>
      <c r="L38" s="607"/>
      <c r="M38" s="300"/>
      <c r="N38" s="608"/>
      <c r="O38" s="609">
        <f t="shared" si="10"/>
        <v>0</v>
      </c>
      <c r="P38" s="609">
        <f t="shared" si="11"/>
        <v>0</v>
      </c>
      <c r="Q38" s="609">
        <f t="shared" si="12"/>
        <v>0</v>
      </c>
      <c r="R38" s="610">
        <f t="shared" si="13"/>
        <v>0</v>
      </c>
      <c r="S38" s="611"/>
      <c r="T38" s="611"/>
      <c r="U38" s="611"/>
      <c r="V38" s="611"/>
      <c r="W38" s="611"/>
      <c r="X38" s="611"/>
      <c r="Y38" s="611"/>
      <c r="Z38" s="611"/>
      <c r="AA38" s="611"/>
      <c r="AB38" s="611"/>
      <c r="AC38" s="611"/>
      <c r="AD38" s="611"/>
      <c r="AE38" s="611"/>
      <c r="AF38" s="611"/>
      <c r="AG38" s="611"/>
      <c r="AH38" s="611"/>
      <c r="AI38" s="611"/>
      <c r="AJ38" s="611"/>
      <c r="AK38" s="611"/>
      <c r="AL38" s="611"/>
      <c r="AM38" s="611"/>
      <c r="AN38" s="611"/>
      <c r="AO38" s="611"/>
      <c r="AP38" s="611"/>
      <c r="AQ38" s="611"/>
      <c r="AR38" s="611"/>
      <c r="AS38" s="611"/>
      <c r="AT38" s="611"/>
      <c r="AU38" s="611"/>
      <c r="AV38" s="611"/>
      <c r="AW38" s="611"/>
      <c r="AX38" s="611"/>
      <c r="AY38" s="611"/>
      <c r="AZ38" s="611"/>
      <c r="BA38" s="611"/>
      <c r="BB38" s="611"/>
      <c r="BC38" s="611"/>
      <c r="BD38" s="611"/>
      <c r="BE38" s="611"/>
      <c r="BF38" s="611"/>
      <c r="BG38" s="611"/>
      <c r="BH38" s="611"/>
      <c r="BI38" s="611"/>
      <c r="BJ38" s="611"/>
      <c r="BK38" s="611"/>
      <c r="BL38" s="611"/>
      <c r="BM38" s="611"/>
      <c r="BN38" s="611"/>
      <c r="BO38" s="611"/>
      <c r="BP38" s="611"/>
      <c r="BQ38" s="611"/>
      <c r="BR38" s="611"/>
      <c r="BS38" s="611"/>
      <c r="BT38" s="611"/>
      <c r="BU38" s="611"/>
      <c r="BV38" s="611"/>
      <c r="BW38" s="611"/>
      <c r="BX38" s="611"/>
      <c r="BY38" s="611"/>
      <c r="BZ38" s="611"/>
      <c r="CA38" s="611"/>
      <c r="CB38" s="611"/>
      <c r="CC38" s="611"/>
      <c r="CD38" s="611"/>
      <c r="CE38" s="611"/>
      <c r="CF38" s="611"/>
      <c r="CG38" s="611"/>
      <c r="CH38" s="611"/>
      <c r="CI38" s="611"/>
      <c r="CJ38" s="611"/>
      <c r="CK38" s="611"/>
      <c r="CL38" s="611"/>
      <c r="CM38" s="611"/>
      <c r="CN38" s="611"/>
      <c r="CO38" s="611"/>
      <c r="CP38" s="611"/>
      <c r="CQ38" s="611"/>
      <c r="CR38" s="611"/>
      <c r="CS38" s="611"/>
      <c r="CT38" s="611"/>
      <c r="CU38" s="611"/>
      <c r="CV38" s="611"/>
      <c r="CW38" s="611"/>
      <c r="CX38" s="611"/>
      <c r="CY38" s="611"/>
      <c r="CZ38" s="611"/>
      <c r="DA38" s="611"/>
      <c r="DB38" s="611"/>
      <c r="DC38" s="611"/>
      <c r="DD38" s="611"/>
      <c r="DE38" s="611"/>
      <c r="DF38" s="611"/>
      <c r="DG38" s="611"/>
      <c r="DH38" s="611"/>
      <c r="DI38" s="611"/>
      <c r="DJ38" s="611"/>
      <c r="DK38" s="611"/>
      <c r="DL38" s="611"/>
      <c r="DM38" s="611"/>
      <c r="DN38" s="611"/>
      <c r="DO38" s="177">
        <f t="shared" si="14"/>
        <v>0</v>
      </c>
      <c r="DP38" s="612" t="str">
        <f t="shared" si="15"/>
        <v>-</v>
      </c>
      <c r="DQ38" s="612" t="str">
        <f t="shared" si="16"/>
        <v>-</v>
      </c>
      <c r="DR38" s="177">
        <f t="shared" si="3"/>
        <v>0</v>
      </c>
      <c r="DS38" s="177">
        <f t="shared" si="4"/>
        <v>0</v>
      </c>
      <c r="DT38" s="177">
        <f t="shared" si="5"/>
        <v>0</v>
      </c>
      <c r="DU38" s="185">
        <f t="shared" si="6"/>
        <v>0</v>
      </c>
      <c r="DV38" s="185">
        <f t="shared" si="17"/>
        <v>0</v>
      </c>
      <c r="DW38" s="185">
        <f t="shared" si="18"/>
        <v>0</v>
      </c>
      <c r="DX38" s="177">
        <f t="shared" si="7"/>
        <v>0</v>
      </c>
      <c r="DY38" s="177">
        <f t="shared" si="19"/>
        <v>0</v>
      </c>
      <c r="DZ38" s="177">
        <f t="shared" si="20"/>
        <v>0</v>
      </c>
      <c r="EA38" s="613">
        <f t="shared" si="21"/>
        <v>0</v>
      </c>
    </row>
    <row r="39" spans="1:131" s="603" customFormat="1" ht="13.5">
      <c r="A39" s="172"/>
      <c r="B39" s="275"/>
      <c r="C39" s="626"/>
      <c r="D39" s="626"/>
      <c r="E39" s="626"/>
      <c r="G39" s="604">
        <v>32</v>
      </c>
      <c r="H39" s="605" t="str">
        <f t="shared" si="8"/>
        <v>N/A</v>
      </c>
      <c r="I39" s="605">
        <f t="shared" si="9"/>
        <v>0</v>
      </c>
      <c r="J39" s="606">
        <f t="shared" si="2"/>
        <v>0</v>
      </c>
      <c r="K39" s="607"/>
      <c r="L39" s="607"/>
      <c r="M39" s="300"/>
      <c r="N39" s="608"/>
      <c r="O39" s="609">
        <f t="shared" si="10"/>
        <v>0</v>
      </c>
      <c r="P39" s="609">
        <f t="shared" si="11"/>
        <v>0</v>
      </c>
      <c r="Q39" s="609">
        <f t="shared" si="12"/>
        <v>0</v>
      </c>
      <c r="R39" s="610">
        <f t="shared" si="13"/>
        <v>0</v>
      </c>
      <c r="S39" s="611"/>
      <c r="T39" s="611"/>
      <c r="U39" s="611"/>
      <c r="V39" s="611"/>
      <c r="W39" s="611"/>
      <c r="X39" s="611"/>
      <c r="Y39" s="611"/>
      <c r="Z39" s="611"/>
      <c r="AA39" s="611"/>
      <c r="AB39" s="611"/>
      <c r="AC39" s="611"/>
      <c r="AD39" s="611"/>
      <c r="AE39" s="611"/>
      <c r="AF39" s="611"/>
      <c r="AG39" s="611"/>
      <c r="AH39" s="611"/>
      <c r="AI39" s="611"/>
      <c r="AJ39" s="611"/>
      <c r="AK39" s="611"/>
      <c r="AL39" s="611"/>
      <c r="AM39" s="611"/>
      <c r="AN39" s="611"/>
      <c r="AO39" s="611"/>
      <c r="AP39" s="611"/>
      <c r="AQ39" s="611"/>
      <c r="AR39" s="611"/>
      <c r="AS39" s="611"/>
      <c r="AT39" s="611"/>
      <c r="AU39" s="611"/>
      <c r="AV39" s="611"/>
      <c r="AW39" s="611"/>
      <c r="AX39" s="611"/>
      <c r="AY39" s="611"/>
      <c r="AZ39" s="611"/>
      <c r="BA39" s="611"/>
      <c r="BB39" s="611"/>
      <c r="BC39" s="611"/>
      <c r="BD39" s="611"/>
      <c r="BE39" s="611"/>
      <c r="BF39" s="611"/>
      <c r="BG39" s="611"/>
      <c r="BH39" s="611"/>
      <c r="BI39" s="611"/>
      <c r="BJ39" s="611"/>
      <c r="BK39" s="611"/>
      <c r="BL39" s="611"/>
      <c r="BM39" s="611"/>
      <c r="BN39" s="611"/>
      <c r="BO39" s="611"/>
      <c r="BP39" s="611"/>
      <c r="BQ39" s="611"/>
      <c r="BR39" s="611"/>
      <c r="BS39" s="611"/>
      <c r="BT39" s="611"/>
      <c r="BU39" s="611"/>
      <c r="BV39" s="611"/>
      <c r="BW39" s="611"/>
      <c r="BX39" s="611"/>
      <c r="BY39" s="611"/>
      <c r="BZ39" s="611"/>
      <c r="CA39" s="611"/>
      <c r="CB39" s="611"/>
      <c r="CC39" s="611"/>
      <c r="CD39" s="611"/>
      <c r="CE39" s="611"/>
      <c r="CF39" s="611"/>
      <c r="CG39" s="611"/>
      <c r="CH39" s="611"/>
      <c r="CI39" s="611"/>
      <c r="CJ39" s="611"/>
      <c r="CK39" s="611"/>
      <c r="CL39" s="611"/>
      <c r="CM39" s="611"/>
      <c r="CN39" s="611"/>
      <c r="CO39" s="611"/>
      <c r="CP39" s="611"/>
      <c r="CQ39" s="611"/>
      <c r="CR39" s="611"/>
      <c r="CS39" s="611"/>
      <c r="CT39" s="611"/>
      <c r="CU39" s="611"/>
      <c r="CV39" s="611"/>
      <c r="CW39" s="611"/>
      <c r="CX39" s="611"/>
      <c r="CY39" s="611"/>
      <c r="CZ39" s="611"/>
      <c r="DA39" s="611"/>
      <c r="DB39" s="611"/>
      <c r="DC39" s="611"/>
      <c r="DD39" s="611"/>
      <c r="DE39" s="611"/>
      <c r="DF39" s="611"/>
      <c r="DG39" s="611"/>
      <c r="DH39" s="611"/>
      <c r="DI39" s="611"/>
      <c r="DJ39" s="611"/>
      <c r="DK39" s="611"/>
      <c r="DL39" s="611"/>
      <c r="DM39" s="611"/>
      <c r="DN39" s="611"/>
      <c r="DO39" s="177">
        <f t="shared" si="14"/>
        <v>0</v>
      </c>
      <c r="DP39" s="612" t="str">
        <f t="shared" si="15"/>
        <v>-</v>
      </c>
      <c r="DQ39" s="612" t="str">
        <f t="shared" si="16"/>
        <v>-</v>
      </c>
      <c r="DR39" s="177">
        <f t="shared" si="3"/>
        <v>0</v>
      </c>
      <c r="DS39" s="177">
        <f t="shared" si="4"/>
        <v>0</v>
      </c>
      <c r="DT39" s="177">
        <f t="shared" si="5"/>
        <v>0</v>
      </c>
      <c r="DU39" s="185">
        <f t="shared" si="6"/>
        <v>0</v>
      </c>
      <c r="DV39" s="185">
        <f t="shared" si="17"/>
        <v>0</v>
      </c>
      <c r="DW39" s="185">
        <f t="shared" si="18"/>
        <v>0</v>
      </c>
      <c r="DX39" s="177">
        <f t="shared" si="7"/>
        <v>0</v>
      </c>
      <c r="DY39" s="177">
        <f t="shared" si="19"/>
        <v>0</v>
      </c>
      <c r="DZ39" s="177">
        <f t="shared" si="20"/>
        <v>0</v>
      </c>
      <c r="EA39" s="613">
        <f t="shared" si="21"/>
        <v>0</v>
      </c>
    </row>
    <row r="40" spans="1:131" s="603" customFormat="1" ht="13.5">
      <c r="A40" s="172"/>
      <c r="B40" s="275"/>
      <c r="C40" s="626"/>
      <c r="D40" s="626"/>
      <c r="E40" s="626"/>
      <c r="G40" s="604">
        <v>33</v>
      </c>
      <c r="H40" s="605" t="str">
        <f t="shared" si="8"/>
        <v>N/A</v>
      </c>
      <c r="I40" s="605">
        <f t="shared" si="9"/>
        <v>0</v>
      </c>
      <c r="J40" s="606">
        <f t="shared" si="2"/>
        <v>0</v>
      </c>
      <c r="K40" s="607"/>
      <c r="L40" s="607"/>
      <c r="M40" s="300"/>
      <c r="N40" s="608"/>
      <c r="O40" s="609">
        <f t="shared" si="10"/>
        <v>0</v>
      </c>
      <c r="P40" s="609">
        <f t="shared" si="11"/>
        <v>0</v>
      </c>
      <c r="Q40" s="609">
        <f t="shared" si="12"/>
        <v>0</v>
      </c>
      <c r="R40" s="610">
        <f t="shared" si="13"/>
        <v>0</v>
      </c>
      <c r="S40" s="611"/>
      <c r="T40" s="611"/>
      <c r="U40" s="611"/>
      <c r="V40" s="611"/>
      <c r="W40" s="611"/>
      <c r="X40" s="611"/>
      <c r="Y40" s="611"/>
      <c r="Z40" s="611"/>
      <c r="AA40" s="611"/>
      <c r="AB40" s="611"/>
      <c r="AC40" s="611"/>
      <c r="AD40" s="611"/>
      <c r="AE40" s="611"/>
      <c r="AF40" s="611"/>
      <c r="AG40" s="611"/>
      <c r="AH40" s="611"/>
      <c r="AI40" s="611"/>
      <c r="AJ40" s="611"/>
      <c r="AK40" s="611"/>
      <c r="AL40" s="611"/>
      <c r="AM40" s="611"/>
      <c r="AN40" s="611"/>
      <c r="AO40" s="611"/>
      <c r="AP40" s="611"/>
      <c r="AQ40" s="611"/>
      <c r="AR40" s="611"/>
      <c r="AS40" s="611"/>
      <c r="AT40" s="611"/>
      <c r="AU40" s="611"/>
      <c r="AV40" s="611"/>
      <c r="AW40" s="611"/>
      <c r="AX40" s="611"/>
      <c r="AY40" s="611"/>
      <c r="AZ40" s="611"/>
      <c r="BA40" s="611"/>
      <c r="BB40" s="611"/>
      <c r="BC40" s="611"/>
      <c r="BD40" s="611"/>
      <c r="BE40" s="611"/>
      <c r="BF40" s="611"/>
      <c r="BG40" s="611"/>
      <c r="BH40" s="611"/>
      <c r="BI40" s="611"/>
      <c r="BJ40" s="611"/>
      <c r="BK40" s="611"/>
      <c r="BL40" s="611"/>
      <c r="BM40" s="611"/>
      <c r="BN40" s="611"/>
      <c r="BO40" s="611"/>
      <c r="BP40" s="611"/>
      <c r="BQ40" s="611"/>
      <c r="BR40" s="611"/>
      <c r="BS40" s="611"/>
      <c r="BT40" s="611"/>
      <c r="BU40" s="611"/>
      <c r="BV40" s="611"/>
      <c r="BW40" s="611"/>
      <c r="BX40" s="611"/>
      <c r="BY40" s="611"/>
      <c r="BZ40" s="611"/>
      <c r="CA40" s="611"/>
      <c r="CB40" s="611"/>
      <c r="CC40" s="611"/>
      <c r="CD40" s="611"/>
      <c r="CE40" s="611"/>
      <c r="CF40" s="611"/>
      <c r="CG40" s="611"/>
      <c r="CH40" s="611"/>
      <c r="CI40" s="611"/>
      <c r="CJ40" s="611"/>
      <c r="CK40" s="611"/>
      <c r="CL40" s="611"/>
      <c r="CM40" s="611"/>
      <c r="CN40" s="611"/>
      <c r="CO40" s="611"/>
      <c r="CP40" s="611"/>
      <c r="CQ40" s="611"/>
      <c r="CR40" s="611"/>
      <c r="CS40" s="611"/>
      <c r="CT40" s="611"/>
      <c r="CU40" s="611"/>
      <c r="CV40" s="611"/>
      <c r="CW40" s="611"/>
      <c r="CX40" s="611"/>
      <c r="CY40" s="611"/>
      <c r="CZ40" s="611"/>
      <c r="DA40" s="611"/>
      <c r="DB40" s="611"/>
      <c r="DC40" s="611"/>
      <c r="DD40" s="611"/>
      <c r="DE40" s="611"/>
      <c r="DF40" s="611"/>
      <c r="DG40" s="611"/>
      <c r="DH40" s="611"/>
      <c r="DI40" s="611"/>
      <c r="DJ40" s="611"/>
      <c r="DK40" s="611"/>
      <c r="DL40" s="611"/>
      <c r="DM40" s="611"/>
      <c r="DN40" s="611"/>
      <c r="DO40" s="177">
        <f t="shared" si="14"/>
        <v>0</v>
      </c>
      <c r="DP40" s="612" t="str">
        <f t="shared" si="15"/>
        <v>-</v>
      </c>
      <c r="DQ40" s="612" t="str">
        <f t="shared" si="16"/>
        <v>-</v>
      </c>
      <c r="DR40" s="177">
        <f t="shared" ref="DR40:DR56" si="22">IF(OR($C$22="선순위 → 중순위 → 후순위 → IRR",$C$22="선순위 → 중순위 → 후순위 → 선순위 IRR → 중순위 IRR → 후순위 IRR"),IF(L40="선순위출자자",IF($DR$6&gt;(-SUMIF($L$8:$L$56,"선순위출자자",$P$8:$P$56)+SUMIF($L$8:$L$56,"선순위출자자",$O$8:$O$56)),$O40-$P40,$DR$6*R40/(SUMIF($L$8:$L$56,"선순위출자자",$R$8:$R$56))),L40),IF(L40="선순위출자자",IF($DR$6&gt;SUMIF($L$8:$L$56,"선순위출자자",$DO$8:$DO$56),$DO40,$DR$6*Q40/(SUMIF($L$8:$L$56,"선순위출자자",$Q$8:$Q$56))),L40))</f>
        <v>0</v>
      </c>
      <c r="DS40" s="177">
        <f t="shared" ref="DS40:DS56" si="23">IF(OR($C$22="선순위 → 중순위 → 후순위 → IRR",$C$22="선순위 → 중순위 → 후순위 → 선순위 IRR → 중순위 IRR → 후순위 IRR"),IF(L40="중순위출자자",IF($DS$6&gt;(-SUMIF($L$8:$L$56,"중순위출자자",$P$8:$P$56)+SUMIF($L$8:$L$56,"중순위출자자",$O$8:$O$56)),$O40-$P40,$DS$6*R40/(SUMIF($L$8:$L$56,"중순위출자자",$R$8:$R$56))),L40),IF(L40="중순위출자자",IF($DS$6&gt;SUMIF($L$8:$L$56,"중순위출자자",$DO$8:$DO$56),$DO40,$DS$6*Q40/(SUMIF($L$8:$L$56,"중순위출자자",$Q$8:$Q$56))),L40))</f>
        <v>0</v>
      </c>
      <c r="DT40" s="177">
        <f t="shared" ref="DT40:DT56" si="24">IF(OR($C$22="선순위 → 중순위 → 후순위 → IRR",$C$22="선순위 → 중순위 → 후순위 → 선순위 IRR → 중순위 IRR → 후순위 IRR"),IF(L40="후순위출자자",IF($DT$6&gt;(-SUMIF($L$8:$L$56,"후순위출자자",$P$8:$P$56)+SUMIF($L$8:$L$56,"후순위출자자",$O$8:$O$56)),$O40-$P40,$DT$6*R40/(SUMIF($L$8:$L$56,"후순위출자자",$R$8:$R$56))),L40),IF(L40="후순위출자자",IF($DT$6&gt;SUMIF($L$8:$L$56,"후순위출자자",$DO$8:$DO$56),$DO40,$DT$6*Q40/(SUMIF($L$8:$L$56,"후순위출자자",$Q$8:$Q$56))),L40))</f>
        <v>0</v>
      </c>
      <c r="DU40" s="185">
        <f t="shared" si="6"/>
        <v>0</v>
      </c>
      <c r="DV40" s="185">
        <f t="shared" si="17"/>
        <v>0</v>
      </c>
      <c r="DW40" s="185">
        <f t="shared" si="18"/>
        <v>0</v>
      </c>
      <c r="DX40" s="177">
        <f t="shared" ref="DX40:DX56" si="25">IF(K40="업무집행사원(GP)",IF($DX$6&gt;0,$DX$6*(R40/SUMIF($K$8:$K$56,K40,$R$8:$R$56)),0),0)</f>
        <v>0</v>
      </c>
      <c r="DY40" s="177">
        <f t="shared" si="19"/>
        <v>0</v>
      </c>
      <c r="DZ40" s="177">
        <f t="shared" si="20"/>
        <v>0</v>
      </c>
      <c r="EA40" s="613">
        <f t="shared" si="21"/>
        <v>0</v>
      </c>
    </row>
    <row r="41" spans="1:131" s="603" customFormat="1" ht="13.5">
      <c r="A41" s="172"/>
      <c r="B41" s="275"/>
      <c r="C41" s="626"/>
      <c r="D41" s="626"/>
      <c r="E41" s="626"/>
      <c r="G41" s="604">
        <v>34</v>
      </c>
      <c r="H41" s="605" t="str">
        <f t="shared" si="8"/>
        <v>N/A</v>
      </c>
      <c r="I41" s="605">
        <f t="shared" si="9"/>
        <v>0</v>
      </c>
      <c r="J41" s="606">
        <f t="shared" si="2"/>
        <v>0</v>
      </c>
      <c r="K41" s="607"/>
      <c r="L41" s="607"/>
      <c r="M41" s="300"/>
      <c r="N41" s="608"/>
      <c r="O41" s="609">
        <f t="shared" si="10"/>
        <v>0</v>
      </c>
      <c r="P41" s="609">
        <f t="shared" si="11"/>
        <v>0</v>
      </c>
      <c r="Q41" s="609">
        <f t="shared" si="12"/>
        <v>0</v>
      </c>
      <c r="R41" s="610">
        <f t="shared" si="13"/>
        <v>0</v>
      </c>
      <c r="S41" s="611"/>
      <c r="T41" s="611"/>
      <c r="U41" s="611"/>
      <c r="V41" s="611"/>
      <c r="W41" s="611"/>
      <c r="X41" s="611"/>
      <c r="Y41" s="611"/>
      <c r="Z41" s="611"/>
      <c r="AA41" s="611"/>
      <c r="AB41" s="611"/>
      <c r="AC41" s="611"/>
      <c r="AD41" s="611"/>
      <c r="AE41" s="611"/>
      <c r="AF41" s="611"/>
      <c r="AG41" s="611"/>
      <c r="AH41" s="611"/>
      <c r="AI41" s="611"/>
      <c r="AJ41" s="611"/>
      <c r="AK41" s="611"/>
      <c r="AL41" s="611"/>
      <c r="AM41" s="611"/>
      <c r="AN41" s="611"/>
      <c r="AO41" s="611"/>
      <c r="AP41" s="611"/>
      <c r="AQ41" s="611"/>
      <c r="AR41" s="611"/>
      <c r="AS41" s="611"/>
      <c r="AT41" s="611"/>
      <c r="AU41" s="611"/>
      <c r="AV41" s="611"/>
      <c r="AW41" s="611"/>
      <c r="AX41" s="611"/>
      <c r="AY41" s="611"/>
      <c r="AZ41" s="611"/>
      <c r="BA41" s="611"/>
      <c r="BB41" s="611"/>
      <c r="BC41" s="611"/>
      <c r="BD41" s="611"/>
      <c r="BE41" s="611"/>
      <c r="BF41" s="611"/>
      <c r="BG41" s="611"/>
      <c r="BH41" s="611"/>
      <c r="BI41" s="611"/>
      <c r="BJ41" s="611"/>
      <c r="BK41" s="611"/>
      <c r="BL41" s="611"/>
      <c r="BM41" s="611"/>
      <c r="BN41" s="611"/>
      <c r="BO41" s="611"/>
      <c r="BP41" s="611"/>
      <c r="BQ41" s="611"/>
      <c r="BR41" s="611"/>
      <c r="BS41" s="611"/>
      <c r="BT41" s="611"/>
      <c r="BU41" s="611"/>
      <c r="BV41" s="611"/>
      <c r="BW41" s="611"/>
      <c r="BX41" s="611"/>
      <c r="BY41" s="611"/>
      <c r="BZ41" s="611"/>
      <c r="CA41" s="611"/>
      <c r="CB41" s="611"/>
      <c r="CC41" s="611"/>
      <c r="CD41" s="611"/>
      <c r="CE41" s="611"/>
      <c r="CF41" s="611"/>
      <c r="CG41" s="611"/>
      <c r="CH41" s="611"/>
      <c r="CI41" s="611"/>
      <c r="CJ41" s="611"/>
      <c r="CK41" s="611"/>
      <c r="CL41" s="611"/>
      <c r="CM41" s="611"/>
      <c r="CN41" s="611"/>
      <c r="CO41" s="611"/>
      <c r="CP41" s="611"/>
      <c r="CQ41" s="611"/>
      <c r="CR41" s="611"/>
      <c r="CS41" s="611"/>
      <c r="CT41" s="611"/>
      <c r="CU41" s="611"/>
      <c r="CV41" s="611"/>
      <c r="CW41" s="611"/>
      <c r="CX41" s="611"/>
      <c r="CY41" s="611"/>
      <c r="CZ41" s="611"/>
      <c r="DA41" s="611"/>
      <c r="DB41" s="611"/>
      <c r="DC41" s="611"/>
      <c r="DD41" s="611"/>
      <c r="DE41" s="611"/>
      <c r="DF41" s="611"/>
      <c r="DG41" s="611"/>
      <c r="DH41" s="611"/>
      <c r="DI41" s="611"/>
      <c r="DJ41" s="611"/>
      <c r="DK41" s="611"/>
      <c r="DL41" s="611"/>
      <c r="DM41" s="611"/>
      <c r="DN41" s="611"/>
      <c r="DO41" s="177">
        <f t="shared" si="14"/>
        <v>0</v>
      </c>
      <c r="DP41" s="612" t="str">
        <f t="shared" si="15"/>
        <v>-</v>
      </c>
      <c r="DQ41" s="612" t="str">
        <f t="shared" si="16"/>
        <v>-</v>
      </c>
      <c r="DR41" s="177">
        <f t="shared" si="22"/>
        <v>0</v>
      </c>
      <c r="DS41" s="177">
        <f t="shared" si="23"/>
        <v>0</v>
      </c>
      <c r="DT41" s="177">
        <f t="shared" si="24"/>
        <v>0</v>
      </c>
      <c r="DU41" s="185">
        <f t="shared" si="6"/>
        <v>0</v>
      </c>
      <c r="DV41" s="185">
        <f t="shared" si="17"/>
        <v>0</v>
      </c>
      <c r="DW41" s="185">
        <f t="shared" si="18"/>
        <v>0</v>
      </c>
      <c r="DX41" s="177">
        <f t="shared" si="25"/>
        <v>0</v>
      </c>
      <c r="DY41" s="177">
        <f t="shared" si="19"/>
        <v>0</v>
      </c>
      <c r="DZ41" s="177">
        <f t="shared" si="20"/>
        <v>0</v>
      </c>
      <c r="EA41" s="613">
        <f t="shared" si="21"/>
        <v>0</v>
      </c>
    </row>
    <row r="42" spans="1:131" s="603" customFormat="1" ht="13.5">
      <c r="A42" s="172"/>
      <c r="B42" s="275"/>
      <c r="C42" s="626"/>
      <c r="D42" s="626"/>
      <c r="E42" s="626"/>
      <c r="G42" s="604">
        <v>35</v>
      </c>
      <c r="H42" s="605" t="str">
        <f t="shared" si="8"/>
        <v>N/A</v>
      </c>
      <c r="I42" s="605">
        <f t="shared" si="9"/>
        <v>0</v>
      </c>
      <c r="J42" s="606">
        <f t="shared" si="2"/>
        <v>0</v>
      </c>
      <c r="K42" s="607"/>
      <c r="L42" s="607"/>
      <c r="M42" s="300"/>
      <c r="N42" s="608"/>
      <c r="O42" s="609">
        <f t="shared" si="10"/>
        <v>0</v>
      </c>
      <c r="P42" s="609">
        <f t="shared" si="11"/>
        <v>0</v>
      </c>
      <c r="Q42" s="609">
        <f t="shared" si="12"/>
        <v>0</v>
      </c>
      <c r="R42" s="610">
        <f t="shared" si="13"/>
        <v>0</v>
      </c>
      <c r="S42" s="611"/>
      <c r="T42" s="611"/>
      <c r="U42" s="611"/>
      <c r="V42" s="611"/>
      <c r="W42" s="611"/>
      <c r="X42" s="611"/>
      <c r="Y42" s="611"/>
      <c r="Z42" s="611"/>
      <c r="AA42" s="611"/>
      <c r="AB42" s="611"/>
      <c r="AC42" s="611"/>
      <c r="AD42" s="611"/>
      <c r="AE42" s="611"/>
      <c r="AF42" s="611"/>
      <c r="AG42" s="611"/>
      <c r="AH42" s="611"/>
      <c r="AI42" s="611"/>
      <c r="AJ42" s="611"/>
      <c r="AK42" s="611"/>
      <c r="AL42" s="611"/>
      <c r="AM42" s="611"/>
      <c r="AN42" s="611"/>
      <c r="AO42" s="611"/>
      <c r="AP42" s="611"/>
      <c r="AQ42" s="611"/>
      <c r="AR42" s="611"/>
      <c r="AS42" s="611"/>
      <c r="AT42" s="611"/>
      <c r="AU42" s="611"/>
      <c r="AV42" s="611"/>
      <c r="AW42" s="611"/>
      <c r="AX42" s="611"/>
      <c r="AY42" s="611"/>
      <c r="AZ42" s="611"/>
      <c r="BA42" s="611"/>
      <c r="BB42" s="611"/>
      <c r="BC42" s="611"/>
      <c r="BD42" s="611"/>
      <c r="BE42" s="611"/>
      <c r="BF42" s="611"/>
      <c r="BG42" s="611"/>
      <c r="BH42" s="611"/>
      <c r="BI42" s="611"/>
      <c r="BJ42" s="611"/>
      <c r="BK42" s="611"/>
      <c r="BL42" s="611"/>
      <c r="BM42" s="611"/>
      <c r="BN42" s="611"/>
      <c r="BO42" s="611"/>
      <c r="BP42" s="611"/>
      <c r="BQ42" s="611"/>
      <c r="BR42" s="611"/>
      <c r="BS42" s="611"/>
      <c r="BT42" s="611"/>
      <c r="BU42" s="611"/>
      <c r="BV42" s="611"/>
      <c r="BW42" s="611"/>
      <c r="BX42" s="611"/>
      <c r="BY42" s="611"/>
      <c r="BZ42" s="611"/>
      <c r="CA42" s="611"/>
      <c r="CB42" s="611"/>
      <c r="CC42" s="611"/>
      <c r="CD42" s="611"/>
      <c r="CE42" s="611"/>
      <c r="CF42" s="611"/>
      <c r="CG42" s="611"/>
      <c r="CH42" s="611"/>
      <c r="CI42" s="611"/>
      <c r="CJ42" s="611"/>
      <c r="CK42" s="611"/>
      <c r="CL42" s="611"/>
      <c r="CM42" s="611"/>
      <c r="CN42" s="611"/>
      <c r="CO42" s="611"/>
      <c r="CP42" s="611"/>
      <c r="CQ42" s="611"/>
      <c r="CR42" s="611"/>
      <c r="CS42" s="611"/>
      <c r="CT42" s="611"/>
      <c r="CU42" s="611"/>
      <c r="CV42" s="611"/>
      <c r="CW42" s="611"/>
      <c r="CX42" s="611"/>
      <c r="CY42" s="611"/>
      <c r="CZ42" s="611"/>
      <c r="DA42" s="611"/>
      <c r="DB42" s="611"/>
      <c r="DC42" s="611"/>
      <c r="DD42" s="611"/>
      <c r="DE42" s="611"/>
      <c r="DF42" s="611"/>
      <c r="DG42" s="611"/>
      <c r="DH42" s="611"/>
      <c r="DI42" s="611"/>
      <c r="DJ42" s="611"/>
      <c r="DK42" s="611"/>
      <c r="DL42" s="611"/>
      <c r="DM42" s="611"/>
      <c r="DN42" s="611"/>
      <c r="DO42" s="177">
        <f t="shared" si="14"/>
        <v>0</v>
      </c>
      <c r="DP42" s="612" t="str">
        <f t="shared" si="15"/>
        <v>-</v>
      </c>
      <c r="DQ42" s="612" t="str">
        <f t="shared" si="16"/>
        <v>-</v>
      </c>
      <c r="DR42" s="177">
        <f t="shared" si="22"/>
        <v>0</v>
      </c>
      <c r="DS42" s="177">
        <f t="shared" si="23"/>
        <v>0</v>
      </c>
      <c r="DT42" s="177">
        <f t="shared" si="24"/>
        <v>0</v>
      </c>
      <c r="DU42" s="185">
        <f t="shared" si="6"/>
        <v>0</v>
      </c>
      <c r="DV42" s="185">
        <f t="shared" si="17"/>
        <v>0</v>
      </c>
      <c r="DW42" s="185">
        <f t="shared" si="18"/>
        <v>0</v>
      </c>
      <c r="DX42" s="177">
        <f t="shared" si="25"/>
        <v>0</v>
      </c>
      <c r="DY42" s="177">
        <f t="shared" si="19"/>
        <v>0</v>
      </c>
      <c r="DZ42" s="177">
        <f t="shared" si="20"/>
        <v>0</v>
      </c>
      <c r="EA42" s="613">
        <f t="shared" si="21"/>
        <v>0</v>
      </c>
    </row>
    <row r="43" spans="1:131" s="603" customFormat="1" ht="13.5">
      <c r="A43" s="172"/>
      <c r="B43" s="275"/>
      <c r="C43" s="626"/>
      <c r="D43" s="626"/>
      <c r="E43" s="626"/>
      <c r="G43" s="604">
        <v>36</v>
      </c>
      <c r="H43" s="605" t="str">
        <f t="shared" si="8"/>
        <v>N/A</v>
      </c>
      <c r="I43" s="605">
        <f t="shared" si="9"/>
        <v>0</v>
      </c>
      <c r="J43" s="606">
        <f t="shared" si="2"/>
        <v>0</v>
      </c>
      <c r="K43" s="607"/>
      <c r="L43" s="607"/>
      <c r="M43" s="300"/>
      <c r="N43" s="608"/>
      <c r="O43" s="609">
        <f t="shared" si="10"/>
        <v>0</v>
      </c>
      <c r="P43" s="609">
        <f t="shared" si="11"/>
        <v>0</v>
      </c>
      <c r="Q43" s="609">
        <f t="shared" si="12"/>
        <v>0</v>
      </c>
      <c r="R43" s="610">
        <f t="shared" si="13"/>
        <v>0</v>
      </c>
      <c r="S43" s="611"/>
      <c r="T43" s="611"/>
      <c r="U43" s="611"/>
      <c r="V43" s="611"/>
      <c r="W43" s="611"/>
      <c r="X43" s="611"/>
      <c r="Y43" s="611"/>
      <c r="Z43" s="611"/>
      <c r="AA43" s="611"/>
      <c r="AB43" s="611"/>
      <c r="AC43" s="611"/>
      <c r="AD43" s="611"/>
      <c r="AE43" s="611"/>
      <c r="AF43" s="611"/>
      <c r="AG43" s="611"/>
      <c r="AH43" s="611"/>
      <c r="AI43" s="611"/>
      <c r="AJ43" s="611"/>
      <c r="AK43" s="611"/>
      <c r="AL43" s="611"/>
      <c r="AM43" s="611"/>
      <c r="AN43" s="611"/>
      <c r="AO43" s="611"/>
      <c r="AP43" s="611"/>
      <c r="AQ43" s="611"/>
      <c r="AR43" s="611"/>
      <c r="AS43" s="611"/>
      <c r="AT43" s="611"/>
      <c r="AU43" s="611"/>
      <c r="AV43" s="611"/>
      <c r="AW43" s="611"/>
      <c r="AX43" s="611"/>
      <c r="AY43" s="611"/>
      <c r="AZ43" s="611"/>
      <c r="BA43" s="611"/>
      <c r="BB43" s="611"/>
      <c r="BC43" s="611"/>
      <c r="BD43" s="611"/>
      <c r="BE43" s="611"/>
      <c r="BF43" s="611"/>
      <c r="BG43" s="611"/>
      <c r="BH43" s="611"/>
      <c r="BI43" s="611"/>
      <c r="BJ43" s="611"/>
      <c r="BK43" s="611"/>
      <c r="BL43" s="611"/>
      <c r="BM43" s="611"/>
      <c r="BN43" s="611"/>
      <c r="BO43" s="611"/>
      <c r="BP43" s="611"/>
      <c r="BQ43" s="611"/>
      <c r="BR43" s="611"/>
      <c r="BS43" s="611"/>
      <c r="BT43" s="611"/>
      <c r="BU43" s="611"/>
      <c r="BV43" s="611"/>
      <c r="BW43" s="611"/>
      <c r="BX43" s="611"/>
      <c r="BY43" s="611"/>
      <c r="BZ43" s="611"/>
      <c r="CA43" s="611"/>
      <c r="CB43" s="611"/>
      <c r="CC43" s="611"/>
      <c r="CD43" s="611"/>
      <c r="CE43" s="611"/>
      <c r="CF43" s="611"/>
      <c r="CG43" s="611"/>
      <c r="CH43" s="611"/>
      <c r="CI43" s="611"/>
      <c r="CJ43" s="611"/>
      <c r="CK43" s="611"/>
      <c r="CL43" s="611"/>
      <c r="CM43" s="611"/>
      <c r="CN43" s="611"/>
      <c r="CO43" s="611"/>
      <c r="CP43" s="611"/>
      <c r="CQ43" s="611"/>
      <c r="CR43" s="611"/>
      <c r="CS43" s="611"/>
      <c r="CT43" s="611"/>
      <c r="CU43" s="611"/>
      <c r="CV43" s="611"/>
      <c r="CW43" s="611"/>
      <c r="CX43" s="611"/>
      <c r="CY43" s="611"/>
      <c r="CZ43" s="611"/>
      <c r="DA43" s="611"/>
      <c r="DB43" s="611"/>
      <c r="DC43" s="611"/>
      <c r="DD43" s="611"/>
      <c r="DE43" s="611"/>
      <c r="DF43" s="611"/>
      <c r="DG43" s="611"/>
      <c r="DH43" s="611"/>
      <c r="DI43" s="611"/>
      <c r="DJ43" s="611"/>
      <c r="DK43" s="611"/>
      <c r="DL43" s="611"/>
      <c r="DM43" s="611"/>
      <c r="DN43" s="611"/>
      <c r="DO43" s="177">
        <f t="shared" si="14"/>
        <v>0</v>
      </c>
      <c r="DP43" s="612" t="str">
        <f t="shared" si="15"/>
        <v>-</v>
      </c>
      <c r="DQ43" s="612" t="str">
        <f t="shared" si="16"/>
        <v>-</v>
      </c>
      <c r="DR43" s="177">
        <f t="shared" si="22"/>
        <v>0</v>
      </c>
      <c r="DS43" s="177">
        <f t="shared" si="23"/>
        <v>0</v>
      </c>
      <c r="DT43" s="177">
        <f t="shared" si="24"/>
        <v>0</v>
      </c>
      <c r="DU43" s="185">
        <f t="shared" si="6"/>
        <v>0</v>
      </c>
      <c r="DV43" s="185">
        <f t="shared" si="17"/>
        <v>0</v>
      </c>
      <c r="DW43" s="185">
        <f t="shared" si="18"/>
        <v>0</v>
      </c>
      <c r="DX43" s="177">
        <f t="shared" si="25"/>
        <v>0</v>
      </c>
      <c r="DY43" s="177">
        <f t="shared" si="19"/>
        <v>0</v>
      </c>
      <c r="DZ43" s="177">
        <f t="shared" si="20"/>
        <v>0</v>
      </c>
      <c r="EA43" s="613">
        <f t="shared" si="21"/>
        <v>0</v>
      </c>
    </row>
    <row r="44" spans="1:131" s="603" customFormat="1" ht="13.5">
      <c r="A44" s="172"/>
      <c r="B44" s="275"/>
      <c r="C44" s="626"/>
      <c r="D44" s="626"/>
      <c r="E44" s="626"/>
      <c r="G44" s="604">
        <v>37</v>
      </c>
      <c r="H44" s="605" t="str">
        <f t="shared" si="8"/>
        <v>N/A</v>
      </c>
      <c r="I44" s="605">
        <f t="shared" si="9"/>
        <v>0</v>
      </c>
      <c r="J44" s="606">
        <f t="shared" si="2"/>
        <v>0</v>
      </c>
      <c r="K44" s="607"/>
      <c r="L44" s="607"/>
      <c r="M44" s="300"/>
      <c r="N44" s="608"/>
      <c r="O44" s="609">
        <f t="shared" si="10"/>
        <v>0</v>
      </c>
      <c r="P44" s="609">
        <f t="shared" si="11"/>
        <v>0</v>
      </c>
      <c r="Q44" s="609">
        <f t="shared" si="12"/>
        <v>0</v>
      </c>
      <c r="R44" s="610">
        <f t="shared" si="13"/>
        <v>0</v>
      </c>
      <c r="S44" s="611"/>
      <c r="T44" s="611"/>
      <c r="U44" s="611"/>
      <c r="V44" s="611"/>
      <c r="W44" s="611"/>
      <c r="X44" s="611"/>
      <c r="Y44" s="611"/>
      <c r="Z44" s="611"/>
      <c r="AA44" s="611"/>
      <c r="AB44" s="611"/>
      <c r="AC44" s="611"/>
      <c r="AD44" s="611"/>
      <c r="AE44" s="611"/>
      <c r="AF44" s="611"/>
      <c r="AG44" s="611"/>
      <c r="AH44" s="611"/>
      <c r="AI44" s="611"/>
      <c r="AJ44" s="611"/>
      <c r="AK44" s="611"/>
      <c r="AL44" s="611"/>
      <c r="AM44" s="611"/>
      <c r="AN44" s="611"/>
      <c r="AO44" s="611"/>
      <c r="AP44" s="611"/>
      <c r="AQ44" s="611"/>
      <c r="AR44" s="611"/>
      <c r="AS44" s="611"/>
      <c r="AT44" s="611"/>
      <c r="AU44" s="611"/>
      <c r="AV44" s="611"/>
      <c r="AW44" s="611"/>
      <c r="AX44" s="611"/>
      <c r="AY44" s="611"/>
      <c r="AZ44" s="611"/>
      <c r="BA44" s="611"/>
      <c r="BB44" s="611"/>
      <c r="BC44" s="611"/>
      <c r="BD44" s="611"/>
      <c r="BE44" s="611"/>
      <c r="BF44" s="611"/>
      <c r="BG44" s="611"/>
      <c r="BH44" s="611"/>
      <c r="BI44" s="611"/>
      <c r="BJ44" s="611"/>
      <c r="BK44" s="611"/>
      <c r="BL44" s="611"/>
      <c r="BM44" s="611"/>
      <c r="BN44" s="611"/>
      <c r="BO44" s="611"/>
      <c r="BP44" s="611"/>
      <c r="BQ44" s="611"/>
      <c r="BR44" s="611"/>
      <c r="BS44" s="611"/>
      <c r="BT44" s="611"/>
      <c r="BU44" s="611"/>
      <c r="BV44" s="611"/>
      <c r="BW44" s="611"/>
      <c r="BX44" s="611"/>
      <c r="BY44" s="611"/>
      <c r="BZ44" s="611"/>
      <c r="CA44" s="611"/>
      <c r="CB44" s="611"/>
      <c r="CC44" s="611"/>
      <c r="CD44" s="611"/>
      <c r="CE44" s="611"/>
      <c r="CF44" s="611"/>
      <c r="CG44" s="611"/>
      <c r="CH44" s="611"/>
      <c r="CI44" s="611"/>
      <c r="CJ44" s="611"/>
      <c r="CK44" s="611"/>
      <c r="CL44" s="611"/>
      <c r="CM44" s="611"/>
      <c r="CN44" s="611"/>
      <c r="CO44" s="611"/>
      <c r="CP44" s="611"/>
      <c r="CQ44" s="611"/>
      <c r="CR44" s="611"/>
      <c r="CS44" s="611"/>
      <c r="CT44" s="611"/>
      <c r="CU44" s="611"/>
      <c r="CV44" s="611"/>
      <c r="CW44" s="611"/>
      <c r="CX44" s="611"/>
      <c r="CY44" s="611"/>
      <c r="CZ44" s="611"/>
      <c r="DA44" s="611"/>
      <c r="DB44" s="611"/>
      <c r="DC44" s="611"/>
      <c r="DD44" s="611"/>
      <c r="DE44" s="611"/>
      <c r="DF44" s="611"/>
      <c r="DG44" s="611"/>
      <c r="DH44" s="611"/>
      <c r="DI44" s="611"/>
      <c r="DJ44" s="611"/>
      <c r="DK44" s="611"/>
      <c r="DL44" s="611"/>
      <c r="DM44" s="611"/>
      <c r="DN44" s="611"/>
      <c r="DO44" s="177">
        <f t="shared" si="14"/>
        <v>0</v>
      </c>
      <c r="DP44" s="612" t="str">
        <f t="shared" si="15"/>
        <v>-</v>
      </c>
      <c r="DQ44" s="612" t="str">
        <f t="shared" si="16"/>
        <v>-</v>
      </c>
      <c r="DR44" s="177">
        <f t="shared" si="22"/>
        <v>0</v>
      </c>
      <c r="DS44" s="177">
        <f t="shared" si="23"/>
        <v>0</v>
      </c>
      <c r="DT44" s="177">
        <f t="shared" si="24"/>
        <v>0</v>
      </c>
      <c r="DU44" s="185">
        <f t="shared" si="6"/>
        <v>0</v>
      </c>
      <c r="DV44" s="185">
        <f t="shared" si="17"/>
        <v>0</v>
      </c>
      <c r="DW44" s="185">
        <f t="shared" si="18"/>
        <v>0</v>
      </c>
      <c r="DX44" s="177">
        <f t="shared" si="25"/>
        <v>0</v>
      </c>
      <c r="DY44" s="177">
        <f t="shared" si="19"/>
        <v>0</v>
      </c>
      <c r="DZ44" s="177">
        <f t="shared" si="20"/>
        <v>0</v>
      </c>
      <c r="EA44" s="613">
        <f t="shared" si="21"/>
        <v>0</v>
      </c>
    </row>
    <row r="45" spans="1:131" s="603" customFormat="1" ht="13.5">
      <c r="A45" s="172"/>
      <c r="B45" s="275"/>
      <c r="C45" s="626"/>
      <c r="D45" s="626"/>
      <c r="E45" s="626"/>
      <c r="G45" s="604">
        <v>38</v>
      </c>
      <c r="H45" s="605" t="str">
        <f t="shared" si="8"/>
        <v>N/A</v>
      </c>
      <c r="I45" s="605">
        <f t="shared" si="9"/>
        <v>0</v>
      </c>
      <c r="J45" s="606">
        <f t="shared" si="2"/>
        <v>0</v>
      </c>
      <c r="K45" s="607"/>
      <c r="L45" s="607"/>
      <c r="M45" s="300"/>
      <c r="N45" s="608"/>
      <c r="O45" s="609">
        <f t="shared" si="10"/>
        <v>0</v>
      </c>
      <c r="P45" s="609">
        <f t="shared" si="11"/>
        <v>0</v>
      </c>
      <c r="Q45" s="609">
        <f t="shared" si="12"/>
        <v>0</v>
      </c>
      <c r="R45" s="610">
        <f t="shared" si="13"/>
        <v>0</v>
      </c>
      <c r="S45" s="611"/>
      <c r="T45" s="611"/>
      <c r="U45" s="611"/>
      <c r="V45" s="611"/>
      <c r="W45" s="611"/>
      <c r="X45" s="611"/>
      <c r="Y45" s="611"/>
      <c r="Z45" s="611"/>
      <c r="AA45" s="611"/>
      <c r="AB45" s="611"/>
      <c r="AC45" s="611"/>
      <c r="AD45" s="611"/>
      <c r="AE45" s="611"/>
      <c r="AF45" s="611"/>
      <c r="AG45" s="611"/>
      <c r="AH45" s="611"/>
      <c r="AI45" s="611"/>
      <c r="AJ45" s="611"/>
      <c r="AK45" s="611"/>
      <c r="AL45" s="611"/>
      <c r="AM45" s="611"/>
      <c r="AN45" s="611"/>
      <c r="AO45" s="611"/>
      <c r="AP45" s="611"/>
      <c r="AQ45" s="611"/>
      <c r="AR45" s="611"/>
      <c r="AS45" s="611"/>
      <c r="AT45" s="611"/>
      <c r="AU45" s="611"/>
      <c r="AV45" s="611"/>
      <c r="AW45" s="611"/>
      <c r="AX45" s="611"/>
      <c r="AY45" s="611"/>
      <c r="AZ45" s="611"/>
      <c r="BA45" s="611"/>
      <c r="BB45" s="611"/>
      <c r="BC45" s="611"/>
      <c r="BD45" s="611"/>
      <c r="BE45" s="611"/>
      <c r="BF45" s="611"/>
      <c r="BG45" s="611"/>
      <c r="BH45" s="611"/>
      <c r="BI45" s="611"/>
      <c r="BJ45" s="611"/>
      <c r="BK45" s="611"/>
      <c r="BL45" s="611"/>
      <c r="BM45" s="611"/>
      <c r="BN45" s="611"/>
      <c r="BO45" s="611"/>
      <c r="BP45" s="611"/>
      <c r="BQ45" s="611"/>
      <c r="BR45" s="611"/>
      <c r="BS45" s="611"/>
      <c r="BT45" s="611"/>
      <c r="BU45" s="611"/>
      <c r="BV45" s="611"/>
      <c r="BW45" s="611"/>
      <c r="BX45" s="611"/>
      <c r="BY45" s="611"/>
      <c r="BZ45" s="611"/>
      <c r="CA45" s="611"/>
      <c r="CB45" s="611"/>
      <c r="CC45" s="611"/>
      <c r="CD45" s="611"/>
      <c r="CE45" s="611"/>
      <c r="CF45" s="611"/>
      <c r="CG45" s="611"/>
      <c r="CH45" s="611"/>
      <c r="CI45" s="611"/>
      <c r="CJ45" s="611"/>
      <c r="CK45" s="611"/>
      <c r="CL45" s="611"/>
      <c r="CM45" s="611"/>
      <c r="CN45" s="611"/>
      <c r="CO45" s="611"/>
      <c r="CP45" s="611"/>
      <c r="CQ45" s="611"/>
      <c r="CR45" s="611"/>
      <c r="CS45" s="611"/>
      <c r="CT45" s="611"/>
      <c r="CU45" s="611"/>
      <c r="CV45" s="611"/>
      <c r="CW45" s="611"/>
      <c r="CX45" s="611"/>
      <c r="CY45" s="611"/>
      <c r="CZ45" s="611"/>
      <c r="DA45" s="611"/>
      <c r="DB45" s="611"/>
      <c r="DC45" s="611"/>
      <c r="DD45" s="611"/>
      <c r="DE45" s="611"/>
      <c r="DF45" s="611"/>
      <c r="DG45" s="611"/>
      <c r="DH45" s="611"/>
      <c r="DI45" s="611"/>
      <c r="DJ45" s="611"/>
      <c r="DK45" s="611"/>
      <c r="DL45" s="611"/>
      <c r="DM45" s="611"/>
      <c r="DN45" s="611"/>
      <c r="DO45" s="177">
        <f t="shared" si="14"/>
        <v>0</v>
      </c>
      <c r="DP45" s="612" t="str">
        <f t="shared" si="15"/>
        <v>-</v>
      </c>
      <c r="DQ45" s="612" t="str">
        <f t="shared" si="16"/>
        <v>-</v>
      </c>
      <c r="DR45" s="177">
        <f t="shared" si="22"/>
        <v>0</v>
      </c>
      <c r="DS45" s="177">
        <f t="shared" si="23"/>
        <v>0</v>
      </c>
      <c r="DT45" s="177">
        <f t="shared" si="24"/>
        <v>0</v>
      </c>
      <c r="DU45" s="185">
        <f t="shared" si="6"/>
        <v>0</v>
      </c>
      <c r="DV45" s="185">
        <f t="shared" si="17"/>
        <v>0</v>
      </c>
      <c r="DW45" s="185">
        <f t="shared" si="18"/>
        <v>0</v>
      </c>
      <c r="DX45" s="177">
        <f t="shared" si="25"/>
        <v>0</v>
      </c>
      <c r="DY45" s="177">
        <f t="shared" si="19"/>
        <v>0</v>
      </c>
      <c r="DZ45" s="177">
        <f t="shared" si="20"/>
        <v>0</v>
      </c>
      <c r="EA45" s="613">
        <f t="shared" si="21"/>
        <v>0</v>
      </c>
    </row>
    <row r="46" spans="1:131" s="603" customFormat="1" ht="13.5">
      <c r="A46" s="172"/>
      <c r="B46" s="275"/>
      <c r="C46" s="626"/>
      <c r="D46" s="626"/>
      <c r="E46" s="626"/>
      <c r="G46" s="604">
        <v>39</v>
      </c>
      <c r="H46" s="605" t="str">
        <f t="shared" si="8"/>
        <v>N/A</v>
      </c>
      <c r="I46" s="605">
        <f t="shared" si="9"/>
        <v>0</v>
      </c>
      <c r="J46" s="606">
        <f t="shared" si="2"/>
        <v>0</v>
      </c>
      <c r="K46" s="607"/>
      <c r="L46" s="607"/>
      <c r="M46" s="300"/>
      <c r="N46" s="608"/>
      <c r="O46" s="609">
        <f t="shared" si="10"/>
        <v>0</v>
      </c>
      <c r="P46" s="609">
        <f t="shared" si="11"/>
        <v>0</v>
      </c>
      <c r="Q46" s="609">
        <f t="shared" si="12"/>
        <v>0</v>
      </c>
      <c r="R46" s="610">
        <f t="shared" si="13"/>
        <v>0</v>
      </c>
      <c r="S46" s="611"/>
      <c r="T46" s="611"/>
      <c r="U46" s="611"/>
      <c r="V46" s="611"/>
      <c r="W46" s="611"/>
      <c r="X46" s="611"/>
      <c r="Y46" s="611"/>
      <c r="Z46" s="611"/>
      <c r="AA46" s="611"/>
      <c r="AB46" s="611"/>
      <c r="AC46" s="611"/>
      <c r="AD46" s="611"/>
      <c r="AE46" s="611"/>
      <c r="AF46" s="611"/>
      <c r="AG46" s="611"/>
      <c r="AH46" s="611"/>
      <c r="AI46" s="611"/>
      <c r="AJ46" s="611"/>
      <c r="AK46" s="611"/>
      <c r="AL46" s="611"/>
      <c r="AM46" s="611"/>
      <c r="AN46" s="611"/>
      <c r="AO46" s="611"/>
      <c r="AP46" s="611"/>
      <c r="AQ46" s="611"/>
      <c r="AR46" s="611"/>
      <c r="AS46" s="611"/>
      <c r="AT46" s="611"/>
      <c r="AU46" s="611"/>
      <c r="AV46" s="611"/>
      <c r="AW46" s="611"/>
      <c r="AX46" s="611"/>
      <c r="AY46" s="611"/>
      <c r="AZ46" s="611"/>
      <c r="BA46" s="611"/>
      <c r="BB46" s="611"/>
      <c r="BC46" s="611"/>
      <c r="BD46" s="611"/>
      <c r="BE46" s="611"/>
      <c r="BF46" s="611"/>
      <c r="BG46" s="611"/>
      <c r="BH46" s="611"/>
      <c r="BI46" s="611"/>
      <c r="BJ46" s="611"/>
      <c r="BK46" s="611"/>
      <c r="BL46" s="611"/>
      <c r="BM46" s="611"/>
      <c r="BN46" s="611"/>
      <c r="BO46" s="611"/>
      <c r="BP46" s="611"/>
      <c r="BQ46" s="611"/>
      <c r="BR46" s="611"/>
      <c r="BS46" s="611"/>
      <c r="BT46" s="611"/>
      <c r="BU46" s="611"/>
      <c r="BV46" s="611"/>
      <c r="BW46" s="611"/>
      <c r="BX46" s="611"/>
      <c r="BY46" s="611"/>
      <c r="BZ46" s="611"/>
      <c r="CA46" s="611"/>
      <c r="CB46" s="611"/>
      <c r="CC46" s="611"/>
      <c r="CD46" s="611"/>
      <c r="CE46" s="611"/>
      <c r="CF46" s="611"/>
      <c r="CG46" s="611"/>
      <c r="CH46" s="611"/>
      <c r="CI46" s="611"/>
      <c r="CJ46" s="611"/>
      <c r="CK46" s="611"/>
      <c r="CL46" s="611"/>
      <c r="CM46" s="611"/>
      <c r="CN46" s="611"/>
      <c r="CO46" s="611"/>
      <c r="CP46" s="611"/>
      <c r="CQ46" s="611"/>
      <c r="CR46" s="611"/>
      <c r="CS46" s="611"/>
      <c r="CT46" s="611"/>
      <c r="CU46" s="611"/>
      <c r="CV46" s="611"/>
      <c r="CW46" s="611"/>
      <c r="CX46" s="611"/>
      <c r="CY46" s="611"/>
      <c r="CZ46" s="611"/>
      <c r="DA46" s="611"/>
      <c r="DB46" s="611"/>
      <c r="DC46" s="611"/>
      <c r="DD46" s="611"/>
      <c r="DE46" s="611"/>
      <c r="DF46" s="611"/>
      <c r="DG46" s="611"/>
      <c r="DH46" s="611"/>
      <c r="DI46" s="611"/>
      <c r="DJ46" s="611"/>
      <c r="DK46" s="611"/>
      <c r="DL46" s="611"/>
      <c r="DM46" s="611"/>
      <c r="DN46" s="611"/>
      <c r="DO46" s="177">
        <f t="shared" si="14"/>
        <v>0</v>
      </c>
      <c r="DP46" s="612" t="str">
        <f t="shared" si="15"/>
        <v>-</v>
      </c>
      <c r="DQ46" s="612" t="str">
        <f t="shared" si="16"/>
        <v>-</v>
      </c>
      <c r="DR46" s="177">
        <f t="shared" si="22"/>
        <v>0</v>
      </c>
      <c r="DS46" s="177">
        <f t="shared" si="23"/>
        <v>0</v>
      </c>
      <c r="DT46" s="177">
        <f t="shared" si="24"/>
        <v>0</v>
      </c>
      <c r="DU46" s="185">
        <f t="shared" si="6"/>
        <v>0</v>
      </c>
      <c r="DV46" s="185">
        <f t="shared" si="17"/>
        <v>0</v>
      </c>
      <c r="DW46" s="185">
        <f t="shared" si="18"/>
        <v>0</v>
      </c>
      <c r="DX46" s="177">
        <f t="shared" si="25"/>
        <v>0</v>
      </c>
      <c r="DY46" s="177">
        <f t="shared" si="19"/>
        <v>0</v>
      </c>
      <c r="DZ46" s="177">
        <f t="shared" si="20"/>
        <v>0</v>
      </c>
      <c r="EA46" s="613">
        <f t="shared" si="21"/>
        <v>0</v>
      </c>
    </row>
    <row r="47" spans="1:131" s="603" customFormat="1" ht="13.5">
      <c r="A47" s="172"/>
      <c r="B47" s="275"/>
      <c r="C47" s="626"/>
      <c r="D47" s="626"/>
      <c r="E47" s="626"/>
      <c r="G47" s="604">
        <v>40</v>
      </c>
      <c r="H47" s="605" t="str">
        <f t="shared" si="8"/>
        <v>N/A</v>
      </c>
      <c r="I47" s="605">
        <f t="shared" si="9"/>
        <v>0</v>
      </c>
      <c r="J47" s="606">
        <f t="shared" si="2"/>
        <v>0</v>
      </c>
      <c r="K47" s="607"/>
      <c r="L47" s="607"/>
      <c r="M47" s="300"/>
      <c r="N47" s="608"/>
      <c r="O47" s="609">
        <f t="shared" si="10"/>
        <v>0</v>
      </c>
      <c r="P47" s="609">
        <f t="shared" si="11"/>
        <v>0</v>
      </c>
      <c r="Q47" s="609">
        <f t="shared" si="12"/>
        <v>0</v>
      </c>
      <c r="R47" s="610">
        <f t="shared" si="13"/>
        <v>0</v>
      </c>
      <c r="S47" s="611"/>
      <c r="T47" s="611"/>
      <c r="U47" s="611"/>
      <c r="V47" s="611"/>
      <c r="W47" s="611"/>
      <c r="X47" s="611"/>
      <c r="Y47" s="611"/>
      <c r="Z47" s="611"/>
      <c r="AA47" s="611"/>
      <c r="AB47" s="611"/>
      <c r="AC47" s="611"/>
      <c r="AD47" s="611"/>
      <c r="AE47" s="611"/>
      <c r="AF47" s="611"/>
      <c r="AG47" s="611"/>
      <c r="AH47" s="611"/>
      <c r="AI47" s="611"/>
      <c r="AJ47" s="611"/>
      <c r="AK47" s="611"/>
      <c r="AL47" s="611"/>
      <c r="AM47" s="611"/>
      <c r="AN47" s="611"/>
      <c r="AO47" s="611"/>
      <c r="AP47" s="611"/>
      <c r="AQ47" s="611"/>
      <c r="AR47" s="611"/>
      <c r="AS47" s="611"/>
      <c r="AT47" s="611"/>
      <c r="AU47" s="611"/>
      <c r="AV47" s="611"/>
      <c r="AW47" s="611"/>
      <c r="AX47" s="611"/>
      <c r="AY47" s="611"/>
      <c r="AZ47" s="611"/>
      <c r="BA47" s="611"/>
      <c r="BB47" s="611"/>
      <c r="BC47" s="611"/>
      <c r="BD47" s="611"/>
      <c r="BE47" s="611"/>
      <c r="BF47" s="611"/>
      <c r="BG47" s="611"/>
      <c r="BH47" s="611"/>
      <c r="BI47" s="611"/>
      <c r="BJ47" s="611"/>
      <c r="BK47" s="611"/>
      <c r="BL47" s="611"/>
      <c r="BM47" s="611"/>
      <c r="BN47" s="611"/>
      <c r="BO47" s="611"/>
      <c r="BP47" s="611"/>
      <c r="BQ47" s="611"/>
      <c r="BR47" s="611"/>
      <c r="BS47" s="611"/>
      <c r="BT47" s="611"/>
      <c r="BU47" s="611"/>
      <c r="BV47" s="611"/>
      <c r="BW47" s="611"/>
      <c r="BX47" s="611"/>
      <c r="BY47" s="611"/>
      <c r="BZ47" s="611"/>
      <c r="CA47" s="611"/>
      <c r="CB47" s="611"/>
      <c r="CC47" s="611"/>
      <c r="CD47" s="611"/>
      <c r="CE47" s="611"/>
      <c r="CF47" s="611"/>
      <c r="CG47" s="611"/>
      <c r="CH47" s="611"/>
      <c r="CI47" s="611"/>
      <c r="CJ47" s="611"/>
      <c r="CK47" s="611"/>
      <c r="CL47" s="611"/>
      <c r="CM47" s="611"/>
      <c r="CN47" s="611"/>
      <c r="CO47" s="611"/>
      <c r="CP47" s="611"/>
      <c r="CQ47" s="611"/>
      <c r="CR47" s="611"/>
      <c r="CS47" s="611"/>
      <c r="CT47" s="611"/>
      <c r="CU47" s="611"/>
      <c r="CV47" s="611"/>
      <c r="CW47" s="611"/>
      <c r="CX47" s="611"/>
      <c r="CY47" s="611"/>
      <c r="CZ47" s="611"/>
      <c r="DA47" s="611"/>
      <c r="DB47" s="611"/>
      <c r="DC47" s="611"/>
      <c r="DD47" s="611"/>
      <c r="DE47" s="611"/>
      <c r="DF47" s="611"/>
      <c r="DG47" s="611"/>
      <c r="DH47" s="611"/>
      <c r="DI47" s="611"/>
      <c r="DJ47" s="611"/>
      <c r="DK47" s="611"/>
      <c r="DL47" s="611"/>
      <c r="DM47" s="611"/>
      <c r="DN47" s="611"/>
      <c r="DO47" s="177">
        <f t="shared" si="14"/>
        <v>0</v>
      </c>
      <c r="DP47" s="612" t="str">
        <f t="shared" si="15"/>
        <v>-</v>
      </c>
      <c r="DQ47" s="612" t="str">
        <f t="shared" si="16"/>
        <v>-</v>
      </c>
      <c r="DR47" s="177">
        <f t="shared" si="22"/>
        <v>0</v>
      </c>
      <c r="DS47" s="177">
        <f t="shared" si="23"/>
        <v>0</v>
      </c>
      <c r="DT47" s="177">
        <f t="shared" si="24"/>
        <v>0</v>
      </c>
      <c r="DU47" s="185">
        <f t="shared" si="6"/>
        <v>0</v>
      </c>
      <c r="DV47" s="185">
        <f t="shared" si="17"/>
        <v>0</v>
      </c>
      <c r="DW47" s="185">
        <f t="shared" si="18"/>
        <v>0</v>
      </c>
      <c r="DX47" s="177">
        <f t="shared" si="25"/>
        <v>0</v>
      </c>
      <c r="DY47" s="177">
        <f t="shared" si="19"/>
        <v>0</v>
      </c>
      <c r="DZ47" s="177">
        <f t="shared" si="20"/>
        <v>0</v>
      </c>
      <c r="EA47" s="613">
        <f t="shared" si="21"/>
        <v>0</v>
      </c>
    </row>
    <row r="48" spans="1:131" s="603" customFormat="1" ht="13.5">
      <c r="A48" s="172"/>
      <c r="B48" s="275"/>
      <c r="C48" s="626"/>
      <c r="D48" s="626"/>
      <c r="E48" s="626"/>
      <c r="G48" s="604">
        <v>41</v>
      </c>
      <c r="H48" s="605" t="str">
        <f t="shared" si="8"/>
        <v>N/A</v>
      </c>
      <c r="I48" s="605">
        <f t="shared" si="9"/>
        <v>0</v>
      </c>
      <c r="J48" s="606">
        <f t="shared" si="2"/>
        <v>0</v>
      </c>
      <c r="K48" s="607"/>
      <c r="L48" s="607"/>
      <c r="M48" s="300"/>
      <c r="N48" s="608"/>
      <c r="O48" s="609">
        <f t="shared" si="10"/>
        <v>0</v>
      </c>
      <c r="P48" s="609">
        <f t="shared" si="11"/>
        <v>0</v>
      </c>
      <c r="Q48" s="609">
        <f t="shared" si="12"/>
        <v>0</v>
      </c>
      <c r="R48" s="610">
        <f t="shared" si="13"/>
        <v>0</v>
      </c>
      <c r="S48" s="611"/>
      <c r="T48" s="611"/>
      <c r="U48" s="611"/>
      <c r="V48" s="611"/>
      <c r="W48" s="611"/>
      <c r="X48" s="611"/>
      <c r="Y48" s="611"/>
      <c r="Z48" s="611"/>
      <c r="AA48" s="611"/>
      <c r="AB48" s="611"/>
      <c r="AC48" s="611"/>
      <c r="AD48" s="611"/>
      <c r="AE48" s="611"/>
      <c r="AF48" s="611"/>
      <c r="AG48" s="611"/>
      <c r="AH48" s="611"/>
      <c r="AI48" s="611"/>
      <c r="AJ48" s="611"/>
      <c r="AK48" s="611"/>
      <c r="AL48" s="611"/>
      <c r="AM48" s="611"/>
      <c r="AN48" s="611"/>
      <c r="AO48" s="611"/>
      <c r="AP48" s="611"/>
      <c r="AQ48" s="611"/>
      <c r="AR48" s="611"/>
      <c r="AS48" s="611"/>
      <c r="AT48" s="611"/>
      <c r="AU48" s="611"/>
      <c r="AV48" s="611"/>
      <c r="AW48" s="611"/>
      <c r="AX48" s="611"/>
      <c r="AY48" s="611"/>
      <c r="AZ48" s="611"/>
      <c r="BA48" s="611"/>
      <c r="BB48" s="611"/>
      <c r="BC48" s="611"/>
      <c r="BD48" s="611"/>
      <c r="BE48" s="611"/>
      <c r="BF48" s="611"/>
      <c r="BG48" s="611"/>
      <c r="BH48" s="611"/>
      <c r="BI48" s="611"/>
      <c r="BJ48" s="611"/>
      <c r="BK48" s="611"/>
      <c r="BL48" s="611"/>
      <c r="BM48" s="611"/>
      <c r="BN48" s="611"/>
      <c r="BO48" s="611"/>
      <c r="BP48" s="611"/>
      <c r="BQ48" s="611"/>
      <c r="BR48" s="611"/>
      <c r="BS48" s="611"/>
      <c r="BT48" s="611"/>
      <c r="BU48" s="611"/>
      <c r="BV48" s="611"/>
      <c r="BW48" s="611"/>
      <c r="BX48" s="611"/>
      <c r="BY48" s="611"/>
      <c r="BZ48" s="611"/>
      <c r="CA48" s="611"/>
      <c r="CB48" s="611"/>
      <c r="CC48" s="611"/>
      <c r="CD48" s="611"/>
      <c r="CE48" s="611"/>
      <c r="CF48" s="611"/>
      <c r="CG48" s="611"/>
      <c r="CH48" s="611"/>
      <c r="CI48" s="611"/>
      <c r="CJ48" s="611"/>
      <c r="CK48" s="611"/>
      <c r="CL48" s="611"/>
      <c r="CM48" s="611"/>
      <c r="CN48" s="611"/>
      <c r="CO48" s="611"/>
      <c r="CP48" s="611"/>
      <c r="CQ48" s="611"/>
      <c r="CR48" s="611"/>
      <c r="CS48" s="611"/>
      <c r="CT48" s="611"/>
      <c r="CU48" s="611"/>
      <c r="CV48" s="611"/>
      <c r="CW48" s="611"/>
      <c r="CX48" s="611"/>
      <c r="CY48" s="611"/>
      <c r="CZ48" s="611"/>
      <c r="DA48" s="611"/>
      <c r="DB48" s="611"/>
      <c r="DC48" s="611"/>
      <c r="DD48" s="611"/>
      <c r="DE48" s="611"/>
      <c r="DF48" s="611"/>
      <c r="DG48" s="611"/>
      <c r="DH48" s="611"/>
      <c r="DI48" s="611"/>
      <c r="DJ48" s="611"/>
      <c r="DK48" s="611"/>
      <c r="DL48" s="611"/>
      <c r="DM48" s="611"/>
      <c r="DN48" s="611"/>
      <c r="DO48" s="177">
        <f t="shared" si="14"/>
        <v>0</v>
      </c>
      <c r="DP48" s="612" t="str">
        <f t="shared" si="15"/>
        <v>-</v>
      </c>
      <c r="DQ48" s="612" t="str">
        <f t="shared" si="16"/>
        <v>-</v>
      </c>
      <c r="DR48" s="177">
        <f t="shared" si="22"/>
        <v>0</v>
      </c>
      <c r="DS48" s="177">
        <f t="shared" si="23"/>
        <v>0</v>
      </c>
      <c r="DT48" s="177">
        <f t="shared" si="24"/>
        <v>0</v>
      </c>
      <c r="DU48" s="185">
        <f t="shared" si="6"/>
        <v>0</v>
      </c>
      <c r="DV48" s="185">
        <f t="shared" si="17"/>
        <v>0</v>
      </c>
      <c r="DW48" s="185">
        <f t="shared" si="18"/>
        <v>0</v>
      </c>
      <c r="DX48" s="177">
        <f t="shared" si="25"/>
        <v>0</v>
      </c>
      <c r="DY48" s="177">
        <f t="shared" si="19"/>
        <v>0</v>
      </c>
      <c r="DZ48" s="177">
        <f t="shared" si="20"/>
        <v>0</v>
      </c>
      <c r="EA48" s="613">
        <f t="shared" si="21"/>
        <v>0</v>
      </c>
    </row>
    <row r="49" spans="1:131" s="603" customFormat="1" ht="13.5">
      <c r="A49" s="172"/>
      <c r="B49" s="275"/>
      <c r="C49" s="626"/>
      <c r="D49" s="626"/>
      <c r="E49" s="626"/>
      <c r="G49" s="604">
        <v>42</v>
      </c>
      <c r="H49" s="605" t="str">
        <f t="shared" si="8"/>
        <v>N/A</v>
      </c>
      <c r="I49" s="605">
        <f t="shared" si="9"/>
        <v>0</v>
      </c>
      <c r="J49" s="606">
        <f t="shared" si="2"/>
        <v>0</v>
      </c>
      <c r="K49" s="607"/>
      <c r="L49" s="607"/>
      <c r="M49" s="300"/>
      <c r="N49" s="608"/>
      <c r="O49" s="609">
        <f t="shared" si="10"/>
        <v>0</v>
      </c>
      <c r="P49" s="609">
        <f t="shared" si="11"/>
        <v>0</v>
      </c>
      <c r="Q49" s="609">
        <f t="shared" si="12"/>
        <v>0</v>
      </c>
      <c r="R49" s="610">
        <f t="shared" si="13"/>
        <v>0</v>
      </c>
      <c r="S49" s="611"/>
      <c r="T49" s="611"/>
      <c r="U49" s="611"/>
      <c r="V49" s="611"/>
      <c r="W49" s="611"/>
      <c r="X49" s="611"/>
      <c r="Y49" s="611"/>
      <c r="Z49" s="611"/>
      <c r="AA49" s="611"/>
      <c r="AB49" s="611"/>
      <c r="AC49" s="611"/>
      <c r="AD49" s="611"/>
      <c r="AE49" s="611"/>
      <c r="AF49" s="611"/>
      <c r="AG49" s="611"/>
      <c r="AH49" s="611"/>
      <c r="AI49" s="611"/>
      <c r="AJ49" s="611"/>
      <c r="AK49" s="611"/>
      <c r="AL49" s="611"/>
      <c r="AM49" s="611"/>
      <c r="AN49" s="611"/>
      <c r="AO49" s="611"/>
      <c r="AP49" s="611"/>
      <c r="AQ49" s="611"/>
      <c r="AR49" s="611"/>
      <c r="AS49" s="611"/>
      <c r="AT49" s="611"/>
      <c r="AU49" s="611"/>
      <c r="AV49" s="611"/>
      <c r="AW49" s="611"/>
      <c r="AX49" s="611"/>
      <c r="AY49" s="611"/>
      <c r="AZ49" s="611"/>
      <c r="BA49" s="611"/>
      <c r="BB49" s="611"/>
      <c r="BC49" s="611"/>
      <c r="BD49" s="611"/>
      <c r="BE49" s="611"/>
      <c r="BF49" s="611"/>
      <c r="BG49" s="611"/>
      <c r="BH49" s="611"/>
      <c r="BI49" s="611"/>
      <c r="BJ49" s="611"/>
      <c r="BK49" s="611"/>
      <c r="BL49" s="611"/>
      <c r="BM49" s="611"/>
      <c r="BN49" s="611"/>
      <c r="BO49" s="611"/>
      <c r="BP49" s="611"/>
      <c r="BQ49" s="611"/>
      <c r="BR49" s="611"/>
      <c r="BS49" s="611"/>
      <c r="BT49" s="611"/>
      <c r="BU49" s="611"/>
      <c r="BV49" s="611"/>
      <c r="BW49" s="611"/>
      <c r="BX49" s="611"/>
      <c r="BY49" s="611"/>
      <c r="BZ49" s="611"/>
      <c r="CA49" s="611"/>
      <c r="CB49" s="611"/>
      <c r="CC49" s="611"/>
      <c r="CD49" s="611"/>
      <c r="CE49" s="611"/>
      <c r="CF49" s="611"/>
      <c r="CG49" s="611"/>
      <c r="CH49" s="611"/>
      <c r="CI49" s="611"/>
      <c r="CJ49" s="611"/>
      <c r="CK49" s="611"/>
      <c r="CL49" s="611"/>
      <c r="CM49" s="611"/>
      <c r="CN49" s="611"/>
      <c r="CO49" s="611"/>
      <c r="CP49" s="611"/>
      <c r="CQ49" s="611"/>
      <c r="CR49" s="611"/>
      <c r="CS49" s="611"/>
      <c r="CT49" s="611"/>
      <c r="CU49" s="611"/>
      <c r="CV49" s="611"/>
      <c r="CW49" s="611"/>
      <c r="CX49" s="611"/>
      <c r="CY49" s="611"/>
      <c r="CZ49" s="611"/>
      <c r="DA49" s="611"/>
      <c r="DB49" s="611"/>
      <c r="DC49" s="611"/>
      <c r="DD49" s="611"/>
      <c r="DE49" s="611"/>
      <c r="DF49" s="611"/>
      <c r="DG49" s="611"/>
      <c r="DH49" s="611"/>
      <c r="DI49" s="611"/>
      <c r="DJ49" s="611"/>
      <c r="DK49" s="611"/>
      <c r="DL49" s="611"/>
      <c r="DM49" s="611"/>
      <c r="DN49" s="611"/>
      <c r="DO49" s="177">
        <f t="shared" si="14"/>
        <v>0</v>
      </c>
      <c r="DP49" s="612" t="str">
        <f t="shared" si="15"/>
        <v>-</v>
      </c>
      <c r="DQ49" s="612" t="str">
        <f t="shared" si="16"/>
        <v>-</v>
      </c>
      <c r="DR49" s="177">
        <f t="shared" si="22"/>
        <v>0</v>
      </c>
      <c r="DS49" s="177">
        <f t="shared" si="23"/>
        <v>0</v>
      </c>
      <c r="DT49" s="177">
        <f t="shared" si="24"/>
        <v>0</v>
      </c>
      <c r="DU49" s="185">
        <f t="shared" si="6"/>
        <v>0</v>
      </c>
      <c r="DV49" s="185">
        <f t="shared" si="17"/>
        <v>0</v>
      </c>
      <c r="DW49" s="185">
        <f t="shared" si="18"/>
        <v>0</v>
      </c>
      <c r="DX49" s="177">
        <f t="shared" si="25"/>
        <v>0</v>
      </c>
      <c r="DY49" s="177">
        <f t="shared" si="19"/>
        <v>0</v>
      </c>
      <c r="DZ49" s="177">
        <f t="shared" si="20"/>
        <v>0</v>
      </c>
      <c r="EA49" s="613">
        <f t="shared" si="21"/>
        <v>0</v>
      </c>
    </row>
    <row r="50" spans="1:131" s="603" customFormat="1" ht="13.5">
      <c r="A50" s="172"/>
      <c r="B50" s="275"/>
      <c r="C50" s="626"/>
      <c r="D50" s="626"/>
      <c r="E50" s="626"/>
      <c r="G50" s="604">
        <v>43</v>
      </c>
      <c r="H50" s="605" t="str">
        <f t="shared" si="8"/>
        <v>N/A</v>
      </c>
      <c r="I50" s="605">
        <f t="shared" si="9"/>
        <v>0</v>
      </c>
      <c r="J50" s="606">
        <f t="shared" si="2"/>
        <v>0</v>
      </c>
      <c r="K50" s="607"/>
      <c r="L50" s="607"/>
      <c r="M50" s="300"/>
      <c r="N50" s="608"/>
      <c r="O50" s="609">
        <f t="shared" si="10"/>
        <v>0</v>
      </c>
      <c r="P50" s="609">
        <f t="shared" si="11"/>
        <v>0</v>
      </c>
      <c r="Q50" s="609">
        <f t="shared" si="12"/>
        <v>0</v>
      </c>
      <c r="R50" s="610">
        <f t="shared" si="13"/>
        <v>0</v>
      </c>
      <c r="S50" s="611"/>
      <c r="T50" s="611"/>
      <c r="U50" s="611"/>
      <c r="V50" s="611"/>
      <c r="W50" s="611"/>
      <c r="X50" s="611"/>
      <c r="Y50" s="611"/>
      <c r="Z50" s="611"/>
      <c r="AA50" s="611"/>
      <c r="AB50" s="611"/>
      <c r="AC50" s="611"/>
      <c r="AD50" s="611"/>
      <c r="AE50" s="611"/>
      <c r="AF50" s="611"/>
      <c r="AG50" s="611"/>
      <c r="AH50" s="611"/>
      <c r="AI50" s="611"/>
      <c r="AJ50" s="611"/>
      <c r="AK50" s="611"/>
      <c r="AL50" s="611"/>
      <c r="AM50" s="611"/>
      <c r="AN50" s="611"/>
      <c r="AO50" s="611"/>
      <c r="AP50" s="611"/>
      <c r="AQ50" s="611"/>
      <c r="AR50" s="611"/>
      <c r="AS50" s="611"/>
      <c r="AT50" s="611"/>
      <c r="AU50" s="611"/>
      <c r="AV50" s="611"/>
      <c r="AW50" s="611"/>
      <c r="AX50" s="611"/>
      <c r="AY50" s="611"/>
      <c r="AZ50" s="611"/>
      <c r="BA50" s="611"/>
      <c r="BB50" s="611"/>
      <c r="BC50" s="611"/>
      <c r="BD50" s="611"/>
      <c r="BE50" s="611"/>
      <c r="BF50" s="611"/>
      <c r="BG50" s="611"/>
      <c r="BH50" s="611"/>
      <c r="BI50" s="611"/>
      <c r="BJ50" s="611"/>
      <c r="BK50" s="611"/>
      <c r="BL50" s="611"/>
      <c r="BM50" s="611"/>
      <c r="BN50" s="611"/>
      <c r="BO50" s="611"/>
      <c r="BP50" s="611"/>
      <c r="BQ50" s="611"/>
      <c r="BR50" s="611"/>
      <c r="BS50" s="611"/>
      <c r="BT50" s="611"/>
      <c r="BU50" s="611"/>
      <c r="BV50" s="611"/>
      <c r="BW50" s="611"/>
      <c r="BX50" s="611"/>
      <c r="BY50" s="611"/>
      <c r="BZ50" s="611"/>
      <c r="CA50" s="611"/>
      <c r="CB50" s="611"/>
      <c r="CC50" s="611"/>
      <c r="CD50" s="611"/>
      <c r="CE50" s="611"/>
      <c r="CF50" s="611"/>
      <c r="CG50" s="611"/>
      <c r="CH50" s="611"/>
      <c r="CI50" s="611"/>
      <c r="CJ50" s="611"/>
      <c r="CK50" s="611"/>
      <c r="CL50" s="611"/>
      <c r="CM50" s="611"/>
      <c r="CN50" s="611"/>
      <c r="CO50" s="611"/>
      <c r="CP50" s="611"/>
      <c r="CQ50" s="611"/>
      <c r="CR50" s="611"/>
      <c r="CS50" s="611"/>
      <c r="CT50" s="611"/>
      <c r="CU50" s="611"/>
      <c r="CV50" s="611"/>
      <c r="CW50" s="611"/>
      <c r="CX50" s="611"/>
      <c r="CY50" s="611"/>
      <c r="CZ50" s="611"/>
      <c r="DA50" s="611"/>
      <c r="DB50" s="611"/>
      <c r="DC50" s="611"/>
      <c r="DD50" s="611"/>
      <c r="DE50" s="611"/>
      <c r="DF50" s="611"/>
      <c r="DG50" s="611"/>
      <c r="DH50" s="611"/>
      <c r="DI50" s="611"/>
      <c r="DJ50" s="611"/>
      <c r="DK50" s="611"/>
      <c r="DL50" s="611"/>
      <c r="DM50" s="611"/>
      <c r="DN50" s="611"/>
      <c r="DO50" s="177">
        <f t="shared" si="14"/>
        <v>0</v>
      </c>
      <c r="DP50" s="612" t="str">
        <f t="shared" si="15"/>
        <v>-</v>
      </c>
      <c r="DQ50" s="612" t="str">
        <f t="shared" si="16"/>
        <v>-</v>
      </c>
      <c r="DR50" s="177">
        <f t="shared" si="22"/>
        <v>0</v>
      </c>
      <c r="DS50" s="177">
        <f t="shared" si="23"/>
        <v>0</v>
      </c>
      <c r="DT50" s="177">
        <f t="shared" si="24"/>
        <v>0</v>
      </c>
      <c r="DU50" s="185">
        <f t="shared" si="6"/>
        <v>0</v>
      </c>
      <c r="DV50" s="185">
        <f t="shared" si="17"/>
        <v>0</v>
      </c>
      <c r="DW50" s="185">
        <f t="shared" si="18"/>
        <v>0</v>
      </c>
      <c r="DX50" s="177">
        <f t="shared" si="25"/>
        <v>0</v>
      </c>
      <c r="DY50" s="177">
        <f t="shared" si="19"/>
        <v>0</v>
      </c>
      <c r="DZ50" s="177">
        <f t="shared" si="20"/>
        <v>0</v>
      </c>
      <c r="EA50" s="613">
        <f t="shared" si="21"/>
        <v>0</v>
      </c>
    </row>
    <row r="51" spans="1:131" s="603" customFormat="1" ht="13.5">
      <c r="A51" s="172"/>
      <c r="B51" s="275"/>
      <c r="C51" s="626"/>
      <c r="D51" s="626"/>
      <c r="E51" s="626"/>
      <c r="G51" s="604">
        <v>44</v>
      </c>
      <c r="H51" s="605" t="str">
        <f t="shared" si="8"/>
        <v>N/A</v>
      </c>
      <c r="I51" s="605">
        <f t="shared" si="9"/>
        <v>0</v>
      </c>
      <c r="J51" s="606">
        <f t="shared" si="2"/>
        <v>0</v>
      </c>
      <c r="K51" s="607"/>
      <c r="L51" s="607"/>
      <c r="M51" s="300"/>
      <c r="N51" s="608"/>
      <c r="O51" s="609">
        <f t="shared" si="10"/>
        <v>0</v>
      </c>
      <c r="P51" s="609">
        <f t="shared" si="11"/>
        <v>0</v>
      </c>
      <c r="Q51" s="609">
        <f t="shared" si="12"/>
        <v>0</v>
      </c>
      <c r="R51" s="610">
        <f t="shared" si="13"/>
        <v>0</v>
      </c>
      <c r="S51" s="611"/>
      <c r="T51" s="611"/>
      <c r="U51" s="611"/>
      <c r="V51" s="611"/>
      <c r="W51" s="611"/>
      <c r="X51" s="611"/>
      <c r="Y51" s="611"/>
      <c r="Z51" s="611"/>
      <c r="AA51" s="611"/>
      <c r="AB51" s="611"/>
      <c r="AC51" s="611"/>
      <c r="AD51" s="611"/>
      <c r="AE51" s="611"/>
      <c r="AF51" s="611"/>
      <c r="AG51" s="611"/>
      <c r="AH51" s="611"/>
      <c r="AI51" s="611"/>
      <c r="AJ51" s="611"/>
      <c r="AK51" s="611"/>
      <c r="AL51" s="611"/>
      <c r="AM51" s="611"/>
      <c r="AN51" s="611"/>
      <c r="AO51" s="611"/>
      <c r="AP51" s="611"/>
      <c r="AQ51" s="611"/>
      <c r="AR51" s="611"/>
      <c r="AS51" s="611"/>
      <c r="AT51" s="611"/>
      <c r="AU51" s="611"/>
      <c r="AV51" s="611"/>
      <c r="AW51" s="611"/>
      <c r="AX51" s="611"/>
      <c r="AY51" s="611"/>
      <c r="AZ51" s="611"/>
      <c r="BA51" s="611"/>
      <c r="BB51" s="611"/>
      <c r="BC51" s="611"/>
      <c r="BD51" s="611"/>
      <c r="BE51" s="611"/>
      <c r="BF51" s="611"/>
      <c r="BG51" s="611"/>
      <c r="BH51" s="611"/>
      <c r="BI51" s="611"/>
      <c r="BJ51" s="611"/>
      <c r="BK51" s="611"/>
      <c r="BL51" s="611"/>
      <c r="BM51" s="611"/>
      <c r="BN51" s="611"/>
      <c r="BO51" s="611"/>
      <c r="BP51" s="611"/>
      <c r="BQ51" s="611"/>
      <c r="BR51" s="611"/>
      <c r="BS51" s="611"/>
      <c r="BT51" s="611"/>
      <c r="BU51" s="611"/>
      <c r="BV51" s="611"/>
      <c r="BW51" s="611"/>
      <c r="BX51" s="611"/>
      <c r="BY51" s="611"/>
      <c r="BZ51" s="611"/>
      <c r="CA51" s="611"/>
      <c r="CB51" s="611"/>
      <c r="CC51" s="611"/>
      <c r="CD51" s="611"/>
      <c r="CE51" s="611"/>
      <c r="CF51" s="611"/>
      <c r="CG51" s="611"/>
      <c r="CH51" s="611"/>
      <c r="CI51" s="611"/>
      <c r="CJ51" s="611"/>
      <c r="CK51" s="611"/>
      <c r="CL51" s="611"/>
      <c r="CM51" s="611"/>
      <c r="CN51" s="611"/>
      <c r="CO51" s="611"/>
      <c r="CP51" s="611"/>
      <c r="CQ51" s="611"/>
      <c r="CR51" s="611"/>
      <c r="CS51" s="611"/>
      <c r="CT51" s="611"/>
      <c r="CU51" s="611"/>
      <c r="CV51" s="611"/>
      <c r="CW51" s="611"/>
      <c r="CX51" s="611"/>
      <c r="CY51" s="611"/>
      <c r="CZ51" s="611"/>
      <c r="DA51" s="611"/>
      <c r="DB51" s="611"/>
      <c r="DC51" s="611"/>
      <c r="DD51" s="611"/>
      <c r="DE51" s="611"/>
      <c r="DF51" s="611"/>
      <c r="DG51" s="611"/>
      <c r="DH51" s="611"/>
      <c r="DI51" s="611"/>
      <c r="DJ51" s="611"/>
      <c r="DK51" s="611"/>
      <c r="DL51" s="611"/>
      <c r="DM51" s="611"/>
      <c r="DN51" s="611"/>
      <c r="DO51" s="177">
        <f t="shared" si="14"/>
        <v>0</v>
      </c>
      <c r="DP51" s="612" t="str">
        <f t="shared" si="15"/>
        <v>-</v>
      </c>
      <c r="DQ51" s="612" t="str">
        <f t="shared" si="16"/>
        <v>-</v>
      </c>
      <c r="DR51" s="177">
        <f t="shared" si="22"/>
        <v>0</v>
      </c>
      <c r="DS51" s="177">
        <f t="shared" si="23"/>
        <v>0</v>
      </c>
      <c r="DT51" s="177">
        <f t="shared" si="24"/>
        <v>0</v>
      </c>
      <c r="DU51" s="185">
        <f t="shared" si="6"/>
        <v>0</v>
      </c>
      <c r="DV51" s="185">
        <f t="shared" si="17"/>
        <v>0</v>
      </c>
      <c r="DW51" s="185">
        <f t="shared" si="18"/>
        <v>0</v>
      </c>
      <c r="DX51" s="177">
        <f t="shared" si="25"/>
        <v>0</v>
      </c>
      <c r="DY51" s="177">
        <f t="shared" si="19"/>
        <v>0</v>
      </c>
      <c r="DZ51" s="177">
        <f t="shared" si="20"/>
        <v>0</v>
      </c>
      <c r="EA51" s="613">
        <f t="shared" si="21"/>
        <v>0</v>
      </c>
    </row>
    <row r="52" spans="1:131" s="603" customFormat="1" ht="13.5">
      <c r="A52" s="172"/>
      <c r="B52" s="275"/>
      <c r="C52" s="626"/>
      <c r="D52" s="626"/>
      <c r="E52" s="626"/>
      <c r="G52" s="604">
        <v>45</v>
      </c>
      <c r="H52" s="605" t="str">
        <f t="shared" si="8"/>
        <v>N/A</v>
      </c>
      <c r="I52" s="605">
        <f t="shared" si="9"/>
        <v>0</v>
      </c>
      <c r="J52" s="606">
        <f t="shared" si="2"/>
        <v>0</v>
      </c>
      <c r="K52" s="607"/>
      <c r="L52" s="607"/>
      <c r="M52" s="300"/>
      <c r="N52" s="608"/>
      <c r="O52" s="609">
        <f t="shared" si="10"/>
        <v>0</v>
      </c>
      <c r="P52" s="609">
        <f t="shared" si="11"/>
        <v>0</v>
      </c>
      <c r="Q52" s="609">
        <f t="shared" si="12"/>
        <v>0</v>
      </c>
      <c r="R52" s="610">
        <f t="shared" si="13"/>
        <v>0</v>
      </c>
      <c r="S52" s="611"/>
      <c r="T52" s="611"/>
      <c r="U52" s="611"/>
      <c r="V52" s="611"/>
      <c r="W52" s="611"/>
      <c r="X52" s="611"/>
      <c r="Y52" s="611"/>
      <c r="Z52" s="611"/>
      <c r="AA52" s="611"/>
      <c r="AB52" s="611"/>
      <c r="AC52" s="611"/>
      <c r="AD52" s="611"/>
      <c r="AE52" s="611"/>
      <c r="AF52" s="611"/>
      <c r="AG52" s="611"/>
      <c r="AH52" s="611"/>
      <c r="AI52" s="611"/>
      <c r="AJ52" s="611"/>
      <c r="AK52" s="611"/>
      <c r="AL52" s="611"/>
      <c r="AM52" s="611"/>
      <c r="AN52" s="611"/>
      <c r="AO52" s="611"/>
      <c r="AP52" s="611"/>
      <c r="AQ52" s="611"/>
      <c r="AR52" s="611"/>
      <c r="AS52" s="611"/>
      <c r="AT52" s="611"/>
      <c r="AU52" s="611"/>
      <c r="AV52" s="611"/>
      <c r="AW52" s="611"/>
      <c r="AX52" s="611"/>
      <c r="AY52" s="611"/>
      <c r="AZ52" s="611"/>
      <c r="BA52" s="611"/>
      <c r="BB52" s="611"/>
      <c r="BC52" s="611"/>
      <c r="BD52" s="611"/>
      <c r="BE52" s="611"/>
      <c r="BF52" s="611"/>
      <c r="BG52" s="611"/>
      <c r="BH52" s="611"/>
      <c r="BI52" s="611"/>
      <c r="BJ52" s="611"/>
      <c r="BK52" s="611"/>
      <c r="BL52" s="611"/>
      <c r="BM52" s="611"/>
      <c r="BN52" s="611"/>
      <c r="BO52" s="611"/>
      <c r="BP52" s="611"/>
      <c r="BQ52" s="611"/>
      <c r="BR52" s="611"/>
      <c r="BS52" s="611"/>
      <c r="BT52" s="611"/>
      <c r="BU52" s="611"/>
      <c r="BV52" s="611"/>
      <c r="BW52" s="611"/>
      <c r="BX52" s="611"/>
      <c r="BY52" s="611"/>
      <c r="BZ52" s="611"/>
      <c r="CA52" s="611"/>
      <c r="CB52" s="611"/>
      <c r="CC52" s="611"/>
      <c r="CD52" s="611"/>
      <c r="CE52" s="611"/>
      <c r="CF52" s="611"/>
      <c r="CG52" s="611"/>
      <c r="CH52" s="611"/>
      <c r="CI52" s="611"/>
      <c r="CJ52" s="611"/>
      <c r="CK52" s="611"/>
      <c r="CL52" s="611"/>
      <c r="CM52" s="611"/>
      <c r="CN52" s="611"/>
      <c r="CO52" s="611"/>
      <c r="CP52" s="611"/>
      <c r="CQ52" s="611"/>
      <c r="CR52" s="611"/>
      <c r="CS52" s="611"/>
      <c r="CT52" s="611"/>
      <c r="CU52" s="611"/>
      <c r="CV52" s="611"/>
      <c r="CW52" s="611"/>
      <c r="CX52" s="611"/>
      <c r="CY52" s="611"/>
      <c r="CZ52" s="611"/>
      <c r="DA52" s="611"/>
      <c r="DB52" s="611"/>
      <c r="DC52" s="611"/>
      <c r="DD52" s="611"/>
      <c r="DE52" s="611"/>
      <c r="DF52" s="611"/>
      <c r="DG52" s="611"/>
      <c r="DH52" s="611"/>
      <c r="DI52" s="611"/>
      <c r="DJ52" s="611"/>
      <c r="DK52" s="611"/>
      <c r="DL52" s="611"/>
      <c r="DM52" s="611"/>
      <c r="DN52" s="611"/>
      <c r="DO52" s="177">
        <f t="shared" si="14"/>
        <v>0</v>
      </c>
      <c r="DP52" s="612" t="str">
        <f t="shared" si="15"/>
        <v>-</v>
      </c>
      <c r="DQ52" s="612" t="str">
        <f t="shared" si="16"/>
        <v>-</v>
      </c>
      <c r="DR52" s="177">
        <f t="shared" si="22"/>
        <v>0</v>
      </c>
      <c r="DS52" s="177">
        <f t="shared" si="23"/>
        <v>0</v>
      </c>
      <c r="DT52" s="177">
        <f t="shared" si="24"/>
        <v>0</v>
      </c>
      <c r="DU52" s="185">
        <f t="shared" si="6"/>
        <v>0</v>
      </c>
      <c r="DV52" s="185">
        <f t="shared" si="17"/>
        <v>0</v>
      </c>
      <c r="DW52" s="185">
        <f t="shared" si="18"/>
        <v>0</v>
      </c>
      <c r="DX52" s="177">
        <f t="shared" si="25"/>
        <v>0</v>
      </c>
      <c r="DY52" s="177">
        <f t="shared" si="19"/>
        <v>0</v>
      </c>
      <c r="DZ52" s="177">
        <f t="shared" si="20"/>
        <v>0</v>
      </c>
      <c r="EA52" s="613">
        <f t="shared" si="21"/>
        <v>0</v>
      </c>
    </row>
    <row r="53" spans="1:131" s="603" customFormat="1" ht="13.5">
      <c r="A53" s="172"/>
      <c r="B53" s="275"/>
      <c r="C53" s="626"/>
      <c r="D53" s="626"/>
      <c r="E53" s="626"/>
      <c r="G53" s="604">
        <v>46</v>
      </c>
      <c r="H53" s="605" t="str">
        <f t="shared" si="8"/>
        <v>N/A</v>
      </c>
      <c r="I53" s="605">
        <f t="shared" si="9"/>
        <v>0</v>
      </c>
      <c r="J53" s="606">
        <f t="shared" si="2"/>
        <v>0</v>
      </c>
      <c r="K53" s="607"/>
      <c r="L53" s="607"/>
      <c r="M53" s="300"/>
      <c r="N53" s="608"/>
      <c r="O53" s="609">
        <f t="shared" si="10"/>
        <v>0</v>
      </c>
      <c r="P53" s="609">
        <f t="shared" si="11"/>
        <v>0</v>
      </c>
      <c r="Q53" s="609">
        <f t="shared" si="12"/>
        <v>0</v>
      </c>
      <c r="R53" s="610">
        <f t="shared" si="13"/>
        <v>0</v>
      </c>
      <c r="S53" s="611"/>
      <c r="T53" s="611"/>
      <c r="U53" s="611"/>
      <c r="V53" s="611"/>
      <c r="W53" s="611"/>
      <c r="X53" s="611"/>
      <c r="Y53" s="611"/>
      <c r="Z53" s="611"/>
      <c r="AA53" s="611"/>
      <c r="AB53" s="611"/>
      <c r="AC53" s="611"/>
      <c r="AD53" s="611"/>
      <c r="AE53" s="611"/>
      <c r="AF53" s="611"/>
      <c r="AG53" s="611"/>
      <c r="AH53" s="611"/>
      <c r="AI53" s="611"/>
      <c r="AJ53" s="611"/>
      <c r="AK53" s="611"/>
      <c r="AL53" s="611"/>
      <c r="AM53" s="611"/>
      <c r="AN53" s="611"/>
      <c r="AO53" s="611"/>
      <c r="AP53" s="611"/>
      <c r="AQ53" s="611"/>
      <c r="AR53" s="611"/>
      <c r="AS53" s="611"/>
      <c r="AT53" s="611"/>
      <c r="AU53" s="611"/>
      <c r="AV53" s="611"/>
      <c r="AW53" s="611"/>
      <c r="AX53" s="611"/>
      <c r="AY53" s="611"/>
      <c r="AZ53" s="611"/>
      <c r="BA53" s="611"/>
      <c r="BB53" s="611"/>
      <c r="BC53" s="611"/>
      <c r="BD53" s="611"/>
      <c r="BE53" s="611"/>
      <c r="BF53" s="611"/>
      <c r="BG53" s="611"/>
      <c r="BH53" s="611"/>
      <c r="BI53" s="611"/>
      <c r="BJ53" s="611"/>
      <c r="BK53" s="611"/>
      <c r="BL53" s="611"/>
      <c r="BM53" s="611"/>
      <c r="BN53" s="611"/>
      <c r="BO53" s="611"/>
      <c r="BP53" s="611"/>
      <c r="BQ53" s="611"/>
      <c r="BR53" s="611"/>
      <c r="BS53" s="611"/>
      <c r="BT53" s="611"/>
      <c r="BU53" s="611"/>
      <c r="BV53" s="611"/>
      <c r="BW53" s="611"/>
      <c r="BX53" s="611"/>
      <c r="BY53" s="611"/>
      <c r="BZ53" s="611"/>
      <c r="CA53" s="611"/>
      <c r="CB53" s="611"/>
      <c r="CC53" s="611"/>
      <c r="CD53" s="611"/>
      <c r="CE53" s="611"/>
      <c r="CF53" s="611"/>
      <c r="CG53" s="611"/>
      <c r="CH53" s="611"/>
      <c r="CI53" s="611"/>
      <c r="CJ53" s="611"/>
      <c r="CK53" s="611"/>
      <c r="CL53" s="611"/>
      <c r="CM53" s="611"/>
      <c r="CN53" s="611"/>
      <c r="CO53" s="611"/>
      <c r="CP53" s="611"/>
      <c r="CQ53" s="611"/>
      <c r="CR53" s="611"/>
      <c r="CS53" s="611"/>
      <c r="CT53" s="611"/>
      <c r="CU53" s="611"/>
      <c r="CV53" s="611"/>
      <c r="CW53" s="611"/>
      <c r="CX53" s="611"/>
      <c r="CY53" s="611"/>
      <c r="CZ53" s="611"/>
      <c r="DA53" s="611"/>
      <c r="DB53" s="611"/>
      <c r="DC53" s="611"/>
      <c r="DD53" s="611"/>
      <c r="DE53" s="611"/>
      <c r="DF53" s="611"/>
      <c r="DG53" s="611"/>
      <c r="DH53" s="611"/>
      <c r="DI53" s="611"/>
      <c r="DJ53" s="611"/>
      <c r="DK53" s="611"/>
      <c r="DL53" s="611"/>
      <c r="DM53" s="611"/>
      <c r="DN53" s="611"/>
      <c r="DO53" s="177">
        <f t="shared" si="14"/>
        <v>0</v>
      </c>
      <c r="DP53" s="612" t="str">
        <f t="shared" si="15"/>
        <v>-</v>
      </c>
      <c r="DQ53" s="612" t="str">
        <f t="shared" si="16"/>
        <v>-</v>
      </c>
      <c r="DR53" s="177">
        <f t="shared" si="22"/>
        <v>0</v>
      </c>
      <c r="DS53" s="177">
        <f t="shared" si="23"/>
        <v>0</v>
      </c>
      <c r="DT53" s="177">
        <f t="shared" si="24"/>
        <v>0</v>
      </c>
      <c r="DU53" s="185">
        <f t="shared" si="6"/>
        <v>0</v>
      </c>
      <c r="DV53" s="185">
        <f t="shared" si="17"/>
        <v>0</v>
      </c>
      <c r="DW53" s="185">
        <f t="shared" si="18"/>
        <v>0</v>
      </c>
      <c r="DX53" s="177">
        <f t="shared" si="25"/>
        <v>0</v>
      </c>
      <c r="DY53" s="177">
        <f t="shared" si="19"/>
        <v>0</v>
      </c>
      <c r="DZ53" s="177">
        <f t="shared" si="20"/>
        <v>0</v>
      </c>
      <c r="EA53" s="613">
        <f t="shared" si="21"/>
        <v>0</v>
      </c>
    </row>
    <row r="54" spans="1:131" s="603" customFormat="1" ht="13.5">
      <c r="A54" s="172"/>
      <c r="B54" s="172"/>
      <c r="C54" s="172"/>
      <c r="D54" s="172"/>
      <c r="E54" s="172"/>
      <c r="G54" s="604">
        <v>47</v>
      </c>
      <c r="H54" s="605" t="str">
        <f t="shared" si="8"/>
        <v>N/A</v>
      </c>
      <c r="I54" s="605">
        <f t="shared" si="9"/>
        <v>0</v>
      </c>
      <c r="J54" s="606">
        <f t="shared" si="2"/>
        <v>0</v>
      </c>
      <c r="K54" s="607"/>
      <c r="L54" s="607"/>
      <c r="M54" s="300"/>
      <c r="N54" s="608"/>
      <c r="O54" s="609">
        <f t="shared" si="10"/>
        <v>0</v>
      </c>
      <c r="P54" s="609">
        <f t="shared" si="11"/>
        <v>0</v>
      </c>
      <c r="Q54" s="609">
        <f t="shared" si="12"/>
        <v>0</v>
      </c>
      <c r="R54" s="610">
        <f t="shared" si="13"/>
        <v>0</v>
      </c>
      <c r="S54" s="611"/>
      <c r="T54" s="611"/>
      <c r="U54" s="611"/>
      <c r="V54" s="611"/>
      <c r="W54" s="611"/>
      <c r="X54" s="611"/>
      <c r="Y54" s="611"/>
      <c r="Z54" s="611"/>
      <c r="AA54" s="611"/>
      <c r="AB54" s="611"/>
      <c r="AC54" s="611"/>
      <c r="AD54" s="611"/>
      <c r="AE54" s="611"/>
      <c r="AF54" s="611"/>
      <c r="AG54" s="611"/>
      <c r="AH54" s="611"/>
      <c r="AI54" s="611"/>
      <c r="AJ54" s="611"/>
      <c r="AK54" s="611"/>
      <c r="AL54" s="611"/>
      <c r="AM54" s="611"/>
      <c r="AN54" s="611"/>
      <c r="AO54" s="611"/>
      <c r="AP54" s="611"/>
      <c r="AQ54" s="611"/>
      <c r="AR54" s="611"/>
      <c r="AS54" s="611"/>
      <c r="AT54" s="611"/>
      <c r="AU54" s="611"/>
      <c r="AV54" s="611"/>
      <c r="AW54" s="611"/>
      <c r="AX54" s="611"/>
      <c r="AY54" s="611"/>
      <c r="AZ54" s="611"/>
      <c r="BA54" s="611"/>
      <c r="BB54" s="611"/>
      <c r="BC54" s="611"/>
      <c r="BD54" s="611"/>
      <c r="BE54" s="611"/>
      <c r="BF54" s="611"/>
      <c r="BG54" s="611"/>
      <c r="BH54" s="611"/>
      <c r="BI54" s="611"/>
      <c r="BJ54" s="611"/>
      <c r="BK54" s="611"/>
      <c r="BL54" s="611"/>
      <c r="BM54" s="611"/>
      <c r="BN54" s="611"/>
      <c r="BO54" s="611"/>
      <c r="BP54" s="611"/>
      <c r="BQ54" s="611"/>
      <c r="BR54" s="611"/>
      <c r="BS54" s="611"/>
      <c r="BT54" s="611"/>
      <c r="BU54" s="611"/>
      <c r="BV54" s="611"/>
      <c r="BW54" s="611"/>
      <c r="BX54" s="611"/>
      <c r="BY54" s="611"/>
      <c r="BZ54" s="611"/>
      <c r="CA54" s="611"/>
      <c r="CB54" s="611"/>
      <c r="CC54" s="611"/>
      <c r="CD54" s="611"/>
      <c r="CE54" s="611"/>
      <c r="CF54" s="611"/>
      <c r="CG54" s="611"/>
      <c r="CH54" s="611"/>
      <c r="CI54" s="611"/>
      <c r="CJ54" s="611"/>
      <c r="CK54" s="611"/>
      <c r="CL54" s="611"/>
      <c r="CM54" s="611"/>
      <c r="CN54" s="611"/>
      <c r="CO54" s="611"/>
      <c r="CP54" s="611"/>
      <c r="CQ54" s="611"/>
      <c r="CR54" s="611"/>
      <c r="CS54" s="611"/>
      <c r="CT54" s="611"/>
      <c r="CU54" s="611"/>
      <c r="CV54" s="611"/>
      <c r="CW54" s="611"/>
      <c r="CX54" s="611"/>
      <c r="CY54" s="611"/>
      <c r="CZ54" s="611"/>
      <c r="DA54" s="611"/>
      <c r="DB54" s="611"/>
      <c r="DC54" s="611"/>
      <c r="DD54" s="611"/>
      <c r="DE54" s="611"/>
      <c r="DF54" s="611"/>
      <c r="DG54" s="611"/>
      <c r="DH54" s="611"/>
      <c r="DI54" s="611"/>
      <c r="DJ54" s="611"/>
      <c r="DK54" s="611"/>
      <c r="DL54" s="611"/>
      <c r="DM54" s="611"/>
      <c r="DN54" s="611"/>
      <c r="DO54" s="177">
        <f t="shared" si="14"/>
        <v>0</v>
      </c>
      <c r="DP54" s="612" t="str">
        <f t="shared" si="15"/>
        <v>-</v>
      </c>
      <c r="DQ54" s="612" t="str">
        <f t="shared" si="16"/>
        <v>-</v>
      </c>
      <c r="DR54" s="177">
        <f t="shared" si="22"/>
        <v>0</v>
      </c>
      <c r="DS54" s="177">
        <f t="shared" si="23"/>
        <v>0</v>
      </c>
      <c r="DT54" s="177">
        <f t="shared" si="24"/>
        <v>0</v>
      </c>
      <c r="DU54" s="185">
        <f t="shared" si="6"/>
        <v>0</v>
      </c>
      <c r="DV54" s="185">
        <f t="shared" si="17"/>
        <v>0</v>
      </c>
      <c r="DW54" s="185">
        <f t="shared" si="18"/>
        <v>0</v>
      </c>
      <c r="DX54" s="177">
        <f t="shared" si="25"/>
        <v>0</v>
      </c>
      <c r="DY54" s="177">
        <f t="shared" si="19"/>
        <v>0</v>
      </c>
      <c r="DZ54" s="177">
        <f t="shared" si="20"/>
        <v>0</v>
      </c>
      <c r="EA54" s="613">
        <f t="shared" si="21"/>
        <v>0</v>
      </c>
    </row>
    <row r="55" spans="1:131" s="603" customFormat="1" ht="13.5">
      <c r="A55" s="172"/>
      <c r="B55" s="172"/>
      <c r="C55" s="172"/>
      <c r="D55" s="172"/>
      <c r="E55" s="172"/>
      <c r="G55" s="604">
        <v>48</v>
      </c>
      <c r="H55" s="605" t="str">
        <f t="shared" si="8"/>
        <v>N/A</v>
      </c>
      <c r="I55" s="605">
        <f t="shared" si="9"/>
        <v>0</v>
      </c>
      <c r="J55" s="606">
        <f t="shared" si="2"/>
        <v>0</v>
      </c>
      <c r="K55" s="607"/>
      <c r="L55" s="607"/>
      <c r="M55" s="300"/>
      <c r="N55" s="608"/>
      <c r="O55" s="609">
        <f t="shared" si="10"/>
        <v>0</v>
      </c>
      <c r="P55" s="609">
        <f t="shared" si="11"/>
        <v>0</v>
      </c>
      <c r="Q55" s="609">
        <f t="shared" si="12"/>
        <v>0</v>
      </c>
      <c r="R55" s="610">
        <f t="shared" si="13"/>
        <v>0</v>
      </c>
      <c r="S55" s="611"/>
      <c r="T55" s="611"/>
      <c r="U55" s="611"/>
      <c r="V55" s="611"/>
      <c r="W55" s="611"/>
      <c r="X55" s="611"/>
      <c r="Y55" s="611"/>
      <c r="Z55" s="611"/>
      <c r="AA55" s="611"/>
      <c r="AB55" s="611"/>
      <c r="AC55" s="611"/>
      <c r="AD55" s="611"/>
      <c r="AE55" s="611"/>
      <c r="AF55" s="611"/>
      <c r="AG55" s="611"/>
      <c r="AH55" s="611"/>
      <c r="AI55" s="611"/>
      <c r="AJ55" s="611"/>
      <c r="AK55" s="611"/>
      <c r="AL55" s="611"/>
      <c r="AM55" s="611"/>
      <c r="AN55" s="611"/>
      <c r="AO55" s="611"/>
      <c r="AP55" s="611"/>
      <c r="AQ55" s="611"/>
      <c r="AR55" s="611"/>
      <c r="AS55" s="611"/>
      <c r="AT55" s="611"/>
      <c r="AU55" s="611"/>
      <c r="AV55" s="611"/>
      <c r="AW55" s="611"/>
      <c r="AX55" s="611"/>
      <c r="AY55" s="611"/>
      <c r="AZ55" s="611"/>
      <c r="BA55" s="611"/>
      <c r="BB55" s="611"/>
      <c r="BC55" s="611"/>
      <c r="BD55" s="611"/>
      <c r="BE55" s="611"/>
      <c r="BF55" s="611"/>
      <c r="BG55" s="611"/>
      <c r="BH55" s="611"/>
      <c r="BI55" s="611"/>
      <c r="BJ55" s="611"/>
      <c r="BK55" s="611"/>
      <c r="BL55" s="611"/>
      <c r="BM55" s="611"/>
      <c r="BN55" s="611"/>
      <c r="BO55" s="611"/>
      <c r="BP55" s="611"/>
      <c r="BQ55" s="611"/>
      <c r="BR55" s="611"/>
      <c r="BS55" s="611"/>
      <c r="BT55" s="611"/>
      <c r="BU55" s="611"/>
      <c r="BV55" s="611"/>
      <c r="BW55" s="611"/>
      <c r="BX55" s="611"/>
      <c r="BY55" s="611"/>
      <c r="BZ55" s="611"/>
      <c r="CA55" s="611"/>
      <c r="CB55" s="611"/>
      <c r="CC55" s="611"/>
      <c r="CD55" s="611"/>
      <c r="CE55" s="611"/>
      <c r="CF55" s="611"/>
      <c r="CG55" s="611"/>
      <c r="CH55" s="611"/>
      <c r="CI55" s="611"/>
      <c r="CJ55" s="611"/>
      <c r="CK55" s="611"/>
      <c r="CL55" s="611"/>
      <c r="CM55" s="611"/>
      <c r="CN55" s="611"/>
      <c r="CO55" s="611"/>
      <c r="CP55" s="611"/>
      <c r="CQ55" s="611"/>
      <c r="CR55" s="611"/>
      <c r="CS55" s="611"/>
      <c r="CT55" s="611"/>
      <c r="CU55" s="611"/>
      <c r="CV55" s="611"/>
      <c r="CW55" s="611"/>
      <c r="CX55" s="611"/>
      <c r="CY55" s="611"/>
      <c r="CZ55" s="611"/>
      <c r="DA55" s="611"/>
      <c r="DB55" s="611"/>
      <c r="DC55" s="611"/>
      <c r="DD55" s="611"/>
      <c r="DE55" s="611"/>
      <c r="DF55" s="611"/>
      <c r="DG55" s="611"/>
      <c r="DH55" s="611"/>
      <c r="DI55" s="611"/>
      <c r="DJ55" s="611"/>
      <c r="DK55" s="611"/>
      <c r="DL55" s="611"/>
      <c r="DM55" s="611"/>
      <c r="DN55" s="611"/>
      <c r="DO55" s="177">
        <f t="shared" si="14"/>
        <v>0</v>
      </c>
      <c r="DP55" s="612" t="str">
        <f t="shared" si="15"/>
        <v>-</v>
      </c>
      <c r="DQ55" s="612" t="str">
        <f t="shared" si="16"/>
        <v>-</v>
      </c>
      <c r="DR55" s="177">
        <f t="shared" si="22"/>
        <v>0</v>
      </c>
      <c r="DS55" s="177">
        <f t="shared" si="23"/>
        <v>0</v>
      </c>
      <c r="DT55" s="177">
        <f t="shared" si="24"/>
        <v>0</v>
      </c>
      <c r="DU55" s="185">
        <f t="shared" si="6"/>
        <v>0</v>
      </c>
      <c r="DV55" s="185">
        <f t="shared" si="17"/>
        <v>0</v>
      </c>
      <c r="DW55" s="185">
        <f t="shared" si="18"/>
        <v>0</v>
      </c>
      <c r="DX55" s="177">
        <f t="shared" si="25"/>
        <v>0</v>
      </c>
      <c r="DY55" s="177">
        <f t="shared" si="19"/>
        <v>0</v>
      </c>
      <c r="DZ55" s="177">
        <f t="shared" si="20"/>
        <v>0</v>
      </c>
      <c r="EA55" s="613">
        <f t="shared" si="21"/>
        <v>0</v>
      </c>
    </row>
    <row r="56" spans="1:131" s="603" customFormat="1" ht="14.25" thickBot="1">
      <c r="A56" s="172"/>
      <c r="B56" s="172"/>
      <c r="C56" s="172"/>
      <c r="D56" s="172"/>
      <c r="E56" s="172"/>
      <c r="G56" s="604">
        <v>49</v>
      </c>
      <c r="H56" s="605" t="str">
        <f t="shared" si="8"/>
        <v>N/A</v>
      </c>
      <c r="I56" s="605">
        <f t="shared" si="9"/>
        <v>0</v>
      </c>
      <c r="J56" s="606">
        <f t="shared" si="2"/>
        <v>0</v>
      </c>
      <c r="K56" s="607"/>
      <c r="L56" s="607"/>
      <c r="M56" s="300"/>
      <c r="N56" s="608"/>
      <c r="O56" s="609">
        <f t="shared" si="10"/>
        <v>0</v>
      </c>
      <c r="P56" s="609">
        <f t="shared" si="11"/>
        <v>0</v>
      </c>
      <c r="Q56" s="609">
        <f t="shared" si="12"/>
        <v>0</v>
      </c>
      <c r="R56" s="610">
        <f t="shared" si="13"/>
        <v>0</v>
      </c>
      <c r="S56" s="611"/>
      <c r="T56" s="611"/>
      <c r="U56" s="611"/>
      <c r="V56" s="611"/>
      <c r="W56" s="611"/>
      <c r="X56" s="611"/>
      <c r="Y56" s="611"/>
      <c r="Z56" s="611"/>
      <c r="AA56" s="611"/>
      <c r="AB56" s="611"/>
      <c r="AC56" s="611"/>
      <c r="AD56" s="611"/>
      <c r="AE56" s="611"/>
      <c r="AF56" s="611"/>
      <c r="AG56" s="611"/>
      <c r="AH56" s="611"/>
      <c r="AI56" s="611"/>
      <c r="AJ56" s="611"/>
      <c r="AK56" s="611"/>
      <c r="AL56" s="611"/>
      <c r="AM56" s="611"/>
      <c r="AN56" s="611"/>
      <c r="AO56" s="611"/>
      <c r="AP56" s="611"/>
      <c r="AQ56" s="611"/>
      <c r="AR56" s="611"/>
      <c r="AS56" s="611"/>
      <c r="AT56" s="611"/>
      <c r="AU56" s="611"/>
      <c r="AV56" s="611"/>
      <c r="AW56" s="611"/>
      <c r="AX56" s="611"/>
      <c r="AY56" s="611"/>
      <c r="AZ56" s="611"/>
      <c r="BA56" s="611"/>
      <c r="BB56" s="611"/>
      <c r="BC56" s="611"/>
      <c r="BD56" s="611"/>
      <c r="BE56" s="611"/>
      <c r="BF56" s="611"/>
      <c r="BG56" s="611"/>
      <c r="BH56" s="611"/>
      <c r="BI56" s="611"/>
      <c r="BJ56" s="611"/>
      <c r="BK56" s="611"/>
      <c r="BL56" s="611"/>
      <c r="BM56" s="611"/>
      <c r="BN56" s="611"/>
      <c r="BO56" s="611"/>
      <c r="BP56" s="611"/>
      <c r="BQ56" s="611"/>
      <c r="BR56" s="611"/>
      <c r="BS56" s="611"/>
      <c r="BT56" s="611"/>
      <c r="BU56" s="611"/>
      <c r="BV56" s="611"/>
      <c r="BW56" s="611"/>
      <c r="BX56" s="611"/>
      <c r="BY56" s="611"/>
      <c r="BZ56" s="611"/>
      <c r="CA56" s="611"/>
      <c r="CB56" s="611"/>
      <c r="CC56" s="611"/>
      <c r="CD56" s="611"/>
      <c r="CE56" s="611"/>
      <c r="CF56" s="611"/>
      <c r="CG56" s="611"/>
      <c r="CH56" s="611"/>
      <c r="CI56" s="611"/>
      <c r="CJ56" s="611"/>
      <c r="CK56" s="611"/>
      <c r="CL56" s="611"/>
      <c r="CM56" s="611"/>
      <c r="CN56" s="611"/>
      <c r="CO56" s="611"/>
      <c r="CP56" s="611"/>
      <c r="CQ56" s="611"/>
      <c r="CR56" s="611"/>
      <c r="CS56" s="611"/>
      <c r="CT56" s="611"/>
      <c r="CU56" s="611"/>
      <c r="CV56" s="611"/>
      <c r="CW56" s="611"/>
      <c r="CX56" s="611"/>
      <c r="CY56" s="611"/>
      <c r="CZ56" s="611"/>
      <c r="DA56" s="611"/>
      <c r="DB56" s="611"/>
      <c r="DC56" s="611"/>
      <c r="DD56" s="611"/>
      <c r="DE56" s="611"/>
      <c r="DF56" s="611"/>
      <c r="DG56" s="611"/>
      <c r="DH56" s="611"/>
      <c r="DI56" s="611"/>
      <c r="DJ56" s="611"/>
      <c r="DK56" s="611"/>
      <c r="DL56" s="611"/>
      <c r="DM56" s="611"/>
      <c r="DN56" s="611"/>
      <c r="DO56" s="177">
        <f t="shared" si="14"/>
        <v>0</v>
      </c>
      <c r="DP56" s="612" t="str">
        <f t="shared" si="15"/>
        <v>-</v>
      </c>
      <c r="DQ56" s="612" t="str">
        <f t="shared" si="16"/>
        <v>-</v>
      </c>
      <c r="DR56" s="177">
        <f t="shared" si="22"/>
        <v>0</v>
      </c>
      <c r="DS56" s="177">
        <f t="shared" si="23"/>
        <v>0</v>
      </c>
      <c r="DT56" s="177">
        <f t="shared" si="24"/>
        <v>0</v>
      </c>
      <c r="DU56" s="185">
        <f t="shared" si="6"/>
        <v>0</v>
      </c>
      <c r="DV56" s="185">
        <f t="shared" si="17"/>
        <v>0</v>
      </c>
      <c r="DW56" s="185">
        <f t="shared" si="18"/>
        <v>0</v>
      </c>
      <c r="DX56" s="177">
        <f t="shared" si="25"/>
        <v>0</v>
      </c>
      <c r="DY56" s="177">
        <f t="shared" si="19"/>
        <v>0</v>
      </c>
      <c r="DZ56" s="177">
        <f t="shared" si="20"/>
        <v>0</v>
      </c>
      <c r="EA56" s="613">
        <f t="shared" si="21"/>
        <v>0</v>
      </c>
    </row>
    <row r="57" spans="1:131" s="603" customFormat="1" ht="14.25" thickBot="1">
      <c r="A57" s="172"/>
      <c r="B57" s="172"/>
      <c r="C57" s="172"/>
      <c r="D57" s="172"/>
      <c r="E57" s="172"/>
      <c r="H57" s="632" t="s">
        <v>3526</v>
      </c>
      <c r="I57" s="632"/>
      <c r="J57" s="632"/>
      <c r="K57" s="633"/>
      <c r="L57" s="633"/>
      <c r="M57" s="633"/>
      <c r="N57" s="634">
        <f t="shared" ref="N57:AS57" si="26">SUM(N8:N56)</f>
        <v>10500000000</v>
      </c>
      <c r="O57" s="634">
        <f t="shared" si="26"/>
        <v>10500000000</v>
      </c>
      <c r="P57" s="634">
        <f t="shared" si="26"/>
        <v>0</v>
      </c>
      <c r="Q57" s="634">
        <f t="shared" si="26"/>
        <v>10500000000</v>
      </c>
      <c r="R57" s="635">
        <f t="shared" si="13"/>
        <v>1</v>
      </c>
      <c r="S57" s="636">
        <f t="shared" si="26"/>
        <v>-10500000000</v>
      </c>
      <c r="T57" s="636">
        <f t="shared" si="26"/>
        <v>0</v>
      </c>
      <c r="U57" s="636">
        <f t="shared" si="26"/>
        <v>0</v>
      </c>
      <c r="V57" s="636">
        <f t="shared" si="26"/>
        <v>0</v>
      </c>
      <c r="W57" s="636">
        <f t="shared" si="26"/>
        <v>0</v>
      </c>
      <c r="X57" s="636">
        <f t="shared" si="26"/>
        <v>0</v>
      </c>
      <c r="Y57" s="636">
        <f t="shared" si="26"/>
        <v>0</v>
      </c>
      <c r="Z57" s="636">
        <f t="shared" si="26"/>
        <v>0</v>
      </c>
      <c r="AA57" s="636">
        <f t="shared" si="26"/>
        <v>0</v>
      </c>
      <c r="AB57" s="636">
        <f t="shared" si="26"/>
        <v>0</v>
      </c>
      <c r="AC57" s="637">
        <f t="shared" si="26"/>
        <v>0</v>
      </c>
      <c r="AD57" s="637">
        <f t="shared" si="26"/>
        <v>0</v>
      </c>
      <c r="AE57" s="637">
        <f t="shared" si="26"/>
        <v>0</v>
      </c>
      <c r="AF57" s="637">
        <f t="shared" si="26"/>
        <v>0</v>
      </c>
      <c r="AG57" s="637">
        <f t="shared" si="26"/>
        <v>0</v>
      </c>
      <c r="AH57" s="637">
        <f t="shared" si="26"/>
        <v>0</v>
      </c>
      <c r="AI57" s="637">
        <f t="shared" si="26"/>
        <v>0</v>
      </c>
      <c r="AJ57" s="637">
        <f t="shared" si="26"/>
        <v>0</v>
      </c>
      <c r="AK57" s="637">
        <f t="shared" si="26"/>
        <v>0</v>
      </c>
      <c r="AL57" s="637">
        <f t="shared" si="26"/>
        <v>0</v>
      </c>
      <c r="AM57" s="637">
        <f t="shared" si="26"/>
        <v>0</v>
      </c>
      <c r="AN57" s="637">
        <f t="shared" si="26"/>
        <v>0</v>
      </c>
      <c r="AO57" s="637">
        <f t="shared" si="26"/>
        <v>0</v>
      </c>
      <c r="AP57" s="637">
        <f t="shared" si="26"/>
        <v>0</v>
      </c>
      <c r="AQ57" s="637">
        <f t="shared" si="26"/>
        <v>0</v>
      </c>
      <c r="AR57" s="637">
        <f t="shared" si="26"/>
        <v>0</v>
      </c>
      <c r="AS57" s="637">
        <f t="shared" si="26"/>
        <v>0</v>
      </c>
      <c r="AT57" s="637">
        <f t="shared" ref="AT57:BY57" si="27">SUM(AT8:AT56)</f>
        <v>0</v>
      </c>
      <c r="AU57" s="637">
        <f t="shared" si="27"/>
        <v>0</v>
      </c>
      <c r="AV57" s="637">
        <f t="shared" si="27"/>
        <v>0</v>
      </c>
      <c r="AW57" s="637">
        <f t="shared" si="27"/>
        <v>0</v>
      </c>
      <c r="AX57" s="637">
        <f t="shared" si="27"/>
        <v>0</v>
      </c>
      <c r="AY57" s="637">
        <f t="shared" si="27"/>
        <v>0</v>
      </c>
      <c r="AZ57" s="637">
        <f t="shared" si="27"/>
        <v>0</v>
      </c>
      <c r="BA57" s="637">
        <f t="shared" si="27"/>
        <v>0</v>
      </c>
      <c r="BB57" s="637">
        <f t="shared" si="27"/>
        <v>0</v>
      </c>
      <c r="BC57" s="637">
        <f t="shared" si="27"/>
        <v>0</v>
      </c>
      <c r="BD57" s="637">
        <f t="shared" si="27"/>
        <v>0</v>
      </c>
      <c r="BE57" s="637">
        <f t="shared" si="27"/>
        <v>0</v>
      </c>
      <c r="BF57" s="637">
        <f t="shared" si="27"/>
        <v>0</v>
      </c>
      <c r="BG57" s="637">
        <f t="shared" si="27"/>
        <v>0</v>
      </c>
      <c r="BH57" s="637">
        <f t="shared" si="27"/>
        <v>0</v>
      </c>
      <c r="BI57" s="637">
        <f t="shared" si="27"/>
        <v>0</v>
      </c>
      <c r="BJ57" s="637">
        <f t="shared" si="27"/>
        <v>0</v>
      </c>
      <c r="BK57" s="637">
        <f t="shared" si="27"/>
        <v>0</v>
      </c>
      <c r="BL57" s="637">
        <f t="shared" si="27"/>
        <v>0</v>
      </c>
      <c r="BM57" s="637">
        <f t="shared" si="27"/>
        <v>0</v>
      </c>
      <c r="BN57" s="637">
        <f t="shared" si="27"/>
        <v>0</v>
      </c>
      <c r="BO57" s="637">
        <f t="shared" si="27"/>
        <v>0</v>
      </c>
      <c r="BP57" s="637">
        <f t="shared" si="27"/>
        <v>0</v>
      </c>
      <c r="BQ57" s="637">
        <f t="shared" si="27"/>
        <v>0</v>
      </c>
      <c r="BR57" s="637">
        <f t="shared" si="27"/>
        <v>0</v>
      </c>
      <c r="BS57" s="637">
        <f t="shared" si="27"/>
        <v>0</v>
      </c>
      <c r="BT57" s="637">
        <f t="shared" si="27"/>
        <v>0</v>
      </c>
      <c r="BU57" s="637">
        <f t="shared" si="27"/>
        <v>0</v>
      </c>
      <c r="BV57" s="637">
        <f t="shared" si="27"/>
        <v>0</v>
      </c>
      <c r="BW57" s="637">
        <f t="shared" si="27"/>
        <v>0</v>
      </c>
      <c r="BX57" s="637">
        <f t="shared" si="27"/>
        <v>0</v>
      </c>
      <c r="BY57" s="637">
        <f t="shared" si="27"/>
        <v>0</v>
      </c>
      <c r="BZ57" s="637">
        <f t="shared" ref="BZ57:DE57" si="28">SUM(BZ8:BZ56)</f>
        <v>0</v>
      </c>
      <c r="CA57" s="637">
        <f t="shared" si="28"/>
        <v>0</v>
      </c>
      <c r="CB57" s="637">
        <f t="shared" si="28"/>
        <v>0</v>
      </c>
      <c r="CC57" s="637">
        <f t="shared" si="28"/>
        <v>0</v>
      </c>
      <c r="CD57" s="637">
        <f t="shared" si="28"/>
        <v>0</v>
      </c>
      <c r="CE57" s="637">
        <f t="shared" si="28"/>
        <v>0</v>
      </c>
      <c r="CF57" s="637">
        <f t="shared" si="28"/>
        <v>0</v>
      </c>
      <c r="CG57" s="637">
        <f t="shared" si="28"/>
        <v>0</v>
      </c>
      <c r="CH57" s="637">
        <f t="shared" si="28"/>
        <v>0</v>
      </c>
      <c r="CI57" s="637">
        <f t="shared" si="28"/>
        <v>0</v>
      </c>
      <c r="CJ57" s="637">
        <f t="shared" si="28"/>
        <v>0</v>
      </c>
      <c r="CK57" s="637">
        <f t="shared" si="28"/>
        <v>0</v>
      </c>
      <c r="CL57" s="637">
        <f t="shared" si="28"/>
        <v>0</v>
      </c>
      <c r="CM57" s="637">
        <f t="shared" si="28"/>
        <v>0</v>
      </c>
      <c r="CN57" s="637">
        <f t="shared" si="28"/>
        <v>0</v>
      </c>
      <c r="CO57" s="637">
        <f t="shared" si="28"/>
        <v>0</v>
      </c>
      <c r="CP57" s="637">
        <f t="shared" si="28"/>
        <v>0</v>
      </c>
      <c r="CQ57" s="637">
        <f t="shared" si="28"/>
        <v>0</v>
      </c>
      <c r="CR57" s="637">
        <f t="shared" si="28"/>
        <v>0</v>
      </c>
      <c r="CS57" s="637">
        <f t="shared" si="28"/>
        <v>0</v>
      </c>
      <c r="CT57" s="637">
        <f t="shared" si="28"/>
        <v>0</v>
      </c>
      <c r="CU57" s="637">
        <f t="shared" si="28"/>
        <v>0</v>
      </c>
      <c r="CV57" s="637">
        <f t="shared" si="28"/>
        <v>0</v>
      </c>
      <c r="CW57" s="637">
        <f t="shared" si="28"/>
        <v>0</v>
      </c>
      <c r="CX57" s="637">
        <f t="shared" si="28"/>
        <v>0</v>
      </c>
      <c r="CY57" s="637">
        <f t="shared" si="28"/>
        <v>0</v>
      </c>
      <c r="CZ57" s="637">
        <f t="shared" si="28"/>
        <v>0</v>
      </c>
      <c r="DA57" s="637">
        <f t="shared" si="28"/>
        <v>0</v>
      </c>
      <c r="DB57" s="637">
        <f t="shared" si="28"/>
        <v>0</v>
      </c>
      <c r="DC57" s="637">
        <f t="shared" si="28"/>
        <v>0</v>
      </c>
      <c r="DD57" s="637">
        <f t="shared" si="28"/>
        <v>0</v>
      </c>
      <c r="DE57" s="637">
        <f t="shared" si="28"/>
        <v>0</v>
      </c>
      <c r="DF57" s="637">
        <f t="shared" ref="DF57:DO57" si="29">SUM(DF8:DF56)</f>
        <v>0</v>
      </c>
      <c r="DG57" s="637">
        <f t="shared" si="29"/>
        <v>0</v>
      </c>
      <c r="DH57" s="637">
        <f t="shared" si="29"/>
        <v>0</v>
      </c>
      <c r="DI57" s="637">
        <f t="shared" si="29"/>
        <v>0</v>
      </c>
      <c r="DJ57" s="637">
        <f t="shared" si="29"/>
        <v>0</v>
      </c>
      <c r="DK57" s="637">
        <f t="shared" si="29"/>
        <v>0</v>
      </c>
      <c r="DL57" s="637">
        <f t="shared" si="29"/>
        <v>0</v>
      </c>
      <c r="DM57" s="637">
        <f t="shared" si="29"/>
        <v>0</v>
      </c>
      <c r="DN57" s="637">
        <f t="shared" si="29"/>
        <v>0</v>
      </c>
      <c r="DO57" s="636">
        <f t="shared" si="29"/>
        <v>12836750306.345901</v>
      </c>
      <c r="DP57" s="636"/>
      <c r="DQ57" s="638">
        <f>IFERROR(XIRR(S57:DO57,$S$7:$DO$7),0)</f>
        <v>7.0000001788139296E-2</v>
      </c>
      <c r="DR57" s="636">
        <f t="shared" ref="DR57:DX57" si="30">SUM(DR8:DR56)</f>
        <v>10400000000</v>
      </c>
      <c r="DS57" s="636">
        <f t="shared" si="30"/>
        <v>0</v>
      </c>
      <c r="DT57" s="636">
        <f t="shared" si="30"/>
        <v>100000000</v>
      </c>
      <c r="DU57" s="636">
        <f t="shared" si="30"/>
        <v>2336750306.3459015</v>
      </c>
      <c r="DV57" s="636">
        <f t="shared" si="30"/>
        <v>0</v>
      </c>
      <c r="DW57" s="636">
        <f t="shared" si="30"/>
        <v>0</v>
      </c>
      <c r="DX57" s="636">
        <f t="shared" si="30"/>
        <v>2606987185.5308199</v>
      </c>
      <c r="DY57" s="636">
        <f>DY6</f>
        <v>10427948742.12328</v>
      </c>
      <c r="DZ57" s="636">
        <f>SUM(DZ8:DZ56)</f>
        <v>25871686233.999992</v>
      </c>
      <c r="EA57" s="636"/>
    </row>
    <row r="58" spans="1:131" s="603" customFormat="1" ht="13.5">
      <c r="A58" s="172"/>
      <c r="B58" s="172"/>
      <c r="C58" s="172"/>
      <c r="D58" s="172"/>
      <c r="E58" s="172"/>
      <c r="H58" s="172"/>
      <c r="I58" s="172"/>
      <c r="J58" s="172"/>
      <c r="K58" s="172"/>
      <c r="L58" s="172"/>
      <c r="M58" s="172"/>
      <c r="N58" s="172"/>
      <c r="O58" s="172"/>
      <c r="P58" s="172"/>
      <c r="Q58" s="639" t="str">
        <f>IF(Q57=NAV!D26,"자본금과 일치","자본금과 불일치")</f>
        <v>자본금과 일치</v>
      </c>
      <c r="R58" s="172"/>
      <c r="S58" s="172"/>
      <c r="T58" s="172"/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C58" s="172"/>
      <c r="BD58" s="172"/>
      <c r="BE58" s="172"/>
      <c r="BF58" s="172"/>
      <c r="BG58" s="172"/>
      <c r="BH58" s="172"/>
      <c r="BI58" s="172"/>
      <c r="BJ58" s="172"/>
      <c r="BK58" s="172"/>
      <c r="BL58" s="172"/>
      <c r="BM58" s="172"/>
      <c r="BN58" s="172"/>
      <c r="BO58" s="172"/>
      <c r="BP58" s="172"/>
      <c r="BQ58" s="172"/>
      <c r="BR58" s="172"/>
      <c r="BS58" s="172"/>
      <c r="BT58" s="172"/>
      <c r="BU58" s="172"/>
      <c r="BV58" s="172"/>
      <c r="BW58" s="172"/>
      <c r="BX58" s="172"/>
      <c r="BY58" s="172"/>
      <c r="BZ58" s="172"/>
      <c r="CA58" s="172"/>
      <c r="CB58" s="172"/>
      <c r="CC58" s="172"/>
      <c r="CD58" s="172"/>
      <c r="CE58" s="172"/>
      <c r="CF58" s="172"/>
      <c r="CG58" s="172"/>
      <c r="CH58" s="172"/>
      <c r="CI58" s="172"/>
      <c r="CJ58" s="172"/>
      <c r="CK58" s="172"/>
      <c r="CL58" s="172"/>
      <c r="CM58" s="172"/>
      <c r="CN58" s="172"/>
      <c r="CO58" s="172"/>
      <c r="CP58" s="172"/>
      <c r="CQ58" s="172"/>
      <c r="CR58" s="172"/>
      <c r="CS58" s="172"/>
      <c r="CT58" s="172"/>
      <c r="CU58" s="172"/>
      <c r="CV58" s="172"/>
      <c r="CW58" s="172"/>
      <c r="CX58" s="172"/>
      <c r="CY58" s="172"/>
      <c r="CZ58" s="172"/>
      <c r="DA58" s="172"/>
      <c r="DB58" s="172"/>
      <c r="DC58" s="172"/>
      <c r="DD58" s="172"/>
      <c r="DE58" s="172"/>
      <c r="DF58" s="172"/>
      <c r="DG58" s="172"/>
      <c r="DH58" s="172"/>
      <c r="DI58" s="172"/>
      <c r="DJ58" s="172"/>
      <c r="DK58" s="172"/>
      <c r="DL58" s="172"/>
      <c r="DM58" s="172"/>
      <c r="DN58" s="172"/>
      <c r="DO58" s="172"/>
      <c r="DP58" s="172"/>
      <c r="DQ58" s="172"/>
      <c r="DR58" s="172"/>
      <c r="DS58" s="172"/>
      <c r="DT58" s="172"/>
      <c r="DU58" s="172"/>
      <c r="DV58" s="172"/>
      <c r="DW58" s="172"/>
      <c r="DX58" s="172"/>
      <c r="DY58" s="172"/>
      <c r="DZ58" s="172"/>
      <c r="EA58" s="172"/>
    </row>
    <row r="59" spans="1:131" s="603" customFormat="1" ht="13.5">
      <c r="A59" s="172"/>
      <c r="B59" s="172"/>
      <c r="C59" s="172"/>
      <c r="D59" s="172"/>
      <c r="E59" s="172"/>
      <c r="H59" s="172"/>
      <c r="I59" s="172"/>
      <c r="J59" s="172"/>
      <c r="K59" s="172"/>
      <c r="L59" s="172"/>
      <c r="M59" s="172"/>
      <c r="N59" s="172"/>
      <c r="O59" s="172"/>
      <c r="P59" s="640" t="s">
        <v>743</v>
      </c>
      <c r="Q59" s="641">
        <f>Q57-NAV!D26</f>
        <v>0</v>
      </c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2"/>
      <c r="AG59" s="172"/>
      <c r="AH59" s="172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C59" s="172"/>
      <c r="BD59" s="172"/>
      <c r="BE59" s="172"/>
      <c r="BF59" s="172"/>
      <c r="BG59" s="172"/>
      <c r="BH59" s="172"/>
      <c r="BI59" s="172"/>
      <c r="BJ59" s="172"/>
      <c r="BK59" s="172"/>
      <c r="BL59" s="172"/>
      <c r="BM59" s="172"/>
      <c r="BN59" s="172"/>
      <c r="BO59" s="172"/>
      <c r="BP59" s="172"/>
      <c r="BQ59" s="172"/>
      <c r="BR59" s="172"/>
      <c r="BS59" s="172"/>
      <c r="BT59" s="172"/>
      <c r="BU59" s="172"/>
      <c r="BV59" s="172"/>
      <c r="BW59" s="172"/>
      <c r="BX59" s="172"/>
      <c r="BY59" s="172"/>
      <c r="BZ59" s="172"/>
      <c r="CA59" s="172"/>
      <c r="CB59" s="172"/>
      <c r="CC59" s="172"/>
      <c r="CD59" s="172"/>
      <c r="CE59" s="172"/>
      <c r="CF59" s="172"/>
      <c r="CG59" s="172"/>
      <c r="CH59" s="172"/>
      <c r="CI59" s="172"/>
      <c r="CJ59" s="172"/>
      <c r="CK59" s="172"/>
      <c r="CL59" s="172"/>
      <c r="CM59" s="172"/>
      <c r="CN59" s="172"/>
      <c r="CO59" s="172"/>
      <c r="CP59" s="172"/>
      <c r="CQ59" s="172"/>
      <c r="CR59" s="172"/>
      <c r="CS59" s="172"/>
      <c r="CT59" s="172"/>
      <c r="CU59" s="172"/>
      <c r="CV59" s="172"/>
      <c r="CW59" s="172"/>
      <c r="CX59" s="172"/>
      <c r="CY59" s="172"/>
      <c r="CZ59" s="172"/>
      <c r="DA59" s="172"/>
      <c r="DB59" s="172"/>
      <c r="DC59" s="172"/>
      <c r="DD59" s="172"/>
      <c r="DE59" s="172"/>
      <c r="DF59" s="172"/>
      <c r="DG59" s="172"/>
      <c r="DH59" s="172"/>
      <c r="DI59" s="172"/>
      <c r="DJ59" s="172"/>
      <c r="DK59" s="172"/>
      <c r="DL59" s="172"/>
      <c r="DM59" s="172"/>
      <c r="DN59" s="172"/>
      <c r="DO59" s="172"/>
      <c r="DP59" s="172"/>
      <c r="DQ59" s="172"/>
      <c r="DR59" s="172"/>
      <c r="DT59" s="615"/>
      <c r="DU59" s="642"/>
      <c r="DV59" s="643"/>
      <c r="DW59" s="172"/>
      <c r="DX59" s="172"/>
      <c r="DY59" s="172"/>
      <c r="DZ59" s="172"/>
      <c r="EA59" s="172"/>
    </row>
    <row r="60" spans="1:131" s="603" customFormat="1" ht="14.25" thickBot="1">
      <c r="A60" s="644"/>
      <c r="B60" s="581" t="s">
        <v>290</v>
      </c>
      <c r="C60" s="645"/>
      <c r="D60" s="645"/>
      <c r="E60" s="644"/>
      <c r="F60" s="646"/>
      <c r="G60" s="644"/>
      <c r="H60" s="644"/>
      <c r="I60" s="644"/>
      <c r="J60" s="644"/>
      <c r="K60" s="644"/>
      <c r="L60" s="644"/>
      <c r="M60" s="644"/>
      <c r="N60" s="644"/>
      <c r="O60" s="644"/>
      <c r="P60" s="644"/>
      <c r="Q60" s="644"/>
      <c r="R60" s="644"/>
      <c r="S60" s="644"/>
      <c r="T60" s="644"/>
      <c r="U60" s="644"/>
      <c r="V60" s="644"/>
      <c r="W60" s="644"/>
      <c r="X60" s="644"/>
      <c r="Y60" s="644"/>
      <c r="Z60" s="644"/>
      <c r="AA60" s="644"/>
      <c r="AB60" s="644"/>
      <c r="AC60" s="644"/>
      <c r="AD60" s="644"/>
      <c r="AE60" s="644"/>
      <c r="AF60" s="644"/>
      <c r="AG60" s="644"/>
      <c r="AH60" s="644"/>
      <c r="AI60" s="644"/>
      <c r="AJ60" s="644"/>
      <c r="AK60" s="644"/>
      <c r="AL60" s="644"/>
      <c r="AM60" s="644"/>
      <c r="AN60" s="644"/>
      <c r="AO60" s="644"/>
      <c r="AP60" s="644"/>
      <c r="AQ60" s="644"/>
      <c r="AR60" s="644"/>
      <c r="AS60" s="644"/>
      <c r="AT60" s="644"/>
      <c r="AU60" s="644"/>
      <c r="AV60" s="644"/>
      <c r="AW60" s="644"/>
      <c r="AX60" s="644"/>
      <c r="AY60" s="644"/>
      <c r="AZ60" s="644"/>
      <c r="BA60" s="644"/>
      <c r="BB60" s="644"/>
      <c r="BC60" s="644"/>
      <c r="BD60" s="644"/>
      <c r="BE60" s="644"/>
      <c r="BF60" s="644"/>
      <c r="BG60" s="644"/>
      <c r="BH60" s="644"/>
      <c r="BI60" s="644"/>
      <c r="BJ60" s="644"/>
      <c r="BK60" s="644"/>
      <c r="BL60" s="644"/>
      <c r="BM60" s="644"/>
      <c r="BN60" s="644"/>
      <c r="BO60" s="644"/>
      <c r="BP60" s="644"/>
      <c r="BQ60" s="644"/>
      <c r="BR60" s="644"/>
      <c r="BS60" s="644"/>
      <c r="BT60" s="644"/>
      <c r="BU60" s="644"/>
      <c r="BV60" s="644"/>
      <c r="BW60" s="644"/>
      <c r="BX60" s="644"/>
      <c r="BY60" s="644"/>
      <c r="BZ60" s="644"/>
      <c r="CA60" s="644"/>
      <c r="CB60" s="644"/>
      <c r="CC60" s="644"/>
      <c r="CD60" s="644"/>
      <c r="CE60" s="644"/>
      <c r="CF60" s="644"/>
      <c r="CG60" s="644"/>
      <c r="CH60" s="644"/>
      <c r="CI60" s="644"/>
      <c r="CJ60" s="644"/>
      <c r="CK60" s="644"/>
      <c r="CL60" s="644"/>
      <c r="CM60" s="644"/>
      <c r="CN60" s="644"/>
      <c r="CO60" s="644"/>
      <c r="CP60" s="644"/>
      <c r="CQ60" s="644"/>
      <c r="CR60" s="644"/>
      <c r="CS60" s="644"/>
      <c r="CT60" s="644"/>
      <c r="CU60" s="644"/>
      <c r="CV60" s="644"/>
      <c r="CW60" s="644"/>
      <c r="CX60" s="644"/>
      <c r="CY60" s="644"/>
      <c r="CZ60" s="644"/>
      <c r="DA60" s="644"/>
      <c r="DB60" s="644"/>
      <c r="DC60" s="644"/>
      <c r="DD60" s="644"/>
      <c r="DE60" s="644"/>
      <c r="DF60" s="644"/>
      <c r="DG60" s="644"/>
      <c r="DH60" s="644"/>
      <c r="DI60" s="644"/>
      <c r="DJ60" s="644"/>
      <c r="DK60" s="644"/>
      <c r="DL60" s="644"/>
      <c r="DM60" s="644"/>
      <c r="DN60" s="644"/>
      <c r="DO60" s="644"/>
      <c r="DP60" s="644"/>
      <c r="DQ60" s="644"/>
      <c r="DR60" s="644"/>
      <c r="DS60" s="644"/>
      <c r="DT60" s="644"/>
      <c r="DU60" s="644"/>
      <c r="DV60" s="644"/>
      <c r="DW60" s="644"/>
      <c r="DX60" s="644"/>
      <c r="DY60" s="644"/>
      <c r="DZ60" s="644"/>
      <c r="EA60" s="644"/>
    </row>
    <row r="61" spans="1:131" s="603" customFormat="1" ht="13.5" customHeight="1" thickTop="1" thickBot="1">
      <c r="A61" s="172"/>
      <c r="B61" s="647"/>
      <c r="C61" s="592" t="s">
        <v>3607</v>
      </c>
      <c r="D61" s="648">
        <v>1</v>
      </c>
      <c r="E61" s="649"/>
      <c r="I61" s="650" t="b">
        <f>I72=DR63</f>
        <v>1</v>
      </c>
      <c r="J61" s="172"/>
      <c r="K61" s="172"/>
      <c r="L61" s="172"/>
      <c r="M61" s="172"/>
      <c r="N61" s="172"/>
      <c r="O61" s="172"/>
      <c r="P61" s="172"/>
      <c r="Q61" s="639" t="str">
        <f>IF(Q72=NAV!E219,"자본금과 일치","자본금과 불일치")</f>
        <v>자본금과 일치</v>
      </c>
      <c r="R61" s="172"/>
      <c r="S61" s="172"/>
      <c r="T61" s="172"/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C61" s="172"/>
      <c r="BD61" s="172"/>
      <c r="BE61" s="172"/>
      <c r="BF61" s="172"/>
      <c r="BG61" s="172"/>
      <c r="BH61" s="172"/>
      <c r="BI61" s="172"/>
      <c r="BJ61" s="172"/>
      <c r="BK61" s="172"/>
      <c r="BL61" s="172"/>
      <c r="BM61" s="172"/>
      <c r="BN61" s="172"/>
      <c r="BO61" s="172"/>
      <c r="BP61" s="172"/>
      <c r="BQ61" s="172"/>
      <c r="BR61" s="172"/>
      <c r="BS61" s="172"/>
      <c r="BT61" s="172"/>
      <c r="BU61" s="172"/>
      <c r="BV61" s="172"/>
      <c r="BW61" s="172"/>
      <c r="BX61" s="172"/>
      <c r="BY61" s="172"/>
      <c r="BZ61" s="172"/>
      <c r="CA61" s="172"/>
      <c r="CB61" s="172"/>
      <c r="CC61" s="172"/>
      <c r="CD61" s="172"/>
      <c r="CE61" s="172"/>
      <c r="CF61" s="172"/>
      <c r="CG61" s="172"/>
      <c r="CH61" s="172"/>
      <c r="CI61" s="172"/>
      <c r="CJ61" s="172"/>
      <c r="CK61" s="172"/>
      <c r="CL61" s="172"/>
      <c r="CM61" s="172"/>
      <c r="CN61" s="172"/>
      <c r="CO61" s="172"/>
      <c r="CP61" s="172"/>
      <c r="CQ61" s="172"/>
      <c r="CR61" s="172"/>
      <c r="CS61" s="172"/>
      <c r="CT61" s="172"/>
      <c r="CU61" s="172"/>
      <c r="CV61" s="172"/>
      <c r="CW61" s="172"/>
      <c r="CX61" s="172"/>
      <c r="CY61" s="172"/>
      <c r="CZ61" s="172"/>
      <c r="DA61" s="172"/>
      <c r="DB61" s="172"/>
      <c r="DC61" s="172"/>
      <c r="DD61" s="172"/>
      <c r="DE61" s="172"/>
      <c r="DF61" s="172"/>
      <c r="DG61" s="172"/>
      <c r="DH61" s="172"/>
      <c r="DI61" s="172"/>
      <c r="DJ61" s="172"/>
      <c r="DK61" s="172"/>
      <c r="DL61" s="172"/>
      <c r="DM61" s="172"/>
      <c r="DN61" s="172"/>
      <c r="DO61" s="588" t="s">
        <v>3392</v>
      </c>
      <c r="DP61" s="588" t="str">
        <f>IF(ROUND(_xlfn.AGGREGATE(9,6,DP64:DP71),5)=ROUND(_xlfn.AGGREGATE(9,6,DQ64:DQ71),5),"이상없음","기준수익률확인")</f>
        <v>이상없음</v>
      </c>
      <c r="DQ61" s="172"/>
      <c r="DR61" s="651" t="s">
        <v>3406</v>
      </c>
      <c r="DS61" s="172"/>
      <c r="DT61" s="615"/>
      <c r="DU61" s="615"/>
      <c r="DV61" s="172"/>
      <c r="DW61" s="172"/>
      <c r="DX61" s="615"/>
      <c r="DY61" s="172"/>
      <c r="DZ61" s="172"/>
      <c r="EA61" s="172"/>
    </row>
    <row r="62" spans="1:131" s="603" customFormat="1" ht="13.5" customHeight="1">
      <c r="A62" s="652" t="str">
        <f t="shared" ref="A62:A70" si="31">$B$61&amp;B62</f>
        <v>SPC명</v>
      </c>
      <c r="B62" s="653" t="s">
        <v>193</v>
      </c>
      <c r="C62" s="780"/>
      <c r="D62" s="780"/>
      <c r="E62" s="780"/>
      <c r="I62" s="776" t="s">
        <v>3393</v>
      </c>
      <c r="J62" s="776" t="s">
        <v>3394</v>
      </c>
      <c r="K62" s="774" t="s">
        <v>3395</v>
      </c>
      <c r="L62" s="774" t="s">
        <v>3396</v>
      </c>
      <c r="M62" s="774" t="s">
        <v>3397</v>
      </c>
      <c r="N62" s="774" t="s">
        <v>3398</v>
      </c>
      <c r="O62" s="774" t="s">
        <v>3399</v>
      </c>
      <c r="P62" s="776" t="s">
        <v>3400</v>
      </c>
      <c r="Q62" s="774" t="s">
        <v>3401</v>
      </c>
      <c r="R62" s="774" t="s">
        <v>3402</v>
      </c>
      <c r="S62" s="593"/>
      <c r="T62" s="593"/>
      <c r="U62" s="593"/>
      <c r="V62" s="593"/>
      <c r="W62" s="593"/>
      <c r="X62" s="593"/>
      <c r="Y62" s="593"/>
      <c r="Z62" s="593"/>
      <c r="AA62" s="593"/>
      <c r="AB62" s="593"/>
      <c r="AC62" s="593"/>
      <c r="AD62" s="593"/>
      <c r="AE62" s="593"/>
      <c r="AF62" s="593"/>
      <c r="AG62" s="593"/>
      <c r="AH62" s="593"/>
      <c r="AI62" s="593"/>
      <c r="AJ62" s="593"/>
      <c r="AK62" s="593"/>
      <c r="AL62" s="593"/>
      <c r="AM62" s="593"/>
      <c r="AN62" s="593"/>
      <c r="AO62" s="593"/>
      <c r="AP62" s="593"/>
      <c r="AQ62" s="593"/>
      <c r="AR62" s="593"/>
      <c r="AS62" s="593"/>
      <c r="AT62" s="593"/>
      <c r="AU62" s="593"/>
      <c r="AV62" s="593"/>
      <c r="AW62" s="593"/>
      <c r="AX62" s="593"/>
      <c r="AY62" s="593"/>
      <c r="AZ62" s="593"/>
      <c r="BA62" s="593"/>
      <c r="BB62" s="593"/>
      <c r="BC62" s="593"/>
      <c r="BD62" s="593"/>
      <c r="BE62" s="593"/>
      <c r="BF62" s="593"/>
      <c r="BG62" s="593"/>
      <c r="BH62" s="593"/>
      <c r="BI62" s="593"/>
      <c r="BJ62" s="593"/>
      <c r="BK62" s="593"/>
      <c r="BL62" s="593"/>
      <c r="BM62" s="593"/>
      <c r="BN62" s="593"/>
      <c r="BO62" s="593"/>
      <c r="BP62" s="593"/>
      <c r="BQ62" s="593"/>
      <c r="BR62" s="593"/>
      <c r="BS62" s="593"/>
      <c r="BT62" s="593"/>
      <c r="BU62" s="593"/>
      <c r="BV62" s="593"/>
      <c r="BW62" s="593"/>
      <c r="BX62" s="593"/>
      <c r="BY62" s="593"/>
      <c r="BZ62" s="593"/>
      <c r="CA62" s="593"/>
      <c r="CB62" s="593"/>
      <c r="CC62" s="593"/>
      <c r="CD62" s="593"/>
      <c r="CE62" s="593"/>
      <c r="CF62" s="593"/>
      <c r="CG62" s="593"/>
      <c r="CH62" s="593"/>
      <c r="CI62" s="593"/>
      <c r="CJ62" s="593"/>
      <c r="CK62" s="593"/>
      <c r="CL62" s="593"/>
      <c r="CM62" s="593"/>
      <c r="CN62" s="593"/>
      <c r="CO62" s="593"/>
      <c r="CP62" s="593"/>
      <c r="CQ62" s="593"/>
      <c r="CR62" s="593"/>
      <c r="CS62" s="593"/>
      <c r="CT62" s="593"/>
      <c r="CU62" s="593"/>
      <c r="CV62" s="593"/>
      <c r="CW62" s="593"/>
      <c r="CX62" s="593"/>
      <c r="CY62" s="593"/>
      <c r="CZ62" s="593"/>
      <c r="DA62" s="593"/>
      <c r="DB62" s="593"/>
      <c r="DC62" s="593"/>
      <c r="DD62" s="593"/>
      <c r="DE62" s="593"/>
      <c r="DF62" s="593"/>
      <c r="DG62" s="593"/>
      <c r="DH62" s="593"/>
      <c r="DI62" s="593"/>
      <c r="DJ62" s="593"/>
      <c r="DK62" s="593"/>
      <c r="DL62" s="593"/>
      <c r="DM62" s="593"/>
      <c r="DN62" s="593"/>
      <c r="DO62" s="594" t="s">
        <v>220</v>
      </c>
      <c r="DP62" s="774" t="s">
        <v>218</v>
      </c>
      <c r="DQ62" s="774" t="s">
        <v>3403</v>
      </c>
      <c r="DR62" s="594"/>
      <c r="DS62" s="594"/>
      <c r="DT62" s="594"/>
      <c r="DU62" s="594"/>
      <c r="DV62" s="594"/>
      <c r="DW62" s="594"/>
      <c r="DX62" s="594"/>
      <c r="DY62" s="594"/>
      <c r="DZ62" s="594"/>
      <c r="EA62" s="602"/>
    </row>
    <row r="63" spans="1:131" s="603" customFormat="1" ht="13.5" customHeight="1" thickBot="1">
      <c r="A63" s="652" t="str">
        <f t="shared" si="31"/>
        <v>유형</v>
      </c>
      <c r="B63" s="653" t="s">
        <v>188</v>
      </c>
      <c r="C63" s="780"/>
      <c r="D63" s="780"/>
      <c r="E63" s="780"/>
      <c r="I63" s="777"/>
      <c r="J63" s="777"/>
      <c r="K63" s="775"/>
      <c r="L63" s="775"/>
      <c r="M63" s="775"/>
      <c r="N63" s="775"/>
      <c r="O63" s="775"/>
      <c r="P63" s="777"/>
      <c r="Q63" s="775"/>
      <c r="R63" s="775"/>
      <c r="S63" s="601"/>
      <c r="T63" s="601"/>
      <c r="U63" s="601"/>
      <c r="V63" s="601"/>
      <c r="W63" s="601"/>
      <c r="X63" s="601"/>
      <c r="Y63" s="601"/>
      <c r="Z63" s="601"/>
      <c r="AA63" s="601"/>
      <c r="AB63" s="601"/>
      <c r="AC63" s="601"/>
      <c r="AD63" s="601"/>
      <c r="AE63" s="601"/>
      <c r="AF63" s="601"/>
      <c r="AG63" s="601"/>
      <c r="AH63" s="601"/>
      <c r="AI63" s="601"/>
      <c r="AJ63" s="601"/>
      <c r="AK63" s="601"/>
      <c r="AL63" s="601"/>
      <c r="AM63" s="601"/>
      <c r="AN63" s="601"/>
      <c r="AO63" s="601"/>
      <c r="AP63" s="601"/>
      <c r="AQ63" s="601"/>
      <c r="AR63" s="601"/>
      <c r="AS63" s="601"/>
      <c r="AT63" s="601"/>
      <c r="AU63" s="601"/>
      <c r="AV63" s="601"/>
      <c r="AW63" s="601"/>
      <c r="AX63" s="601"/>
      <c r="AY63" s="601"/>
      <c r="AZ63" s="601"/>
      <c r="BA63" s="601"/>
      <c r="BB63" s="601"/>
      <c r="BC63" s="601"/>
      <c r="BD63" s="601"/>
      <c r="BE63" s="601"/>
      <c r="BF63" s="601"/>
      <c r="BG63" s="601"/>
      <c r="BH63" s="601"/>
      <c r="BI63" s="601"/>
      <c r="BJ63" s="601"/>
      <c r="BK63" s="601"/>
      <c r="BL63" s="601"/>
      <c r="BM63" s="601"/>
      <c r="BN63" s="601"/>
      <c r="BO63" s="601"/>
      <c r="BP63" s="601"/>
      <c r="BQ63" s="601"/>
      <c r="BR63" s="601"/>
      <c r="BS63" s="601"/>
      <c r="BT63" s="601"/>
      <c r="BU63" s="601"/>
      <c r="BV63" s="601"/>
      <c r="BW63" s="601"/>
      <c r="BX63" s="601"/>
      <c r="BY63" s="601"/>
      <c r="BZ63" s="601"/>
      <c r="CA63" s="601"/>
      <c r="CB63" s="601"/>
      <c r="CC63" s="601"/>
      <c r="CD63" s="601"/>
      <c r="CE63" s="601"/>
      <c r="CF63" s="601"/>
      <c r="CG63" s="601"/>
      <c r="CH63" s="601"/>
      <c r="CI63" s="601"/>
      <c r="CJ63" s="601"/>
      <c r="CK63" s="601"/>
      <c r="CL63" s="601"/>
      <c r="CM63" s="601"/>
      <c r="CN63" s="601"/>
      <c r="CO63" s="601"/>
      <c r="CP63" s="601"/>
      <c r="CQ63" s="601"/>
      <c r="CR63" s="601"/>
      <c r="CS63" s="601"/>
      <c r="CT63" s="601"/>
      <c r="CU63" s="601"/>
      <c r="CV63" s="601"/>
      <c r="CW63" s="601"/>
      <c r="CX63" s="601"/>
      <c r="CY63" s="601"/>
      <c r="CZ63" s="601"/>
      <c r="DA63" s="601"/>
      <c r="DB63" s="601"/>
      <c r="DC63" s="601"/>
      <c r="DD63" s="601"/>
      <c r="DE63" s="601"/>
      <c r="DF63" s="601"/>
      <c r="DG63" s="601"/>
      <c r="DH63" s="601"/>
      <c r="DI63" s="601"/>
      <c r="DJ63" s="601"/>
      <c r="DK63" s="601"/>
      <c r="DL63" s="601"/>
      <c r="DM63" s="601"/>
      <c r="DN63" s="601"/>
      <c r="DO63" s="654">
        <f>$DO$7</f>
        <v>45473</v>
      </c>
      <c r="DP63" s="775"/>
      <c r="DQ63" s="775"/>
      <c r="DR63" s="595">
        <f>NAV!E225</f>
        <v>0</v>
      </c>
      <c r="DS63" s="596">
        <f>DR63-DR72</f>
        <v>0</v>
      </c>
      <c r="DT63" s="596"/>
      <c r="DU63" s="596"/>
      <c r="DV63" s="597"/>
      <c r="DW63" s="596"/>
      <c r="DX63" s="596"/>
      <c r="DY63" s="596"/>
      <c r="DZ63" s="655"/>
      <c r="EA63" s="656"/>
    </row>
    <row r="64" spans="1:131" s="603" customFormat="1" ht="13.5" customHeight="1">
      <c r="A64" s="652" t="str">
        <f t="shared" si="31"/>
        <v>설정일</v>
      </c>
      <c r="B64" s="653" t="s">
        <v>742</v>
      </c>
      <c r="C64" s="781"/>
      <c r="D64" s="780"/>
      <c r="E64" s="780"/>
      <c r="I64" s="657">
        <f t="shared" ref="I64:I71" si="32">SUM(DR64:EA64)</f>
        <v>0</v>
      </c>
      <c r="J64" s="606" t="str">
        <f>IFERROR(I64/(Q64/$C$66),"N/A")</f>
        <v>N/A</v>
      </c>
      <c r="K64" s="471"/>
      <c r="L64" s="607"/>
      <c r="M64" s="300"/>
      <c r="N64" s="608"/>
      <c r="O64" s="609">
        <f t="shared" ref="O64:O71" si="33">-(SUMIF($S$62:$DN$62,"최초출자",S64:DN64)+SUMIF($S$62:$DN$62,"추가출자",S64:DN64))</f>
        <v>0</v>
      </c>
      <c r="P64" s="609">
        <f t="shared" ref="P64:P71" si="34">SUMIF($S$62:$DN$62,"이익분배",S64:DN64)+SUMIF($S$62:$DN$62,"원본분배",S64:DN64)</f>
        <v>0</v>
      </c>
      <c r="Q64" s="609">
        <f t="shared" ref="Q64:Q71" si="35">-(SUMIF($S$62:$DN$62,"최초출자",S64:DN64)+SUMIF($S$62:$DN$62,"추가출자",S64:DN64)+SUMIF($S$62:$DN$62,"원본분배",S64:DN64))</f>
        <v>0</v>
      </c>
      <c r="R64" s="610" t="str">
        <f>IFERROR(Q64/Q72,"")</f>
        <v/>
      </c>
      <c r="S64" s="658"/>
      <c r="T64" s="658"/>
      <c r="U64" s="658"/>
      <c r="V64" s="658"/>
      <c r="W64" s="658"/>
      <c r="X64" s="658"/>
      <c r="Y64" s="658"/>
      <c r="Z64" s="658"/>
      <c r="AA64" s="658"/>
      <c r="AB64" s="658"/>
      <c r="AC64" s="658"/>
      <c r="AD64" s="658"/>
      <c r="AE64" s="658"/>
      <c r="AF64" s="658"/>
      <c r="AG64" s="658"/>
      <c r="AH64" s="658"/>
      <c r="AI64" s="658"/>
      <c r="AJ64" s="658"/>
      <c r="AK64" s="658"/>
      <c r="AL64" s="658"/>
      <c r="AM64" s="658"/>
      <c r="AN64" s="658"/>
      <c r="AO64" s="658"/>
      <c r="AP64" s="658"/>
      <c r="AQ64" s="658"/>
      <c r="AR64" s="658"/>
      <c r="AS64" s="658"/>
      <c r="AT64" s="658"/>
      <c r="AU64" s="658"/>
      <c r="AV64" s="658"/>
      <c r="AW64" s="658"/>
      <c r="AX64" s="658"/>
      <c r="AY64" s="658"/>
      <c r="AZ64" s="658"/>
      <c r="BA64" s="658"/>
      <c r="BB64" s="658"/>
      <c r="BC64" s="658"/>
      <c r="BD64" s="658"/>
      <c r="BE64" s="658"/>
      <c r="BF64" s="658"/>
      <c r="BG64" s="658"/>
      <c r="BH64" s="658"/>
      <c r="BI64" s="658"/>
      <c r="BJ64" s="658"/>
      <c r="BK64" s="658"/>
      <c r="BL64" s="658"/>
      <c r="BM64" s="658"/>
      <c r="BN64" s="658"/>
      <c r="BO64" s="658"/>
      <c r="BP64" s="658"/>
      <c r="BQ64" s="658"/>
      <c r="BR64" s="658"/>
      <c r="BS64" s="658"/>
      <c r="BT64" s="658"/>
      <c r="BU64" s="658"/>
      <c r="BV64" s="658"/>
      <c r="BW64" s="658"/>
      <c r="BX64" s="658"/>
      <c r="BY64" s="658"/>
      <c r="BZ64" s="658"/>
      <c r="CA64" s="658"/>
      <c r="CB64" s="658"/>
      <c r="CC64" s="658"/>
      <c r="CD64" s="658"/>
      <c r="CE64" s="658"/>
      <c r="CF64" s="658"/>
      <c r="CG64" s="658"/>
      <c r="CH64" s="658"/>
      <c r="CI64" s="658"/>
      <c r="CJ64" s="658"/>
      <c r="CK64" s="658"/>
      <c r="CL64" s="658"/>
      <c r="CM64" s="658"/>
      <c r="CN64" s="658"/>
      <c r="CO64" s="658"/>
      <c r="CP64" s="658"/>
      <c r="CQ64" s="658"/>
      <c r="CR64" s="658"/>
      <c r="CS64" s="658"/>
      <c r="CT64" s="658"/>
      <c r="CU64" s="658"/>
      <c r="CV64" s="658"/>
      <c r="CW64" s="658"/>
      <c r="CX64" s="658"/>
      <c r="CY64" s="658"/>
      <c r="CZ64" s="658"/>
      <c r="DA64" s="658"/>
      <c r="DB64" s="658"/>
      <c r="DC64" s="658"/>
      <c r="DD64" s="658"/>
      <c r="DE64" s="658"/>
      <c r="DF64" s="658"/>
      <c r="DG64" s="658"/>
      <c r="DH64" s="658"/>
      <c r="DI64" s="658"/>
      <c r="DJ64" s="658"/>
      <c r="DK64" s="658"/>
      <c r="DL64" s="658"/>
      <c r="DM64" s="658"/>
      <c r="DN64" s="658"/>
      <c r="DO64" s="177">
        <f>IF(M64="",0,-XNPV(DP64,S64,S$63)*(1+DP64)^YEARFRAC($S$63,$DO$63,3))</f>
        <v>0</v>
      </c>
      <c r="DP64" s="612" t="e">
        <f t="shared" ref="DP64:DP71" si="36">IF(HLOOKUP(L64,$C$71:$E$72,2,0)=0,1E-24%,HLOOKUP(L64,$C$71:$E$72,2,FALSE))</f>
        <v>#N/A</v>
      </c>
      <c r="DQ64" s="612" t="e">
        <f t="shared" ref="DQ64:DQ72" si="37">XIRR(S64:DO64,$S$63:$DO$63)</f>
        <v>#NUM!</v>
      </c>
      <c r="DR64" s="177"/>
      <c r="DS64" s="177"/>
      <c r="DT64" s="177"/>
      <c r="DU64" s="177"/>
      <c r="DV64" s="177"/>
      <c r="DW64" s="177"/>
      <c r="DX64" s="177"/>
      <c r="DY64" s="177"/>
      <c r="DZ64" s="177"/>
      <c r="EA64" s="613"/>
    </row>
    <row r="65" spans="1:131" ht="13.5" customHeight="1">
      <c r="A65" s="652" t="str">
        <f t="shared" si="31"/>
        <v>출자잔액</v>
      </c>
      <c r="B65" s="653" t="s">
        <v>176</v>
      </c>
      <c r="C65" s="782"/>
      <c r="D65" s="782"/>
      <c r="E65" s="782"/>
      <c r="F65" s="603"/>
      <c r="G65" s="603"/>
      <c r="H65" s="603"/>
      <c r="I65" s="657">
        <f t="shared" si="32"/>
        <v>0</v>
      </c>
      <c r="J65" s="606" t="str">
        <f t="shared" ref="J65:J71" si="38">IFERROR(I65/(Q65/$C$66),"N/A")</f>
        <v>N/A</v>
      </c>
      <c r="K65" s="471"/>
      <c r="L65" s="607"/>
      <c r="M65" s="300"/>
      <c r="N65" s="608"/>
      <c r="O65" s="609">
        <f t="shared" si="33"/>
        <v>0</v>
      </c>
      <c r="P65" s="609">
        <f t="shared" si="34"/>
        <v>0</v>
      </c>
      <c r="Q65" s="609">
        <f t="shared" si="35"/>
        <v>0</v>
      </c>
      <c r="R65" s="610" t="str">
        <f>IFERROR(Q65/Q72,"")</f>
        <v/>
      </c>
      <c r="S65" s="658"/>
      <c r="T65" s="658"/>
      <c r="U65" s="658"/>
      <c r="V65" s="658"/>
      <c r="W65" s="658"/>
      <c r="X65" s="658"/>
      <c r="Y65" s="658"/>
      <c r="Z65" s="658"/>
      <c r="AA65" s="658"/>
      <c r="AB65" s="658"/>
      <c r="AC65" s="658"/>
      <c r="AD65" s="658"/>
      <c r="AE65" s="658"/>
      <c r="AF65" s="658"/>
      <c r="AG65" s="658"/>
      <c r="AH65" s="658"/>
      <c r="AI65" s="658"/>
      <c r="AJ65" s="658"/>
      <c r="AK65" s="658"/>
      <c r="AL65" s="658"/>
      <c r="AM65" s="658"/>
      <c r="AN65" s="658"/>
      <c r="AO65" s="658"/>
      <c r="AP65" s="658"/>
      <c r="AQ65" s="658"/>
      <c r="AR65" s="658"/>
      <c r="AS65" s="658"/>
      <c r="AT65" s="658"/>
      <c r="AU65" s="658"/>
      <c r="AV65" s="658"/>
      <c r="AW65" s="658"/>
      <c r="AX65" s="658"/>
      <c r="AY65" s="658"/>
      <c r="AZ65" s="658"/>
      <c r="BA65" s="658"/>
      <c r="BB65" s="658"/>
      <c r="BC65" s="658"/>
      <c r="BD65" s="658"/>
      <c r="BE65" s="658"/>
      <c r="BF65" s="658"/>
      <c r="BG65" s="658"/>
      <c r="BH65" s="658"/>
      <c r="BI65" s="658"/>
      <c r="BJ65" s="658"/>
      <c r="BK65" s="658"/>
      <c r="BL65" s="658"/>
      <c r="BM65" s="658"/>
      <c r="BN65" s="658"/>
      <c r="BO65" s="658"/>
      <c r="BP65" s="658"/>
      <c r="BQ65" s="658"/>
      <c r="BR65" s="658"/>
      <c r="BS65" s="658"/>
      <c r="BT65" s="658"/>
      <c r="BU65" s="658"/>
      <c r="BV65" s="658"/>
      <c r="BW65" s="658"/>
      <c r="BX65" s="658"/>
      <c r="BY65" s="658"/>
      <c r="BZ65" s="658"/>
      <c r="CA65" s="658"/>
      <c r="CB65" s="658"/>
      <c r="CC65" s="658"/>
      <c r="CD65" s="658"/>
      <c r="CE65" s="658"/>
      <c r="CF65" s="658"/>
      <c r="CG65" s="658"/>
      <c r="CH65" s="658"/>
      <c r="CI65" s="658"/>
      <c r="CJ65" s="658"/>
      <c r="CK65" s="658"/>
      <c r="CL65" s="658"/>
      <c r="CM65" s="658"/>
      <c r="CN65" s="658"/>
      <c r="CO65" s="658"/>
      <c r="CP65" s="658"/>
      <c r="CQ65" s="658"/>
      <c r="CR65" s="658"/>
      <c r="CS65" s="658"/>
      <c r="CT65" s="658"/>
      <c r="CU65" s="658"/>
      <c r="CV65" s="658"/>
      <c r="CW65" s="658"/>
      <c r="CX65" s="658"/>
      <c r="CY65" s="658"/>
      <c r="CZ65" s="658"/>
      <c r="DA65" s="658"/>
      <c r="DB65" s="658"/>
      <c r="DC65" s="658"/>
      <c r="DD65" s="658"/>
      <c r="DE65" s="658"/>
      <c r="DF65" s="658"/>
      <c r="DG65" s="658"/>
      <c r="DH65" s="658"/>
      <c r="DI65" s="658"/>
      <c r="DJ65" s="658"/>
      <c r="DK65" s="658"/>
      <c r="DL65" s="658"/>
      <c r="DM65" s="658"/>
      <c r="DN65" s="658"/>
      <c r="DO65" s="177">
        <f t="shared" ref="DO65:DO71" si="39">IF(M65="",0,-XNPV(DP65,S65,S$63)*(1+DP65)^YEARFRAC($S$63,$DO$63,3))</f>
        <v>0</v>
      </c>
      <c r="DP65" s="612" t="e">
        <f t="shared" si="36"/>
        <v>#N/A</v>
      </c>
      <c r="DQ65" s="612" t="e">
        <f t="shared" si="37"/>
        <v>#NUM!</v>
      </c>
      <c r="DR65" s="177"/>
      <c r="DS65" s="177"/>
      <c r="DT65" s="177"/>
      <c r="DU65" s="177"/>
      <c r="DV65" s="177"/>
      <c r="DW65" s="177"/>
      <c r="DX65" s="177"/>
      <c r="DY65" s="177"/>
      <c r="DZ65" s="177"/>
      <c r="EA65" s="613"/>
    </row>
    <row r="66" spans="1:131" ht="13.5" customHeight="1">
      <c r="A66" s="652" t="str">
        <f t="shared" si="31"/>
        <v>1좌당 금액</v>
      </c>
      <c r="B66" s="653" t="s">
        <v>181</v>
      </c>
      <c r="C66" s="783"/>
      <c r="D66" s="783"/>
      <c r="E66" s="783"/>
      <c r="F66" s="603"/>
      <c r="G66" s="603"/>
      <c r="H66" s="603"/>
      <c r="I66" s="657">
        <f t="shared" si="32"/>
        <v>0</v>
      </c>
      <c r="J66" s="606" t="str">
        <f t="shared" si="38"/>
        <v>N/A</v>
      </c>
      <c r="K66" s="471"/>
      <c r="L66" s="607"/>
      <c r="M66" s="300"/>
      <c r="N66" s="608"/>
      <c r="O66" s="609">
        <f t="shared" si="33"/>
        <v>0</v>
      </c>
      <c r="P66" s="609">
        <f t="shared" si="34"/>
        <v>0</v>
      </c>
      <c r="Q66" s="609">
        <f t="shared" si="35"/>
        <v>0</v>
      </c>
      <c r="R66" s="610" t="str">
        <f>IFERROR(Q66/Q72,"")</f>
        <v/>
      </c>
      <c r="S66" s="658"/>
      <c r="T66" s="658"/>
      <c r="U66" s="658"/>
      <c r="V66" s="658"/>
      <c r="W66" s="658"/>
      <c r="X66" s="658"/>
      <c r="Y66" s="658"/>
      <c r="Z66" s="658"/>
      <c r="AA66" s="658"/>
      <c r="AB66" s="658"/>
      <c r="AC66" s="658"/>
      <c r="AD66" s="658"/>
      <c r="AE66" s="658"/>
      <c r="AF66" s="658"/>
      <c r="AG66" s="658"/>
      <c r="AH66" s="658"/>
      <c r="AI66" s="658"/>
      <c r="AJ66" s="658"/>
      <c r="AK66" s="658"/>
      <c r="AL66" s="658"/>
      <c r="AM66" s="658"/>
      <c r="AN66" s="658"/>
      <c r="AO66" s="658"/>
      <c r="AP66" s="658"/>
      <c r="AQ66" s="658"/>
      <c r="AR66" s="658"/>
      <c r="AS66" s="658"/>
      <c r="AT66" s="658"/>
      <c r="AU66" s="658"/>
      <c r="AV66" s="658"/>
      <c r="AW66" s="658"/>
      <c r="AX66" s="658"/>
      <c r="AY66" s="658"/>
      <c r="AZ66" s="658"/>
      <c r="BA66" s="658"/>
      <c r="BB66" s="658"/>
      <c r="BC66" s="658"/>
      <c r="BD66" s="658"/>
      <c r="BE66" s="658"/>
      <c r="BF66" s="658"/>
      <c r="BG66" s="658"/>
      <c r="BH66" s="658"/>
      <c r="BI66" s="658"/>
      <c r="BJ66" s="658"/>
      <c r="BK66" s="658"/>
      <c r="BL66" s="658"/>
      <c r="BM66" s="658"/>
      <c r="BN66" s="658"/>
      <c r="BO66" s="658"/>
      <c r="BP66" s="658"/>
      <c r="BQ66" s="658"/>
      <c r="BR66" s="658"/>
      <c r="BS66" s="658"/>
      <c r="BT66" s="658"/>
      <c r="BU66" s="658"/>
      <c r="BV66" s="658"/>
      <c r="BW66" s="658"/>
      <c r="BX66" s="658"/>
      <c r="BY66" s="658"/>
      <c r="BZ66" s="658"/>
      <c r="CA66" s="658"/>
      <c r="CB66" s="658"/>
      <c r="CC66" s="658"/>
      <c r="CD66" s="658"/>
      <c r="CE66" s="658"/>
      <c r="CF66" s="658"/>
      <c r="CG66" s="658"/>
      <c r="CH66" s="658"/>
      <c r="CI66" s="658"/>
      <c r="CJ66" s="658"/>
      <c r="CK66" s="658"/>
      <c r="CL66" s="658"/>
      <c r="CM66" s="658"/>
      <c r="CN66" s="658"/>
      <c r="CO66" s="658"/>
      <c r="CP66" s="658"/>
      <c r="CQ66" s="658"/>
      <c r="CR66" s="658"/>
      <c r="CS66" s="658"/>
      <c r="CT66" s="658"/>
      <c r="CU66" s="658"/>
      <c r="CV66" s="658"/>
      <c r="CW66" s="658"/>
      <c r="CX66" s="658"/>
      <c r="CY66" s="658"/>
      <c r="CZ66" s="658"/>
      <c r="DA66" s="658"/>
      <c r="DB66" s="658"/>
      <c r="DC66" s="658"/>
      <c r="DD66" s="658"/>
      <c r="DE66" s="658"/>
      <c r="DF66" s="658"/>
      <c r="DG66" s="658"/>
      <c r="DH66" s="658"/>
      <c r="DI66" s="658"/>
      <c r="DJ66" s="658"/>
      <c r="DK66" s="658"/>
      <c r="DL66" s="658"/>
      <c r="DM66" s="658"/>
      <c r="DN66" s="658"/>
      <c r="DO66" s="177">
        <f t="shared" si="39"/>
        <v>0</v>
      </c>
      <c r="DP66" s="612" t="e">
        <f t="shared" si="36"/>
        <v>#N/A</v>
      </c>
      <c r="DQ66" s="612" t="e">
        <f t="shared" si="37"/>
        <v>#NUM!</v>
      </c>
      <c r="DR66" s="177"/>
      <c r="DS66" s="177"/>
      <c r="DT66" s="177"/>
      <c r="DU66" s="177"/>
      <c r="DV66" s="177"/>
      <c r="DW66" s="177"/>
      <c r="DX66" s="177"/>
      <c r="DY66" s="177"/>
      <c r="DZ66" s="177"/>
      <c r="EA66" s="613"/>
    </row>
    <row r="67" spans="1:131" ht="13.5" customHeight="1">
      <c r="A67" s="652" t="str">
        <f t="shared" si="31"/>
        <v>기준수익률</v>
      </c>
      <c r="B67" s="653" t="s">
        <v>189</v>
      </c>
      <c r="C67" s="784"/>
      <c r="D67" s="785"/>
      <c r="E67" s="785"/>
      <c r="F67" s="603"/>
      <c r="G67" s="603"/>
      <c r="H67" s="603"/>
      <c r="I67" s="657">
        <f t="shared" si="32"/>
        <v>0</v>
      </c>
      <c r="J67" s="606" t="str">
        <f t="shared" si="38"/>
        <v>N/A</v>
      </c>
      <c r="K67" s="471"/>
      <c r="L67" s="607"/>
      <c r="M67" s="300"/>
      <c r="N67" s="608"/>
      <c r="O67" s="609">
        <f t="shared" si="33"/>
        <v>0</v>
      </c>
      <c r="P67" s="609">
        <f t="shared" si="34"/>
        <v>0</v>
      </c>
      <c r="Q67" s="609">
        <f t="shared" si="35"/>
        <v>0</v>
      </c>
      <c r="R67" s="610" t="str">
        <f>IFERROR(Q67/Q72,"")</f>
        <v/>
      </c>
      <c r="S67" s="658"/>
      <c r="T67" s="658"/>
      <c r="U67" s="658"/>
      <c r="V67" s="658"/>
      <c r="W67" s="658"/>
      <c r="X67" s="658"/>
      <c r="Y67" s="658"/>
      <c r="Z67" s="658"/>
      <c r="AA67" s="658"/>
      <c r="AB67" s="658"/>
      <c r="AC67" s="658"/>
      <c r="AD67" s="658"/>
      <c r="AE67" s="658"/>
      <c r="AF67" s="658"/>
      <c r="AG67" s="658"/>
      <c r="AH67" s="658"/>
      <c r="AI67" s="658"/>
      <c r="AJ67" s="658"/>
      <c r="AK67" s="658"/>
      <c r="AL67" s="658"/>
      <c r="AM67" s="658"/>
      <c r="AN67" s="658"/>
      <c r="AO67" s="658"/>
      <c r="AP67" s="658"/>
      <c r="AQ67" s="658"/>
      <c r="AR67" s="658"/>
      <c r="AS67" s="658"/>
      <c r="AT67" s="658"/>
      <c r="AU67" s="658"/>
      <c r="AV67" s="658"/>
      <c r="AW67" s="658"/>
      <c r="AX67" s="658"/>
      <c r="AY67" s="658"/>
      <c r="AZ67" s="658"/>
      <c r="BA67" s="658"/>
      <c r="BB67" s="658"/>
      <c r="BC67" s="658"/>
      <c r="BD67" s="658"/>
      <c r="BE67" s="658"/>
      <c r="BF67" s="658"/>
      <c r="BG67" s="658"/>
      <c r="BH67" s="658"/>
      <c r="BI67" s="658"/>
      <c r="BJ67" s="658"/>
      <c r="BK67" s="658"/>
      <c r="BL67" s="658"/>
      <c r="BM67" s="658"/>
      <c r="BN67" s="658"/>
      <c r="BO67" s="658"/>
      <c r="BP67" s="658"/>
      <c r="BQ67" s="658"/>
      <c r="BR67" s="658"/>
      <c r="BS67" s="658"/>
      <c r="BT67" s="658"/>
      <c r="BU67" s="658"/>
      <c r="BV67" s="658"/>
      <c r="BW67" s="658"/>
      <c r="BX67" s="658"/>
      <c r="BY67" s="658"/>
      <c r="BZ67" s="658"/>
      <c r="CA67" s="658"/>
      <c r="CB67" s="658"/>
      <c r="CC67" s="658"/>
      <c r="CD67" s="658"/>
      <c r="CE67" s="658"/>
      <c r="CF67" s="658"/>
      <c r="CG67" s="658"/>
      <c r="CH67" s="658"/>
      <c r="CI67" s="658"/>
      <c r="CJ67" s="658"/>
      <c r="CK67" s="658"/>
      <c r="CL67" s="658"/>
      <c r="CM67" s="658"/>
      <c r="CN67" s="658"/>
      <c r="CO67" s="658"/>
      <c r="CP67" s="658"/>
      <c r="CQ67" s="658"/>
      <c r="CR67" s="658"/>
      <c r="CS67" s="658"/>
      <c r="CT67" s="658"/>
      <c r="CU67" s="658"/>
      <c r="CV67" s="658"/>
      <c r="CW67" s="658"/>
      <c r="CX67" s="658"/>
      <c r="CY67" s="658"/>
      <c r="CZ67" s="658"/>
      <c r="DA67" s="658"/>
      <c r="DB67" s="658"/>
      <c r="DC67" s="658"/>
      <c r="DD67" s="658"/>
      <c r="DE67" s="658"/>
      <c r="DF67" s="658"/>
      <c r="DG67" s="658"/>
      <c r="DH67" s="658"/>
      <c r="DI67" s="658"/>
      <c r="DJ67" s="658"/>
      <c r="DK67" s="658"/>
      <c r="DL67" s="658"/>
      <c r="DM67" s="658"/>
      <c r="DN67" s="658"/>
      <c r="DO67" s="177">
        <f t="shared" si="39"/>
        <v>0</v>
      </c>
      <c r="DP67" s="612" t="e">
        <f t="shared" si="36"/>
        <v>#N/A</v>
      </c>
      <c r="DQ67" s="612" t="e">
        <f t="shared" si="37"/>
        <v>#NUM!</v>
      </c>
      <c r="DR67" s="177"/>
      <c r="DS67" s="177"/>
      <c r="DT67" s="177"/>
      <c r="DU67" s="177"/>
      <c r="DV67" s="177"/>
      <c r="DW67" s="177"/>
      <c r="DX67" s="177"/>
      <c r="DY67" s="177"/>
      <c r="DZ67" s="177"/>
      <c r="EA67" s="613"/>
    </row>
    <row r="68" spans="1:131" ht="13.5" customHeight="1">
      <c r="A68" s="652" t="str">
        <f t="shared" si="31"/>
        <v>평가방법론</v>
      </c>
      <c r="B68" s="653" t="s">
        <v>190</v>
      </c>
      <c r="C68" s="786"/>
      <c r="D68" s="786"/>
      <c r="E68" s="786"/>
      <c r="F68" s="603"/>
      <c r="G68" s="603"/>
      <c r="H68" s="603"/>
      <c r="I68" s="657">
        <f t="shared" si="32"/>
        <v>0</v>
      </c>
      <c r="J68" s="606" t="str">
        <f t="shared" si="38"/>
        <v>N/A</v>
      </c>
      <c r="K68" s="471"/>
      <c r="L68" s="607"/>
      <c r="M68" s="300"/>
      <c r="N68" s="608"/>
      <c r="O68" s="609">
        <f t="shared" si="33"/>
        <v>0</v>
      </c>
      <c r="P68" s="609">
        <f t="shared" si="34"/>
        <v>0</v>
      </c>
      <c r="Q68" s="609">
        <f t="shared" si="35"/>
        <v>0</v>
      </c>
      <c r="R68" s="610" t="str">
        <f>IFERROR(Q68/Q72,"")</f>
        <v/>
      </c>
      <c r="S68" s="658"/>
      <c r="T68" s="658"/>
      <c r="U68" s="658"/>
      <c r="V68" s="658"/>
      <c r="W68" s="658"/>
      <c r="X68" s="658"/>
      <c r="Y68" s="658"/>
      <c r="Z68" s="658"/>
      <c r="AA68" s="658"/>
      <c r="AB68" s="658"/>
      <c r="AC68" s="658"/>
      <c r="AD68" s="658"/>
      <c r="AE68" s="658"/>
      <c r="AF68" s="658"/>
      <c r="AG68" s="658"/>
      <c r="AH68" s="658"/>
      <c r="AI68" s="658"/>
      <c r="AJ68" s="658"/>
      <c r="AK68" s="658"/>
      <c r="AL68" s="658"/>
      <c r="AM68" s="658"/>
      <c r="AN68" s="658"/>
      <c r="AO68" s="658"/>
      <c r="AP68" s="658"/>
      <c r="AQ68" s="658"/>
      <c r="AR68" s="658"/>
      <c r="AS68" s="658"/>
      <c r="AT68" s="658"/>
      <c r="AU68" s="658"/>
      <c r="AV68" s="658"/>
      <c r="AW68" s="658"/>
      <c r="AX68" s="658"/>
      <c r="AY68" s="658"/>
      <c r="AZ68" s="658"/>
      <c r="BA68" s="658"/>
      <c r="BB68" s="658"/>
      <c r="BC68" s="658"/>
      <c r="BD68" s="658"/>
      <c r="BE68" s="658"/>
      <c r="BF68" s="658"/>
      <c r="BG68" s="658"/>
      <c r="BH68" s="658"/>
      <c r="BI68" s="658"/>
      <c r="BJ68" s="658"/>
      <c r="BK68" s="658"/>
      <c r="BL68" s="658"/>
      <c r="BM68" s="658"/>
      <c r="BN68" s="658"/>
      <c r="BO68" s="658"/>
      <c r="BP68" s="658"/>
      <c r="BQ68" s="658"/>
      <c r="BR68" s="658"/>
      <c r="BS68" s="658"/>
      <c r="BT68" s="658"/>
      <c r="BU68" s="658"/>
      <c r="BV68" s="658"/>
      <c r="BW68" s="658"/>
      <c r="BX68" s="658"/>
      <c r="BY68" s="658"/>
      <c r="BZ68" s="658"/>
      <c r="CA68" s="658"/>
      <c r="CB68" s="658"/>
      <c r="CC68" s="658"/>
      <c r="CD68" s="658"/>
      <c r="CE68" s="658"/>
      <c r="CF68" s="658"/>
      <c r="CG68" s="658"/>
      <c r="CH68" s="658"/>
      <c r="CI68" s="658"/>
      <c r="CJ68" s="658"/>
      <c r="CK68" s="658"/>
      <c r="CL68" s="658"/>
      <c r="CM68" s="658"/>
      <c r="CN68" s="658"/>
      <c r="CO68" s="658"/>
      <c r="CP68" s="658"/>
      <c r="CQ68" s="658"/>
      <c r="CR68" s="658"/>
      <c r="CS68" s="658"/>
      <c r="CT68" s="658"/>
      <c r="CU68" s="658"/>
      <c r="CV68" s="658"/>
      <c r="CW68" s="658"/>
      <c r="CX68" s="658"/>
      <c r="CY68" s="658"/>
      <c r="CZ68" s="658"/>
      <c r="DA68" s="658"/>
      <c r="DB68" s="658"/>
      <c r="DC68" s="658"/>
      <c r="DD68" s="658"/>
      <c r="DE68" s="658"/>
      <c r="DF68" s="658"/>
      <c r="DG68" s="658"/>
      <c r="DH68" s="658"/>
      <c r="DI68" s="658"/>
      <c r="DJ68" s="658"/>
      <c r="DK68" s="658"/>
      <c r="DL68" s="658"/>
      <c r="DM68" s="658"/>
      <c r="DN68" s="658"/>
      <c r="DO68" s="177">
        <f t="shared" si="39"/>
        <v>0</v>
      </c>
      <c r="DP68" s="612" t="e">
        <f t="shared" si="36"/>
        <v>#N/A</v>
      </c>
      <c r="DQ68" s="612" t="e">
        <f t="shared" si="37"/>
        <v>#NUM!</v>
      </c>
      <c r="DR68" s="177"/>
      <c r="DS68" s="177"/>
      <c r="DT68" s="177"/>
      <c r="DU68" s="177"/>
      <c r="DV68" s="177"/>
      <c r="DW68" s="177"/>
      <c r="DX68" s="177"/>
      <c r="DY68" s="177"/>
      <c r="DZ68" s="177"/>
      <c r="EA68" s="613"/>
    </row>
    <row r="69" spans="1:131" ht="13.5" customHeight="1">
      <c r="A69" s="652" t="str">
        <f t="shared" si="31"/>
        <v>분배 조항 여부</v>
      </c>
      <c r="B69" s="653" t="s">
        <v>191</v>
      </c>
      <c r="C69" s="786"/>
      <c r="D69" s="786"/>
      <c r="E69" s="786"/>
      <c r="F69" s="603"/>
      <c r="G69" s="603"/>
      <c r="H69" s="603"/>
      <c r="I69" s="657">
        <f t="shared" si="32"/>
        <v>0</v>
      </c>
      <c r="J69" s="606" t="str">
        <f t="shared" si="38"/>
        <v>N/A</v>
      </c>
      <c r="K69" s="471"/>
      <c r="L69" s="607"/>
      <c r="M69" s="300"/>
      <c r="N69" s="608"/>
      <c r="O69" s="609">
        <f t="shared" si="33"/>
        <v>0</v>
      </c>
      <c r="P69" s="609">
        <f t="shared" si="34"/>
        <v>0</v>
      </c>
      <c r="Q69" s="609">
        <f t="shared" si="35"/>
        <v>0</v>
      </c>
      <c r="R69" s="610" t="str">
        <f>IFERROR(Q69/Q72,"")</f>
        <v/>
      </c>
      <c r="S69" s="658"/>
      <c r="T69" s="658"/>
      <c r="U69" s="658"/>
      <c r="V69" s="658"/>
      <c r="W69" s="658"/>
      <c r="X69" s="658"/>
      <c r="Y69" s="658"/>
      <c r="Z69" s="658"/>
      <c r="AA69" s="658"/>
      <c r="AB69" s="658"/>
      <c r="AC69" s="658"/>
      <c r="AD69" s="658"/>
      <c r="AE69" s="658"/>
      <c r="AF69" s="658"/>
      <c r="AG69" s="658"/>
      <c r="AH69" s="658"/>
      <c r="AI69" s="658"/>
      <c r="AJ69" s="658"/>
      <c r="AK69" s="658"/>
      <c r="AL69" s="658"/>
      <c r="AM69" s="658"/>
      <c r="AN69" s="658"/>
      <c r="AO69" s="658"/>
      <c r="AP69" s="658"/>
      <c r="AQ69" s="658"/>
      <c r="AR69" s="658"/>
      <c r="AS69" s="658"/>
      <c r="AT69" s="658"/>
      <c r="AU69" s="658"/>
      <c r="AV69" s="658"/>
      <c r="AW69" s="658"/>
      <c r="AX69" s="658"/>
      <c r="AY69" s="658"/>
      <c r="AZ69" s="658"/>
      <c r="BA69" s="658"/>
      <c r="BB69" s="658"/>
      <c r="BC69" s="658"/>
      <c r="BD69" s="658"/>
      <c r="BE69" s="658"/>
      <c r="BF69" s="658"/>
      <c r="BG69" s="658"/>
      <c r="BH69" s="658"/>
      <c r="BI69" s="658"/>
      <c r="BJ69" s="658"/>
      <c r="BK69" s="658"/>
      <c r="BL69" s="658"/>
      <c r="BM69" s="658"/>
      <c r="BN69" s="658"/>
      <c r="BO69" s="658"/>
      <c r="BP69" s="658"/>
      <c r="BQ69" s="658"/>
      <c r="BR69" s="658"/>
      <c r="BS69" s="658"/>
      <c r="BT69" s="658"/>
      <c r="BU69" s="658"/>
      <c r="BV69" s="658"/>
      <c r="BW69" s="658"/>
      <c r="BX69" s="658"/>
      <c r="BY69" s="658"/>
      <c r="BZ69" s="658"/>
      <c r="CA69" s="658"/>
      <c r="CB69" s="658"/>
      <c r="CC69" s="658"/>
      <c r="CD69" s="658"/>
      <c r="CE69" s="658"/>
      <c r="CF69" s="658"/>
      <c r="CG69" s="658"/>
      <c r="CH69" s="658"/>
      <c r="CI69" s="658"/>
      <c r="CJ69" s="658"/>
      <c r="CK69" s="658"/>
      <c r="CL69" s="658"/>
      <c r="CM69" s="658"/>
      <c r="CN69" s="658"/>
      <c r="CO69" s="658"/>
      <c r="CP69" s="658"/>
      <c r="CQ69" s="658"/>
      <c r="CR69" s="658"/>
      <c r="CS69" s="658"/>
      <c r="CT69" s="658"/>
      <c r="CU69" s="658"/>
      <c r="CV69" s="658"/>
      <c r="CW69" s="658"/>
      <c r="CX69" s="658"/>
      <c r="CY69" s="658"/>
      <c r="CZ69" s="658"/>
      <c r="DA69" s="658"/>
      <c r="DB69" s="658"/>
      <c r="DC69" s="658"/>
      <c r="DD69" s="658"/>
      <c r="DE69" s="658"/>
      <c r="DF69" s="658"/>
      <c r="DG69" s="658"/>
      <c r="DH69" s="658"/>
      <c r="DI69" s="658"/>
      <c r="DJ69" s="658"/>
      <c r="DK69" s="658"/>
      <c r="DL69" s="658"/>
      <c r="DM69" s="658"/>
      <c r="DN69" s="658"/>
      <c r="DO69" s="177">
        <f t="shared" si="39"/>
        <v>0</v>
      </c>
      <c r="DP69" s="612" t="e">
        <f t="shared" si="36"/>
        <v>#N/A</v>
      </c>
      <c r="DQ69" s="612" t="e">
        <f t="shared" si="37"/>
        <v>#NUM!</v>
      </c>
      <c r="DR69" s="177"/>
      <c r="DS69" s="177"/>
      <c r="DT69" s="177"/>
      <c r="DU69" s="177"/>
      <c r="DV69" s="177"/>
      <c r="DW69" s="177"/>
      <c r="DX69" s="177"/>
      <c r="DY69" s="177"/>
      <c r="DZ69" s="177"/>
      <c r="EA69" s="613"/>
    </row>
    <row r="70" spans="1:131" ht="14.25" thickBot="1">
      <c r="A70" s="652" t="str">
        <f t="shared" si="31"/>
        <v>모펀드 출자 지분율</v>
      </c>
      <c r="B70" s="660" t="s">
        <v>192</v>
      </c>
      <c r="C70" s="787"/>
      <c r="D70" s="787"/>
      <c r="E70" s="787"/>
      <c r="F70" s="603"/>
      <c r="G70" s="603"/>
      <c r="H70" s="603"/>
      <c r="I70" s="657">
        <f t="shared" si="32"/>
        <v>0</v>
      </c>
      <c r="J70" s="606" t="str">
        <f t="shared" si="38"/>
        <v>N/A</v>
      </c>
      <c r="K70" s="471"/>
      <c r="L70" s="607"/>
      <c r="M70" s="300"/>
      <c r="N70" s="608"/>
      <c r="O70" s="609">
        <f t="shared" si="33"/>
        <v>0</v>
      </c>
      <c r="P70" s="609">
        <f t="shared" si="34"/>
        <v>0</v>
      </c>
      <c r="Q70" s="609">
        <f t="shared" si="35"/>
        <v>0</v>
      </c>
      <c r="R70" s="610" t="str">
        <f>IFERROR(Q70/Q72,"")</f>
        <v/>
      </c>
      <c r="S70" s="658"/>
      <c r="T70" s="658"/>
      <c r="U70" s="658"/>
      <c r="V70" s="658"/>
      <c r="W70" s="658"/>
      <c r="X70" s="658"/>
      <c r="Y70" s="658"/>
      <c r="Z70" s="658"/>
      <c r="AA70" s="658"/>
      <c r="AB70" s="658"/>
      <c r="AC70" s="658"/>
      <c r="AD70" s="658"/>
      <c r="AE70" s="658"/>
      <c r="AF70" s="658"/>
      <c r="AG70" s="658"/>
      <c r="AH70" s="658"/>
      <c r="AI70" s="658"/>
      <c r="AJ70" s="658"/>
      <c r="AK70" s="658"/>
      <c r="AL70" s="658"/>
      <c r="AM70" s="658"/>
      <c r="AN70" s="658"/>
      <c r="AO70" s="658"/>
      <c r="AP70" s="658"/>
      <c r="AQ70" s="658"/>
      <c r="AR70" s="658"/>
      <c r="AS70" s="658"/>
      <c r="AT70" s="658"/>
      <c r="AU70" s="658"/>
      <c r="AV70" s="658"/>
      <c r="AW70" s="658"/>
      <c r="AX70" s="658"/>
      <c r="AY70" s="658"/>
      <c r="AZ70" s="658"/>
      <c r="BA70" s="658"/>
      <c r="BB70" s="658"/>
      <c r="BC70" s="658"/>
      <c r="BD70" s="658"/>
      <c r="BE70" s="658"/>
      <c r="BF70" s="658"/>
      <c r="BG70" s="658"/>
      <c r="BH70" s="658"/>
      <c r="BI70" s="658"/>
      <c r="BJ70" s="658"/>
      <c r="BK70" s="658"/>
      <c r="BL70" s="658"/>
      <c r="BM70" s="658"/>
      <c r="BN70" s="658"/>
      <c r="BO70" s="658"/>
      <c r="BP70" s="658"/>
      <c r="BQ70" s="658"/>
      <c r="BR70" s="658"/>
      <c r="BS70" s="658"/>
      <c r="BT70" s="658"/>
      <c r="BU70" s="658"/>
      <c r="BV70" s="658"/>
      <c r="BW70" s="658"/>
      <c r="BX70" s="658"/>
      <c r="BY70" s="658"/>
      <c r="BZ70" s="658"/>
      <c r="CA70" s="658"/>
      <c r="CB70" s="658"/>
      <c r="CC70" s="658"/>
      <c r="CD70" s="658"/>
      <c r="CE70" s="658"/>
      <c r="CF70" s="658"/>
      <c r="CG70" s="658"/>
      <c r="CH70" s="658"/>
      <c r="CI70" s="658"/>
      <c r="CJ70" s="658"/>
      <c r="CK70" s="658"/>
      <c r="CL70" s="658"/>
      <c r="CM70" s="658"/>
      <c r="CN70" s="658"/>
      <c r="CO70" s="658"/>
      <c r="CP70" s="658"/>
      <c r="CQ70" s="658"/>
      <c r="CR70" s="658"/>
      <c r="CS70" s="658"/>
      <c r="CT70" s="658"/>
      <c r="CU70" s="658"/>
      <c r="CV70" s="658"/>
      <c r="CW70" s="658"/>
      <c r="CX70" s="658"/>
      <c r="CY70" s="658"/>
      <c r="CZ70" s="658"/>
      <c r="DA70" s="658"/>
      <c r="DB70" s="658"/>
      <c r="DC70" s="658"/>
      <c r="DD70" s="658"/>
      <c r="DE70" s="658"/>
      <c r="DF70" s="658"/>
      <c r="DG70" s="658"/>
      <c r="DH70" s="658"/>
      <c r="DI70" s="658"/>
      <c r="DJ70" s="658"/>
      <c r="DK70" s="658"/>
      <c r="DL70" s="658"/>
      <c r="DM70" s="658"/>
      <c r="DN70" s="658"/>
      <c r="DO70" s="177">
        <f t="shared" si="39"/>
        <v>0</v>
      </c>
      <c r="DP70" s="612" t="e">
        <f t="shared" si="36"/>
        <v>#N/A</v>
      </c>
      <c r="DQ70" s="612" t="e">
        <f t="shared" si="37"/>
        <v>#NUM!</v>
      </c>
      <c r="DR70" s="177"/>
      <c r="DS70" s="177"/>
      <c r="DT70" s="177"/>
      <c r="DU70" s="177"/>
      <c r="DV70" s="177"/>
      <c r="DW70" s="177"/>
      <c r="DX70" s="177"/>
      <c r="DY70" s="177"/>
      <c r="DZ70" s="177"/>
      <c r="EA70" s="613"/>
    </row>
    <row r="71" spans="1:131" ht="14.25" thickBot="1">
      <c r="B71" s="778" t="s">
        <v>3404</v>
      </c>
      <c r="C71" s="616" t="s">
        <v>223</v>
      </c>
      <c r="D71" s="616" t="s">
        <v>3405</v>
      </c>
      <c r="E71" s="616" t="s">
        <v>228</v>
      </c>
      <c r="F71" s="603"/>
      <c r="G71" s="603"/>
      <c r="H71" s="603"/>
      <c r="I71" s="657">
        <f t="shared" si="32"/>
        <v>0</v>
      </c>
      <c r="J71" s="606" t="str">
        <f t="shared" si="38"/>
        <v>N/A</v>
      </c>
      <c r="K71" s="471"/>
      <c r="L71" s="607"/>
      <c r="M71" s="300"/>
      <c r="N71" s="608"/>
      <c r="O71" s="609">
        <f t="shared" si="33"/>
        <v>0</v>
      </c>
      <c r="P71" s="609">
        <f t="shared" si="34"/>
        <v>0</v>
      </c>
      <c r="Q71" s="609">
        <f t="shared" si="35"/>
        <v>0</v>
      </c>
      <c r="R71" s="610" t="str">
        <f>IFERROR(Q71/Q72,"")</f>
        <v/>
      </c>
      <c r="S71" s="658"/>
      <c r="T71" s="658"/>
      <c r="U71" s="658"/>
      <c r="V71" s="658"/>
      <c r="W71" s="658"/>
      <c r="X71" s="658"/>
      <c r="Y71" s="658"/>
      <c r="Z71" s="658"/>
      <c r="AA71" s="658"/>
      <c r="AB71" s="658"/>
      <c r="AC71" s="658"/>
      <c r="AD71" s="658"/>
      <c r="AE71" s="658"/>
      <c r="AF71" s="658"/>
      <c r="AG71" s="658"/>
      <c r="AH71" s="658"/>
      <c r="AI71" s="658"/>
      <c r="AJ71" s="658"/>
      <c r="AK71" s="658"/>
      <c r="AL71" s="658"/>
      <c r="AM71" s="658"/>
      <c r="AN71" s="658"/>
      <c r="AO71" s="658"/>
      <c r="AP71" s="658"/>
      <c r="AQ71" s="658"/>
      <c r="AR71" s="658"/>
      <c r="AS71" s="658"/>
      <c r="AT71" s="658"/>
      <c r="AU71" s="658"/>
      <c r="AV71" s="658"/>
      <c r="AW71" s="658"/>
      <c r="AX71" s="658"/>
      <c r="AY71" s="658"/>
      <c r="AZ71" s="658"/>
      <c r="BA71" s="658"/>
      <c r="BB71" s="658"/>
      <c r="BC71" s="658"/>
      <c r="BD71" s="658"/>
      <c r="BE71" s="658"/>
      <c r="BF71" s="658"/>
      <c r="BG71" s="658"/>
      <c r="BH71" s="658"/>
      <c r="BI71" s="658"/>
      <c r="BJ71" s="658"/>
      <c r="BK71" s="658"/>
      <c r="BL71" s="658"/>
      <c r="BM71" s="658"/>
      <c r="BN71" s="658"/>
      <c r="BO71" s="658"/>
      <c r="BP71" s="658"/>
      <c r="BQ71" s="658"/>
      <c r="BR71" s="658"/>
      <c r="BS71" s="658"/>
      <c r="BT71" s="658"/>
      <c r="BU71" s="658"/>
      <c r="BV71" s="658"/>
      <c r="BW71" s="658"/>
      <c r="BX71" s="658"/>
      <c r="BY71" s="658"/>
      <c r="BZ71" s="658"/>
      <c r="CA71" s="658"/>
      <c r="CB71" s="658"/>
      <c r="CC71" s="658"/>
      <c r="CD71" s="658"/>
      <c r="CE71" s="658"/>
      <c r="CF71" s="658"/>
      <c r="CG71" s="658"/>
      <c r="CH71" s="658"/>
      <c r="CI71" s="658"/>
      <c r="CJ71" s="658"/>
      <c r="CK71" s="658"/>
      <c r="CL71" s="658"/>
      <c r="CM71" s="658"/>
      <c r="CN71" s="658"/>
      <c r="CO71" s="658"/>
      <c r="CP71" s="658"/>
      <c r="CQ71" s="658"/>
      <c r="CR71" s="658"/>
      <c r="CS71" s="658"/>
      <c r="CT71" s="658"/>
      <c r="CU71" s="658"/>
      <c r="CV71" s="658"/>
      <c r="CW71" s="658"/>
      <c r="CX71" s="658"/>
      <c r="CY71" s="658"/>
      <c r="CZ71" s="658"/>
      <c r="DA71" s="658"/>
      <c r="DB71" s="658"/>
      <c r="DC71" s="658"/>
      <c r="DD71" s="658"/>
      <c r="DE71" s="658"/>
      <c r="DF71" s="658"/>
      <c r="DG71" s="658"/>
      <c r="DH71" s="658"/>
      <c r="DI71" s="658"/>
      <c r="DJ71" s="658"/>
      <c r="DK71" s="658"/>
      <c r="DL71" s="658"/>
      <c r="DM71" s="658"/>
      <c r="DN71" s="658"/>
      <c r="DO71" s="177">
        <f t="shared" si="39"/>
        <v>0</v>
      </c>
      <c r="DP71" s="612" t="e">
        <f t="shared" si="36"/>
        <v>#N/A</v>
      </c>
      <c r="DQ71" s="612" t="e">
        <f t="shared" si="37"/>
        <v>#NUM!</v>
      </c>
      <c r="DR71" s="177"/>
      <c r="DS71" s="177"/>
      <c r="DT71" s="177"/>
      <c r="DU71" s="177"/>
      <c r="DV71" s="177"/>
      <c r="DW71" s="177"/>
      <c r="DX71" s="177"/>
      <c r="DY71" s="177"/>
      <c r="DZ71" s="177"/>
      <c r="EA71" s="613"/>
    </row>
    <row r="72" spans="1:131" ht="15.75" customHeight="1" thickBot="1">
      <c r="A72" s="317"/>
      <c r="B72" s="779"/>
      <c r="C72" s="661"/>
      <c r="D72" s="661"/>
      <c r="E72" s="661"/>
      <c r="F72" s="662"/>
      <c r="G72" s="662"/>
      <c r="H72" s="662"/>
      <c r="I72" s="634">
        <f>SUM(I64:I71)</f>
        <v>0</v>
      </c>
      <c r="J72" s="663"/>
      <c r="K72" s="664"/>
      <c r="L72" s="664"/>
      <c r="M72" s="664"/>
      <c r="N72" s="634">
        <f t="shared" ref="N72:AS72" si="40">SUM(N64:N71)</f>
        <v>0</v>
      </c>
      <c r="O72" s="634">
        <f t="shared" si="40"/>
        <v>0</v>
      </c>
      <c r="P72" s="634">
        <f t="shared" si="40"/>
        <v>0</v>
      </c>
      <c r="Q72" s="634">
        <f t="shared" si="40"/>
        <v>0</v>
      </c>
      <c r="R72" s="665">
        <f t="shared" si="40"/>
        <v>0</v>
      </c>
      <c r="S72" s="634">
        <f t="shared" si="40"/>
        <v>0</v>
      </c>
      <c r="T72" s="634">
        <f t="shared" si="40"/>
        <v>0</v>
      </c>
      <c r="U72" s="634">
        <f t="shared" si="40"/>
        <v>0</v>
      </c>
      <c r="V72" s="634">
        <f t="shared" si="40"/>
        <v>0</v>
      </c>
      <c r="W72" s="634">
        <f t="shared" si="40"/>
        <v>0</v>
      </c>
      <c r="X72" s="634">
        <f t="shared" si="40"/>
        <v>0</v>
      </c>
      <c r="Y72" s="634">
        <f t="shared" si="40"/>
        <v>0</v>
      </c>
      <c r="Z72" s="634">
        <f t="shared" si="40"/>
        <v>0</v>
      </c>
      <c r="AA72" s="634">
        <f t="shared" si="40"/>
        <v>0</v>
      </c>
      <c r="AB72" s="634">
        <f t="shared" si="40"/>
        <v>0</v>
      </c>
      <c r="AC72" s="634">
        <f t="shared" si="40"/>
        <v>0</v>
      </c>
      <c r="AD72" s="634">
        <f t="shared" si="40"/>
        <v>0</v>
      </c>
      <c r="AE72" s="634">
        <f t="shared" si="40"/>
        <v>0</v>
      </c>
      <c r="AF72" s="634">
        <f t="shared" si="40"/>
        <v>0</v>
      </c>
      <c r="AG72" s="634">
        <f t="shared" si="40"/>
        <v>0</v>
      </c>
      <c r="AH72" s="634">
        <f t="shared" si="40"/>
        <v>0</v>
      </c>
      <c r="AI72" s="634">
        <f t="shared" si="40"/>
        <v>0</v>
      </c>
      <c r="AJ72" s="634">
        <f t="shared" si="40"/>
        <v>0</v>
      </c>
      <c r="AK72" s="634">
        <f t="shared" si="40"/>
        <v>0</v>
      </c>
      <c r="AL72" s="634">
        <f t="shared" si="40"/>
        <v>0</v>
      </c>
      <c r="AM72" s="634">
        <f t="shared" si="40"/>
        <v>0</v>
      </c>
      <c r="AN72" s="634">
        <f t="shared" si="40"/>
        <v>0</v>
      </c>
      <c r="AO72" s="634">
        <f t="shared" si="40"/>
        <v>0</v>
      </c>
      <c r="AP72" s="634">
        <f t="shared" si="40"/>
        <v>0</v>
      </c>
      <c r="AQ72" s="634">
        <f t="shared" si="40"/>
        <v>0</v>
      </c>
      <c r="AR72" s="634">
        <f t="shared" si="40"/>
        <v>0</v>
      </c>
      <c r="AS72" s="634">
        <f t="shared" si="40"/>
        <v>0</v>
      </c>
      <c r="AT72" s="634">
        <f t="shared" ref="AT72:BY72" si="41">SUM(AT64:AT71)</f>
        <v>0</v>
      </c>
      <c r="AU72" s="634">
        <f t="shared" si="41"/>
        <v>0</v>
      </c>
      <c r="AV72" s="634">
        <f t="shared" si="41"/>
        <v>0</v>
      </c>
      <c r="AW72" s="634">
        <f t="shared" si="41"/>
        <v>0</v>
      </c>
      <c r="AX72" s="634">
        <f t="shared" si="41"/>
        <v>0</v>
      </c>
      <c r="AY72" s="634">
        <f t="shared" si="41"/>
        <v>0</v>
      </c>
      <c r="AZ72" s="634">
        <f t="shared" si="41"/>
        <v>0</v>
      </c>
      <c r="BA72" s="634">
        <f t="shared" si="41"/>
        <v>0</v>
      </c>
      <c r="BB72" s="634">
        <f t="shared" si="41"/>
        <v>0</v>
      </c>
      <c r="BC72" s="634">
        <f t="shared" si="41"/>
        <v>0</v>
      </c>
      <c r="BD72" s="634">
        <f t="shared" si="41"/>
        <v>0</v>
      </c>
      <c r="BE72" s="634">
        <f t="shared" si="41"/>
        <v>0</v>
      </c>
      <c r="BF72" s="634">
        <f t="shared" si="41"/>
        <v>0</v>
      </c>
      <c r="BG72" s="634">
        <f t="shared" si="41"/>
        <v>0</v>
      </c>
      <c r="BH72" s="634">
        <f t="shared" si="41"/>
        <v>0</v>
      </c>
      <c r="BI72" s="634">
        <f t="shared" si="41"/>
        <v>0</v>
      </c>
      <c r="BJ72" s="634">
        <f t="shared" si="41"/>
        <v>0</v>
      </c>
      <c r="BK72" s="634">
        <f t="shared" si="41"/>
        <v>0</v>
      </c>
      <c r="BL72" s="634">
        <f t="shared" si="41"/>
        <v>0</v>
      </c>
      <c r="BM72" s="634">
        <f t="shared" si="41"/>
        <v>0</v>
      </c>
      <c r="BN72" s="634">
        <f t="shared" si="41"/>
        <v>0</v>
      </c>
      <c r="BO72" s="634">
        <f t="shared" si="41"/>
        <v>0</v>
      </c>
      <c r="BP72" s="634">
        <f t="shared" si="41"/>
        <v>0</v>
      </c>
      <c r="BQ72" s="634">
        <f t="shared" si="41"/>
        <v>0</v>
      </c>
      <c r="BR72" s="634">
        <f t="shared" si="41"/>
        <v>0</v>
      </c>
      <c r="BS72" s="634">
        <f t="shared" si="41"/>
        <v>0</v>
      </c>
      <c r="BT72" s="634">
        <f t="shared" si="41"/>
        <v>0</v>
      </c>
      <c r="BU72" s="634">
        <f t="shared" si="41"/>
        <v>0</v>
      </c>
      <c r="BV72" s="634">
        <f t="shared" si="41"/>
        <v>0</v>
      </c>
      <c r="BW72" s="634">
        <f t="shared" si="41"/>
        <v>0</v>
      </c>
      <c r="BX72" s="634">
        <f t="shared" si="41"/>
        <v>0</v>
      </c>
      <c r="BY72" s="634">
        <f t="shared" si="41"/>
        <v>0</v>
      </c>
      <c r="BZ72" s="634">
        <f t="shared" ref="BZ72:DE72" si="42">SUM(BZ64:BZ71)</f>
        <v>0</v>
      </c>
      <c r="CA72" s="634">
        <f t="shared" si="42"/>
        <v>0</v>
      </c>
      <c r="CB72" s="634">
        <f t="shared" si="42"/>
        <v>0</v>
      </c>
      <c r="CC72" s="634">
        <f t="shared" si="42"/>
        <v>0</v>
      </c>
      <c r="CD72" s="634">
        <f t="shared" si="42"/>
        <v>0</v>
      </c>
      <c r="CE72" s="634">
        <f t="shared" si="42"/>
        <v>0</v>
      </c>
      <c r="CF72" s="634">
        <f t="shared" si="42"/>
        <v>0</v>
      </c>
      <c r="CG72" s="634">
        <f t="shared" si="42"/>
        <v>0</v>
      </c>
      <c r="CH72" s="634">
        <f t="shared" si="42"/>
        <v>0</v>
      </c>
      <c r="CI72" s="634">
        <f t="shared" si="42"/>
        <v>0</v>
      </c>
      <c r="CJ72" s="634">
        <f t="shared" si="42"/>
        <v>0</v>
      </c>
      <c r="CK72" s="634">
        <f t="shared" si="42"/>
        <v>0</v>
      </c>
      <c r="CL72" s="634">
        <f t="shared" si="42"/>
        <v>0</v>
      </c>
      <c r="CM72" s="634">
        <f t="shared" si="42"/>
        <v>0</v>
      </c>
      <c r="CN72" s="634">
        <f t="shared" si="42"/>
        <v>0</v>
      </c>
      <c r="CO72" s="634">
        <f t="shared" si="42"/>
        <v>0</v>
      </c>
      <c r="CP72" s="634">
        <f t="shared" si="42"/>
        <v>0</v>
      </c>
      <c r="CQ72" s="634">
        <f t="shared" si="42"/>
        <v>0</v>
      </c>
      <c r="CR72" s="634">
        <f t="shared" si="42"/>
        <v>0</v>
      </c>
      <c r="CS72" s="634">
        <f t="shared" si="42"/>
        <v>0</v>
      </c>
      <c r="CT72" s="634">
        <f t="shared" si="42"/>
        <v>0</v>
      </c>
      <c r="CU72" s="634">
        <f t="shared" si="42"/>
        <v>0</v>
      </c>
      <c r="CV72" s="634">
        <f t="shared" si="42"/>
        <v>0</v>
      </c>
      <c r="CW72" s="634">
        <f t="shared" si="42"/>
        <v>0</v>
      </c>
      <c r="CX72" s="634">
        <f t="shared" si="42"/>
        <v>0</v>
      </c>
      <c r="CY72" s="634">
        <f t="shared" si="42"/>
        <v>0</v>
      </c>
      <c r="CZ72" s="634">
        <f t="shared" si="42"/>
        <v>0</v>
      </c>
      <c r="DA72" s="634">
        <f t="shared" si="42"/>
        <v>0</v>
      </c>
      <c r="DB72" s="634">
        <f t="shared" si="42"/>
        <v>0</v>
      </c>
      <c r="DC72" s="634">
        <f t="shared" si="42"/>
        <v>0</v>
      </c>
      <c r="DD72" s="634">
        <f t="shared" si="42"/>
        <v>0</v>
      </c>
      <c r="DE72" s="634">
        <f t="shared" si="42"/>
        <v>0</v>
      </c>
      <c r="DF72" s="634">
        <f t="shared" ref="DF72:DO72" si="43">SUM(DF64:DF71)</f>
        <v>0</v>
      </c>
      <c r="DG72" s="634">
        <f t="shared" si="43"/>
        <v>0</v>
      </c>
      <c r="DH72" s="634">
        <f t="shared" si="43"/>
        <v>0</v>
      </c>
      <c r="DI72" s="634">
        <f t="shared" si="43"/>
        <v>0</v>
      </c>
      <c r="DJ72" s="634">
        <f t="shared" si="43"/>
        <v>0</v>
      </c>
      <c r="DK72" s="634">
        <f t="shared" si="43"/>
        <v>0</v>
      </c>
      <c r="DL72" s="634">
        <f t="shared" si="43"/>
        <v>0</v>
      </c>
      <c r="DM72" s="634">
        <f t="shared" si="43"/>
        <v>0</v>
      </c>
      <c r="DN72" s="634">
        <f t="shared" si="43"/>
        <v>0</v>
      </c>
      <c r="DO72" s="634">
        <f t="shared" si="43"/>
        <v>0</v>
      </c>
      <c r="DP72" s="666"/>
      <c r="DQ72" s="638" t="e">
        <f t="shared" si="37"/>
        <v>#NUM!</v>
      </c>
      <c r="DR72" s="636">
        <f t="shared" ref="DR72:EA72" si="44">SUM(DR64:DR71)</f>
        <v>0</v>
      </c>
      <c r="DS72" s="636">
        <f t="shared" si="44"/>
        <v>0</v>
      </c>
      <c r="DT72" s="636">
        <f t="shared" si="44"/>
        <v>0</v>
      </c>
      <c r="DU72" s="636">
        <f t="shared" si="44"/>
        <v>0</v>
      </c>
      <c r="DV72" s="636">
        <f t="shared" si="44"/>
        <v>0</v>
      </c>
      <c r="DW72" s="636">
        <f t="shared" si="44"/>
        <v>0</v>
      </c>
      <c r="DX72" s="636">
        <f t="shared" si="44"/>
        <v>0</v>
      </c>
      <c r="DY72" s="636">
        <f t="shared" si="44"/>
        <v>0</v>
      </c>
      <c r="DZ72" s="636">
        <f t="shared" si="44"/>
        <v>0</v>
      </c>
      <c r="EA72" s="636">
        <f t="shared" si="44"/>
        <v>0</v>
      </c>
    </row>
    <row r="73" spans="1:131" ht="14.25" thickBot="1">
      <c r="A73" s="172"/>
      <c r="B73" s="647"/>
      <c r="C73" s="592" t="s">
        <v>3607</v>
      </c>
      <c r="D73" s="648">
        <f>D61+1</f>
        <v>2</v>
      </c>
      <c r="E73" s="649"/>
      <c r="F73" s="603"/>
      <c r="G73" s="603"/>
      <c r="I73" s="650" t="b">
        <f>I84=DR75</f>
        <v>1</v>
      </c>
      <c r="J73" s="172"/>
      <c r="K73" s="172"/>
      <c r="L73" s="172"/>
      <c r="M73" s="172"/>
      <c r="N73" s="172"/>
      <c r="O73" s="172"/>
      <c r="P73" s="172"/>
      <c r="Q73" s="639" t="str">
        <f>IF(Q84=NAV!E257,"자본금과 일치","자본금과 불일치")</f>
        <v>자본금과 일치</v>
      </c>
      <c r="R73" s="172"/>
      <c r="S73" s="172"/>
      <c r="T73" s="172"/>
      <c r="U73" s="172"/>
      <c r="V73" s="172"/>
      <c r="W73" s="172"/>
      <c r="X73" s="172"/>
      <c r="Y73" s="172"/>
      <c r="Z73" s="172"/>
      <c r="AA73" s="172"/>
      <c r="AB73" s="172"/>
      <c r="AC73" s="172"/>
      <c r="AD73" s="172"/>
      <c r="AE73" s="172"/>
      <c r="AF73" s="172"/>
      <c r="AG73" s="172"/>
      <c r="AH73" s="172"/>
      <c r="AI73" s="172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C73" s="172"/>
      <c r="BD73" s="172"/>
      <c r="BE73" s="172"/>
      <c r="BF73" s="172"/>
      <c r="BG73" s="172"/>
      <c r="BH73" s="172"/>
      <c r="BI73" s="172"/>
      <c r="BJ73" s="172"/>
      <c r="BK73" s="172"/>
      <c r="BL73" s="172"/>
      <c r="BM73" s="172"/>
      <c r="BN73" s="172"/>
      <c r="BO73" s="172"/>
      <c r="BP73" s="172"/>
      <c r="BQ73" s="172"/>
      <c r="BR73" s="172"/>
      <c r="BS73" s="172"/>
      <c r="BT73" s="172"/>
      <c r="BU73" s="172"/>
      <c r="BV73" s="172"/>
      <c r="BW73" s="172"/>
      <c r="BX73" s="172"/>
      <c r="BY73" s="172"/>
      <c r="BZ73" s="172"/>
      <c r="CA73" s="172"/>
      <c r="CB73" s="172"/>
      <c r="CC73" s="172"/>
      <c r="CD73" s="172"/>
      <c r="CE73" s="172"/>
      <c r="CF73" s="172"/>
      <c r="CG73" s="172"/>
      <c r="CH73" s="172"/>
      <c r="CI73" s="172"/>
      <c r="CJ73" s="172"/>
      <c r="CK73" s="172"/>
      <c r="CL73" s="172"/>
      <c r="CM73" s="172"/>
      <c r="CN73" s="172"/>
      <c r="CO73" s="172"/>
      <c r="CP73" s="172"/>
      <c r="CQ73" s="172"/>
      <c r="CR73" s="172"/>
      <c r="CS73" s="172"/>
      <c r="CT73" s="172"/>
      <c r="CU73" s="172"/>
      <c r="CV73" s="172"/>
      <c r="CW73" s="172"/>
      <c r="CX73" s="172"/>
      <c r="CY73" s="172"/>
      <c r="CZ73" s="172"/>
      <c r="DA73" s="172"/>
      <c r="DB73" s="172"/>
      <c r="DC73" s="172"/>
      <c r="DD73" s="172"/>
      <c r="DE73" s="172"/>
      <c r="DF73" s="172"/>
      <c r="DG73" s="172"/>
      <c r="DH73" s="172"/>
      <c r="DI73" s="172"/>
      <c r="DJ73" s="172"/>
      <c r="DK73" s="172"/>
      <c r="DL73" s="172"/>
      <c r="DM73" s="172"/>
      <c r="DN73" s="172"/>
      <c r="DO73" s="588" t="s">
        <v>219</v>
      </c>
      <c r="DP73" s="588" t="str">
        <f>IF(ROUND(_xlfn.AGGREGATE(9,6,DP76:DP83),5)=ROUND(_xlfn.AGGREGATE(9,6,DQ76:DQ83),5),"이상없음","기준수익률확인")</f>
        <v>이상없음</v>
      </c>
      <c r="DQ73" s="172"/>
      <c r="DR73" s="651" t="s">
        <v>3406</v>
      </c>
      <c r="DS73" s="172"/>
      <c r="DT73" s="615"/>
      <c r="DU73" s="615"/>
      <c r="DV73" s="172"/>
      <c r="DW73" s="172"/>
      <c r="DX73" s="615"/>
      <c r="DY73" s="172"/>
      <c r="DZ73" s="172"/>
      <c r="EA73" s="172"/>
    </row>
    <row r="74" spans="1:131" ht="13.5" customHeight="1">
      <c r="A74" s="652" t="str">
        <f t="shared" ref="A74:A82" si="45">$B$73&amp;B74</f>
        <v>SPC명</v>
      </c>
      <c r="B74" s="653" t="s">
        <v>349</v>
      </c>
      <c r="C74" s="780"/>
      <c r="D74" s="780"/>
      <c r="E74" s="780"/>
      <c r="F74" s="230"/>
      <c r="G74" s="230"/>
      <c r="I74" s="776" t="s">
        <v>3393</v>
      </c>
      <c r="J74" s="776" t="s">
        <v>3394</v>
      </c>
      <c r="K74" s="774" t="s">
        <v>3395</v>
      </c>
      <c r="L74" s="774" t="s">
        <v>3396</v>
      </c>
      <c r="M74" s="774" t="s">
        <v>203</v>
      </c>
      <c r="N74" s="774" t="s">
        <v>211</v>
      </c>
      <c r="O74" s="774" t="s">
        <v>3399</v>
      </c>
      <c r="P74" s="776" t="s">
        <v>239</v>
      </c>
      <c r="Q74" s="774" t="s">
        <v>3401</v>
      </c>
      <c r="R74" s="774" t="s">
        <v>3402</v>
      </c>
      <c r="S74" s="593"/>
      <c r="T74" s="593"/>
      <c r="U74" s="593"/>
      <c r="V74" s="593"/>
      <c r="W74" s="593"/>
      <c r="X74" s="593"/>
      <c r="Y74" s="593"/>
      <c r="Z74" s="593"/>
      <c r="AA74" s="593"/>
      <c r="AB74" s="593"/>
      <c r="AC74" s="593"/>
      <c r="AD74" s="593"/>
      <c r="AE74" s="593"/>
      <c r="AF74" s="593"/>
      <c r="AG74" s="593"/>
      <c r="AH74" s="593"/>
      <c r="AI74" s="593"/>
      <c r="AJ74" s="593"/>
      <c r="AK74" s="593"/>
      <c r="AL74" s="593"/>
      <c r="AM74" s="593"/>
      <c r="AN74" s="593"/>
      <c r="AO74" s="593"/>
      <c r="AP74" s="593"/>
      <c r="AQ74" s="593"/>
      <c r="AR74" s="593"/>
      <c r="AS74" s="593"/>
      <c r="AT74" s="593"/>
      <c r="AU74" s="593"/>
      <c r="AV74" s="593"/>
      <c r="AW74" s="593"/>
      <c r="AX74" s="593"/>
      <c r="AY74" s="593"/>
      <c r="AZ74" s="593"/>
      <c r="BA74" s="593"/>
      <c r="BB74" s="593"/>
      <c r="BC74" s="593"/>
      <c r="BD74" s="593"/>
      <c r="BE74" s="593"/>
      <c r="BF74" s="593"/>
      <c r="BG74" s="593"/>
      <c r="BH74" s="593"/>
      <c r="BI74" s="593"/>
      <c r="BJ74" s="593"/>
      <c r="BK74" s="593"/>
      <c r="BL74" s="593"/>
      <c r="BM74" s="593"/>
      <c r="BN74" s="593"/>
      <c r="BO74" s="593"/>
      <c r="BP74" s="593"/>
      <c r="BQ74" s="593"/>
      <c r="BR74" s="593"/>
      <c r="BS74" s="593"/>
      <c r="BT74" s="593"/>
      <c r="BU74" s="593"/>
      <c r="BV74" s="593"/>
      <c r="BW74" s="593"/>
      <c r="BX74" s="593"/>
      <c r="BY74" s="593"/>
      <c r="BZ74" s="593"/>
      <c r="CA74" s="593"/>
      <c r="CB74" s="593"/>
      <c r="CC74" s="593"/>
      <c r="CD74" s="593"/>
      <c r="CE74" s="593"/>
      <c r="CF74" s="593"/>
      <c r="CG74" s="593"/>
      <c r="CH74" s="593"/>
      <c r="CI74" s="593"/>
      <c r="CJ74" s="593"/>
      <c r="CK74" s="593"/>
      <c r="CL74" s="593"/>
      <c r="CM74" s="593"/>
      <c r="CN74" s="593"/>
      <c r="CO74" s="593"/>
      <c r="CP74" s="593"/>
      <c r="CQ74" s="593"/>
      <c r="CR74" s="593"/>
      <c r="CS74" s="593"/>
      <c r="CT74" s="593"/>
      <c r="CU74" s="593"/>
      <c r="CV74" s="593"/>
      <c r="CW74" s="593"/>
      <c r="CX74" s="593"/>
      <c r="CY74" s="593"/>
      <c r="CZ74" s="593"/>
      <c r="DA74" s="593"/>
      <c r="DB74" s="593"/>
      <c r="DC74" s="593"/>
      <c r="DD74" s="593"/>
      <c r="DE74" s="593"/>
      <c r="DF74" s="593"/>
      <c r="DG74" s="593"/>
      <c r="DH74" s="593"/>
      <c r="DI74" s="593"/>
      <c r="DJ74" s="593"/>
      <c r="DK74" s="593"/>
      <c r="DL74" s="593"/>
      <c r="DM74" s="593"/>
      <c r="DN74" s="593"/>
      <c r="DO74" s="594" t="s">
        <v>220</v>
      </c>
      <c r="DP74" s="774" t="s">
        <v>218</v>
      </c>
      <c r="DQ74" s="774" t="s">
        <v>222</v>
      </c>
      <c r="DR74" s="594"/>
      <c r="DS74" s="594"/>
      <c r="DT74" s="594"/>
      <c r="DU74" s="594"/>
      <c r="DV74" s="594"/>
      <c r="DW74" s="594"/>
      <c r="DX74" s="594"/>
      <c r="DY74" s="594"/>
      <c r="DZ74" s="594"/>
      <c r="EA74" s="602"/>
    </row>
    <row r="75" spans="1:131" ht="14.25" thickBot="1">
      <c r="A75" s="652" t="str">
        <f t="shared" si="45"/>
        <v>유형</v>
      </c>
      <c r="B75" s="653" t="s">
        <v>350</v>
      </c>
      <c r="C75" s="780"/>
      <c r="D75" s="780"/>
      <c r="E75" s="780"/>
      <c r="F75" s="230"/>
      <c r="G75" s="230"/>
      <c r="I75" s="777"/>
      <c r="J75" s="777"/>
      <c r="K75" s="775"/>
      <c r="L75" s="775"/>
      <c r="M75" s="775"/>
      <c r="N75" s="775"/>
      <c r="O75" s="775"/>
      <c r="P75" s="777"/>
      <c r="Q75" s="775"/>
      <c r="R75" s="775"/>
      <c r="S75" s="601"/>
      <c r="T75" s="601"/>
      <c r="U75" s="601"/>
      <c r="V75" s="601"/>
      <c r="W75" s="601"/>
      <c r="X75" s="601"/>
      <c r="Y75" s="601"/>
      <c r="Z75" s="601"/>
      <c r="AA75" s="601"/>
      <c r="AB75" s="601"/>
      <c r="AC75" s="601"/>
      <c r="AD75" s="601"/>
      <c r="AE75" s="601"/>
      <c r="AF75" s="601"/>
      <c r="AG75" s="601"/>
      <c r="AH75" s="601"/>
      <c r="AI75" s="601"/>
      <c r="AJ75" s="601"/>
      <c r="AK75" s="601"/>
      <c r="AL75" s="601"/>
      <c r="AM75" s="601"/>
      <c r="AN75" s="601"/>
      <c r="AO75" s="601"/>
      <c r="AP75" s="601"/>
      <c r="AQ75" s="601"/>
      <c r="AR75" s="601"/>
      <c r="AS75" s="601"/>
      <c r="AT75" s="601"/>
      <c r="AU75" s="601"/>
      <c r="AV75" s="601"/>
      <c r="AW75" s="601"/>
      <c r="AX75" s="601"/>
      <c r="AY75" s="601"/>
      <c r="AZ75" s="601"/>
      <c r="BA75" s="601"/>
      <c r="BB75" s="601"/>
      <c r="BC75" s="601"/>
      <c r="BD75" s="601"/>
      <c r="BE75" s="601"/>
      <c r="BF75" s="601"/>
      <c r="BG75" s="601"/>
      <c r="BH75" s="601"/>
      <c r="BI75" s="601"/>
      <c r="BJ75" s="601"/>
      <c r="BK75" s="601"/>
      <c r="BL75" s="601"/>
      <c r="BM75" s="601"/>
      <c r="BN75" s="601"/>
      <c r="BO75" s="601"/>
      <c r="BP75" s="601"/>
      <c r="BQ75" s="601"/>
      <c r="BR75" s="601"/>
      <c r="BS75" s="601"/>
      <c r="BT75" s="601"/>
      <c r="BU75" s="601"/>
      <c r="BV75" s="601"/>
      <c r="BW75" s="601"/>
      <c r="BX75" s="601"/>
      <c r="BY75" s="601"/>
      <c r="BZ75" s="601"/>
      <c r="CA75" s="601"/>
      <c r="CB75" s="601"/>
      <c r="CC75" s="601"/>
      <c r="CD75" s="601"/>
      <c r="CE75" s="601"/>
      <c r="CF75" s="601"/>
      <c r="CG75" s="601"/>
      <c r="CH75" s="601"/>
      <c r="CI75" s="601"/>
      <c r="CJ75" s="601"/>
      <c r="CK75" s="601"/>
      <c r="CL75" s="601"/>
      <c r="CM75" s="601"/>
      <c r="CN75" s="601"/>
      <c r="CO75" s="601"/>
      <c r="CP75" s="601"/>
      <c r="CQ75" s="601"/>
      <c r="CR75" s="601"/>
      <c r="CS75" s="601"/>
      <c r="CT75" s="601"/>
      <c r="CU75" s="601"/>
      <c r="CV75" s="601"/>
      <c r="CW75" s="601"/>
      <c r="CX75" s="601"/>
      <c r="CY75" s="601"/>
      <c r="CZ75" s="601"/>
      <c r="DA75" s="601"/>
      <c r="DB75" s="601"/>
      <c r="DC75" s="601"/>
      <c r="DD75" s="601"/>
      <c r="DE75" s="601"/>
      <c r="DF75" s="601"/>
      <c r="DG75" s="601"/>
      <c r="DH75" s="601"/>
      <c r="DI75" s="601"/>
      <c r="DJ75" s="601"/>
      <c r="DK75" s="601"/>
      <c r="DL75" s="601"/>
      <c r="DM75" s="601"/>
      <c r="DN75" s="601"/>
      <c r="DO75" s="654">
        <f>$DO$7</f>
        <v>45473</v>
      </c>
      <c r="DP75" s="775"/>
      <c r="DQ75" s="775"/>
      <c r="DR75" s="595">
        <f>NAV!E263</f>
        <v>0</v>
      </c>
      <c r="DS75" s="596">
        <f>DR75-DR84</f>
        <v>0</v>
      </c>
      <c r="DT75" s="596"/>
      <c r="DU75" s="596"/>
      <c r="DV75" s="597"/>
      <c r="DW75" s="596"/>
      <c r="DX75" s="596"/>
      <c r="DY75" s="596"/>
      <c r="DZ75" s="655"/>
      <c r="EA75" s="656"/>
    </row>
    <row r="76" spans="1:131" ht="13.5">
      <c r="A76" s="652" t="str">
        <f t="shared" si="45"/>
        <v>설정일</v>
      </c>
      <c r="B76" s="653" t="s">
        <v>351</v>
      </c>
      <c r="C76" s="781"/>
      <c r="D76" s="780"/>
      <c r="E76" s="780"/>
      <c r="F76" s="230"/>
      <c r="G76" s="230"/>
      <c r="I76" s="657">
        <f>SUM(DR76:EA76)</f>
        <v>0</v>
      </c>
      <c r="J76" s="606" t="str">
        <f>IFERROR(I76/(Q76/$C$78),"N/A")</f>
        <v>N/A</v>
      </c>
      <c r="K76" s="471"/>
      <c r="L76" s="607"/>
      <c r="M76" s="300"/>
      <c r="N76" s="608"/>
      <c r="O76" s="609">
        <f t="shared" ref="O76:O83" si="46">-(SUMIF($S$74:$DN$74,"최초출자",S76:DN76)+SUMIF($S$74:$DN$74,"추가출자",S76:DN76))</f>
        <v>0</v>
      </c>
      <c r="P76" s="609">
        <f t="shared" ref="P76:P83" si="47">SUMIF($S$74:$DN$74,"이익분배",S76:DN76)+SUMIF($S$74:$DN$74,"원본분배",S76:DN76)</f>
        <v>0</v>
      </c>
      <c r="Q76" s="609">
        <f t="shared" ref="Q76:Q83" si="48">-(SUMIF($S$74:$DN$74,"최초출자",S76:DN76)+SUMIF($S$74:$DN$74,"추가출자",S76:DN76)+SUMIF($S$74:$DN$74,"원본분배",S76:DN76))</f>
        <v>0</v>
      </c>
      <c r="R76" s="610" t="str">
        <f>IFERROR(Q76/Q84,"")</f>
        <v/>
      </c>
      <c r="S76" s="658"/>
      <c r="T76" s="658"/>
      <c r="U76" s="658"/>
      <c r="V76" s="658"/>
      <c r="W76" s="658"/>
      <c r="X76" s="658"/>
      <c r="Y76" s="658"/>
      <c r="Z76" s="658"/>
      <c r="AA76" s="658"/>
      <c r="AB76" s="658"/>
      <c r="AC76" s="658"/>
      <c r="AD76" s="658"/>
      <c r="AE76" s="658"/>
      <c r="AF76" s="658"/>
      <c r="AG76" s="658"/>
      <c r="AH76" s="658"/>
      <c r="AI76" s="658"/>
      <c r="AJ76" s="658"/>
      <c r="AK76" s="658"/>
      <c r="AL76" s="658"/>
      <c r="AM76" s="658"/>
      <c r="AN76" s="658"/>
      <c r="AO76" s="658"/>
      <c r="AP76" s="658"/>
      <c r="AQ76" s="658"/>
      <c r="AR76" s="658"/>
      <c r="AS76" s="658"/>
      <c r="AT76" s="658"/>
      <c r="AU76" s="658"/>
      <c r="AV76" s="658"/>
      <c r="AW76" s="658"/>
      <c r="AX76" s="658"/>
      <c r="AY76" s="658"/>
      <c r="AZ76" s="658"/>
      <c r="BA76" s="658"/>
      <c r="BB76" s="658"/>
      <c r="BC76" s="658"/>
      <c r="BD76" s="658"/>
      <c r="BE76" s="658"/>
      <c r="BF76" s="658"/>
      <c r="BG76" s="658"/>
      <c r="BH76" s="658"/>
      <c r="BI76" s="658"/>
      <c r="BJ76" s="658"/>
      <c r="BK76" s="658"/>
      <c r="BL76" s="658"/>
      <c r="BM76" s="658"/>
      <c r="BN76" s="658"/>
      <c r="BO76" s="658"/>
      <c r="BP76" s="658"/>
      <c r="BQ76" s="658"/>
      <c r="BR76" s="658"/>
      <c r="BS76" s="658"/>
      <c r="BT76" s="658"/>
      <c r="BU76" s="658"/>
      <c r="BV76" s="658"/>
      <c r="BW76" s="658"/>
      <c r="BX76" s="658"/>
      <c r="BY76" s="658"/>
      <c r="BZ76" s="658"/>
      <c r="CA76" s="658"/>
      <c r="CB76" s="658"/>
      <c r="CC76" s="658"/>
      <c r="CD76" s="658"/>
      <c r="CE76" s="658"/>
      <c r="CF76" s="658"/>
      <c r="CG76" s="658"/>
      <c r="CH76" s="658"/>
      <c r="CI76" s="658"/>
      <c r="CJ76" s="658"/>
      <c r="CK76" s="658"/>
      <c r="CL76" s="658"/>
      <c r="CM76" s="658"/>
      <c r="CN76" s="658"/>
      <c r="CO76" s="658"/>
      <c r="CP76" s="658"/>
      <c r="CQ76" s="658"/>
      <c r="CR76" s="658"/>
      <c r="CS76" s="658"/>
      <c r="CT76" s="658"/>
      <c r="CU76" s="658"/>
      <c r="CV76" s="658"/>
      <c r="CW76" s="658"/>
      <c r="CX76" s="658"/>
      <c r="CY76" s="658"/>
      <c r="CZ76" s="658"/>
      <c r="DA76" s="658"/>
      <c r="DB76" s="658"/>
      <c r="DC76" s="658"/>
      <c r="DD76" s="658"/>
      <c r="DE76" s="658"/>
      <c r="DF76" s="658"/>
      <c r="DG76" s="658"/>
      <c r="DH76" s="658"/>
      <c r="DI76" s="658"/>
      <c r="DJ76" s="658"/>
      <c r="DK76" s="658"/>
      <c r="DL76" s="658"/>
      <c r="DM76" s="658"/>
      <c r="DN76" s="658"/>
      <c r="DO76" s="177">
        <f>IF(M76="",0,-XNPV(DP76,S76,S$75)*(1+DP76)^YEARFRAC($S$75,$DO$75,3))</f>
        <v>0</v>
      </c>
      <c r="DP76" s="612" t="e">
        <f>IF(HLOOKUP(L76,$C$83:$E$84,2,0)=0,1E-24%,HLOOKUP(L76,$C$83:$E$84,2,FALSE))</f>
        <v>#N/A</v>
      </c>
      <c r="DQ76" s="612" t="e">
        <f t="shared" ref="DQ76:DQ83" si="49">XIRR(S76:DO76,$S$75:$DO$75)</f>
        <v>#NUM!</v>
      </c>
      <c r="DR76" s="177"/>
      <c r="DS76" s="177"/>
      <c r="DT76" s="177"/>
      <c r="DU76" s="177"/>
      <c r="DV76" s="177"/>
      <c r="DW76" s="177"/>
      <c r="DX76" s="177"/>
      <c r="DY76" s="177"/>
      <c r="DZ76" s="177"/>
      <c r="EA76" s="613"/>
    </row>
    <row r="77" spans="1:131" ht="13.5">
      <c r="A77" s="652" t="str">
        <f t="shared" si="45"/>
        <v>출자잔액</v>
      </c>
      <c r="B77" s="653" t="s">
        <v>352</v>
      </c>
      <c r="C77" s="782"/>
      <c r="D77" s="782"/>
      <c r="E77" s="782"/>
      <c r="F77" s="230"/>
      <c r="G77" s="230"/>
      <c r="I77" s="657">
        <f t="shared" ref="I77:I83" si="50">SUM(DR77:EA77)</f>
        <v>0</v>
      </c>
      <c r="J77" s="606" t="str">
        <f t="shared" ref="J77:J83" si="51">IFERROR(I77/(Q77/$C$78),"N/A")</f>
        <v>N/A</v>
      </c>
      <c r="K77" s="471"/>
      <c r="L77" s="607"/>
      <c r="M77" s="300"/>
      <c r="N77" s="608"/>
      <c r="O77" s="609">
        <f t="shared" si="46"/>
        <v>0</v>
      </c>
      <c r="P77" s="609">
        <f t="shared" si="47"/>
        <v>0</v>
      </c>
      <c r="Q77" s="609">
        <f t="shared" si="48"/>
        <v>0</v>
      </c>
      <c r="R77" s="610" t="str">
        <f>IFERROR(Q77/Q84,"")</f>
        <v/>
      </c>
      <c r="S77" s="658"/>
      <c r="T77" s="658"/>
      <c r="U77" s="658"/>
      <c r="V77" s="658"/>
      <c r="W77" s="658"/>
      <c r="X77" s="658"/>
      <c r="Y77" s="658"/>
      <c r="Z77" s="658"/>
      <c r="AA77" s="658"/>
      <c r="AB77" s="658"/>
      <c r="AC77" s="658"/>
      <c r="AD77" s="658"/>
      <c r="AE77" s="658"/>
      <c r="AF77" s="658"/>
      <c r="AG77" s="658"/>
      <c r="AH77" s="658"/>
      <c r="AI77" s="658"/>
      <c r="AJ77" s="658"/>
      <c r="AK77" s="658"/>
      <c r="AL77" s="658"/>
      <c r="AM77" s="658"/>
      <c r="AN77" s="658"/>
      <c r="AO77" s="658"/>
      <c r="AP77" s="658"/>
      <c r="AQ77" s="658"/>
      <c r="AR77" s="658"/>
      <c r="AS77" s="658"/>
      <c r="AT77" s="658"/>
      <c r="AU77" s="658"/>
      <c r="AV77" s="658"/>
      <c r="AW77" s="658"/>
      <c r="AX77" s="658"/>
      <c r="AY77" s="658"/>
      <c r="AZ77" s="658"/>
      <c r="BA77" s="658"/>
      <c r="BB77" s="658"/>
      <c r="BC77" s="658"/>
      <c r="BD77" s="658"/>
      <c r="BE77" s="658"/>
      <c r="BF77" s="658"/>
      <c r="BG77" s="658"/>
      <c r="BH77" s="658"/>
      <c r="BI77" s="658"/>
      <c r="BJ77" s="658"/>
      <c r="BK77" s="658"/>
      <c r="BL77" s="658"/>
      <c r="BM77" s="658"/>
      <c r="BN77" s="658"/>
      <c r="BO77" s="658"/>
      <c r="BP77" s="658"/>
      <c r="BQ77" s="658"/>
      <c r="BR77" s="658"/>
      <c r="BS77" s="658"/>
      <c r="BT77" s="658"/>
      <c r="BU77" s="658"/>
      <c r="BV77" s="658"/>
      <c r="BW77" s="658"/>
      <c r="BX77" s="658"/>
      <c r="BY77" s="658"/>
      <c r="BZ77" s="658"/>
      <c r="CA77" s="658"/>
      <c r="CB77" s="658"/>
      <c r="CC77" s="658"/>
      <c r="CD77" s="658"/>
      <c r="CE77" s="658"/>
      <c r="CF77" s="658"/>
      <c r="CG77" s="658"/>
      <c r="CH77" s="658"/>
      <c r="CI77" s="658"/>
      <c r="CJ77" s="658"/>
      <c r="CK77" s="658"/>
      <c r="CL77" s="658"/>
      <c r="CM77" s="658"/>
      <c r="CN77" s="658"/>
      <c r="CO77" s="658"/>
      <c r="CP77" s="658"/>
      <c r="CQ77" s="658"/>
      <c r="CR77" s="658"/>
      <c r="CS77" s="658"/>
      <c r="CT77" s="658"/>
      <c r="CU77" s="658"/>
      <c r="CV77" s="658"/>
      <c r="CW77" s="658"/>
      <c r="CX77" s="658"/>
      <c r="CY77" s="658"/>
      <c r="CZ77" s="658"/>
      <c r="DA77" s="658"/>
      <c r="DB77" s="658"/>
      <c r="DC77" s="658"/>
      <c r="DD77" s="658"/>
      <c r="DE77" s="658"/>
      <c r="DF77" s="658"/>
      <c r="DG77" s="658"/>
      <c r="DH77" s="658"/>
      <c r="DI77" s="658"/>
      <c r="DJ77" s="658"/>
      <c r="DK77" s="658"/>
      <c r="DL77" s="658"/>
      <c r="DM77" s="658"/>
      <c r="DN77" s="658"/>
      <c r="DO77" s="177">
        <f t="shared" ref="DO77:DO83" si="52">IF(M77="",0,-XNPV(DP77,S77,S$75)*(1+DP77)^YEARFRAC($S$75,$DO$75,3))</f>
        <v>0</v>
      </c>
      <c r="DP77" s="612" t="e">
        <f t="shared" ref="DP77:DP83" si="53">IF(HLOOKUP(L77,$C$83:$E$84,2,0)=0,1E-24%,HLOOKUP(L77,$C$83:$E$84,2,FALSE))</f>
        <v>#N/A</v>
      </c>
      <c r="DQ77" s="612" t="e">
        <f t="shared" si="49"/>
        <v>#NUM!</v>
      </c>
      <c r="DR77" s="177"/>
      <c r="DS77" s="177"/>
      <c r="DT77" s="177"/>
      <c r="DU77" s="177"/>
      <c r="DV77" s="177"/>
      <c r="DW77" s="177"/>
      <c r="DX77" s="177"/>
      <c r="DY77" s="177"/>
      <c r="DZ77" s="177"/>
      <c r="EA77" s="613"/>
    </row>
    <row r="78" spans="1:131" ht="13.5">
      <c r="A78" s="652" t="str">
        <f t="shared" si="45"/>
        <v>1좌당 금액</v>
      </c>
      <c r="B78" s="653" t="s">
        <v>353</v>
      </c>
      <c r="C78" s="783"/>
      <c r="D78" s="783"/>
      <c r="E78" s="783"/>
      <c r="F78" s="230"/>
      <c r="G78" s="230"/>
      <c r="I78" s="657">
        <f t="shared" si="50"/>
        <v>0</v>
      </c>
      <c r="J78" s="606" t="str">
        <f>IFERROR(I78/(Q78/$C$78),"N/A")</f>
        <v>N/A</v>
      </c>
      <c r="K78" s="471"/>
      <c r="L78" s="607"/>
      <c r="M78" s="300"/>
      <c r="N78" s="608"/>
      <c r="O78" s="609">
        <f t="shared" si="46"/>
        <v>0</v>
      </c>
      <c r="P78" s="609">
        <f t="shared" si="47"/>
        <v>0</v>
      </c>
      <c r="Q78" s="609">
        <f t="shared" si="48"/>
        <v>0</v>
      </c>
      <c r="R78" s="610" t="str">
        <f>IFERROR(Q78/Q84,"")</f>
        <v/>
      </c>
      <c r="S78" s="658"/>
      <c r="T78" s="658"/>
      <c r="U78" s="658"/>
      <c r="V78" s="658"/>
      <c r="W78" s="658"/>
      <c r="X78" s="658"/>
      <c r="Y78" s="658"/>
      <c r="Z78" s="658"/>
      <c r="AA78" s="658"/>
      <c r="AB78" s="658"/>
      <c r="AC78" s="658"/>
      <c r="AD78" s="658"/>
      <c r="AE78" s="658"/>
      <c r="AF78" s="658"/>
      <c r="AG78" s="658"/>
      <c r="AH78" s="658"/>
      <c r="AI78" s="658"/>
      <c r="AJ78" s="658"/>
      <c r="AK78" s="658"/>
      <c r="AL78" s="658"/>
      <c r="AM78" s="658"/>
      <c r="AN78" s="658"/>
      <c r="AO78" s="658"/>
      <c r="AP78" s="658"/>
      <c r="AQ78" s="658"/>
      <c r="AR78" s="658"/>
      <c r="AS78" s="658"/>
      <c r="AT78" s="658"/>
      <c r="AU78" s="658"/>
      <c r="AV78" s="658"/>
      <c r="AW78" s="658"/>
      <c r="AX78" s="658"/>
      <c r="AY78" s="658"/>
      <c r="AZ78" s="658"/>
      <c r="BA78" s="658"/>
      <c r="BB78" s="658"/>
      <c r="BC78" s="658"/>
      <c r="BD78" s="658"/>
      <c r="BE78" s="658"/>
      <c r="BF78" s="658"/>
      <c r="BG78" s="658"/>
      <c r="BH78" s="658"/>
      <c r="BI78" s="658"/>
      <c r="BJ78" s="658"/>
      <c r="BK78" s="658"/>
      <c r="BL78" s="658"/>
      <c r="BM78" s="658"/>
      <c r="BN78" s="658"/>
      <c r="BO78" s="658"/>
      <c r="BP78" s="658"/>
      <c r="BQ78" s="658"/>
      <c r="BR78" s="658"/>
      <c r="BS78" s="658"/>
      <c r="BT78" s="658"/>
      <c r="BU78" s="658"/>
      <c r="BV78" s="658"/>
      <c r="BW78" s="658"/>
      <c r="BX78" s="658"/>
      <c r="BY78" s="658"/>
      <c r="BZ78" s="658"/>
      <c r="CA78" s="658"/>
      <c r="CB78" s="658"/>
      <c r="CC78" s="658"/>
      <c r="CD78" s="658"/>
      <c r="CE78" s="658"/>
      <c r="CF78" s="658"/>
      <c r="CG78" s="658"/>
      <c r="CH78" s="658"/>
      <c r="CI78" s="658"/>
      <c r="CJ78" s="658"/>
      <c r="CK78" s="658"/>
      <c r="CL78" s="658"/>
      <c r="CM78" s="658"/>
      <c r="CN78" s="658"/>
      <c r="CO78" s="658"/>
      <c r="CP78" s="658"/>
      <c r="CQ78" s="658"/>
      <c r="CR78" s="658"/>
      <c r="CS78" s="658"/>
      <c r="CT78" s="658"/>
      <c r="CU78" s="658"/>
      <c r="CV78" s="658"/>
      <c r="CW78" s="658"/>
      <c r="CX78" s="658"/>
      <c r="CY78" s="658"/>
      <c r="CZ78" s="658"/>
      <c r="DA78" s="658"/>
      <c r="DB78" s="658"/>
      <c r="DC78" s="658"/>
      <c r="DD78" s="658"/>
      <c r="DE78" s="658"/>
      <c r="DF78" s="658"/>
      <c r="DG78" s="658"/>
      <c r="DH78" s="658"/>
      <c r="DI78" s="658"/>
      <c r="DJ78" s="658"/>
      <c r="DK78" s="658"/>
      <c r="DL78" s="658"/>
      <c r="DM78" s="658"/>
      <c r="DN78" s="658"/>
      <c r="DO78" s="177">
        <f t="shared" si="52"/>
        <v>0</v>
      </c>
      <c r="DP78" s="612" t="e">
        <f t="shared" si="53"/>
        <v>#N/A</v>
      </c>
      <c r="DQ78" s="612" t="e">
        <f t="shared" si="49"/>
        <v>#NUM!</v>
      </c>
      <c r="DR78" s="177"/>
      <c r="DS78" s="177"/>
      <c r="DT78" s="177"/>
      <c r="DU78" s="177"/>
      <c r="DV78" s="177"/>
      <c r="DW78" s="177"/>
      <c r="DX78" s="177"/>
      <c r="DY78" s="177"/>
      <c r="DZ78" s="177"/>
      <c r="EA78" s="613"/>
    </row>
    <row r="79" spans="1:131" ht="13.5">
      <c r="A79" s="652" t="str">
        <f t="shared" si="45"/>
        <v>기준수익률</v>
      </c>
      <c r="B79" s="653" t="s">
        <v>354</v>
      </c>
      <c r="C79" s="784"/>
      <c r="D79" s="785"/>
      <c r="E79" s="785"/>
      <c r="F79" s="230"/>
      <c r="G79" s="230"/>
      <c r="I79" s="657">
        <f t="shared" si="50"/>
        <v>0</v>
      </c>
      <c r="J79" s="606" t="str">
        <f>IFERROR(I79/(Q79/$C$78),"N/A")</f>
        <v>N/A</v>
      </c>
      <c r="K79" s="471"/>
      <c r="L79" s="607"/>
      <c r="M79" s="300"/>
      <c r="N79" s="608"/>
      <c r="O79" s="609">
        <f t="shared" si="46"/>
        <v>0</v>
      </c>
      <c r="P79" s="609">
        <f t="shared" si="47"/>
        <v>0</v>
      </c>
      <c r="Q79" s="609">
        <f t="shared" si="48"/>
        <v>0</v>
      </c>
      <c r="R79" s="610" t="str">
        <f>IFERROR(Q79/Q84,"")</f>
        <v/>
      </c>
      <c r="S79" s="658"/>
      <c r="T79" s="658"/>
      <c r="U79" s="658"/>
      <c r="V79" s="658"/>
      <c r="W79" s="658"/>
      <c r="X79" s="658"/>
      <c r="Y79" s="658"/>
      <c r="Z79" s="658"/>
      <c r="AA79" s="658"/>
      <c r="AB79" s="658"/>
      <c r="AC79" s="658"/>
      <c r="AD79" s="658"/>
      <c r="AE79" s="658"/>
      <c r="AF79" s="658"/>
      <c r="AG79" s="658"/>
      <c r="AH79" s="658"/>
      <c r="AI79" s="658"/>
      <c r="AJ79" s="658"/>
      <c r="AK79" s="658"/>
      <c r="AL79" s="658"/>
      <c r="AM79" s="658"/>
      <c r="AN79" s="658"/>
      <c r="AO79" s="658"/>
      <c r="AP79" s="658"/>
      <c r="AQ79" s="658"/>
      <c r="AR79" s="658"/>
      <c r="AS79" s="658"/>
      <c r="AT79" s="658"/>
      <c r="AU79" s="658"/>
      <c r="AV79" s="658"/>
      <c r="AW79" s="658"/>
      <c r="AX79" s="658"/>
      <c r="AY79" s="658"/>
      <c r="AZ79" s="658"/>
      <c r="BA79" s="658"/>
      <c r="BB79" s="658"/>
      <c r="BC79" s="658"/>
      <c r="BD79" s="658"/>
      <c r="BE79" s="658"/>
      <c r="BF79" s="658"/>
      <c r="BG79" s="658"/>
      <c r="BH79" s="658"/>
      <c r="BI79" s="658"/>
      <c r="BJ79" s="658"/>
      <c r="BK79" s="658"/>
      <c r="BL79" s="658"/>
      <c r="BM79" s="658"/>
      <c r="BN79" s="658"/>
      <c r="BO79" s="658"/>
      <c r="BP79" s="658"/>
      <c r="BQ79" s="658"/>
      <c r="BR79" s="658"/>
      <c r="BS79" s="658"/>
      <c r="BT79" s="658"/>
      <c r="BU79" s="658"/>
      <c r="BV79" s="658"/>
      <c r="BW79" s="658"/>
      <c r="BX79" s="658"/>
      <c r="BY79" s="658"/>
      <c r="BZ79" s="658"/>
      <c r="CA79" s="658"/>
      <c r="CB79" s="658"/>
      <c r="CC79" s="658"/>
      <c r="CD79" s="658"/>
      <c r="CE79" s="658"/>
      <c r="CF79" s="658"/>
      <c r="CG79" s="658"/>
      <c r="CH79" s="658"/>
      <c r="CI79" s="658"/>
      <c r="CJ79" s="658"/>
      <c r="CK79" s="658"/>
      <c r="CL79" s="658"/>
      <c r="CM79" s="658"/>
      <c r="CN79" s="658"/>
      <c r="CO79" s="658"/>
      <c r="CP79" s="658"/>
      <c r="CQ79" s="658"/>
      <c r="CR79" s="658"/>
      <c r="CS79" s="658"/>
      <c r="CT79" s="658"/>
      <c r="CU79" s="658"/>
      <c r="CV79" s="658"/>
      <c r="CW79" s="658"/>
      <c r="CX79" s="658"/>
      <c r="CY79" s="658"/>
      <c r="CZ79" s="658"/>
      <c r="DA79" s="658"/>
      <c r="DB79" s="658"/>
      <c r="DC79" s="658"/>
      <c r="DD79" s="658"/>
      <c r="DE79" s="658"/>
      <c r="DF79" s="658"/>
      <c r="DG79" s="658"/>
      <c r="DH79" s="658"/>
      <c r="DI79" s="658"/>
      <c r="DJ79" s="658"/>
      <c r="DK79" s="658"/>
      <c r="DL79" s="658"/>
      <c r="DM79" s="658"/>
      <c r="DN79" s="658"/>
      <c r="DO79" s="177">
        <f t="shared" si="52"/>
        <v>0</v>
      </c>
      <c r="DP79" s="612" t="e">
        <f t="shared" si="53"/>
        <v>#N/A</v>
      </c>
      <c r="DQ79" s="612" t="e">
        <f t="shared" si="49"/>
        <v>#NUM!</v>
      </c>
      <c r="DR79" s="177"/>
      <c r="DS79" s="177"/>
      <c r="DT79" s="177"/>
      <c r="DU79" s="177"/>
      <c r="DV79" s="177"/>
      <c r="DW79" s="177"/>
      <c r="DX79" s="177"/>
      <c r="DY79" s="177"/>
      <c r="DZ79" s="177"/>
      <c r="EA79" s="613"/>
    </row>
    <row r="80" spans="1:131" ht="13.5">
      <c r="A80" s="652" t="str">
        <f t="shared" si="45"/>
        <v>평가방법론</v>
      </c>
      <c r="B80" s="653" t="s">
        <v>7</v>
      </c>
      <c r="C80" s="786"/>
      <c r="D80" s="786"/>
      <c r="E80" s="786"/>
      <c r="F80" s="230"/>
      <c r="G80" s="230"/>
      <c r="I80" s="657">
        <f t="shared" si="50"/>
        <v>0</v>
      </c>
      <c r="J80" s="606" t="str">
        <f t="shared" si="51"/>
        <v>N/A</v>
      </c>
      <c r="K80" s="471"/>
      <c r="L80" s="607"/>
      <c r="M80" s="300"/>
      <c r="N80" s="608"/>
      <c r="O80" s="609">
        <f t="shared" si="46"/>
        <v>0</v>
      </c>
      <c r="P80" s="609">
        <f t="shared" si="47"/>
        <v>0</v>
      </c>
      <c r="Q80" s="609">
        <f t="shared" si="48"/>
        <v>0</v>
      </c>
      <c r="R80" s="610" t="str">
        <f>IFERROR(Q80/Q84,"")</f>
        <v/>
      </c>
      <c r="S80" s="658"/>
      <c r="T80" s="658"/>
      <c r="U80" s="658"/>
      <c r="V80" s="658"/>
      <c r="W80" s="658"/>
      <c r="X80" s="658"/>
      <c r="Y80" s="658"/>
      <c r="Z80" s="658"/>
      <c r="AA80" s="658"/>
      <c r="AB80" s="658"/>
      <c r="AC80" s="658"/>
      <c r="AD80" s="658"/>
      <c r="AE80" s="658"/>
      <c r="AF80" s="658"/>
      <c r="AG80" s="658"/>
      <c r="AH80" s="658"/>
      <c r="AI80" s="658"/>
      <c r="AJ80" s="658"/>
      <c r="AK80" s="658"/>
      <c r="AL80" s="658"/>
      <c r="AM80" s="658"/>
      <c r="AN80" s="658"/>
      <c r="AO80" s="658"/>
      <c r="AP80" s="658"/>
      <c r="AQ80" s="658"/>
      <c r="AR80" s="658"/>
      <c r="AS80" s="658"/>
      <c r="AT80" s="658"/>
      <c r="AU80" s="658"/>
      <c r="AV80" s="658"/>
      <c r="AW80" s="658"/>
      <c r="AX80" s="658"/>
      <c r="AY80" s="658"/>
      <c r="AZ80" s="658"/>
      <c r="BA80" s="658"/>
      <c r="BB80" s="658"/>
      <c r="BC80" s="658"/>
      <c r="BD80" s="658"/>
      <c r="BE80" s="658"/>
      <c r="BF80" s="658"/>
      <c r="BG80" s="658"/>
      <c r="BH80" s="658"/>
      <c r="BI80" s="658"/>
      <c r="BJ80" s="658"/>
      <c r="BK80" s="658"/>
      <c r="BL80" s="658"/>
      <c r="BM80" s="658"/>
      <c r="BN80" s="658"/>
      <c r="BO80" s="658"/>
      <c r="BP80" s="658"/>
      <c r="BQ80" s="658"/>
      <c r="BR80" s="658"/>
      <c r="BS80" s="658"/>
      <c r="BT80" s="658"/>
      <c r="BU80" s="658"/>
      <c r="BV80" s="658"/>
      <c r="BW80" s="658"/>
      <c r="BX80" s="658"/>
      <c r="BY80" s="658"/>
      <c r="BZ80" s="658"/>
      <c r="CA80" s="658"/>
      <c r="CB80" s="658"/>
      <c r="CC80" s="658"/>
      <c r="CD80" s="658"/>
      <c r="CE80" s="658"/>
      <c r="CF80" s="658"/>
      <c r="CG80" s="658"/>
      <c r="CH80" s="658"/>
      <c r="CI80" s="658"/>
      <c r="CJ80" s="658"/>
      <c r="CK80" s="658"/>
      <c r="CL80" s="658"/>
      <c r="CM80" s="658"/>
      <c r="CN80" s="658"/>
      <c r="CO80" s="658"/>
      <c r="CP80" s="658"/>
      <c r="CQ80" s="658"/>
      <c r="CR80" s="658"/>
      <c r="CS80" s="658"/>
      <c r="CT80" s="658"/>
      <c r="CU80" s="658"/>
      <c r="CV80" s="658"/>
      <c r="CW80" s="658"/>
      <c r="CX80" s="658"/>
      <c r="CY80" s="658"/>
      <c r="CZ80" s="658"/>
      <c r="DA80" s="658"/>
      <c r="DB80" s="658"/>
      <c r="DC80" s="658"/>
      <c r="DD80" s="658"/>
      <c r="DE80" s="658"/>
      <c r="DF80" s="658"/>
      <c r="DG80" s="658"/>
      <c r="DH80" s="658"/>
      <c r="DI80" s="658"/>
      <c r="DJ80" s="658"/>
      <c r="DK80" s="658"/>
      <c r="DL80" s="658"/>
      <c r="DM80" s="658"/>
      <c r="DN80" s="658"/>
      <c r="DO80" s="177">
        <f t="shared" si="52"/>
        <v>0</v>
      </c>
      <c r="DP80" s="612" t="e">
        <f t="shared" si="53"/>
        <v>#N/A</v>
      </c>
      <c r="DQ80" s="612" t="e">
        <f t="shared" si="49"/>
        <v>#NUM!</v>
      </c>
      <c r="DR80" s="177"/>
      <c r="DS80" s="177"/>
      <c r="DT80" s="177"/>
      <c r="DU80" s="177"/>
      <c r="DV80" s="177"/>
      <c r="DW80" s="177"/>
      <c r="DX80" s="177"/>
      <c r="DY80" s="177"/>
      <c r="DZ80" s="177"/>
      <c r="EA80" s="613"/>
    </row>
    <row r="81" spans="1:131" ht="13.5">
      <c r="A81" s="652" t="str">
        <f t="shared" si="45"/>
        <v>분배 조항 여부</v>
      </c>
      <c r="B81" s="653" t="s">
        <v>355</v>
      </c>
      <c r="C81" s="786"/>
      <c r="D81" s="786"/>
      <c r="E81" s="786"/>
      <c r="F81" s="230"/>
      <c r="G81" s="230"/>
      <c r="I81" s="657">
        <f t="shared" si="50"/>
        <v>0</v>
      </c>
      <c r="J81" s="606" t="str">
        <f>IFERROR(I81/(Q81/$C$78),"N/A")</f>
        <v>N/A</v>
      </c>
      <c r="K81" s="471"/>
      <c r="L81" s="607"/>
      <c r="M81" s="300"/>
      <c r="N81" s="608"/>
      <c r="O81" s="609">
        <f t="shared" si="46"/>
        <v>0</v>
      </c>
      <c r="P81" s="609">
        <f t="shared" si="47"/>
        <v>0</v>
      </c>
      <c r="Q81" s="609">
        <f t="shared" si="48"/>
        <v>0</v>
      </c>
      <c r="R81" s="610" t="str">
        <f>IFERROR(Q81/Q84,"")</f>
        <v/>
      </c>
      <c r="S81" s="658"/>
      <c r="T81" s="658"/>
      <c r="U81" s="658"/>
      <c r="V81" s="658"/>
      <c r="W81" s="658"/>
      <c r="X81" s="658"/>
      <c r="Y81" s="658"/>
      <c r="Z81" s="658"/>
      <c r="AA81" s="658"/>
      <c r="AB81" s="658"/>
      <c r="AC81" s="658"/>
      <c r="AD81" s="658"/>
      <c r="AE81" s="658"/>
      <c r="AF81" s="658"/>
      <c r="AG81" s="658"/>
      <c r="AH81" s="658"/>
      <c r="AI81" s="658"/>
      <c r="AJ81" s="658"/>
      <c r="AK81" s="658"/>
      <c r="AL81" s="658"/>
      <c r="AM81" s="658"/>
      <c r="AN81" s="658"/>
      <c r="AO81" s="658"/>
      <c r="AP81" s="658"/>
      <c r="AQ81" s="658"/>
      <c r="AR81" s="658"/>
      <c r="AS81" s="658"/>
      <c r="AT81" s="658"/>
      <c r="AU81" s="658"/>
      <c r="AV81" s="658"/>
      <c r="AW81" s="658"/>
      <c r="AX81" s="658"/>
      <c r="AY81" s="658"/>
      <c r="AZ81" s="658"/>
      <c r="BA81" s="658"/>
      <c r="BB81" s="658"/>
      <c r="BC81" s="658"/>
      <c r="BD81" s="658"/>
      <c r="BE81" s="658"/>
      <c r="BF81" s="658"/>
      <c r="BG81" s="658"/>
      <c r="BH81" s="658"/>
      <c r="BI81" s="658"/>
      <c r="BJ81" s="658"/>
      <c r="BK81" s="658"/>
      <c r="BL81" s="658"/>
      <c r="BM81" s="658"/>
      <c r="BN81" s="658"/>
      <c r="BO81" s="658"/>
      <c r="BP81" s="658"/>
      <c r="BQ81" s="658"/>
      <c r="BR81" s="658"/>
      <c r="BS81" s="658"/>
      <c r="BT81" s="658"/>
      <c r="BU81" s="658"/>
      <c r="BV81" s="658"/>
      <c r="BW81" s="658"/>
      <c r="BX81" s="658"/>
      <c r="BY81" s="658"/>
      <c r="BZ81" s="658"/>
      <c r="CA81" s="658"/>
      <c r="CB81" s="658"/>
      <c r="CC81" s="658"/>
      <c r="CD81" s="658"/>
      <c r="CE81" s="658"/>
      <c r="CF81" s="658"/>
      <c r="CG81" s="658"/>
      <c r="CH81" s="658"/>
      <c r="CI81" s="658"/>
      <c r="CJ81" s="658"/>
      <c r="CK81" s="658"/>
      <c r="CL81" s="658"/>
      <c r="CM81" s="658"/>
      <c r="CN81" s="658"/>
      <c r="CO81" s="658"/>
      <c r="CP81" s="658"/>
      <c r="CQ81" s="658"/>
      <c r="CR81" s="658"/>
      <c r="CS81" s="658"/>
      <c r="CT81" s="658"/>
      <c r="CU81" s="658"/>
      <c r="CV81" s="658"/>
      <c r="CW81" s="658"/>
      <c r="CX81" s="658"/>
      <c r="CY81" s="658"/>
      <c r="CZ81" s="658"/>
      <c r="DA81" s="658"/>
      <c r="DB81" s="658"/>
      <c r="DC81" s="658"/>
      <c r="DD81" s="658"/>
      <c r="DE81" s="658"/>
      <c r="DF81" s="658"/>
      <c r="DG81" s="658"/>
      <c r="DH81" s="658"/>
      <c r="DI81" s="658"/>
      <c r="DJ81" s="658"/>
      <c r="DK81" s="658"/>
      <c r="DL81" s="658"/>
      <c r="DM81" s="658"/>
      <c r="DN81" s="658"/>
      <c r="DO81" s="177">
        <f t="shared" si="52"/>
        <v>0</v>
      </c>
      <c r="DP81" s="612" t="e">
        <f t="shared" si="53"/>
        <v>#N/A</v>
      </c>
      <c r="DQ81" s="612" t="e">
        <f t="shared" si="49"/>
        <v>#NUM!</v>
      </c>
      <c r="DR81" s="177"/>
      <c r="DS81" s="177"/>
      <c r="DT81" s="177"/>
      <c r="DU81" s="177"/>
      <c r="DV81" s="177"/>
      <c r="DW81" s="177"/>
      <c r="DX81" s="177"/>
      <c r="DY81" s="177"/>
      <c r="DZ81" s="177"/>
      <c r="EA81" s="613"/>
    </row>
    <row r="82" spans="1:131" ht="14.25" thickBot="1">
      <c r="A82" s="652" t="str">
        <f t="shared" si="45"/>
        <v>모펀드 출자 지분율</v>
      </c>
      <c r="B82" s="660" t="s">
        <v>356</v>
      </c>
      <c r="C82" s="787"/>
      <c r="D82" s="787"/>
      <c r="E82" s="787"/>
      <c r="F82" s="230"/>
      <c r="G82" s="230"/>
      <c r="I82" s="657">
        <f t="shared" si="50"/>
        <v>0</v>
      </c>
      <c r="J82" s="606" t="str">
        <f>IFERROR(I82/(Q82/$C$78),"N/A")</f>
        <v>N/A</v>
      </c>
      <c r="K82" s="471"/>
      <c r="L82" s="607"/>
      <c r="M82" s="300"/>
      <c r="N82" s="608"/>
      <c r="O82" s="609">
        <f t="shared" si="46"/>
        <v>0</v>
      </c>
      <c r="P82" s="609">
        <f t="shared" si="47"/>
        <v>0</v>
      </c>
      <c r="Q82" s="609">
        <f t="shared" si="48"/>
        <v>0</v>
      </c>
      <c r="R82" s="610" t="str">
        <f>IFERROR(Q82/Q84,"")</f>
        <v/>
      </c>
      <c r="S82" s="658"/>
      <c r="T82" s="658"/>
      <c r="U82" s="658"/>
      <c r="V82" s="658"/>
      <c r="W82" s="658"/>
      <c r="X82" s="658"/>
      <c r="Y82" s="658"/>
      <c r="Z82" s="658"/>
      <c r="AA82" s="658"/>
      <c r="AB82" s="658"/>
      <c r="AC82" s="658"/>
      <c r="AD82" s="658"/>
      <c r="AE82" s="658"/>
      <c r="AF82" s="658"/>
      <c r="AG82" s="658"/>
      <c r="AH82" s="658"/>
      <c r="AI82" s="658"/>
      <c r="AJ82" s="658"/>
      <c r="AK82" s="658"/>
      <c r="AL82" s="658"/>
      <c r="AM82" s="658"/>
      <c r="AN82" s="658"/>
      <c r="AO82" s="658"/>
      <c r="AP82" s="658"/>
      <c r="AQ82" s="658"/>
      <c r="AR82" s="658"/>
      <c r="AS82" s="658"/>
      <c r="AT82" s="658"/>
      <c r="AU82" s="658"/>
      <c r="AV82" s="658"/>
      <c r="AW82" s="658"/>
      <c r="AX82" s="658"/>
      <c r="AY82" s="658"/>
      <c r="AZ82" s="658"/>
      <c r="BA82" s="658"/>
      <c r="BB82" s="658"/>
      <c r="BC82" s="658"/>
      <c r="BD82" s="658"/>
      <c r="BE82" s="658"/>
      <c r="BF82" s="658"/>
      <c r="BG82" s="658"/>
      <c r="BH82" s="658"/>
      <c r="BI82" s="658"/>
      <c r="BJ82" s="658"/>
      <c r="BK82" s="658"/>
      <c r="BL82" s="658"/>
      <c r="BM82" s="658"/>
      <c r="BN82" s="658"/>
      <c r="BO82" s="658"/>
      <c r="BP82" s="658"/>
      <c r="BQ82" s="658"/>
      <c r="BR82" s="658"/>
      <c r="BS82" s="658"/>
      <c r="BT82" s="658"/>
      <c r="BU82" s="658"/>
      <c r="BV82" s="658"/>
      <c r="BW82" s="658"/>
      <c r="BX82" s="658"/>
      <c r="BY82" s="658"/>
      <c r="BZ82" s="658"/>
      <c r="CA82" s="658"/>
      <c r="CB82" s="658"/>
      <c r="CC82" s="658"/>
      <c r="CD82" s="658"/>
      <c r="CE82" s="658"/>
      <c r="CF82" s="658"/>
      <c r="CG82" s="658"/>
      <c r="CH82" s="658"/>
      <c r="CI82" s="658"/>
      <c r="CJ82" s="658"/>
      <c r="CK82" s="658"/>
      <c r="CL82" s="658"/>
      <c r="CM82" s="658"/>
      <c r="CN82" s="658"/>
      <c r="CO82" s="658"/>
      <c r="CP82" s="658"/>
      <c r="CQ82" s="658"/>
      <c r="CR82" s="658"/>
      <c r="CS82" s="658"/>
      <c r="CT82" s="658"/>
      <c r="CU82" s="658"/>
      <c r="CV82" s="658"/>
      <c r="CW82" s="658"/>
      <c r="CX82" s="658"/>
      <c r="CY82" s="658"/>
      <c r="CZ82" s="658"/>
      <c r="DA82" s="658"/>
      <c r="DB82" s="658"/>
      <c r="DC82" s="658"/>
      <c r="DD82" s="658"/>
      <c r="DE82" s="658"/>
      <c r="DF82" s="658"/>
      <c r="DG82" s="658"/>
      <c r="DH82" s="658"/>
      <c r="DI82" s="658"/>
      <c r="DJ82" s="658"/>
      <c r="DK82" s="658"/>
      <c r="DL82" s="658"/>
      <c r="DM82" s="658"/>
      <c r="DN82" s="658"/>
      <c r="DO82" s="177">
        <f t="shared" si="52"/>
        <v>0</v>
      </c>
      <c r="DP82" s="612" t="e">
        <f t="shared" si="53"/>
        <v>#N/A</v>
      </c>
      <c r="DQ82" s="612" t="e">
        <f t="shared" si="49"/>
        <v>#NUM!</v>
      </c>
      <c r="DR82" s="177"/>
      <c r="DS82" s="177"/>
      <c r="DT82" s="177"/>
      <c r="DU82" s="177"/>
      <c r="DV82" s="177"/>
      <c r="DW82" s="177"/>
      <c r="DX82" s="177"/>
      <c r="DY82" s="177"/>
      <c r="DZ82" s="177"/>
      <c r="EA82" s="613"/>
    </row>
    <row r="83" spans="1:131" ht="14.25" thickBot="1">
      <c r="B83" s="778" t="s">
        <v>3404</v>
      </c>
      <c r="C83" s="616" t="s">
        <v>223</v>
      </c>
      <c r="D83" s="616" t="s">
        <v>224</v>
      </c>
      <c r="E83" s="616" t="s">
        <v>225</v>
      </c>
      <c r="F83" s="230"/>
      <c r="G83" s="230"/>
      <c r="I83" s="657">
        <f t="shared" si="50"/>
        <v>0</v>
      </c>
      <c r="J83" s="606" t="str">
        <f t="shared" si="51"/>
        <v>N/A</v>
      </c>
      <c r="K83" s="471"/>
      <c r="L83" s="607"/>
      <c r="M83" s="300"/>
      <c r="N83" s="608"/>
      <c r="O83" s="609">
        <f t="shared" si="46"/>
        <v>0</v>
      </c>
      <c r="P83" s="609">
        <f t="shared" si="47"/>
        <v>0</v>
      </c>
      <c r="Q83" s="609">
        <f t="shared" si="48"/>
        <v>0</v>
      </c>
      <c r="R83" s="610" t="str">
        <f>IFERROR(Q83/Q84,"")</f>
        <v/>
      </c>
      <c r="S83" s="658"/>
      <c r="T83" s="658"/>
      <c r="U83" s="658"/>
      <c r="V83" s="658"/>
      <c r="W83" s="658"/>
      <c r="X83" s="658"/>
      <c r="Y83" s="658"/>
      <c r="Z83" s="658"/>
      <c r="AA83" s="658"/>
      <c r="AB83" s="658"/>
      <c r="AC83" s="658"/>
      <c r="AD83" s="658"/>
      <c r="AE83" s="658"/>
      <c r="AF83" s="658"/>
      <c r="AG83" s="658"/>
      <c r="AH83" s="658"/>
      <c r="AI83" s="658"/>
      <c r="AJ83" s="658"/>
      <c r="AK83" s="658"/>
      <c r="AL83" s="658"/>
      <c r="AM83" s="658"/>
      <c r="AN83" s="658"/>
      <c r="AO83" s="658"/>
      <c r="AP83" s="658"/>
      <c r="AQ83" s="658"/>
      <c r="AR83" s="658"/>
      <c r="AS83" s="658"/>
      <c r="AT83" s="658"/>
      <c r="AU83" s="658"/>
      <c r="AV83" s="658"/>
      <c r="AW83" s="658"/>
      <c r="AX83" s="658"/>
      <c r="AY83" s="658"/>
      <c r="AZ83" s="658"/>
      <c r="BA83" s="658"/>
      <c r="BB83" s="658"/>
      <c r="BC83" s="658"/>
      <c r="BD83" s="658"/>
      <c r="BE83" s="658"/>
      <c r="BF83" s="658"/>
      <c r="BG83" s="658"/>
      <c r="BH83" s="658"/>
      <c r="BI83" s="658"/>
      <c r="BJ83" s="658"/>
      <c r="BK83" s="658"/>
      <c r="BL83" s="658"/>
      <c r="BM83" s="658"/>
      <c r="BN83" s="658"/>
      <c r="BO83" s="658"/>
      <c r="BP83" s="658"/>
      <c r="BQ83" s="658"/>
      <c r="BR83" s="658"/>
      <c r="BS83" s="658"/>
      <c r="BT83" s="658"/>
      <c r="BU83" s="658"/>
      <c r="BV83" s="658"/>
      <c r="BW83" s="658"/>
      <c r="BX83" s="658"/>
      <c r="BY83" s="658"/>
      <c r="BZ83" s="658"/>
      <c r="CA83" s="658"/>
      <c r="CB83" s="658"/>
      <c r="CC83" s="658"/>
      <c r="CD83" s="658"/>
      <c r="CE83" s="658"/>
      <c r="CF83" s="658"/>
      <c r="CG83" s="658"/>
      <c r="CH83" s="658"/>
      <c r="CI83" s="658"/>
      <c r="CJ83" s="658"/>
      <c r="CK83" s="658"/>
      <c r="CL83" s="658"/>
      <c r="CM83" s="658"/>
      <c r="CN83" s="658"/>
      <c r="CO83" s="658"/>
      <c r="CP83" s="658"/>
      <c r="CQ83" s="658"/>
      <c r="CR83" s="658"/>
      <c r="CS83" s="658"/>
      <c r="CT83" s="658"/>
      <c r="CU83" s="658"/>
      <c r="CV83" s="658"/>
      <c r="CW83" s="658"/>
      <c r="CX83" s="658"/>
      <c r="CY83" s="658"/>
      <c r="CZ83" s="658"/>
      <c r="DA83" s="658"/>
      <c r="DB83" s="658"/>
      <c r="DC83" s="658"/>
      <c r="DD83" s="658"/>
      <c r="DE83" s="658"/>
      <c r="DF83" s="658"/>
      <c r="DG83" s="658"/>
      <c r="DH83" s="658"/>
      <c r="DI83" s="658"/>
      <c r="DJ83" s="658"/>
      <c r="DK83" s="658"/>
      <c r="DL83" s="658"/>
      <c r="DM83" s="658"/>
      <c r="DN83" s="658"/>
      <c r="DO83" s="177">
        <f t="shared" si="52"/>
        <v>0</v>
      </c>
      <c r="DP83" s="612" t="e">
        <f t="shared" si="53"/>
        <v>#N/A</v>
      </c>
      <c r="DQ83" s="612" t="e">
        <f t="shared" si="49"/>
        <v>#NUM!</v>
      </c>
      <c r="DR83" s="177"/>
      <c r="DS83" s="177"/>
      <c r="DT83" s="177"/>
      <c r="DU83" s="177"/>
      <c r="DV83" s="177"/>
      <c r="DW83" s="177"/>
      <c r="DX83" s="177"/>
      <c r="DY83" s="177"/>
      <c r="DZ83" s="177"/>
      <c r="EA83" s="613"/>
    </row>
    <row r="84" spans="1:131" ht="14.25" thickBot="1">
      <c r="A84" s="317"/>
      <c r="B84" s="779"/>
      <c r="C84" s="661"/>
      <c r="D84" s="661"/>
      <c r="E84" s="661"/>
      <c r="F84" s="662"/>
      <c r="G84" s="662"/>
      <c r="H84" s="317"/>
      <c r="I84" s="634">
        <f>SUM(I76:I83)</f>
        <v>0</v>
      </c>
      <c r="J84" s="663"/>
      <c r="K84" s="664"/>
      <c r="L84" s="664"/>
      <c r="M84" s="664"/>
      <c r="N84" s="634">
        <f t="shared" ref="N84" si="54">SUM(N76:N83)</f>
        <v>0</v>
      </c>
      <c r="O84" s="634">
        <f>SUM(O76:O83)</f>
        <v>0</v>
      </c>
      <c r="P84" s="634">
        <f>SUM(P76:P83)</f>
        <v>0</v>
      </c>
      <c r="Q84" s="634">
        <f t="shared" ref="Q84" si="55">SUM(Q76:Q83)</f>
        <v>0</v>
      </c>
      <c r="R84" s="665">
        <f t="shared" ref="R84" si="56">SUM(R76:R83)</f>
        <v>0</v>
      </c>
      <c r="S84" s="634">
        <f>SUM(S76:S83)</f>
        <v>0</v>
      </c>
      <c r="T84" s="634">
        <f t="shared" ref="T84:CE84" si="57">SUM(T76:T83)</f>
        <v>0</v>
      </c>
      <c r="U84" s="634">
        <f t="shared" si="57"/>
        <v>0</v>
      </c>
      <c r="V84" s="634">
        <f t="shared" si="57"/>
        <v>0</v>
      </c>
      <c r="W84" s="634">
        <f t="shared" si="57"/>
        <v>0</v>
      </c>
      <c r="X84" s="634">
        <f t="shared" si="57"/>
        <v>0</v>
      </c>
      <c r="Y84" s="634">
        <f t="shared" si="57"/>
        <v>0</v>
      </c>
      <c r="Z84" s="634">
        <f t="shared" si="57"/>
        <v>0</v>
      </c>
      <c r="AA84" s="634">
        <f t="shared" si="57"/>
        <v>0</v>
      </c>
      <c r="AB84" s="634">
        <f t="shared" si="57"/>
        <v>0</v>
      </c>
      <c r="AC84" s="634">
        <f t="shared" si="57"/>
        <v>0</v>
      </c>
      <c r="AD84" s="634">
        <f t="shared" si="57"/>
        <v>0</v>
      </c>
      <c r="AE84" s="634">
        <f t="shared" si="57"/>
        <v>0</v>
      </c>
      <c r="AF84" s="634">
        <f t="shared" si="57"/>
        <v>0</v>
      </c>
      <c r="AG84" s="634">
        <f t="shared" si="57"/>
        <v>0</v>
      </c>
      <c r="AH84" s="634">
        <f t="shared" si="57"/>
        <v>0</v>
      </c>
      <c r="AI84" s="634">
        <f t="shared" si="57"/>
        <v>0</v>
      </c>
      <c r="AJ84" s="634">
        <f t="shared" si="57"/>
        <v>0</v>
      </c>
      <c r="AK84" s="634">
        <f t="shared" si="57"/>
        <v>0</v>
      </c>
      <c r="AL84" s="634">
        <f t="shared" si="57"/>
        <v>0</v>
      </c>
      <c r="AM84" s="634">
        <f t="shared" si="57"/>
        <v>0</v>
      </c>
      <c r="AN84" s="634">
        <f t="shared" si="57"/>
        <v>0</v>
      </c>
      <c r="AO84" s="634">
        <f t="shared" si="57"/>
        <v>0</v>
      </c>
      <c r="AP84" s="634">
        <f t="shared" si="57"/>
        <v>0</v>
      </c>
      <c r="AQ84" s="634">
        <f t="shared" si="57"/>
        <v>0</v>
      </c>
      <c r="AR84" s="634">
        <f t="shared" si="57"/>
        <v>0</v>
      </c>
      <c r="AS84" s="634">
        <f t="shared" si="57"/>
        <v>0</v>
      </c>
      <c r="AT84" s="634">
        <f t="shared" si="57"/>
        <v>0</v>
      </c>
      <c r="AU84" s="634">
        <f t="shared" si="57"/>
        <v>0</v>
      </c>
      <c r="AV84" s="634">
        <f t="shared" si="57"/>
        <v>0</v>
      </c>
      <c r="AW84" s="634">
        <f t="shared" si="57"/>
        <v>0</v>
      </c>
      <c r="AX84" s="634">
        <f t="shared" si="57"/>
        <v>0</v>
      </c>
      <c r="AY84" s="634">
        <f t="shared" si="57"/>
        <v>0</v>
      </c>
      <c r="AZ84" s="634">
        <f t="shared" si="57"/>
        <v>0</v>
      </c>
      <c r="BA84" s="634">
        <f t="shared" si="57"/>
        <v>0</v>
      </c>
      <c r="BB84" s="634">
        <f t="shared" si="57"/>
        <v>0</v>
      </c>
      <c r="BC84" s="634">
        <f t="shared" si="57"/>
        <v>0</v>
      </c>
      <c r="BD84" s="634">
        <f t="shared" si="57"/>
        <v>0</v>
      </c>
      <c r="BE84" s="634">
        <f t="shared" si="57"/>
        <v>0</v>
      </c>
      <c r="BF84" s="634">
        <f t="shared" si="57"/>
        <v>0</v>
      </c>
      <c r="BG84" s="634">
        <f t="shared" si="57"/>
        <v>0</v>
      </c>
      <c r="BH84" s="634">
        <f t="shared" si="57"/>
        <v>0</v>
      </c>
      <c r="BI84" s="634">
        <f t="shared" si="57"/>
        <v>0</v>
      </c>
      <c r="BJ84" s="634">
        <f t="shared" si="57"/>
        <v>0</v>
      </c>
      <c r="BK84" s="634">
        <f t="shared" si="57"/>
        <v>0</v>
      </c>
      <c r="BL84" s="634">
        <f t="shared" si="57"/>
        <v>0</v>
      </c>
      <c r="BM84" s="634">
        <f t="shared" si="57"/>
        <v>0</v>
      </c>
      <c r="BN84" s="634">
        <f t="shared" si="57"/>
        <v>0</v>
      </c>
      <c r="BO84" s="634">
        <f t="shared" si="57"/>
        <v>0</v>
      </c>
      <c r="BP84" s="634">
        <f t="shared" si="57"/>
        <v>0</v>
      </c>
      <c r="BQ84" s="634">
        <f t="shared" si="57"/>
        <v>0</v>
      </c>
      <c r="BR84" s="634">
        <f t="shared" si="57"/>
        <v>0</v>
      </c>
      <c r="BS84" s="634">
        <f t="shared" si="57"/>
        <v>0</v>
      </c>
      <c r="BT84" s="634">
        <f t="shared" si="57"/>
        <v>0</v>
      </c>
      <c r="BU84" s="634">
        <f t="shared" si="57"/>
        <v>0</v>
      </c>
      <c r="BV84" s="634">
        <f t="shared" si="57"/>
        <v>0</v>
      </c>
      <c r="BW84" s="634">
        <f t="shared" si="57"/>
        <v>0</v>
      </c>
      <c r="BX84" s="634">
        <f t="shared" si="57"/>
        <v>0</v>
      </c>
      <c r="BY84" s="634">
        <f t="shared" si="57"/>
        <v>0</v>
      </c>
      <c r="BZ84" s="634">
        <f t="shared" si="57"/>
        <v>0</v>
      </c>
      <c r="CA84" s="634">
        <f t="shared" si="57"/>
        <v>0</v>
      </c>
      <c r="CB84" s="634">
        <f t="shared" si="57"/>
        <v>0</v>
      </c>
      <c r="CC84" s="634">
        <f t="shared" si="57"/>
        <v>0</v>
      </c>
      <c r="CD84" s="634">
        <f t="shared" si="57"/>
        <v>0</v>
      </c>
      <c r="CE84" s="634">
        <f t="shared" si="57"/>
        <v>0</v>
      </c>
      <c r="CF84" s="634">
        <f t="shared" ref="CF84:DO84" si="58">SUM(CF76:CF83)</f>
        <v>0</v>
      </c>
      <c r="CG84" s="634">
        <f t="shared" si="58"/>
        <v>0</v>
      </c>
      <c r="CH84" s="634">
        <f t="shared" si="58"/>
        <v>0</v>
      </c>
      <c r="CI84" s="634">
        <f t="shared" si="58"/>
        <v>0</v>
      </c>
      <c r="CJ84" s="634">
        <f t="shared" si="58"/>
        <v>0</v>
      </c>
      <c r="CK84" s="634">
        <f t="shared" si="58"/>
        <v>0</v>
      </c>
      <c r="CL84" s="634">
        <f t="shared" si="58"/>
        <v>0</v>
      </c>
      <c r="CM84" s="634">
        <f t="shared" si="58"/>
        <v>0</v>
      </c>
      <c r="CN84" s="634">
        <f t="shared" si="58"/>
        <v>0</v>
      </c>
      <c r="CO84" s="634">
        <f t="shared" si="58"/>
        <v>0</v>
      </c>
      <c r="CP84" s="634">
        <f t="shared" si="58"/>
        <v>0</v>
      </c>
      <c r="CQ84" s="634">
        <f t="shared" si="58"/>
        <v>0</v>
      </c>
      <c r="CR84" s="634">
        <f t="shared" si="58"/>
        <v>0</v>
      </c>
      <c r="CS84" s="634">
        <f t="shared" si="58"/>
        <v>0</v>
      </c>
      <c r="CT84" s="634">
        <f t="shared" si="58"/>
        <v>0</v>
      </c>
      <c r="CU84" s="634">
        <f t="shared" si="58"/>
        <v>0</v>
      </c>
      <c r="CV84" s="634">
        <f t="shared" si="58"/>
        <v>0</v>
      </c>
      <c r="CW84" s="634">
        <f t="shared" si="58"/>
        <v>0</v>
      </c>
      <c r="CX84" s="634">
        <f t="shared" si="58"/>
        <v>0</v>
      </c>
      <c r="CY84" s="634">
        <f t="shared" si="58"/>
        <v>0</v>
      </c>
      <c r="CZ84" s="634">
        <f t="shared" si="58"/>
        <v>0</v>
      </c>
      <c r="DA84" s="634">
        <f t="shared" si="58"/>
        <v>0</v>
      </c>
      <c r="DB84" s="634">
        <f t="shared" si="58"/>
        <v>0</v>
      </c>
      <c r="DC84" s="634">
        <f t="shared" si="58"/>
        <v>0</v>
      </c>
      <c r="DD84" s="634">
        <f t="shared" si="58"/>
        <v>0</v>
      </c>
      <c r="DE84" s="634">
        <f t="shared" si="58"/>
        <v>0</v>
      </c>
      <c r="DF84" s="634">
        <f t="shared" si="58"/>
        <v>0</v>
      </c>
      <c r="DG84" s="634">
        <f t="shared" si="58"/>
        <v>0</v>
      </c>
      <c r="DH84" s="634">
        <f t="shared" si="58"/>
        <v>0</v>
      </c>
      <c r="DI84" s="634">
        <f t="shared" si="58"/>
        <v>0</v>
      </c>
      <c r="DJ84" s="634">
        <f t="shared" si="58"/>
        <v>0</v>
      </c>
      <c r="DK84" s="634">
        <f t="shared" si="58"/>
        <v>0</v>
      </c>
      <c r="DL84" s="634">
        <f t="shared" si="58"/>
        <v>0</v>
      </c>
      <c r="DM84" s="634">
        <f t="shared" si="58"/>
        <v>0</v>
      </c>
      <c r="DN84" s="634">
        <f t="shared" si="58"/>
        <v>0</v>
      </c>
      <c r="DO84" s="634">
        <f t="shared" si="58"/>
        <v>0</v>
      </c>
      <c r="DP84" s="666"/>
      <c r="DQ84" s="638" t="e">
        <f>XIRR(S84:DO84,$S$75:$DO$75)</f>
        <v>#NUM!</v>
      </c>
      <c r="DR84" s="636">
        <f t="shared" ref="DR84:DX84" si="59">SUM(DR76:DR83)</f>
        <v>0</v>
      </c>
      <c r="DS84" s="636">
        <f t="shared" si="59"/>
        <v>0</v>
      </c>
      <c r="DT84" s="636">
        <f>SUM(DT76:DT83)</f>
        <v>0</v>
      </c>
      <c r="DU84" s="636">
        <f t="shared" si="59"/>
        <v>0</v>
      </c>
      <c r="DV84" s="636">
        <f t="shared" si="59"/>
        <v>0</v>
      </c>
      <c r="DW84" s="636">
        <f t="shared" si="59"/>
        <v>0</v>
      </c>
      <c r="DX84" s="636">
        <f t="shared" si="59"/>
        <v>0</v>
      </c>
      <c r="DY84" s="636">
        <f>SUM(DY76:DY83)</f>
        <v>0</v>
      </c>
      <c r="DZ84" s="636">
        <f>SUM(DZ76:DZ83)</f>
        <v>0</v>
      </c>
      <c r="EA84" s="636">
        <f>SUM(EA76:EA83)</f>
        <v>0</v>
      </c>
    </row>
    <row r="85" spans="1:131" ht="14.25" thickBot="1">
      <c r="A85" s="172"/>
      <c r="B85" s="667"/>
      <c r="C85" s="592" t="s">
        <v>3608</v>
      </c>
      <c r="D85" s="648">
        <f>D73+1</f>
        <v>3</v>
      </c>
      <c r="E85" s="649"/>
      <c r="F85" s="603"/>
      <c r="G85" s="603"/>
      <c r="I85" s="650" t="b">
        <f>I96=DR87</f>
        <v>1</v>
      </c>
      <c r="J85" s="172"/>
      <c r="K85" s="172"/>
      <c r="L85" s="172"/>
      <c r="M85" s="172"/>
      <c r="N85" s="172"/>
      <c r="O85" s="172"/>
      <c r="P85" s="172"/>
      <c r="Q85" s="639" t="str">
        <f>IF(Q96=NAV!E295,"자본금과 일치","자본금과 불일치")</f>
        <v>자본금과 일치</v>
      </c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72"/>
      <c r="BI85" s="172"/>
      <c r="BJ85" s="172"/>
      <c r="BK85" s="172"/>
      <c r="BL85" s="172"/>
      <c r="BM85" s="172"/>
      <c r="BN85" s="172"/>
      <c r="BO85" s="172"/>
      <c r="BP85" s="172"/>
      <c r="BQ85" s="172"/>
      <c r="BR85" s="172"/>
      <c r="BS85" s="172"/>
      <c r="BT85" s="172"/>
      <c r="BU85" s="172"/>
      <c r="BV85" s="172"/>
      <c r="BW85" s="172"/>
      <c r="BX85" s="172"/>
      <c r="BY85" s="172"/>
      <c r="BZ85" s="172"/>
      <c r="CA85" s="172"/>
      <c r="CB85" s="172"/>
      <c r="CC85" s="172"/>
      <c r="CD85" s="172"/>
      <c r="CE85" s="172"/>
      <c r="CF85" s="172"/>
      <c r="CG85" s="172"/>
      <c r="CH85" s="172"/>
      <c r="CI85" s="172"/>
      <c r="CJ85" s="172"/>
      <c r="CK85" s="172"/>
      <c r="CL85" s="172"/>
      <c r="CM85" s="172"/>
      <c r="CN85" s="172"/>
      <c r="CO85" s="172"/>
      <c r="CP85" s="172"/>
      <c r="CQ85" s="172"/>
      <c r="CR85" s="172"/>
      <c r="CS85" s="172"/>
      <c r="CT85" s="172"/>
      <c r="CU85" s="172"/>
      <c r="CV85" s="172"/>
      <c r="CW85" s="172"/>
      <c r="CX85" s="172"/>
      <c r="CY85" s="172"/>
      <c r="CZ85" s="172"/>
      <c r="DA85" s="172"/>
      <c r="DB85" s="172"/>
      <c r="DC85" s="172"/>
      <c r="DD85" s="172"/>
      <c r="DE85" s="172"/>
      <c r="DF85" s="172"/>
      <c r="DG85" s="172"/>
      <c r="DH85" s="172"/>
      <c r="DI85" s="172"/>
      <c r="DJ85" s="172"/>
      <c r="DK85" s="172"/>
      <c r="DL85" s="172"/>
      <c r="DM85" s="172"/>
      <c r="DN85" s="172"/>
      <c r="DO85" s="588" t="s">
        <v>219</v>
      </c>
      <c r="DP85" s="588" t="str">
        <f>IF(ROUND(_xlfn.AGGREGATE(9,6,DP88:DP95),5)=ROUND(_xlfn.AGGREGATE(9,6,DQ88:DQ95),5),"이상없음","기준수익률확인")</f>
        <v>이상없음</v>
      </c>
      <c r="DQ85" s="172"/>
      <c r="DR85" s="651" t="s">
        <v>3406</v>
      </c>
      <c r="DS85" s="172"/>
      <c r="DT85" s="615"/>
      <c r="DU85" s="615"/>
      <c r="DV85" s="172"/>
      <c r="DW85" s="172"/>
      <c r="DX85" s="615"/>
      <c r="DY85" s="172"/>
      <c r="DZ85" s="172"/>
      <c r="EA85" s="172"/>
    </row>
    <row r="86" spans="1:131" ht="13.5" customHeight="1">
      <c r="A86" s="652" t="str">
        <f t="shared" ref="A86:A94" si="60">$B$85&amp;B86</f>
        <v>SPC명</v>
      </c>
      <c r="B86" s="653" t="s">
        <v>349</v>
      </c>
      <c r="C86" s="780"/>
      <c r="D86" s="780"/>
      <c r="E86" s="780"/>
      <c r="F86" s="230"/>
      <c r="G86" s="230"/>
      <c r="I86" s="776" t="s">
        <v>204</v>
      </c>
      <c r="J86" s="776" t="s">
        <v>238</v>
      </c>
      <c r="K86" s="774" t="s">
        <v>3395</v>
      </c>
      <c r="L86" s="774" t="s">
        <v>206</v>
      </c>
      <c r="M86" s="774" t="s">
        <v>203</v>
      </c>
      <c r="N86" s="774" t="s">
        <v>211</v>
      </c>
      <c r="O86" s="774" t="s">
        <v>240</v>
      </c>
      <c r="P86" s="776" t="s">
        <v>239</v>
      </c>
      <c r="Q86" s="774" t="s">
        <v>217</v>
      </c>
      <c r="R86" s="774" t="s">
        <v>212</v>
      </c>
      <c r="S86" s="593"/>
      <c r="T86" s="593"/>
      <c r="U86" s="593"/>
      <c r="V86" s="593"/>
      <c r="W86" s="593"/>
      <c r="X86" s="593"/>
      <c r="Y86" s="593"/>
      <c r="Z86" s="593"/>
      <c r="AA86" s="593"/>
      <c r="AB86" s="593"/>
      <c r="AC86" s="593"/>
      <c r="AD86" s="593"/>
      <c r="AE86" s="593"/>
      <c r="AF86" s="593"/>
      <c r="AG86" s="593"/>
      <c r="AH86" s="593"/>
      <c r="AI86" s="593"/>
      <c r="AJ86" s="593"/>
      <c r="AK86" s="593"/>
      <c r="AL86" s="593"/>
      <c r="AM86" s="593"/>
      <c r="AN86" s="593"/>
      <c r="AO86" s="593"/>
      <c r="AP86" s="593"/>
      <c r="AQ86" s="593"/>
      <c r="AR86" s="593"/>
      <c r="AS86" s="593"/>
      <c r="AT86" s="593"/>
      <c r="AU86" s="593"/>
      <c r="AV86" s="593"/>
      <c r="AW86" s="593"/>
      <c r="AX86" s="593"/>
      <c r="AY86" s="593"/>
      <c r="AZ86" s="593"/>
      <c r="BA86" s="593"/>
      <c r="BB86" s="593"/>
      <c r="BC86" s="593"/>
      <c r="BD86" s="593"/>
      <c r="BE86" s="593"/>
      <c r="BF86" s="593"/>
      <c r="BG86" s="593"/>
      <c r="BH86" s="593"/>
      <c r="BI86" s="593"/>
      <c r="BJ86" s="593"/>
      <c r="BK86" s="593"/>
      <c r="BL86" s="593"/>
      <c r="BM86" s="593"/>
      <c r="BN86" s="593"/>
      <c r="BO86" s="593"/>
      <c r="BP86" s="593"/>
      <c r="BQ86" s="593"/>
      <c r="BR86" s="593"/>
      <c r="BS86" s="593"/>
      <c r="BT86" s="593"/>
      <c r="BU86" s="593"/>
      <c r="BV86" s="593"/>
      <c r="BW86" s="593"/>
      <c r="BX86" s="593"/>
      <c r="BY86" s="593"/>
      <c r="BZ86" s="593"/>
      <c r="CA86" s="593"/>
      <c r="CB86" s="593"/>
      <c r="CC86" s="593"/>
      <c r="CD86" s="593"/>
      <c r="CE86" s="593"/>
      <c r="CF86" s="593"/>
      <c r="CG86" s="593"/>
      <c r="CH86" s="593"/>
      <c r="CI86" s="593"/>
      <c r="CJ86" s="593"/>
      <c r="CK86" s="593"/>
      <c r="CL86" s="593"/>
      <c r="CM86" s="593"/>
      <c r="CN86" s="593"/>
      <c r="CO86" s="593"/>
      <c r="CP86" s="593"/>
      <c r="CQ86" s="593"/>
      <c r="CR86" s="593"/>
      <c r="CS86" s="593"/>
      <c r="CT86" s="593"/>
      <c r="CU86" s="593"/>
      <c r="CV86" s="593"/>
      <c r="CW86" s="593"/>
      <c r="CX86" s="593"/>
      <c r="CY86" s="593"/>
      <c r="CZ86" s="593"/>
      <c r="DA86" s="593"/>
      <c r="DB86" s="593"/>
      <c r="DC86" s="593"/>
      <c r="DD86" s="593"/>
      <c r="DE86" s="593"/>
      <c r="DF86" s="593"/>
      <c r="DG86" s="593"/>
      <c r="DH86" s="593"/>
      <c r="DI86" s="593"/>
      <c r="DJ86" s="593"/>
      <c r="DK86" s="593"/>
      <c r="DL86" s="593"/>
      <c r="DM86" s="593"/>
      <c r="DN86" s="593"/>
      <c r="DO86" s="594" t="s">
        <v>220</v>
      </c>
      <c r="DP86" s="774" t="s">
        <v>218</v>
      </c>
      <c r="DQ86" s="774" t="s">
        <v>222</v>
      </c>
      <c r="DR86" s="594"/>
      <c r="DS86" s="594"/>
      <c r="DT86" s="594"/>
      <c r="DU86" s="594"/>
      <c r="DV86" s="594"/>
      <c r="DW86" s="594"/>
      <c r="DX86" s="594"/>
      <c r="DY86" s="594"/>
      <c r="DZ86" s="594"/>
      <c r="EA86" s="602"/>
    </row>
    <row r="87" spans="1:131" ht="13.5" customHeight="1" thickBot="1">
      <c r="A87" s="652" t="str">
        <f t="shared" si="60"/>
        <v>유형</v>
      </c>
      <c r="B87" s="653" t="s">
        <v>350</v>
      </c>
      <c r="C87" s="780"/>
      <c r="D87" s="780"/>
      <c r="E87" s="780"/>
      <c r="F87" s="230"/>
      <c r="G87" s="230"/>
      <c r="I87" s="777"/>
      <c r="J87" s="777"/>
      <c r="K87" s="775"/>
      <c r="L87" s="775"/>
      <c r="M87" s="775"/>
      <c r="N87" s="775"/>
      <c r="O87" s="775"/>
      <c r="P87" s="777"/>
      <c r="Q87" s="775"/>
      <c r="R87" s="775"/>
      <c r="S87" s="601"/>
      <c r="T87" s="601"/>
      <c r="U87" s="601"/>
      <c r="V87" s="601"/>
      <c r="W87" s="601"/>
      <c r="X87" s="601"/>
      <c r="Y87" s="601"/>
      <c r="Z87" s="601"/>
      <c r="AA87" s="601"/>
      <c r="AB87" s="601"/>
      <c r="AC87" s="601"/>
      <c r="AD87" s="601"/>
      <c r="AE87" s="601"/>
      <c r="AF87" s="601"/>
      <c r="AG87" s="601"/>
      <c r="AH87" s="601"/>
      <c r="AI87" s="601"/>
      <c r="AJ87" s="601"/>
      <c r="AK87" s="601"/>
      <c r="AL87" s="601"/>
      <c r="AM87" s="601"/>
      <c r="AN87" s="601"/>
      <c r="AO87" s="601"/>
      <c r="AP87" s="601"/>
      <c r="AQ87" s="601"/>
      <c r="AR87" s="601"/>
      <c r="AS87" s="601"/>
      <c r="AT87" s="601"/>
      <c r="AU87" s="601"/>
      <c r="AV87" s="601"/>
      <c r="AW87" s="601"/>
      <c r="AX87" s="601"/>
      <c r="AY87" s="601"/>
      <c r="AZ87" s="601"/>
      <c r="BA87" s="601"/>
      <c r="BB87" s="601"/>
      <c r="BC87" s="601"/>
      <c r="BD87" s="601"/>
      <c r="BE87" s="601"/>
      <c r="BF87" s="601"/>
      <c r="BG87" s="601"/>
      <c r="BH87" s="601"/>
      <c r="BI87" s="601"/>
      <c r="BJ87" s="601"/>
      <c r="BK87" s="601"/>
      <c r="BL87" s="601"/>
      <c r="BM87" s="601"/>
      <c r="BN87" s="601"/>
      <c r="BO87" s="601"/>
      <c r="BP87" s="601"/>
      <c r="BQ87" s="601"/>
      <c r="BR87" s="601"/>
      <c r="BS87" s="601"/>
      <c r="BT87" s="601"/>
      <c r="BU87" s="601"/>
      <c r="BV87" s="601"/>
      <c r="BW87" s="601"/>
      <c r="BX87" s="601"/>
      <c r="BY87" s="601"/>
      <c r="BZ87" s="601"/>
      <c r="CA87" s="601"/>
      <c r="CB87" s="601"/>
      <c r="CC87" s="601"/>
      <c r="CD87" s="601"/>
      <c r="CE87" s="601"/>
      <c r="CF87" s="601"/>
      <c r="CG87" s="601"/>
      <c r="CH87" s="601"/>
      <c r="CI87" s="601"/>
      <c r="CJ87" s="601"/>
      <c r="CK87" s="601"/>
      <c r="CL87" s="601"/>
      <c r="CM87" s="601"/>
      <c r="CN87" s="601"/>
      <c r="CO87" s="601"/>
      <c r="CP87" s="601"/>
      <c r="CQ87" s="601"/>
      <c r="CR87" s="601"/>
      <c r="CS87" s="601"/>
      <c r="CT87" s="601"/>
      <c r="CU87" s="601"/>
      <c r="CV87" s="601"/>
      <c r="CW87" s="601"/>
      <c r="CX87" s="601"/>
      <c r="CY87" s="601"/>
      <c r="CZ87" s="601"/>
      <c r="DA87" s="601"/>
      <c r="DB87" s="601"/>
      <c r="DC87" s="601"/>
      <c r="DD87" s="601"/>
      <c r="DE87" s="601"/>
      <c r="DF87" s="601"/>
      <c r="DG87" s="601"/>
      <c r="DH87" s="601"/>
      <c r="DI87" s="601"/>
      <c r="DJ87" s="601"/>
      <c r="DK87" s="601"/>
      <c r="DL87" s="601"/>
      <c r="DM87" s="601"/>
      <c r="DN87" s="601"/>
      <c r="DO87" s="654">
        <f>$DO$7</f>
        <v>45473</v>
      </c>
      <c r="DP87" s="775"/>
      <c r="DQ87" s="775"/>
      <c r="DR87" s="595">
        <f>NAV!E301</f>
        <v>0</v>
      </c>
      <c r="DS87" s="596">
        <f>DR87-DR96</f>
        <v>0</v>
      </c>
      <c r="DT87" s="596"/>
      <c r="DU87" s="596"/>
      <c r="DV87" s="597"/>
      <c r="DW87" s="596"/>
      <c r="DX87" s="596"/>
      <c r="DY87" s="596"/>
      <c r="DZ87" s="655"/>
      <c r="EA87" s="656"/>
    </row>
    <row r="88" spans="1:131" ht="13.5">
      <c r="A88" s="652" t="str">
        <f t="shared" si="60"/>
        <v>설정일</v>
      </c>
      <c r="B88" s="653" t="s">
        <v>351</v>
      </c>
      <c r="C88" s="781"/>
      <c r="D88" s="780"/>
      <c r="E88" s="780"/>
      <c r="F88" s="230"/>
      <c r="G88" s="230"/>
      <c r="I88" s="657">
        <f>SUM(DR88:EA88)</f>
        <v>0</v>
      </c>
      <c r="J88" s="606" t="str">
        <f>IFERROR(I88/(Q88/$C$90),"N/A")</f>
        <v>N/A</v>
      </c>
      <c r="K88" s="471"/>
      <c r="L88" s="607"/>
      <c r="M88" s="300"/>
      <c r="N88" s="608"/>
      <c r="O88" s="609">
        <f t="shared" ref="O88:O95" si="61">-(SUMIF($S$86:$DN$86,"최초출자",S88:DN88)+SUMIF($S$86:$DN$86,"추가출자",S88:DN88))</f>
        <v>0</v>
      </c>
      <c r="P88" s="609">
        <f t="shared" ref="P88:P95" si="62">SUMIF($S$86:$DN$86,"이익분배",S88:DN88)+SUMIF($S$86:$DN$86,"원본분배",S88:DN88)</f>
        <v>0</v>
      </c>
      <c r="Q88" s="609">
        <f t="shared" ref="Q88:Q95" si="63">-(SUMIF($S$86:$DN$86,"최초출자",S88:DN88)+SUMIF($S$86:$DN$86,"추가출자",S88:DN88)+SUMIF($S$86:$DN$86,"원본분배",S88:DN88))</f>
        <v>0</v>
      </c>
      <c r="R88" s="610" t="str">
        <f>IFERROR(Q88/Q96,"")</f>
        <v/>
      </c>
      <c r="S88" s="658"/>
      <c r="T88" s="658"/>
      <c r="U88" s="658"/>
      <c r="V88" s="658"/>
      <c r="W88" s="658"/>
      <c r="X88" s="658"/>
      <c r="Y88" s="658"/>
      <c r="Z88" s="658"/>
      <c r="AA88" s="658"/>
      <c r="AB88" s="658"/>
      <c r="AC88" s="658"/>
      <c r="AD88" s="658"/>
      <c r="AE88" s="658"/>
      <c r="AF88" s="658"/>
      <c r="AG88" s="658"/>
      <c r="AH88" s="658"/>
      <c r="AI88" s="658"/>
      <c r="AJ88" s="658"/>
      <c r="AK88" s="658"/>
      <c r="AL88" s="658"/>
      <c r="AM88" s="658"/>
      <c r="AN88" s="658"/>
      <c r="AO88" s="658"/>
      <c r="AP88" s="658"/>
      <c r="AQ88" s="658"/>
      <c r="AR88" s="658"/>
      <c r="AS88" s="658"/>
      <c r="AT88" s="658"/>
      <c r="AU88" s="658"/>
      <c r="AV88" s="658"/>
      <c r="AW88" s="658"/>
      <c r="AX88" s="658"/>
      <c r="AY88" s="658"/>
      <c r="AZ88" s="658"/>
      <c r="BA88" s="658"/>
      <c r="BB88" s="658"/>
      <c r="BC88" s="658"/>
      <c r="BD88" s="658"/>
      <c r="BE88" s="658"/>
      <c r="BF88" s="658"/>
      <c r="BG88" s="658"/>
      <c r="BH88" s="658"/>
      <c r="BI88" s="658"/>
      <c r="BJ88" s="658"/>
      <c r="BK88" s="658"/>
      <c r="BL88" s="658"/>
      <c r="BM88" s="658"/>
      <c r="BN88" s="658"/>
      <c r="BO88" s="658"/>
      <c r="BP88" s="658"/>
      <c r="BQ88" s="658"/>
      <c r="BR88" s="658"/>
      <c r="BS88" s="658"/>
      <c r="BT88" s="658"/>
      <c r="BU88" s="658"/>
      <c r="BV88" s="658"/>
      <c r="BW88" s="658"/>
      <c r="BX88" s="658"/>
      <c r="BY88" s="658"/>
      <c r="BZ88" s="658"/>
      <c r="CA88" s="658"/>
      <c r="CB88" s="658"/>
      <c r="CC88" s="658"/>
      <c r="CD88" s="658"/>
      <c r="CE88" s="658"/>
      <c r="CF88" s="658"/>
      <c r="CG88" s="658"/>
      <c r="CH88" s="658"/>
      <c r="CI88" s="658"/>
      <c r="CJ88" s="658"/>
      <c r="CK88" s="658"/>
      <c r="CL88" s="658"/>
      <c r="CM88" s="658"/>
      <c r="CN88" s="658"/>
      <c r="CO88" s="658"/>
      <c r="CP88" s="658"/>
      <c r="CQ88" s="658"/>
      <c r="CR88" s="658"/>
      <c r="CS88" s="658"/>
      <c r="CT88" s="658"/>
      <c r="CU88" s="658"/>
      <c r="CV88" s="658"/>
      <c r="CW88" s="658"/>
      <c r="CX88" s="658"/>
      <c r="CY88" s="658"/>
      <c r="CZ88" s="658"/>
      <c r="DA88" s="658"/>
      <c r="DB88" s="658"/>
      <c r="DC88" s="658"/>
      <c r="DD88" s="658"/>
      <c r="DE88" s="658"/>
      <c r="DF88" s="658"/>
      <c r="DG88" s="658"/>
      <c r="DH88" s="658"/>
      <c r="DI88" s="658"/>
      <c r="DJ88" s="658"/>
      <c r="DK88" s="658"/>
      <c r="DL88" s="658"/>
      <c r="DM88" s="658"/>
      <c r="DN88" s="658"/>
      <c r="DO88" s="177">
        <f>IF(M88="",0,-XNPV(DP88,S88,S$87)*(1+DP88)^YEARFRAC($S$87,$DO$87,3))</f>
        <v>0</v>
      </c>
      <c r="DP88" s="612" t="e">
        <f>IF(HLOOKUP(L88,$C$95:$E$96,2,0)=0,1E-24%,HLOOKUP(L88,$C$95:$E$96,2,FALSE))</f>
        <v>#N/A</v>
      </c>
      <c r="DQ88" s="612" t="e">
        <f t="shared" ref="DQ88:DQ95" si="64">XIRR(S88:DO88,$S$87:$DO$87)</f>
        <v>#NUM!</v>
      </c>
      <c r="DR88" s="177"/>
      <c r="DS88" s="177"/>
      <c r="DT88" s="177"/>
      <c r="DU88" s="177"/>
      <c r="DV88" s="177"/>
      <c r="DW88" s="177"/>
      <c r="DX88" s="177"/>
      <c r="DY88" s="177"/>
      <c r="DZ88" s="177"/>
      <c r="EA88" s="613"/>
    </row>
    <row r="89" spans="1:131" ht="13.5">
      <c r="A89" s="652" t="str">
        <f t="shared" si="60"/>
        <v>출자잔액</v>
      </c>
      <c r="B89" s="653" t="s">
        <v>362</v>
      </c>
      <c r="C89" s="782"/>
      <c r="D89" s="782"/>
      <c r="E89" s="782"/>
      <c r="F89" s="230"/>
      <c r="G89" s="230"/>
      <c r="I89" s="657">
        <f t="shared" ref="I89:I95" si="65">SUM(DR89:EA89)</f>
        <v>0</v>
      </c>
      <c r="J89" s="606" t="str">
        <f t="shared" ref="J89:J95" si="66">IFERROR(I89/(Q89/$C$90),"N/A")</f>
        <v>N/A</v>
      </c>
      <c r="K89" s="471"/>
      <c r="L89" s="607"/>
      <c r="M89" s="300"/>
      <c r="N89" s="608"/>
      <c r="O89" s="609">
        <f t="shared" si="61"/>
        <v>0</v>
      </c>
      <c r="P89" s="609">
        <f t="shared" si="62"/>
        <v>0</v>
      </c>
      <c r="Q89" s="609">
        <f t="shared" si="63"/>
        <v>0</v>
      </c>
      <c r="R89" s="610" t="str">
        <f>IFERROR(Q89/Q96,"")</f>
        <v/>
      </c>
      <c r="S89" s="658"/>
      <c r="T89" s="658"/>
      <c r="U89" s="658"/>
      <c r="V89" s="658"/>
      <c r="W89" s="658"/>
      <c r="X89" s="658"/>
      <c r="Y89" s="658"/>
      <c r="Z89" s="658"/>
      <c r="AA89" s="658"/>
      <c r="AB89" s="658"/>
      <c r="AC89" s="658"/>
      <c r="AD89" s="658"/>
      <c r="AE89" s="658"/>
      <c r="AF89" s="658"/>
      <c r="AG89" s="658"/>
      <c r="AH89" s="658"/>
      <c r="AI89" s="658"/>
      <c r="AJ89" s="658"/>
      <c r="AK89" s="658"/>
      <c r="AL89" s="658"/>
      <c r="AM89" s="658"/>
      <c r="AN89" s="658"/>
      <c r="AO89" s="658"/>
      <c r="AP89" s="658"/>
      <c r="AQ89" s="658"/>
      <c r="AR89" s="658"/>
      <c r="AS89" s="658"/>
      <c r="AT89" s="658"/>
      <c r="AU89" s="658"/>
      <c r="AV89" s="658"/>
      <c r="AW89" s="658"/>
      <c r="AX89" s="658"/>
      <c r="AY89" s="658"/>
      <c r="AZ89" s="658"/>
      <c r="BA89" s="658"/>
      <c r="BB89" s="658"/>
      <c r="BC89" s="658"/>
      <c r="BD89" s="658"/>
      <c r="BE89" s="658"/>
      <c r="BF89" s="658"/>
      <c r="BG89" s="658"/>
      <c r="BH89" s="658"/>
      <c r="BI89" s="658"/>
      <c r="BJ89" s="658"/>
      <c r="BK89" s="658"/>
      <c r="BL89" s="658"/>
      <c r="BM89" s="658"/>
      <c r="BN89" s="658"/>
      <c r="BO89" s="658"/>
      <c r="BP89" s="658"/>
      <c r="BQ89" s="658"/>
      <c r="BR89" s="658"/>
      <c r="BS89" s="658"/>
      <c r="BT89" s="658"/>
      <c r="BU89" s="658"/>
      <c r="BV89" s="658"/>
      <c r="BW89" s="658"/>
      <c r="BX89" s="658"/>
      <c r="BY89" s="658"/>
      <c r="BZ89" s="658"/>
      <c r="CA89" s="658"/>
      <c r="CB89" s="658"/>
      <c r="CC89" s="658"/>
      <c r="CD89" s="658"/>
      <c r="CE89" s="658"/>
      <c r="CF89" s="658"/>
      <c r="CG89" s="658"/>
      <c r="CH89" s="658"/>
      <c r="CI89" s="658"/>
      <c r="CJ89" s="658"/>
      <c r="CK89" s="658"/>
      <c r="CL89" s="658"/>
      <c r="CM89" s="658"/>
      <c r="CN89" s="658"/>
      <c r="CO89" s="658"/>
      <c r="CP89" s="658"/>
      <c r="CQ89" s="658"/>
      <c r="CR89" s="658"/>
      <c r="CS89" s="658"/>
      <c r="CT89" s="658"/>
      <c r="CU89" s="658"/>
      <c r="CV89" s="658"/>
      <c r="CW89" s="658"/>
      <c r="CX89" s="658"/>
      <c r="CY89" s="658"/>
      <c r="CZ89" s="658"/>
      <c r="DA89" s="658"/>
      <c r="DB89" s="658"/>
      <c r="DC89" s="658"/>
      <c r="DD89" s="658"/>
      <c r="DE89" s="658"/>
      <c r="DF89" s="658"/>
      <c r="DG89" s="658"/>
      <c r="DH89" s="658"/>
      <c r="DI89" s="658"/>
      <c r="DJ89" s="658"/>
      <c r="DK89" s="658"/>
      <c r="DL89" s="658"/>
      <c r="DM89" s="658"/>
      <c r="DN89" s="658"/>
      <c r="DO89" s="177">
        <f t="shared" ref="DO89:DO95" si="67">IF(M89="",0,-XNPV(DP89,S89,S$87)*(1+DP89)^YEARFRAC($S$87,$DO$87,3))</f>
        <v>0</v>
      </c>
      <c r="DP89" s="612" t="e">
        <f t="shared" ref="DP89:DP95" si="68">IF(HLOOKUP(L89,$C$95:$E$96,2,0)=0,1E-24%,HLOOKUP(L89,$C$95:$E$96,2,FALSE))</f>
        <v>#N/A</v>
      </c>
      <c r="DQ89" s="612" t="e">
        <f t="shared" si="64"/>
        <v>#NUM!</v>
      </c>
      <c r="DR89" s="177"/>
      <c r="DS89" s="177"/>
      <c r="DT89" s="177"/>
      <c r="DU89" s="177"/>
      <c r="DV89" s="177"/>
      <c r="DW89" s="177"/>
      <c r="DX89" s="177"/>
      <c r="DY89" s="177"/>
      <c r="DZ89" s="177"/>
      <c r="EA89" s="613"/>
    </row>
    <row r="90" spans="1:131" ht="13.5">
      <c r="A90" s="652" t="str">
        <f t="shared" si="60"/>
        <v>1좌당 금액</v>
      </c>
      <c r="B90" s="653" t="s">
        <v>358</v>
      </c>
      <c r="C90" s="783"/>
      <c r="D90" s="783"/>
      <c r="E90" s="783"/>
      <c r="F90" s="230"/>
      <c r="G90" s="230"/>
      <c r="I90" s="657">
        <f t="shared" si="65"/>
        <v>0</v>
      </c>
      <c r="J90" s="606" t="str">
        <f t="shared" si="66"/>
        <v>N/A</v>
      </c>
      <c r="K90" s="471"/>
      <c r="L90" s="607"/>
      <c r="M90" s="300"/>
      <c r="N90" s="608"/>
      <c r="O90" s="609">
        <f t="shared" si="61"/>
        <v>0</v>
      </c>
      <c r="P90" s="609">
        <f t="shared" si="62"/>
        <v>0</v>
      </c>
      <c r="Q90" s="609">
        <f t="shared" si="63"/>
        <v>0</v>
      </c>
      <c r="R90" s="610" t="str">
        <f>IFERROR(Q90/Q96,"")</f>
        <v/>
      </c>
      <c r="S90" s="658"/>
      <c r="T90" s="658"/>
      <c r="U90" s="658"/>
      <c r="V90" s="658"/>
      <c r="W90" s="658"/>
      <c r="X90" s="658"/>
      <c r="Y90" s="658"/>
      <c r="Z90" s="658"/>
      <c r="AA90" s="658"/>
      <c r="AB90" s="658"/>
      <c r="AC90" s="658"/>
      <c r="AD90" s="658"/>
      <c r="AE90" s="658"/>
      <c r="AF90" s="658"/>
      <c r="AG90" s="658"/>
      <c r="AH90" s="658"/>
      <c r="AI90" s="658"/>
      <c r="AJ90" s="658"/>
      <c r="AK90" s="658"/>
      <c r="AL90" s="658"/>
      <c r="AM90" s="658"/>
      <c r="AN90" s="658"/>
      <c r="AO90" s="658"/>
      <c r="AP90" s="658"/>
      <c r="AQ90" s="658"/>
      <c r="AR90" s="658"/>
      <c r="AS90" s="658"/>
      <c r="AT90" s="658"/>
      <c r="AU90" s="658"/>
      <c r="AV90" s="658"/>
      <c r="AW90" s="658"/>
      <c r="AX90" s="658"/>
      <c r="AY90" s="658"/>
      <c r="AZ90" s="658"/>
      <c r="BA90" s="658"/>
      <c r="BB90" s="658"/>
      <c r="BC90" s="658"/>
      <c r="BD90" s="658"/>
      <c r="BE90" s="658"/>
      <c r="BF90" s="658"/>
      <c r="BG90" s="658"/>
      <c r="BH90" s="658"/>
      <c r="BI90" s="658"/>
      <c r="BJ90" s="658"/>
      <c r="BK90" s="658"/>
      <c r="BL90" s="658"/>
      <c r="BM90" s="658"/>
      <c r="BN90" s="658"/>
      <c r="BO90" s="658"/>
      <c r="BP90" s="658"/>
      <c r="BQ90" s="658"/>
      <c r="BR90" s="658"/>
      <c r="BS90" s="658"/>
      <c r="BT90" s="658"/>
      <c r="BU90" s="658"/>
      <c r="BV90" s="658"/>
      <c r="BW90" s="658"/>
      <c r="BX90" s="658"/>
      <c r="BY90" s="658"/>
      <c r="BZ90" s="658"/>
      <c r="CA90" s="658"/>
      <c r="CB90" s="658"/>
      <c r="CC90" s="658"/>
      <c r="CD90" s="658"/>
      <c r="CE90" s="658"/>
      <c r="CF90" s="658"/>
      <c r="CG90" s="658"/>
      <c r="CH90" s="658"/>
      <c r="CI90" s="658"/>
      <c r="CJ90" s="658"/>
      <c r="CK90" s="658"/>
      <c r="CL90" s="658"/>
      <c r="CM90" s="658"/>
      <c r="CN90" s="658"/>
      <c r="CO90" s="658"/>
      <c r="CP90" s="658"/>
      <c r="CQ90" s="658"/>
      <c r="CR90" s="658"/>
      <c r="CS90" s="658"/>
      <c r="CT90" s="658"/>
      <c r="CU90" s="658"/>
      <c r="CV90" s="658"/>
      <c r="CW90" s="658"/>
      <c r="CX90" s="658"/>
      <c r="CY90" s="658"/>
      <c r="CZ90" s="658"/>
      <c r="DA90" s="658"/>
      <c r="DB90" s="658"/>
      <c r="DC90" s="658"/>
      <c r="DD90" s="658"/>
      <c r="DE90" s="658"/>
      <c r="DF90" s="658"/>
      <c r="DG90" s="658"/>
      <c r="DH90" s="658"/>
      <c r="DI90" s="658"/>
      <c r="DJ90" s="658"/>
      <c r="DK90" s="658"/>
      <c r="DL90" s="658"/>
      <c r="DM90" s="658"/>
      <c r="DN90" s="658"/>
      <c r="DO90" s="177">
        <f t="shared" si="67"/>
        <v>0</v>
      </c>
      <c r="DP90" s="612" t="e">
        <f t="shared" si="68"/>
        <v>#N/A</v>
      </c>
      <c r="DQ90" s="612" t="e">
        <f t="shared" si="64"/>
        <v>#NUM!</v>
      </c>
      <c r="DR90" s="177"/>
      <c r="DS90" s="177"/>
      <c r="DT90" s="177"/>
      <c r="DU90" s="177"/>
      <c r="DV90" s="177"/>
      <c r="DW90" s="177"/>
      <c r="DX90" s="177"/>
      <c r="DY90" s="177"/>
      <c r="DZ90" s="177"/>
      <c r="EA90" s="613"/>
    </row>
    <row r="91" spans="1:131" ht="13.5">
      <c r="A91" s="652" t="str">
        <f t="shared" si="60"/>
        <v>기준수익률</v>
      </c>
      <c r="B91" s="653" t="s">
        <v>365</v>
      </c>
      <c r="C91" s="784"/>
      <c r="D91" s="785"/>
      <c r="E91" s="785"/>
      <c r="F91" s="230"/>
      <c r="G91" s="230"/>
      <c r="I91" s="657">
        <f t="shared" si="65"/>
        <v>0</v>
      </c>
      <c r="J91" s="606" t="str">
        <f t="shared" si="66"/>
        <v>N/A</v>
      </c>
      <c r="K91" s="471"/>
      <c r="L91" s="607"/>
      <c r="M91" s="300"/>
      <c r="N91" s="608"/>
      <c r="O91" s="609">
        <f t="shared" si="61"/>
        <v>0</v>
      </c>
      <c r="P91" s="609">
        <f t="shared" si="62"/>
        <v>0</v>
      </c>
      <c r="Q91" s="609">
        <f t="shared" si="63"/>
        <v>0</v>
      </c>
      <c r="R91" s="610" t="str">
        <f>IFERROR(Q91/Q96,"")</f>
        <v/>
      </c>
      <c r="S91" s="658"/>
      <c r="T91" s="658"/>
      <c r="U91" s="658"/>
      <c r="V91" s="658"/>
      <c r="W91" s="658"/>
      <c r="X91" s="658"/>
      <c r="Y91" s="658"/>
      <c r="Z91" s="658"/>
      <c r="AA91" s="658"/>
      <c r="AB91" s="658"/>
      <c r="AC91" s="658"/>
      <c r="AD91" s="658"/>
      <c r="AE91" s="658"/>
      <c r="AF91" s="658"/>
      <c r="AG91" s="658"/>
      <c r="AH91" s="658"/>
      <c r="AI91" s="658"/>
      <c r="AJ91" s="658"/>
      <c r="AK91" s="658"/>
      <c r="AL91" s="658"/>
      <c r="AM91" s="658"/>
      <c r="AN91" s="658"/>
      <c r="AO91" s="658"/>
      <c r="AP91" s="658"/>
      <c r="AQ91" s="658"/>
      <c r="AR91" s="658"/>
      <c r="AS91" s="658"/>
      <c r="AT91" s="658"/>
      <c r="AU91" s="658"/>
      <c r="AV91" s="658"/>
      <c r="AW91" s="658"/>
      <c r="AX91" s="658"/>
      <c r="AY91" s="658"/>
      <c r="AZ91" s="658"/>
      <c r="BA91" s="658"/>
      <c r="BB91" s="658"/>
      <c r="BC91" s="658"/>
      <c r="BD91" s="658"/>
      <c r="BE91" s="658"/>
      <c r="BF91" s="658"/>
      <c r="BG91" s="658"/>
      <c r="BH91" s="658"/>
      <c r="BI91" s="658"/>
      <c r="BJ91" s="658"/>
      <c r="BK91" s="658"/>
      <c r="BL91" s="658"/>
      <c r="BM91" s="658"/>
      <c r="BN91" s="658"/>
      <c r="BO91" s="658"/>
      <c r="BP91" s="658"/>
      <c r="BQ91" s="658"/>
      <c r="BR91" s="658"/>
      <c r="BS91" s="658"/>
      <c r="BT91" s="658"/>
      <c r="BU91" s="658"/>
      <c r="BV91" s="658"/>
      <c r="BW91" s="658"/>
      <c r="BX91" s="658"/>
      <c r="BY91" s="658"/>
      <c r="BZ91" s="658"/>
      <c r="CA91" s="658"/>
      <c r="CB91" s="658"/>
      <c r="CC91" s="658"/>
      <c r="CD91" s="658"/>
      <c r="CE91" s="658"/>
      <c r="CF91" s="658"/>
      <c r="CG91" s="658"/>
      <c r="CH91" s="658"/>
      <c r="CI91" s="658"/>
      <c r="CJ91" s="658"/>
      <c r="CK91" s="658"/>
      <c r="CL91" s="658"/>
      <c r="CM91" s="658"/>
      <c r="CN91" s="658"/>
      <c r="CO91" s="658"/>
      <c r="CP91" s="658"/>
      <c r="CQ91" s="658"/>
      <c r="CR91" s="658"/>
      <c r="CS91" s="658"/>
      <c r="CT91" s="658"/>
      <c r="CU91" s="658"/>
      <c r="CV91" s="658"/>
      <c r="CW91" s="658"/>
      <c r="CX91" s="658"/>
      <c r="CY91" s="658"/>
      <c r="CZ91" s="658"/>
      <c r="DA91" s="658"/>
      <c r="DB91" s="658"/>
      <c r="DC91" s="658"/>
      <c r="DD91" s="658"/>
      <c r="DE91" s="658"/>
      <c r="DF91" s="658"/>
      <c r="DG91" s="658"/>
      <c r="DH91" s="658"/>
      <c r="DI91" s="658"/>
      <c r="DJ91" s="658"/>
      <c r="DK91" s="658"/>
      <c r="DL91" s="658"/>
      <c r="DM91" s="658"/>
      <c r="DN91" s="658"/>
      <c r="DO91" s="177">
        <f t="shared" si="67"/>
        <v>0</v>
      </c>
      <c r="DP91" s="612" t="e">
        <f t="shared" si="68"/>
        <v>#N/A</v>
      </c>
      <c r="DQ91" s="612" t="e">
        <f t="shared" si="64"/>
        <v>#NUM!</v>
      </c>
      <c r="DR91" s="177"/>
      <c r="DS91" s="177"/>
      <c r="DT91" s="177"/>
      <c r="DU91" s="177"/>
      <c r="DV91" s="177"/>
      <c r="DW91" s="177"/>
      <c r="DX91" s="177"/>
      <c r="DY91" s="177"/>
      <c r="DZ91" s="177"/>
      <c r="EA91" s="613"/>
    </row>
    <row r="92" spans="1:131" ht="13.5">
      <c r="A92" s="652" t="str">
        <f t="shared" si="60"/>
        <v>평가방법론</v>
      </c>
      <c r="B92" s="653" t="s">
        <v>7</v>
      </c>
      <c r="C92" s="786"/>
      <c r="D92" s="786"/>
      <c r="E92" s="786"/>
      <c r="F92" s="230"/>
      <c r="G92" s="230"/>
      <c r="I92" s="657">
        <f t="shared" si="65"/>
        <v>0</v>
      </c>
      <c r="J92" s="606" t="str">
        <f t="shared" si="66"/>
        <v>N/A</v>
      </c>
      <c r="K92" s="471"/>
      <c r="L92" s="607"/>
      <c r="M92" s="300"/>
      <c r="N92" s="608"/>
      <c r="O92" s="609">
        <f t="shared" si="61"/>
        <v>0</v>
      </c>
      <c r="P92" s="609">
        <f t="shared" si="62"/>
        <v>0</v>
      </c>
      <c r="Q92" s="609">
        <f t="shared" si="63"/>
        <v>0</v>
      </c>
      <c r="R92" s="610" t="str">
        <f>IFERROR(Q92/Q96,"")</f>
        <v/>
      </c>
      <c r="S92" s="658"/>
      <c r="T92" s="658"/>
      <c r="U92" s="658"/>
      <c r="V92" s="658"/>
      <c r="W92" s="658"/>
      <c r="X92" s="658"/>
      <c r="Y92" s="658"/>
      <c r="Z92" s="658"/>
      <c r="AA92" s="658"/>
      <c r="AB92" s="658"/>
      <c r="AC92" s="658"/>
      <c r="AD92" s="658"/>
      <c r="AE92" s="658"/>
      <c r="AF92" s="658"/>
      <c r="AG92" s="658"/>
      <c r="AH92" s="658"/>
      <c r="AI92" s="658"/>
      <c r="AJ92" s="658"/>
      <c r="AK92" s="658"/>
      <c r="AL92" s="658"/>
      <c r="AM92" s="658"/>
      <c r="AN92" s="658"/>
      <c r="AO92" s="658"/>
      <c r="AP92" s="658"/>
      <c r="AQ92" s="658"/>
      <c r="AR92" s="658"/>
      <c r="AS92" s="658"/>
      <c r="AT92" s="658"/>
      <c r="AU92" s="658"/>
      <c r="AV92" s="658"/>
      <c r="AW92" s="658"/>
      <c r="AX92" s="658"/>
      <c r="AY92" s="658"/>
      <c r="AZ92" s="658"/>
      <c r="BA92" s="658"/>
      <c r="BB92" s="658"/>
      <c r="BC92" s="658"/>
      <c r="BD92" s="658"/>
      <c r="BE92" s="658"/>
      <c r="BF92" s="658"/>
      <c r="BG92" s="658"/>
      <c r="BH92" s="658"/>
      <c r="BI92" s="658"/>
      <c r="BJ92" s="658"/>
      <c r="BK92" s="658"/>
      <c r="BL92" s="658"/>
      <c r="BM92" s="658"/>
      <c r="BN92" s="658"/>
      <c r="BO92" s="658"/>
      <c r="BP92" s="658"/>
      <c r="BQ92" s="658"/>
      <c r="BR92" s="658"/>
      <c r="BS92" s="658"/>
      <c r="BT92" s="658"/>
      <c r="BU92" s="658"/>
      <c r="BV92" s="658"/>
      <c r="BW92" s="658"/>
      <c r="BX92" s="658"/>
      <c r="BY92" s="658"/>
      <c r="BZ92" s="658"/>
      <c r="CA92" s="658"/>
      <c r="CB92" s="658"/>
      <c r="CC92" s="658"/>
      <c r="CD92" s="658"/>
      <c r="CE92" s="658"/>
      <c r="CF92" s="658"/>
      <c r="CG92" s="658"/>
      <c r="CH92" s="658"/>
      <c r="CI92" s="658"/>
      <c r="CJ92" s="658"/>
      <c r="CK92" s="658"/>
      <c r="CL92" s="658"/>
      <c r="CM92" s="658"/>
      <c r="CN92" s="658"/>
      <c r="CO92" s="658"/>
      <c r="CP92" s="658"/>
      <c r="CQ92" s="658"/>
      <c r="CR92" s="658"/>
      <c r="CS92" s="658"/>
      <c r="CT92" s="658"/>
      <c r="CU92" s="658"/>
      <c r="CV92" s="658"/>
      <c r="CW92" s="658"/>
      <c r="CX92" s="658"/>
      <c r="CY92" s="658"/>
      <c r="CZ92" s="658"/>
      <c r="DA92" s="658"/>
      <c r="DB92" s="658"/>
      <c r="DC92" s="658"/>
      <c r="DD92" s="658"/>
      <c r="DE92" s="658"/>
      <c r="DF92" s="658"/>
      <c r="DG92" s="658"/>
      <c r="DH92" s="658"/>
      <c r="DI92" s="658"/>
      <c r="DJ92" s="658"/>
      <c r="DK92" s="658"/>
      <c r="DL92" s="658"/>
      <c r="DM92" s="658"/>
      <c r="DN92" s="658"/>
      <c r="DO92" s="177">
        <f t="shared" si="67"/>
        <v>0</v>
      </c>
      <c r="DP92" s="612" t="e">
        <f t="shared" si="68"/>
        <v>#N/A</v>
      </c>
      <c r="DQ92" s="612" t="e">
        <f t="shared" si="64"/>
        <v>#NUM!</v>
      </c>
      <c r="DR92" s="177"/>
      <c r="DS92" s="177"/>
      <c r="DT92" s="177"/>
      <c r="DU92" s="177"/>
      <c r="DV92" s="177"/>
      <c r="DW92" s="177"/>
      <c r="DX92" s="177"/>
      <c r="DY92" s="177"/>
      <c r="DZ92" s="177"/>
      <c r="EA92" s="613"/>
    </row>
    <row r="93" spans="1:131" ht="13.5">
      <c r="A93" s="652" t="str">
        <f t="shared" si="60"/>
        <v>분배 조항 여부</v>
      </c>
      <c r="B93" s="653" t="s">
        <v>355</v>
      </c>
      <c r="C93" s="786"/>
      <c r="D93" s="786"/>
      <c r="E93" s="786"/>
      <c r="F93" s="230"/>
      <c r="G93" s="230"/>
      <c r="I93" s="657">
        <f t="shared" si="65"/>
        <v>0</v>
      </c>
      <c r="J93" s="606" t="str">
        <f t="shared" si="66"/>
        <v>N/A</v>
      </c>
      <c r="K93" s="471"/>
      <c r="L93" s="607"/>
      <c r="M93" s="300"/>
      <c r="N93" s="608"/>
      <c r="O93" s="609">
        <f t="shared" si="61"/>
        <v>0</v>
      </c>
      <c r="P93" s="609">
        <f t="shared" si="62"/>
        <v>0</v>
      </c>
      <c r="Q93" s="609">
        <f t="shared" si="63"/>
        <v>0</v>
      </c>
      <c r="R93" s="610" t="str">
        <f>IFERROR(Q93/Q96,"")</f>
        <v/>
      </c>
      <c r="S93" s="658"/>
      <c r="T93" s="658"/>
      <c r="U93" s="658"/>
      <c r="V93" s="658"/>
      <c r="W93" s="658"/>
      <c r="X93" s="658"/>
      <c r="Y93" s="658"/>
      <c r="Z93" s="658"/>
      <c r="AA93" s="658"/>
      <c r="AB93" s="658"/>
      <c r="AC93" s="658"/>
      <c r="AD93" s="658"/>
      <c r="AE93" s="658"/>
      <c r="AF93" s="658"/>
      <c r="AG93" s="658"/>
      <c r="AH93" s="658"/>
      <c r="AI93" s="658"/>
      <c r="AJ93" s="658"/>
      <c r="AK93" s="658"/>
      <c r="AL93" s="658"/>
      <c r="AM93" s="658"/>
      <c r="AN93" s="658"/>
      <c r="AO93" s="658"/>
      <c r="AP93" s="658"/>
      <c r="AQ93" s="658"/>
      <c r="AR93" s="658"/>
      <c r="AS93" s="658"/>
      <c r="AT93" s="658"/>
      <c r="AU93" s="658"/>
      <c r="AV93" s="658"/>
      <c r="AW93" s="658"/>
      <c r="AX93" s="658"/>
      <c r="AY93" s="658"/>
      <c r="AZ93" s="658"/>
      <c r="BA93" s="658"/>
      <c r="BB93" s="658"/>
      <c r="BC93" s="658"/>
      <c r="BD93" s="658"/>
      <c r="BE93" s="658"/>
      <c r="BF93" s="658"/>
      <c r="BG93" s="658"/>
      <c r="BH93" s="658"/>
      <c r="BI93" s="658"/>
      <c r="BJ93" s="658"/>
      <c r="BK93" s="658"/>
      <c r="BL93" s="658"/>
      <c r="BM93" s="658"/>
      <c r="BN93" s="658"/>
      <c r="BO93" s="658"/>
      <c r="BP93" s="658"/>
      <c r="BQ93" s="658"/>
      <c r="BR93" s="658"/>
      <c r="BS93" s="658"/>
      <c r="BT93" s="658"/>
      <c r="BU93" s="658"/>
      <c r="BV93" s="658"/>
      <c r="BW93" s="658"/>
      <c r="BX93" s="658"/>
      <c r="BY93" s="658"/>
      <c r="BZ93" s="658"/>
      <c r="CA93" s="658"/>
      <c r="CB93" s="658"/>
      <c r="CC93" s="658"/>
      <c r="CD93" s="658"/>
      <c r="CE93" s="658"/>
      <c r="CF93" s="658"/>
      <c r="CG93" s="658"/>
      <c r="CH93" s="658"/>
      <c r="CI93" s="658"/>
      <c r="CJ93" s="658"/>
      <c r="CK93" s="658"/>
      <c r="CL93" s="658"/>
      <c r="CM93" s="658"/>
      <c r="CN93" s="658"/>
      <c r="CO93" s="658"/>
      <c r="CP93" s="658"/>
      <c r="CQ93" s="658"/>
      <c r="CR93" s="658"/>
      <c r="CS93" s="658"/>
      <c r="CT93" s="658"/>
      <c r="CU93" s="658"/>
      <c r="CV93" s="658"/>
      <c r="CW93" s="658"/>
      <c r="CX93" s="658"/>
      <c r="CY93" s="658"/>
      <c r="CZ93" s="658"/>
      <c r="DA93" s="658"/>
      <c r="DB93" s="658"/>
      <c r="DC93" s="658"/>
      <c r="DD93" s="658"/>
      <c r="DE93" s="658"/>
      <c r="DF93" s="658"/>
      <c r="DG93" s="658"/>
      <c r="DH93" s="658"/>
      <c r="DI93" s="658"/>
      <c r="DJ93" s="658"/>
      <c r="DK93" s="658"/>
      <c r="DL93" s="658"/>
      <c r="DM93" s="658"/>
      <c r="DN93" s="658"/>
      <c r="DO93" s="177">
        <f t="shared" si="67"/>
        <v>0</v>
      </c>
      <c r="DP93" s="612" t="e">
        <f t="shared" si="68"/>
        <v>#N/A</v>
      </c>
      <c r="DQ93" s="612" t="e">
        <f t="shared" si="64"/>
        <v>#NUM!</v>
      </c>
      <c r="DR93" s="177"/>
      <c r="DS93" s="177"/>
      <c r="DT93" s="177"/>
      <c r="DU93" s="177"/>
      <c r="DV93" s="177"/>
      <c r="DW93" s="177"/>
      <c r="DX93" s="177"/>
      <c r="DY93" s="177"/>
      <c r="DZ93" s="177"/>
      <c r="EA93" s="613"/>
    </row>
    <row r="94" spans="1:131" ht="14.25" thickBot="1">
      <c r="A94" s="652" t="str">
        <f t="shared" si="60"/>
        <v>모펀드 출자 지분율</v>
      </c>
      <c r="B94" s="660" t="s">
        <v>356</v>
      </c>
      <c r="C94" s="787"/>
      <c r="D94" s="787"/>
      <c r="E94" s="787"/>
      <c r="F94" s="230"/>
      <c r="G94" s="230"/>
      <c r="I94" s="657">
        <f t="shared" si="65"/>
        <v>0</v>
      </c>
      <c r="J94" s="606" t="str">
        <f t="shared" si="66"/>
        <v>N/A</v>
      </c>
      <c r="K94" s="471"/>
      <c r="L94" s="607"/>
      <c r="M94" s="300"/>
      <c r="N94" s="608"/>
      <c r="O94" s="609">
        <f t="shared" si="61"/>
        <v>0</v>
      </c>
      <c r="P94" s="609">
        <f t="shared" si="62"/>
        <v>0</v>
      </c>
      <c r="Q94" s="609">
        <f t="shared" si="63"/>
        <v>0</v>
      </c>
      <c r="R94" s="610" t="str">
        <f>IFERROR(Q94/Q96,"")</f>
        <v/>
      </c>
      <c r="S94" s="658"/>
      <c r="T94" s="658"/>
      <c r="U94" s="658"/>
      <c r="V94" s="658"/>
      <c r="W94" s="658"/>
      <c r="X94" s="658"/>
      <c r="Y94" s="658"/>
      <c r="Z94" s="658"/>
      <c r="AA94" s="658"/>
      <c r="AB94" s="658"/>
      <c r="AC94" s="658"/>
      <c r="AD94" s="658"/>
      <c r="AE94" s="658"/>
      <c r="AF94" s="658"/>
      <c r="AG94" s="658"/>
      <c r="AH94" s="658"/>
      <c r="AI94" s="658"/>
      <c r="AJ94" s="658"/>
      <c r="AK94" s="658"/>
      <c r="AL94" s="658"/>
      <c r="AM94" s="658"/>
      <c r="AN94" s="658"/>
      <c r="AO94" s="658"/>
      <c r="AP94" s="658"/>
      <c r="AQ94" s="658"/>
      <c r="AR94" s="658"/>
      <c r="AS94" s="658"/>
      <c r="AT94" s="658"/>
      <c r="AU94" s="658"/>
      <c r="AV94" s="658"/>
      <c r="AW94" s="658"/>
      <c r="AX94" s="658"/>
      <c r="AY94" s="658"/>
      <c r="AZ94" s="658"/>
      <c r="BA94" s="658"/>
      <c r="BB94" s="658"/>
      <c r="BC94" s="658"/>
      <c r="BD94" s="658"/>
      <c r="BE94" s="658"/>
      <c r="BF94" s="658"/>
      <c r="BG94" s="658"/>
      <c r="BH94" s="658"/>
      <c r="BI94" s="658"/>
      <c r="BJ94" s="658"/>
      <c r="BK94" s="658"/>
      <c r="BL94" s="658"/>
      <c r="BM94" s="658"/>
      <c r="BN94" s="658"/>
      <c r="BO94" s="658"/>
      <c r="BP94" s="658"/>
      <c r="BQ94" s="658"/>
      <c r="BR94" s="658"/>
      <c r="BS94" s="658"/>
      <c r="BT94" s="658"/>
      <c r="BU94" s="658"/>
      <c r="BV94" s="658"/>
      <c r="BW94" s="658"/>
      <c r="BX94" s="658"/>
      <c r="BY94" s="658"/>
      <c r="BZ94" s="658"/>
      <c r="CA94" s="658"/>
      <c r="CB94" s="658"/>
      <c r="CC94" s="658"/>
      <c r="CD94" s="658"/>
      <c r="CE94" s="658"/>
      <c r="CF94" s="658"/>
      <c r="CG94" s="658"/>
      <c r="CH94" s="658"/>
      <c r="CI94" s="658"/>
      <c r="CJ94" s="658"/>
      <c r="CK94" s="658"/>
      <c r="CL94" s="658"/>
      <c r="CM94" s="658"/>
      <c r="CN94" s="658"/>
      <c r="CO94" s="658"/>
      <c r="CP94" s="658"/>
      <c r="CQ94" s="658"/>
      <c r="CR94" s="658"/>
      <c r="CS94" s="658"/>
      <c r="CT94" s="658"/>
      <c r="CU94" s="658"/>
      <c r="CV94" s="658"/>
      <c r="CW94" s="658"/>
      <c r="CX94" s="658"/>
      <c r="CY94" s="658"/>
      <c r="CZ94" s="658"/>
      <c r="DA94" s="658"/>
      <c r="DB94" s="658"/>
      <c r="DC94" s="658"/>
      <c r="DD94" s="658"/>
      <c r="DE94" s="658"/>
      <c r="DF94" s="658"/>
      <c r="DG94" s="658"/>
      <c r="DH94" s="658"/>
      <c r="DI94" s="658"/>
      <c r="DJ94" s="658"/>
      <c r="DK94" s="658"/>
      <c r="DL94" s="658"/>
      <c r="DM94" s="658"/>
      <c r="DN94" s="658"/>
      <c r="DO94" s="177">
        <f t="shared" si="67"/>
        <v>0</v>
      </c>
      <c r="DP94" s="612" t="e">
        <f t="shared" si="68"/>
        <v>#N/A</v>
      </c>
      <c r="DQ94" s="612" t="e">
        <f t="shared" si="64"/>
        <v>#NUM!</v>
      </c>
      <c r="DR94" s="177"/>
      <c r="DS94" s="177"/>
      <c r="DT94" s="177"/>
      <c r="DU94" s="177"/>
      <c r="DV94" s="177"/>
      <c r="DW94" s="177"/>
      <c r="DX94" s="177"/>
      <c r="DY94" s="177"/>
      <c r="DZ94" s="177"/>
      <c r="EA94" s="613"/>
    </row>
    <row r="95" spans="1:131" ht="14.25" thickBot="1">
      <c r="B95" s="778" t="s">
        <v>3404</v>
      </c>
      <c r="C95" s="616" t="s">
        <v>223</v>
      </c>
      <c r="D95" s="616" t="s">
        <v>224</v>
      </c>
      <c r="E95" s="616" t="s">
        <v>225</v>
      </c>
      <c r="F95" s="230"/>
      <c r="G95" s="230"/>
      <c r="I95" s="657">
        <f t="shared" si="65"/>
        <v>0</v>
      </c>
      <c r="J95" s="606" t="str">
        <f t="shared" si="66"/>
        <v>N/A</v>
      </c>
      <c r="K95" s="471"/>
      <c r="L95" s="607"/>
      <c r="M95" s="300"/>
      <c r="N95" s="608"/>
      <c r="O95" s="609">
        <f t="shared" si="61"/>
        <v>0</v>
      </c>
      <c r="P95" s="609">
        <f t="shared" si="62"/>
        <v>0</v>
      </c>
      <c r="Q95" s="609">
        <f t="shared" si="63"/>
        <v>0</v>
      </c>
      <c r="R95" s="610" t="str">
        <f>IFERROR(Q95/Q96,"")</f>
        <v/>
      </c>
      <c r="S95" s="658"/>
      <c r="T95" s="658"/>
      <c r="U95" s="658"/>
      <c r="V95" s="658"/>
      <c r="W95" s="658"/>
      <c r="X95" s="658"/>
      <c r="Y95" s="658"/>
      <c r="Z95" s="658"/>
      <c r="AA95" s="658"/>
      <c r="AB95" s="658"/>
      <c r="AC95" s="658"/>
      <c r="AD95" s="658"/>
      <c r="AE95" s="658"/>
      <c r="AF95" s="658"/>
      <c r="AG95" s="658"/>
      <c r="AH95" s="658"/>
      <c r="AI95" s="658"/>
      <c r="AJ95" s="658"/>
      <c r="AK95" s="658"/>
      <c r="AL95" s="658"/>
      <c r="AM95" s="658"/>
      <c r="AN95" s="658"/>
      <c r="AO95" s="658"/>
      <c r="AP95" s="658"/>
      <c r="AQ95" s="658"/>
      <c r="AR95" s="658"/>
      <c r="AS95" s="658"/>
      <c r="AT95" s="658"/>
      <c r="AU95" s="658"/>
      <c r="AV95" s="658"/>
      <c r="AW95" s="658"/>
      <c r="AX95" s="658"/>
      <c r="AY95" s="658"/>
      <c r="AZ95" s="658"/>
      <c r="BA95" s="658"/>
      <c r="BB95" s="658"/>
      <c r="BC95" s="658"/>
      <c r="BD95" s="658"/>
      <c r="BE95" s="658"/>
      <c r="BF95" s="658"/>
      <c r="BG95" s="658"/>
      <c r="BH95" s="658"/>
      <c r="BI95" s="658"/>
      <c r="BJ95" s="658"/>
      <c r="BK95" s="658"/>
      <c r="BL95" s="658"/>
      <c r="BM95" s="658"/>
      <c r="BN95" s="658"/>
      <c r="BO95" s="658"/>
      <c r="BP95" s="658"/>
      <c r="BQ95" s="658"/>
      <c r="BR95" s="658"/>
      <c r="BS95" s="658"/>
      <c r="BT95" s="658"/>
      <c r="BU95" s="658"/>
      <c r="BV95" s="658"/>
      <c r="BW95" s="658"/>
      <c r="BX95" s="658"/>
      <c r="BY95" s="658"/>
      <c r="BZ95" s="658"/>
      <c r="CA95" s="658"/>
      <c r="CB95" s="658"/>
      <c r="CC95" s="658"/>
      <c r="CD95" s="658"/>
      <c r="CE95" s="658"/>
      <c r="CF95" s="658"/>
      <c r="CG95" s="658"/>
      <c r="CH95" s="658"/>
      <c r="CI95" s="658"/>
      <c r="CJ95" s="658"/>
      <c r="CK95" s="658"/>
      <c r="CL95" s="658"/>
      <c r="CM95" s="658"/>
      <c r="CN95" s="658"/>
      <c r="CO95" s="658"/>
      <c r="CP95" s="658"/>
      <c r="CQ95" s="658"/>
      <c r="CR95" s="658"/>
      <c r="CS95" s="658"/>
      <c r="CT95" s="658"/>
      <c r="CU95" s="658"/>
      <c r="CV95" s="658"/>
      <c r="CW95" s="658"/>
      <c r="CX95" s="658"/>
      <c r="CY95" s="658"/>
      <c r="CZ95" s="658"/>
      <c r="DA95" s="658"/>
      <c r="DB95" s="658"/>
      <c r="DC95" s="658"/>
      <c r="DD95" s="658"/>
      <c r="DE95" s="658"/>
      <c r="DF95" s="658"/>
      <c r="DG95" s="658"/>
      <c r="DH95" s="658"/>
      <c r="DI95" s="658"/>
      <c r="DJ95" s="658"/>
      <c r="DK95" s="658"/>
      <c r="DL95" s="658"/>
      <c r="DM95" s="658"/>
      <c r="DN95" s="658"/>
      <c r="DO95" s="177">
        <f t="shared" si="67"/>
        <v>0</v>
      </c>
      <c r="DP95" s="612" t="e">
        <f t="shared" si="68"/>
        <v>#N/A</v>
      </c>
      <c r="DQ95" s="612" t="e">
        <f t="shared" si="64"/>
        <v>#NUM!</v>
      </c>
      <c r="DR95" s="177"/>
      <c r="DS95" s="177"/>
      <c r="DT95" s="177"/>
      <c r="DU95" s="177"/>
      <c r="DV95" s="177"/>
      <c r="DW95" s="177"/>
      <c r="DX95" s="177"/>
      <c r="DY95" s="177"/>
      <c r="DZ95" s="177"/>
      <c r="EA95" s="613"/>
    </row>
    <row r="96" spans="1:131" ht="14.25" thickBot="1">
      <c r="A96" s="317"/>
      <c r="B96" s="779"/>
      <c r="C96" s="661"/>
      <c r="D96" s="661"/>
      <c r="E96" s="661"/>
      <c r="F96" s="662"/>
      <c r="G96" s="662"/>
      <c r="H96" s="317"/>
      <c r="I96" s="634">
        <f>SUM(I88:I95)</f>
        <v>0</v>
      </c>
      <c r="J96" s="663"/>
      <c r="K96" s="664"/>
      <c r="L96" s="664"/>
      <c r="M96" s="664"/>
      <c r="N96" s="634">
        <f t="shared" ref="N96:Q96" si="69">SUM(N88:N95)</f>
        <v>0</v>
      </c>
      <c r="O96" s="634">
        <f t="shared" si="69"/>
        <v>0</v>
      </c>
      <c r="P96" s="634">
        <f t="shared" si="69"/>
        <v>0</v>
      </c>
      <c r="Q96" s="634">
        <f t="shared" si="69"/>
        <v>0</v>
      </c>
      <c r="R96" s="665">
        <f t="shared" ref="R96" si="70">SUM(R88:R95)</f>
        <v>0</v>
      </c>
      <c r="S96" s="634">
        <f>SUM(S88:S95)</f>
        <v>0</v>
      </c>
      <c r="T96" s="634">
        <f t="shared" ref="T96" si="71">SUM(T88:T95)</f>
        <v>0</v>
      </c>
      <c r="U96" s="634">
        <f t="shared" ref="U96" si="72">SUM(U88:U95)</f>
        <v>0</v>
      </c>
      <c r="V96" s="634">
        <f t="shared" ref="V96" si="73">SUM(V88:V95)</f>
        <v>0</v>
      </c>
      <c r="W96" s="634">
        <f t="shared" ref="W96" si="74">SUM(W88:W95)</f>
        <v>0</v>
      </c>
      <c r="X96" s="634">
        <f t="shared" ref="X96" si="75">SUM(X88:X95)</f>
        <v>0</v>
      </c>
      <c r="Y96" s="634">
        <f t="shared" ref="Y96" si="76">SUM(Y88:Y95)</f>
        <v>0</v>
      </c>
      <c r="Z96" s="634">
        <f t="shared" ref="Z96" si="77">SUM(Z88:Z95)</f>
        <v>0</v>
      </c>
      <c r="AA96" s="634">
        <f t="shared" ref="AA96" si="78">SUM(AA88:AA95)</f>
        <v>0</v>
      </c>
      <c r="AB96" s="634">
        <f t="shared" ref="AB96" si="79">SUM(AB88:AB95)</f>
        <v>0</v>
      </c>
      <c r="AC96" s="634">
        <f t="shared" ref="AC96" si="80">SUM(AC88:AC95)</f>
        <v>0</v>
      </c>
      <c r="AD96" s="634">
        <f t="shared" ref="AD96" si="81">SUM(AD88:AD95)</f>
        <v>0</v>
      </c>
      <c r="AE96" s="634">
        <f t="shared" ref="AE96" si="82">SUM(AE88:AE95)</f>
        <v>0</v>
      </c>
      <c r="AF96" s="634">
        <f t="shared" ref="AF96" si="83">SUM(AF88:AF95)</f>
        <v>0</v>
      </c>
      <c r="AG96" s="634">
        <f t="shared" ref="AG96" si="84">SUM(AG88:AG95)</f>
        <v>0</v>
      </c>
      <c r="AH96" s="634">
        <f t="shared" ref="AH96" si="85">SUM(AH88:AH95)</f>
        <v>0</v>
      </c>
      <c r="AI96" s="634">
        <f t="shared" ref="AI96" si="86">SUM(AI88:AI95)</f>
        <v>0</v>
      </c>
      <c r="AJ96" s="634">
        <f t="shared" ref="AJ96" si="87">SUM(AJ88:AJ95)</f>
        <v>0</v>
      </c>
      <c r="AK96" s="634">
        <f t="shared" ref="AK96" si="88">SUM(AK88:AK95)</f>
        <v>0</v>
      </c>
      <c r="AL96" s="634">
        <f t="shared" ref="AL96" si="89">SUM(AL88:AL95)</f>
        <v>0</v>
      </c>
      <c r="AM96" s="634">
        <f t="shared" ref="AM96" si="90">SUM(AM88:AM95)</f>
        <v>0</v>
      </c>
      <c r="AN96" s="634">
        <f t="shared" ref="AN96" si="91">SUM(AN88:AN95)</f>
        <v>0</v>
      </c>
      <c r="AO96" s="634">
        <f t="shared" ref="AO96" si="92">SUM(AO88:AO95)</f>
        <v>0</v>
      </c>
      <c r="AP96" s="634">
        <f t="shared" ref="AP96" si="93">SUM(AP88:AP95)</f>
        <v>0</v>
      </c>
      <c r="AQ96" s="634">
        <f t="shared" ref="AQ96" si="94">SUM(AQ88:AQ95)</f>
        <v>0</v>
      </c>
      <c r="AR96" s="634">
        <f t="shared" ref="AR96" si="95">SUM(AR88:AR95)</f>
        <v>0</v>
      </c>
      <c r="AS96" s="634">
        <f t="shared" ref="AS96" si="96">SUM(AS88:AS95)</f>
        <v>0</v>
      </c>
      <c r="AT96" s="634">
        <f t="shared" ref="AT96" si="97">SUM(AT88:AT95)</f>
        <v>0</v>
      </c>
      <c r="AU96" s="634">
        <f t="shared" ref="AU96" si="98">SUM(AU88:AU95)</f>
        <v>0</v>
      </c>
      <c r="AV96" s="634">
        <f t="shared" ref="AV96" si="99">SUM(AV88:AV95)</f>
        <v>0</v>
      </c>
      <c r="AW96" s="634">
        <f t="shared" ref="AW96" si="100">SUM(AW88:AW95)</f>
        <v>0</v>
      </c>
      <c r="AX96" s="634">
        <f t="shared" ref="AX96" si="101">SUM(AX88:AX95)</f>
        <v>0</v>
      </c>
      <c r="AY96" s="634">
        <f t="shared" ref="AY96" si="102">SUM(AY88:AY95)</f>
        <v>0</v>
      </c>
      <c r="AZ96" s="634">
        <f t="shared" ref="AZ96" si="103">SUM(AZ88:AZ95)</f>
        <v>0</v>
      </c>
      <c r="BA96" s="634">
        <f t="shared" ref="BA96" si="104">SUM(BA88:BA95)</f>
        <v>0</v>
      </c>
      <c r="BB96" s="634">
        <f t="shared" ref="BB96" si="105">SUM(BB88:BB95)</f>
        <v>0</v>
      </c>
      <c r="BC96" s="634">
        <f t="shared" ref="BC96" si="106">SUM(BC88:BC95)</f>
        <v>0</v>
      </c>
      <c r="BD96" s="634">
        <f t="shared" ref="BD96" si="107">SUM(BD88:BD95)</f>
        <v>0</v>
      </c>
      <c r="BE96" s="634">
        <f t="shared" ref="BE96" si="108">SUM(BE88:BE95)</f>
        <v>0</v>
      </c>
      <c r="BF96" s="634">
        <f t="shared" ref="BF96" si="109">SUM(BF88:BF95)</f>
        <v>0</v>
      </c>
      <c r="BG96" s="634">
        <f t="shared" ref="BG96" si="110">SUM(BG88:BG95)</f>
        <v>0</v>
      </c>
      <c r="BH96" s="634">
        <f t="shared" ref="BH96" si="111">SUM(BH88:BH95)</f>
        <v>0</v>
      </c>
      <c r="BI96" s="634">
        <f t="shared" ref="BI96" si="112">SUM(BI88:BI95)</f>
        <v>0</v>
      </c>
      <c r="BJ96" s="634">
        <f t="shared" ref="BJ96" si="113">SUM(BJ88:BJ95)</f>
        <v>0</v>
      </c>
      <c r="BK96" s="634">
        <f t="shared" ref="BK96" si="114">SUM(BK88:BK95)</f>
        <v>0</v>
      </c>
      <c r="BL96" s="634">
        <f t="shared" ref="BL96" si="115">SUM(BL88:BL95)</f>
        <v>0</v>
      </c>
      <c r="BM96" s="634">
        <f t="shared" ref="BM96" si="116">SUM(BM88:BM95)</f>
        <v>0</v>
      </c>
      <c r="BN96" s="634">
        <f t="shared" ref="BN96" si="117">SUM(BN88:BN95)</f>
        <v>0</v>
      </c>
      <c r="BO96" s="634">
        <f t="shared" ref="BO96" si="118">SUM(BO88:BO95)</f>
        <v>0</v>
      </c>
      <c r="BP96" s="634">
        <f t="shared" ref="BP96" si="119">SUM(BP88:BP95)</f>
        <v>0</v>
      </c>
      <c r="BQ96" s="634">
        <f t="shared" ref="BQ96" si="120">SUM(BQ88:BQ95)</f>
        <v>0</v>
      </c>
      <c r="BR96" s="634">
        <f t="shared" ref="BR96" si="121">SUM(BR88:BR95)</f>
        <v>0</v>
      </c>
      <c r="BS96" s="634">
        <f t="shared" ref="BS96" si="122">SUM(BS88:BS95)</f>
        <v>0</v>
      </c>
      <c r="BT96" s="634">
        <f t="shared" ref="BT96" si="123">SUM(BT88:BT95)</f>
        <v>0</v>
      </c>
      <c r="BU96" s="634">
        <f t="shared" ref="BU96" si="124">SUM(BU88:BU95)</f>
        <v>0</v>
      </c>
      <c r="BV96" s="634">
        <f t="shared" ref="BV96" si="125">SUM(BV88:BV95)</f>
        <v>0</v>
      </c>
      <c r="BW96" s="634">
        <f t="shared" ref="BW96" si="126">SUM(BW88:BW95)</f>
        <v>0</v>
      </c>
      <c r="BX96" s="634">
        <f t="shared" ref="BX96" si="127">SUM(BX88:BX95)</f>
        <v>0</v>
      </c>
      <c r="BY96" s="634">
        <f t="shared" ref="BY96" si="128">SUM(BY88:BY95)</f>
        <v>0</v>
      </c>
      <c r="BZ96" s="634">
        <f t="shared" ref="BZ96" si="129">SUM(BZ88:BZ95)</f>
        <v>0</v>
      </c>
      <c r="CA96" s="634">
        <f t="shared" ref="CA96" si="130">SUM(CA88:CA95)</f>
        <v>0</v>
      </c>
      <c r="CB96" s="634">
        <f t="shared" ref="CB96" si="131">SUM(CB88:CB95)</f>
        <v>0</v>
      </c>
      <c r="CC96" s="634">
        <f t="shared" ref="CC96" si="132">SUM(CC88:CC95)</f>
        <v>0</v>
      </c>
      <c r="CD96" s="634">
        <f t="shared" ref="CD96" si="133">SUM(CD88:CD95)</f>
        <v>0</v>
      </c>
      <c r="CE96" s="634">
        <f t="shared" ref="CE96" si="134">SUM(CE88:CE95)</f>
        <v>0</v>
      </c>
      <c r="CF96" s="634">
        <f t="shared" ref="CF96" si="135">SUM(CF88:CF95)</f>
        <v>0</v>
      </c>
      <c r="CG96" s="634">
        <f t="shared" ref="CG96" si="136">SUM(CG88:CG95)</f>
        <v>0</v>
      </c>
      <c r="CH96" s="634">
        <f t="shared" ref="CH96" si="137">SUM(CH88:CH95)</f>
        <v>0</v>
      </c>
      <c r="CI96" s="634">
        <f t="shared" ref="CI96" si="138">SUM(CI88:CI95)</f>
        <v>0</v>
      </c>
      <c r="CJ96" s="634">
        <f t="shared" ref="CJ96" si="139">SUM(CJ88:CJ95)</f>
        <v>0</v>
      </c>
      <c r="CK96" s="634">
        <f t="shared" ref="CK96" si="140">SUM(CK88:CK95)</f>
        <v>0</v>
      </c>
      <c r="CL96" s="634">
        <f t="shared" ref="CL96" si="141">SUM(CL88:CL95)</f>
        <v>0</v>
      </c>
      <c r="CM96" s="634">
        <f t="shared" ref="CM96" si="142">SUM(CM88:CM95)</f>
        <v>0</v>
      </c>
      <c r="CN96" s="634">
        <f t="shared" ref="CN96" si="143">SUM(CN88:CN95)</f>
        <v>0</v>
      </c>
      <c r="CO96" s="634">
        <f t="shared" ref="CO96" si="144">SUM(CO88:CO95)</f>
        <v>0</v>
      </c>
      <c r="CP96" s="634">
        <f t="shared" ref="CP96" si="145">SUM(CP88:CP95)</f>
        <v>0</v>
      </c>
      <c r="CQ96" s="634">
        <f t="shared" ref="CQ96" si="146">SUM(CQ88:CQ95)</f>
        <v>0</v>
      </c>
      <c r="CR96" s="634">
        <f t="shared" ref="CR96" si="147">SUM(CR88:CR95)</f>
        <v>0</v>
      </c>
      <c r="CS96" s="634">
        <f t="shared" ref="CS96" si="148">SUM(CS88:CS95)</f>
        <v>0</v>
      </c>
      <c r="CT96" s="634">
        <f t="shared" ref="CT96" si="149">SUM(CT88:CT95)</f>
        <v>0</v>
      </c>
      <c r="CU96" s="634">
        <f t="shared" ref="CU96" si="150">SUM(CU88:CU95)</f>
        <v>0</v>
      </c>
      <c r="CV96" s="634">
        <f t="shared" ref="CV96" si="151">SUM(CV88:CV95)</f>
        <v>0</v>
      </c>
      <c r="CW96" s="634">
        <f t="shared" ref="CW96" si="152">SUM(CW88:CW95)</f>
        <v>0</v>
      </c>
      <c r="CX96" s="634">
        <f t="shared" ref="CX96" si="153">SUM(CX88:CX95)</f>
        <v>0</v>
      </c>
      <c r="CY96" s="634">
        <f t="shared" ref="CY96" si="154">SUM(CY88:CY95)</f>
        <v>0</v>
      </c>
      <c r="CZ96" s="634">
        <f t="shared" ref="CZ96" si="155">SUM(CZ88:CZ95)</f>
        <v>0</v>
      </c>
      <c r="DA96" s="634">
        <f t="shared" ref="DA96" si="156">SUM(DA88:DA95)</f>
        <v>0</v>
      </c>
      <c r="DB96" s="634">
        <f t="shared" ref="DB96" si="157">SUM(DB88:DB95)</f>
        <v>0</v>
      </c>
      <c r="DC96" s="634">
        <f t="shared" ref="DC96" si="158">SUM(DC88:DC95)</f>
        <v>0</v>
      </c>
      <c r="DD96" s="634">
        <f t="shared" ref="DD96" si="159">SUM(DD88:DD95)</f>
        <v>0</v>
      </c>
      <c r="DE96" s="634">
        <f t="shared" ref="DE96" si="160">SUM(DE88:DE95)</f>
        <v>0</v>
      </c>
      <c r="DF96" s="634">
        <f t="shared" ref="DF96" si="161">SUM(DF88:DF95)</f>
        <v>0</v>
      </c>
      <c r="DG96" s="634">
        <f t="shared" ref="DG96" si="162">SUM(DG88:DG95)</f>
        <v>0</v>
      </c>
      <c r="DH96" s="634">
        <f t="shared" ref="DH96" si="163">SUM(DH88:DH95)</f>
        <v>0</v>
      </c>
      <c r="DI96" s="634">
        <f t="shared" ref="DI96" si="164">SUM(DI88:DI95)</f>
        <v>0</v>
      </c>
      <c r="DJ96" s="634">
        <f t="shared" ref="DJ96" si="165">SUM(DJ88:DJ95)</f>
        <v>0</v>
      </c>
      <c r="DK96" s="634">
        <f t="shared" ref="DK96" si="166">SUM(DK88:DK95)</f>
        <v>0</v>
      </c>
      <c r="DL96" s="634">
        <f t="shared" ref="DL96" si="167">SUM(DL88:DL95)</f>
        <v>0</v>
      </c>
      <c r="DM96" s="634">
        <f t="shared" ref="DM96" si="168">SUM(DM88:DM95)</f>
        <v>0</v>
      </c>
      <c r="DN96" s="634">
        <f t="shared" ref="DN96" si="169">SUM(DN88:DN95)</f>
        <v>0</v>
      </c>
      <c r="DO96" s="634">
        <f t="shared" ref="DO96" si="170">SUM(DO88:DO95)</f>
        <v>0</v>
      </c>
      <c r="DP96" s="666"/>
      <c r="DQ96" s="638" t="e">
        <f>XIRR(S96:DO96,$S$87:$DO$87)</f>
        <v>#NUM!</v>
      </c>
      <c r="DR96" s="636">
        <f t="shared" ref="DR96:DX96" si="171">SUM(DR88:DR95)</f>
        <v>0</v>
      </c>
      <c r="DS96" s="636">
        <f t="shared" si="171"/>
        <v>0</v>
      </c>
      <c r="DT96" s="636">
        <f t="shared" si="171"/>
        <v>0</v>
      </c>
      <c r="DU96" s="636">
        <f t="shared" si="171"/>
        <v>0</v>
      </c>
      <c r="DV96" s="636">
        <f t="shared" si="171"/>
        <v>0</v>
      </c>
      <c r="DW96" s="636">
        <f t="shared" si="171"/>
        <v>0</v>
      </c>
      <c r="DX96" s="636">
        <f t="shared" si="171"/>
        <v>0</v>
      </c>
      <c r="DY96" s="636">
        <f>SUM(DY88:DY95)</f>
        <v>0</v>
      </c>
      <c r="DZ96" s="636">
        <f>SUM(DZ88:DZ95)</f>
        <v>0</v>
      </c>
      <c r="EA96" s="636">
        <f>SUM(EA88:EA95)</f>
        <v>0</v>
      </c>
    </row>
    <row r="97" spans="1:131" ht="14.25" thickBot="1">
      <c r="A97" s="172"/>
      <c r="B97" s="667"/>
      <c r="C97" s="592" t="s">
        <v>3609</v>
      </c>
      <c r="D97" s="648">
        <f>D85+1</f>
        <v>4</v>
      </c>
      <c r="E97" s="649"/>
      <c r="F97" s="603"/>
      <c r="G97" s="603"/>
      <c r="I97" s="650" t="b">
        <f>I108=DR99</f>
        <v>1</v>
      </c>
      <c r="J97" s="172"/>
      <c r="K97" s="172"/>
      <c r="L97" s="172"/>
      <c r="M97" s="172"/>
      <c r="N97" s="172"/>
      <c r="O97" s="172"/>
      <c r="P97" s="172"/>
      <c r="Q97" s="639" t="str">
        <f>IF(Q108=NAV!E333,"자본금과 일치","자본금과 불일치")</f>
        <v>자본금과 일치</v>
      </c>
      <c r="R97" s="172"/>
      <c r="S97" s="172"/>
      <c r="T97" s="172"/>
      <c r="U97" s="172"/>
      <c r="V97" s="172"/>
      <c r="W97" s="172"/>
      <c r="X97" s="172"/>
      <c r="Y97" s="172"/>
      <c r="Z97" s="172"/>
      <c r="AA97" s="172"/>
      <c r="AB97" s="172"/>
      <c r="AC97" s="172"/>
      <c r="AD97" s="172"/>
      <c r="AE97" s="172"/>
      <c r="AF97" s="172"/>
      <c r="AG97" s="172"/>
      <c r="AH97" s="172"/>
      <c r="AI97" s="172"/>
      <c r="AJ97" s="172"/>
      <c r="AK97" s="172"/>
      <c r="AL97" s="172"/>
      <c r="AM97" s="172"/>
      <c r="AN97" s="172"/>
      <c r="AO97" s="172"/>
      <c r="AP97" s="172"/>
      <c r="AQ97" s="172"/>
      <c r="AR97" s="172"/>
      <c r="AS97" s="172"/>
      <c r="AT97" s="172"/>
      <c r="AU97" s="172"/>
      <c r="AV97" s="172"/>
      <c r="AW97" s="172"/>
      <c r="AX97" s="172"/>
      <c r="AY97" s="172"/>
      <c r="AZ97" s="172"/>
      <c r="BA97" s="172"/>
      <c r="BB97" s="172"/>
      <c r="BC97" s="172"/>
      <c r="BD97" s="172"/>
      <c r="BE97" s="172"/>
      <c r="BF97" s="172"/>
      <c r="BG97" s="172"/>
      <c r="BH97" s="172"/>
      <c r="BI97" s="172"/>
      <c r="BJ97" s="172"/>
      <c r="BK97" s="172"/>
      <c r="BL97" s="172"/>
      <c r="BM97" s="172"/>
      <c r="BN97" s="172"/>
      <c r="BO97" s="172"/>
      <c r="BP97" s="172"/>
      <c r="BQ97" s="172"/>
      <c r="BR97" s="172"/>
      <c r="BS97" s="172"/>
      <c r="BT97" s="172"/>
      <c r="BU97" s="172"/>
      <c r="BV97" s="172"/>
      <c r="BW97" s="172"/>
      <c r="BX97" s="172"/>
      <c r="BY97" s="172"/>
      <c r="BZ97" s="172"/>
      <c r="CA97" s="172"/>
      <c r="CB97" s="172"/>
      <c r="CC97" s="172"/>
      <c r="CD97" s="172"/>
      <c r="CE97" s="172"/>
      <c r="CF97" s="172"/>
      <c r="CG97" s="172"/>
      <c r="CH97" s="172"/>
      <c r="CI97" s="172"/>
      <c r="CJ97" s="172"/>
      <c r="CK97" s="172"/>
      <c r="CL97" s="172"/>
      <c r="CM97" s="172"/>
      <c r="CN97" s="172"/>
      <c r="CO97" s="172"/>
      <c r="CP97" s="172"/>
      <c r="CQ97" s="172"/>
      <c r="CR97" s="172"/>
      <c r="CS97" s="172"/>
      <c r="CT97" s="172"/>
      <c r="CU97" s="172"/>
      <c r="CV97" s="172"/>
      <c r="CW97" s="172"/>
      <c r="CX97" s="172"/>
      <c r="CY97" s="172"/>
      <c r="CZ97" s="172"/>
      <c r="DA97" s="172"/>
      <c r="DB97" s="172"/>
      <c r="DC97" s="172"/>
      <c r="DD97" s="172"/>
      <c r="DE97" s="172"/>
      <c r="DF97" s="172"/>
      <c r="DG97" s="172"/>
      <c r="DH97" s="172"/>
      <c r="DI97" s="172"/>
      <c r="DJ97" s="172"/>
      <c r="DK97" s="172"/>
      <c r="DL97" s="172"/>
      <c r="DM97" s="172"/>
      <c r="DN97" s="172"/>
      <c r="DO97" s="588" t="s">
        <v>219</v>
      </c>
      <c r="DP97" s="588" t="str">
        <f>IF(ROUND(_xlfn.AGGREGATE(9,6,DP100:DP107),5)=ROUND(_xlfn.AGGREGATE(9,6,DQ100:DQ107),5),"이상없음","기준수익률확인")</f>
        <v>이상없음</v>
      </c>
      <c r="DQ97" s="172"/>
      <c r="DR97" s="651" t="s">
        <v>3406</v>
      </c>
      <c r="DS97" s="172"/>
      <c r="DT97" s="615"/>
      <c r="DU97" s="615"/>
      <c r="DV97" s="172"/>
      <c r="DW97" s="172"/>
      <c r="DX97" s="615"/>
      <c r="DY97" s="172"/>
      <c r="DZ97" s="172"/>
      <c r="EA97" s="172"/>
    </row>
    <row r="98" spans="1:131" ht="13.5">
      <c r="A98" s="652" t="str">
        <f t="shared" ref="A98:A106" si="172">$B$97&amp;B98</f>
        <v>SPC명</v>
      </c>
      <c r="B98" s="653" t="s">
        <v>349</v>
      </c>
      <c r="C98" s="780"/>
      <c r="D98" s="780"/>
      <c r="E98" s="780"/>
      <c r="F98" s="230"/>
      <c r="G98" s="230"/>
      <c r="I98" s="776" t="s">
        <v>3393</v>
      </c>
      <c r="J98" s="776" t="s">
        <v>3394</v>
      </c>
      <c r="K98" s="774" t="s">
        <v>3395</v>
      </c>
      <c r="L98" s="774" t="s">
        <v>3396</v>
      </c>
      <c r="M98" s="774" t="s">
        <v>203</v>
      </c>
      <c r="N98" s="774" t="s">
        <v>211</v>
      </c>
      <c r="O98" s="774" t="s">
        <v>3399</v>
      </c>
      <c r="P98" s="776" t="s">
        <v>239</v>
      </c>
      <c r="Q98" s="774" t="s">
        <v>3401</v>
      </c>
      <c r="R98" s="774" t="s">
        <v>3402</v>
      </c>
      <c r="S98" s="593"/>
      <c r="T98" s="593"/>
      <c r="U98" s="593"/>
      <c r="V98" s="593"/>
      <c r="W98" s="593"/>
      <c r="X98" s="593"/>
      <c r="Y98" s="593"/>
      <c r="Z98" s="593"/>
      <c r="AA98" s="593"/>
      <c r="AB98" s="593"/>
      <c r="AC98" s="593"/>
      <c r="AD98" s="593"/>
      <c r="AE98" s="593"/>
      <c r="AF98" s="593"/>
      <c r="AG98" s="593"/>
      <c r="AH98" s="593"/>
      <c r="AI98" s="593"/>
      <c r="AJ98" s="593"/>
      <c r="AK98" s="593"/>
      <c r="AL98" s="593"/>
      <c r="AM98" s="593"/>
      <c r="AN98" s="593"/>
      <c r="AO98" s="593"/>
      <c r="AP98" s="593"/>
      <c r="AQ98" s="593"/>
      <c r="AR98" s="593"/>
      <c r="AS98" s="593"/>
      <c r="AT98" s="593"/>
      <c r="AU98" s="593"/>
      <c r="AV98" s="593"/>
      <c r="AW98" s="593"/>
      <c r="AX98" s="593"/>
      <c r="AY98" s="593"/>
      <c r="AZ98" s="593"/>
      <c r="BA98" s="593"/>
      <c r="BB98" s="593"/>
      <c r="BC98" s="593"/>
      <c r="BD98" s="593"/>
      <c r="BE98" s="593"/>
      <c r="BF98" s="593"/>
      <c r="BG98" s="593"/>
      <c r="BH98" s="593"/>
      <c r="BI98" s="593"/>
      <c r="BJ98" s="593"/>
      <c r="BK98" s="593"/>
      <c r="BL98" s="593"/>
      <c r="BM98" s="593"/>
      <c r="BN98" s="593"/>
      <c r="BO98" s="593"/>
      <c r="BP98" s="593"/>
      <c r="BQ98" s="593"/>
      <c r="BR98" s="593"/>
      <c r="BS98" s="593"/>
      <c r="BT98" s="593"/>
      <c r="BU98" s="593"/>
      <c r="BV98" s="593"/>
      <c r="BW98" s="593"/>
      <c r="BX98" s="593"/>
      <c r="BY98" s="593"/>
      <c r="BZ98" s="593"/>
      <c r="CA98" s="593"/>
      <c r="CB98" s="593"/>
      <c r="CC98" s="593"/>
      <c r="CD98" s="593"/>
      <c r="CE98" s="593"/>
      <c r="CF98" s="593"/>
      <c r="CG98" s="593"/>
      <c r="CH98" s="593"/>
      <c r="CI98" s="593"/>
      <c r="CJ98" s="593"/>
      <c r="CK98" s="593"/>
      <c r="CL98" s="593"/>
      <c r="CM98" s="593"/>
      <c r="CN98" s="593"/>
      <c r="CO98" s="593"/>
      <c r="CP98" s="593"/>
      <c r="CQ98" s="593"/>
      <c r="CR98" s="593"/>
      <c r="CS98" s="593"/>
      <c r="CT98" s="593"/>
      <c r="CU98" s="593"/>
      <c r="CV98" s="593"/>
      <c r="CW98" s="593"/>
      <c r="CX98" s="593"/>
      <c r="CY98" s="593"/>
      <c r="CZ98" s="593"/>
      <c r="DA98" s="593"/>
      <c r="DB98" s="593"/>
      <c r="DC98" s="593"/>
      <c r="DD98" s="593"/>
      <c r="DE98" s="593"/>
      <c r="DF98" s="593"/>
      <c r="DG98" s="593"/>
      <c r="DH98" s="593"/>
      <c r="DI98" s="593"/>
      <c r="DJ98" s="593"/>
      <c r="DK98" s="593"/>
      <c r="DL98" s="593"/>
      <c r="DM98" s="593"/>
      <c r="DN98" s="593"/>
      <c r="DO98" s="594" t="s">
        <v>220</v>
      </c>
      <c r="DP98" s="774" t="s">
        <v>218</v>
      </c>
      <c r="DQ98" s="774" t="s">
        <v>222</v>
      </c>
      <c r="DR98" s="594"/>
      <c r="DS98" s="594"/>
      <c r="DT98" s="594"/>
      <c r="DU98" s="594"/>
      <c r="DV98" s="594"/>
      <c r="DW98" s="594"/>
      <c r="DX98" s="594"/>
      <c r="DY98" s="594"/>
      <c r="DZ98" s="594"/>
      <c r="EA98" s="602"/>
    </row>
    <row r="99" spans="1:131" ht="14.25" thickBot="1">
      <c r="A99" s="652" t="str">
        <f t="shared" si="172"/>
        <v>유형</v>
      </c>
      <c r="B99" s="653" t="s">
        <v>360</v>
      </c>
      <c r="C99" s="780"/>
      <c r="D99" s="780"/>
      <c r="E99" s="780"/>
      <c r="F99" s="230"/>
      <c r="G99" s="230"/>
      <c r="I99" s="777"/>
      <c r="J99" s="777"/>
      <c r="K99" s="775"/>
      <c r="L99" s="775"/>
      <c r="M99" s="775"/>
      <c r="N99" s="775"/>
      <c r="O99" s="775"/>
      <c r="P99" s="777"/>
      <c r="Q99" s="775"/>
      <c r="R99" s="775"/>
      <c r="S99" s="601"/>
      <c r="T99" s="601"/>
      <c r="U99" s="601"/>
      <c r="V99" s="601"/>
      <c r="W99" s="601"/>
      <c r="X99" s="601"/>
      <c r="Y99" s="601"/>
      <c r="Z99" s="601"/>
      <c r="AA99" s="601"/>
      <c r="AB99" s="601"/>
      <c r="AC99" s="601"/>
      <c r="AD99" s="601"/>
      <c r="AE99" s="601"/>
      <c r="AF99" s="601"/>
      <c r="AG99" s="601"/>
      <c r="AH99" s="601"/>
      <c r="AI99" s="601"/>
      <c r="AJ99" s="601"/>
      <c r="AK99" s="601"/>
      <c r="AL99" s="601"/>
      <c r="AM99" s="601"/>
      <c r="AN99" s="601"/>
      <c r="AO99" s="601"/>
      <c r="AP99" s="601"/>
      <c r="AQ99" s="601"/>
      <c r="AR99" s="601"/>
      <c r="AS99" s="601"/>
      <c r="AT99" s="601"/>
      <c r="AU99" s="601"/>
      <c r="AV99" s="601"/>
      <c r="AW99" s="601"/>
      <c r="AX99" s="601"/>
      <c r="AY99" s="601"/>
      <c r="AZ99" s="601"/>
      <c r="BA99" s="601"/>
      <c r="BB99" s="601"/>
      <c r="BC99" s="601"/>
      <c r="BD99" s="601"/>
      <c r="BE99" s="601"/>
      <c r="BF99" s="601"/>
      <c r="BG99" s="601"/>
      <c r="BH99" s="601"/>
      <c r="BI99" s="601"/>
      <c r="BJ99" s="601"/>
      <c r="BK99" s="601"/>
      <c r="BL99" s="601"/>
      <c r="BM99" s="601"/>
      <c r="BN99" s="601"/>
      <c r="BO99" s="601"/>
      <c r="BP99" s="601"/>
      <c r="BQ99" s="601"/>
      <c r="BR99" s="601"/>
      <c r="BS99" s="601"/>
      <c r="BT99" s="601"/>
      <c r="BU99" s="601"/>
      <c r="BV99" s="601"/>
      <c r="BW99" s="601"/>
      <c r="BX99" s="601"/>
      <c r="BY99" s="601"/>
      <c r="BZ99" s="601"/>
      <c r="CA99" s="601"/>
      <c r="CB99" s="601"/>
      <c r="CC99" s="601"/>
      <c r="CD99" s="601"/>
      <c r="CE99" s="601"/>
      <c r="CF99" s="601"/>
      <c r="CG99" s="601"/>
      <c r="CH99" s="601"/>
      <c r="CI99" s="601"/>
      <c r="CJ99" s="601"/>
      <c r="CK99" s="601"/>
      <c r="CL99" s="601"/>
      <c r="CM99" s="601"/>
      <c r="CN99" s="601"/>
      <c r="CO99" s="601"/>
      <c r="CP99" s="601"/>
      <c r="CQ99" s="601"/>
      <c r="CR99" s="601"/>
      <c r="CS99" s="601"/>
      <c r="CT99" s="601"/>
      <c r="CU99" s="601"/>
      <c r="CV99" s="601"/>
      <c r="CW99" s="601"/>
      <c r="CX99" s="601"/>
      <c r="CY99" s="601"/>
      <c r="CZ99" s="601"/>
      <c r="DA99" s="601"/>
      <c r="DB99" s="601"/>
      <c r="DC99" s="601"/>
      <c r="DD99" s="601"/>
      <c r="DE99" s="601"/>
      <c r="DF99" s="601"/>
      <c r="DG99" s="601"/>
      <c r="DH99" s="601"/>
      <c r="DI99" s="601"/>
      <c r="DJ99" s="601"/>
      <c r="DK99" s="601"/>
      <c r="DL99" s="601"/>
      <c r="DM99" s="601"/>
      <c r="DN99" s="601"/>
      <c r="DO99" s="654">
        <f>$DO$7</f>
        <v>45473</v>
      </c>
      <c r="DP99" s="775"/>
      <c r="DQ99" s="775"/>
      <c r="DR99" s="595">
        <f>NAV!E339</f>
        <v>0</v>
      </c>
      <c r="DS99" s="596">
        <f>DR99-DR108</f>
        <v>0</v>
      </c>
      <c r="DT99" s="596"/>
      <c r="DU99" s="596"/>
      <c r="DV99" s="597"/>
      <c r="DW99" s="596"/>
      <c r="DX99" s="596"/>
      <c r="DY99" s="596"/>
      <c r="DZ99" s="655"/>
      <c r="EA99" s="656"/>
    </row>
    <row r="100" spans="1:131" ht="13.5" customHeight="1">
      <c r="A100" s="652" t="str">
        <f t="shared" si="172"/>
        <v>설정일</v>
      </c>
      <c r="B100" s="653" t="s">
        <v>361</v>
      </c>
      <c r="C100" s="781"/>
      <c r="D100" s="780"/>
      <c r="E100" s="780"/>
      <c r="F100" s="230"/>
      <c r="G100" s="230"/>
      <c r="I100" s="657">
        <f>SUM(DR100:EA100)</f>
        <v>0</v>
      </c>
      <c r="J100" s="606" t="str">
        <f>IFERROR(I100/(Q100/$C$102),"N/A")</f>
        <v>N/A</v>
      </c>
      <c r="K100" s="471"/>
      <c r="L100" s="607"/>
      <c r="M100" s="300"/>
      <c r="N100" s="608"/>
      <c r="O100" s="609">
        <f t="shared" ref="O100:O107" si="173">-(SUMIF($S$98:$DN$98,"최초출자",S100:DN100)+SUMIF($S$98:$DN$98,"추가출자",S100:DN100))</f>
        <v>0</v>
      </c>
      <c r="P100" s="609">
        <f t="shared" ref="P100:P107" si="174">SUMIF($S$98:$DN$98,"이익분배",S100:DN100)+SUMIF($S$98:$DN$98,"원본분배",S100:DN100)</f>
        <v>0</v>
      </c>
      <c r="Q100" s="609">
        <f t="shared" ref="Q100:Q107" si="175">-(SUMIF($S$98:$DN$98,"최초출자",S100:DN100)+SUMIF($S$98:$DN$98,"추가출자",S100:DN100)+SUMIF($S$98:$DN$98,"원본분배",S100:DN100))</f>
        <v>0</v>
      </c>
      <c r="R100" s="610" t="str">
        <f>IFERROR(Q100/Q108,"")</f>
        <v/>
      </c>
      <c r="S100" s="658"/>
      <c r="T100" s="658"/>
      <c r="U100" s="658"/>
      <c r="V100" s="658"/>
      <c r="W100" s="658"/>
      <c r="X100" s="658"/>
      <c r="Y100" s="658"/>
      <c r="Z100" s="658"/>
      <c r="AA100" s="658"/>
      <c r="AB100" s="658"/>
      <c r="AC100" s="658"/>
      <c r="AD100" s="658"/>
      <c r="AE100" s="658"/>
      <c r="AF100" s="658"/>
      <c r="AG100" s="658"/>
      <c r="AH100" s="658"/>
      <c r="AI100" s="658"/>
      <c r="AJ100" s="658"/>
      <c r="AK100" s="658"/>
      <c r="AL100" s="658"/>
      <c r="AM100" s="658"/>
      <c r="AN100" s="658"/>
      <c r="AO100" s="658"/>
      <c r="AP100" s="658"/>
      <c r="AQ100" s="658"/>
      <c r="AR100" s="658"/>
      <c r="AS100" s="658"/>
      <c r="AT100" s="658"/>
      <c r="AU100" s="658"/>
      <c r="AV100" s="658"/>
      <c r="AW100" s="658"/>
      <c r="AX100" s="658"/>
      <c r="AY100" s="658"/>
      <c r="AZ100" s="658"/>
      <c r="BA100" s="658"/>
      <c r="BB100" s="658"/>
      <c r="BC100" s="658"/>
      <c r="BD100" s="658"/>
      <c r="BE100" s="658"/>
      <c r="BF100" s="658"/>
      <c r="BG100" s="658"/>
      <c r="BH100" s="658"/>
      <c r="BI100" s="658"/>
      <c r="BJ100" s="658"/>
      <c r="BK100" s="658"/>
      <c r="BL100" s="658"/>
      <c r="BM100" s="658"/>
      <c r="BN100" s="658"/>
      <c r="BO100" s="658"/>
      <c r="BP100" s="658"/>
      <c r="BQ100" s="658"/>
      <c r="BR100" s="658"/>
      <c r="BS100" s="658"/>
      <c r="BT100" s="658"/>
      <c r="BU100" s="658"/>
      <c r="BV100" s="658"/>
      <c r="BW100" s="658"/>
      <c r="BX100" s="658"/>
      <c r="BY100" s="658"/>
      <c r="BZ100" s="658"/>
      <c r="CA100" s="658"/>
      <c r="CB100" s="658"/>
      <c r="CC100" s="658"/>
      <c r="CD100" s="658"/>
      <c r="CE100" s="658"/>
      <c r="CF100" s="658"/>
      <c r="CG100" s="658"/>
      <c r="CH100" s="658"/>
      <c r="CI100" s="658"/>
      <c r="CJ100" s="658"/>
      <c r="CK100" s="658"/>
      <c r="CL100" s="658"/>
      <c r="CM100" s="658"/>
      <c r="CN100" s="658"/>
      <c r="CO100" s="658"/>
      <c r="CP100" s="658"/>
      <c r="CQ100" s="658"/>
      <c r="CR100" s="658"/>
      <c r="CS100" s="658"/>
      <c r="CT100" s="658"/>
      <c r="CU100" s="658"/>
      <c r="CV100" s="658"/>
      <c r="CW100" s="658"/>
      <c r="CX100" s="658"/>
      <c r="CY100" s="658"/>
      <c r="CZ100" s="658"/>
      <c r="DA100" s="658"/>
      <c r="DB100" s="658"/>
      <c r="DC100" s="658"/>
      <c r="DD100" s="658"/>
      <c r="DE100" s="658"/>
      <c r="DF100" s="658"/>
      <c r="DG100" s="658"/>
      <c r="DH100" s="658"/>
      <c r="DI100" s="658"/>
      <c r="DJ100" s="658"/>
      <c r="DK100" s="658"/>
      <c r="DL100" s="658"/>
      <c r="DM100" s="658"/>
      <c r="DN100" s="658"/>
      <c r="DO100" s="177">
        <f>IF(M100="",0,-XNPV(DP100,S100,S$99)*(1+DP100)^YEARFRAC($S$99,$DO$99,3))</f>
        <v>0</v>
      </c>
      <c r="DP100" s="612" t="e">
        <f>IF(HLOOKUP(L100,$C$107:$E$108,2,0)=0,1E-24%,HLOOKUP(L100,$C$107:$E$108,2,FALSE))</f>
        <v>#N/A</v>
      </c>
      <c r="DQ100" s="612" t="e">
        <f t="shared" ref="DQ100:DQ107" si="176">XIRR(S100:DO100,$S$99:$DO$99)</f>
        <v>#NUM!</v>
      </c>
      <c r="DR100" s="177"/>
      <c r="DS100" s="177"/>
      <c r="DT100" s="177"/>
      <c r="DU100" s="177"/>
      <c r="DV100" s="177"/>
      <c r="DW100" s="177"/>
      <c r="DX100" s="177"/>
      <c r="DY100" s="177"/>
      <c r="DZ100" s="177"/>
      <c r="EA100" s="613"/>
    </row>
    <row r="101" spans="1:131" ht="13.5">
      <c r="A101" s="652" t="str">
        <f t="shared" si="172"/>
        <v>출자잔액</v>
      </c>
      <c r="B101" s="653" t="s">
        <v>352</v>
      </c>
      <c r="C101" s="782"/>
      <c r="D101" s="782"/>
      <c r="E101" s="782"/>
      <c r="F101" s="230"/>
      <c r="G101" s="230"/>
      <c r="I101" s="657">
        <f t="shared" ref="I101:I107" si="177">SUM(DR101:EA101)</f>
        <v>0</v>
      </c>
      <c r="J101" s="606" t="str">
        <f t="shared" ref="J101:J107" si="178">IFERROR(I101/(Q101/$C$102),"N/A")</f>
        <v>N/A</v>
      </c>
      <c r="K101" s="471"/>
      <c r="L101" s="607"/>
      <c r="M101" s="300"/>
      <c r="N101" s="608"/>
      <c r="O101" s="609">
        <f t="shared" si="173"/>
        <v>0</v>
      </c>
      <c r="P101" s="609">
        <f t="shared" si="174"/>
        <v>0</v>
      </c>
      <c r="Q101" s="609">
        <f t="shared" si="175"/>
        <v>0</v>
      </c>
      <c r="R101" s="610" t="str">
        <f>IFERROR(Q101/Q108,"")</f>
        <v/>
      </c>
      <c r="S101" s="658"/>
      <c r="T101" s="658"/>
      <c r="U101" s="658"/>
      <c r="V101" s="658"/>
      <c r="W101" s="658"/>
      <c r="X101" s="658"/>
      <c r="Y101" s="658"/>
      <c r="Z101" s="658"/>
      <c r="AA101" s="658"/>
      <c r="AB101" s="658"/>
      <c r="AC101" s="658"/>
      <c r="AD101" s="658"/>
      <c r="AE101" s="658"/>
      <c r="AF101" s="658"/>
      <c r="AG101" s="658"/>
      <c r="AH101" s="658"/>
      <c r="AI101" s="658"/>
      <c r="AJ101" s="658"/>
      <c r="AK101" s="658"/>
      <c r="AL101" s="658"/>
      <c r="AM101" s="658"/>
      <c r="AN101" s="658"/>
      <c r="AO101" s="658"/>
      <c r="AP101" s="658"/>
      <c r="AQ101" s="658"/>
      <c r="AR101" s="658"/>
      <c r="AS101" s="658"/>
      <c r="AT101" s="658"/>
      <c r="AU101" s="658"/>
      <c r="AV101" s="658"/>
      <c r="AW101" s="658"/>
      <c r="AX101" s="658"/>
      <c r="AY101" s="658"/>
      <c r="AZ101" s="658"/>
      <c r="BA101" s="658"/>
      <c r="BB101" s="658"/>
      <c r="BC101" s="658"/>
      <c r="BD101" s="658"/>
      <c r="BE101" s="658"/>
      <c r="BF101" s="658"/>
      <c r="BG101" s="658"/>
      <c r="BH101" s="658"/>
      <c r="BI101" s="658"/>
      <c r="BJ101" s="658"/>
      <c r="BK101" s="658"/>
      <c r="BL101" s="658"/>
      <c r="BM101" s="658"/>
      <c r="BN101" s="658"/>
      <c r="BO101" s="658"/>
      <c r="BP101" s="658"/>
      <c r="BQ101" s="658"/>
      <c r="BR101" s="658"/>
      <c r="BS101" s="658"/>
      <c r="BT101" s="658"/>
      <c r="BU101" s="658"/>
      <c r="BV101" s="658"/>
      <c r="BW101" s="658"/>
      <c r="BX101" s="658"/>
      <c r="BY101" s="658"/>
      <c r="BZ101" s="658"/>
      <c r="CA101" s="658"/>
      <c r="CB101" s="658"/>
      <c r="CC101" s="658"/>
      <c r="CD101" s="658"/>
      <c r="CE101" s="658"/>
      <c r="CF101" s="658"/>
      <c r="CG101" s="658"/>
      <c r="CH101" s="658"/>
      <c r="CI101" s="658"/>
      <c r="CJ101" s="658"/>
      <c r="CK101" s="658"/>
      <c r="CL101" s="658"/>
      <c r="CM101" s="658"/>
      <c r="CN101" s="658"/>
      <c r="CO101" s="658"/>
      <c r="CP101" s="658"/>
      <c r="CQ101" s="658"/>
      <c r="CR101" s="658"/>
      <c r="CS101" s="658"/>
      <c r="CT101" s="658"/>
      <c r="CU101" s="658"/>
      <c r="CV101" s="658"/>
      <c r="CW101" s="658"/>
      <c r="CX101" s="658"/>
      <c r="CY101" s="658"/>
      <c r="CZ101" s="658"/>
      <c r="DA101" s="658"/>
      <c r="DB101" s="658"/>
      <c r="DC101" s="658"/>
      <c r="DD101" s="658"/>
      <c r="DE101" s="658"/>
      <c r="DF101" s="658"/>
      <c r="DG101" s="658"/>
      <c r="DH101" s="658"/>
      <c r="DI101" s="658"/>
      <c r="DJ101" s="658"/>
      <c r="DK101" s="658"/>
      <c r="DL101" s="658"/>
      <c r="DM101" s="658"/>
      <c r="DN101" s="658"/>
      <c r="DO101" s="177">
        <f t="shared" ref="DO101:DO107" si="179">IF(M101="",0,-XNPV(DP101,S101,S$99)*(1+DP101)^YEARFRAC($S$99,$DO$99,3))</f>
        <v>0</v>
      </c>
      <c r="DP101" s="612" t="e">
        <f t="shared" ref="DP101:DP107" si="180">IF(HLOOKUP(L101,$C$107:$E$108,2,0)=0,1E-24%,HLOOKUP(L101,$C$107:$E$108,2,FALSE))</f>
        <v>#N/A</v>
      </c>
      <c r="DQ101" s="612" t="e">
        <f t="shared" si="176"/>
        <v>#NUM!</v>
      </c>
      <c r="DR101" s="177"/>
      <c r="DS101" s="177"/>
      <c r="DT101" s="177"/>
      <c r="DU101" s="177"/>
      <c r="DV101" s="177"/>
      <c r="DW101" s="177"/>
      <c r="DX101" s="177"/>
      <c r="DY101" s="177"/>
      <c r="DZ101" s="177"/>
      <c r="EA101" s="613"/>
    </row>
    <row r="102" spans="1:131" ht="13.5">
      <c r="A102" s="652" t="str">
        <f t="shared" si="172"/>
        <v>1좌당 금액</v>
      </c>
      <c r="B102" s="653" t="s">
        <v>353</v>
      </c>
      <c r="C102" s="783"/>
      <c r="D102" s="783"/>
      <c r="E102" s="783"/>
      <c r="F102" s="230"/>
      <c r="G102" s="230"/>
      <c r="I102" s="657">
        <f t="shared" si="177"/>
        <v>0</v>
      </c>
      <c r="J102" s="606" t="str">
        <f t="shared" si="178"/>
        <v>N/A</v>
      </c>
      <c r="K102" s="471"/>
      <c r="L102" s="607"/>
      <c r="M102" s="300"/>
      <c r="N102" s="608"/>
      <c r="O102" s="609">
        <f t="shared" si="173"/>
        <v>0</v>
      </c>
      <c r="P102" s="609">
        <f t="shared" si="174"/>
        <v>0</v>
      </c>
      <c r="Q102" s="609">
        <f t="shared" si="175"/>
        <v>0</v>
      </c>
      <c r="R102" s="610" t="str">
        <f>IFERROR(Q102/Q108,"")</f>
        <v/>
      </c>
      <c r="S102" s="658"/>
      <c r="T102" s="658"/>
      <c r="U102" s="658"/>
      <c r="V102" s="658"/>
      <c r="W102" s="658"/>
      <c r="X102" s="658"/>
      <c r="Y102" s="658"/>
      <c r="Z102" s="658"/>
      <c r="AA102" s="658"/>
      <c r="AB102" s="658"/>
      <c r="AC102" s="658"/>
      <c r="AD102" s="658"/>
      <c r="AE102" s="658"/>
      <c r="AF102" s="658"/>
      <c r="AG102" s="658"/>
      <c r="AH102" s="658"/>
      <c r="AI102" s="658"/>
      <c r="AJ102" s="658"/>
      <c r="AK102" s="658"/>
      <c r="AL102" s="658"/>
      <c r="AM102" s="658"/>
      <c r="AN102" s="658"/>
      <c r="AO102" s="658"/>
      <c r="AP102" s="658"/>
      <c r="AQ102" s="658"/>
      <c r="AR102" s="658"/>
      <c r="AS102" s="658"/>
      <c r="AT102" s="658"/>
      <c r="AU102" s="658"/>
      <c r="AV102" s="658"/>
      <c r="AW102" s="658"/>
      <c r="AX102" s="658"/>
      <c r="AY102" s="658"/>
      <c r="AZ102" s="658"/>
      <c r="BA102" s="658"/>
      <c r="BB102" s="658"/>
      <c r="BC102" s="658"/>
      <c r="BD102" s="658"/>
      <c r="BE102" s="658"/>
      <c r="BF102" s="658"/>
      <c r="BG102" s="658"/>
      <c r="BH102" s="658"/>
      <c r="BI102" s="658"/>
      <c r="BJ102" s="658"/>
      <c r="BK102" s="658"/>
      <c r="BL102" s="658"/>
      <c r="BM102" s="658"/>
      <c r="BN102" s="658"/>
      <c r="BO102" s="658"/>
      <c r="BP102" s="658"/>
      <c r="BQ102" s="658"/>
      <c r="BR102" s="658"/>
      <c r="BS102" s="658"/>
      <c r="BT102" s="658"/>
      <c r="BU102" s="658"/>
      <c r="BV102" s="658"/>
      <c r="BW102" s="658"/>
      <c r="BX102" s="658"/>
      <c r="BY102" s="658"/>
      <c r="BZ102" s="658"/>
      <c r="CA102" s="658"/>
      <c r="CB102" s="658"/>
      <c r="CC102" s="658"/>
      <c r="CD102" s="658"/>
      <c r="CE102" s="658"/>
      <c r="CF102" s="658"/>
      <c r="CG102" s="658"/>
      <c r="CH102" s="658"/>
      <c r="CI102" s="658"/>
      <c r="CJ102" s="658"/>
      <c r="CK102" s="658"/>
      <c r="CL102" s="658"/>
      <c r="CM102" s="658"/>
      <c r="CN102" s="658"/>
      <c r="CO102" s="658"/>
      <c r="CP102" s="658"/>
      <c r="CQ102" s="658"/>
      <c r="CR102" s="658"/>
      <c r="CS102" s="658"/>
      <c r="CT102" s="658"/>
      <c r="CU102" s="658"/>
      <c r="CV102" s="658"/>
      <c r="CW102" s="658"/>
      <c r="CX102" s="658"/>
      <c r="CY102" s="658"/>
      <c r="CZ102" s="658"/>
      <c r="DA102" s="658"/>
      <c r="DB102" s="658"/>
      <c r="DC102" s="658"/>
      <c r="DD102" s="658"/>
      <c r="DE102" s="658"/>
      <c r="DF102" s="658"/>
      <c r="DG102" s="658"/>
      <c r="DH102" s="658"/>
      <c r="DI102" s="658"/>
      <c r="DJ102" s="658"/>
      <c r="DK102" s="658"/>
      <c r="DL102" s="658"/>
      <c r="DM102" s="658"/>
      <c r="DN102" s="658"/>
      <c r="DO102" s="177">
        <f t="shared" si="179"/>
        <v>0</v>
      </c>
      <c r="DP102" s="612" t="e">
        <f t="shared" si="180"/>
        <v>#N/A</v>
      </c>
      <c r="DQ102" s="612" t="e">
        <f t="shared" si="176"/>
        <v>#NUM!</v>
      </c>
      <c r="DR102" s="177"/>
      <c r="DS102" s="177"/>
      <c r="DT102" s="177"/>
      <c r="DU102" s="177"/>
      <c r="DV102" s="177"/>
      <c r="DW102" s="177"/>
      <c r="DX102" s="177"/>
      <c r="DY102" s="177"/>
      <c r="DZ102" s="177"/>
      <c r="EA102" s="613"/>
    </row>
    <row r="103" spans="1:131" ht="13.5">
      <c r="A103" s="652" t="str">
        <f t="shared" si="172"/>
        <v>기준수익률</v>
      </c>
      <c r="B103" s="653" t="s">
        <v>354</v>
      </c>
      <c r="C103" s="784"/>
      <c r="D103" s="785"/>
      <c r="E103" s="785"/>
      <c r="F103" s="230"/>
      <c r="G103" s="230"/>
      <c r="I103" s="657">
        <f t="shared" si="177"/>
        <v>0</v>
      </c>
      <c r="J103" s="606" t="str">
        <f t="shared" si="178"/>
        <v>N/A</v>
      </c>
      <c r="K103" s="471"/>
      <c r="L103" s="607"/>
      <c r="M103" s="300"/>
      <c r="N103" s="608"/>
      <c r="O103" s="609">
        <f t="shared" si="173"/>
        <v>0</v>
      </c>
      <c r="P103" s="609">
        <f t="shared" si="174"/>
        <v>0</v>
      </c>
      <c r="Q103" s="609">
        <f t="shared" si="175"/>
        <v>0</v>
      </c>
      <c r="R103" s="610" t="str">
        <f>IFERROR(Q103/Q108,"")</f>
        <v/>
      </c>
      <c r="S103" s="658"/>
      <c r="T103" s="658"/>
      <c r="U103" s="658"/>
      <c r="V103" s="658"/>
      <c r="W103" s="658"/>
      <c r="X103" s="658"/>
      <c r="Y103" s="658"/>
      <c r="Z103" s="658"/>
      <c r="AA103" s="658"/>
      <c r="AB103" s="658"/>
      <c r="AC103" s="658"/>
      <c r="AD103" s="658"/>
      <c r="AE103" s="658"/>
      <c r="AF103" s="658"/>
      <c r="AG103" s="658"/>
      <c r="AH103" s="658"/>
      <c r="AI103" s="658"/>
      <c r="AJ103" s="658"/>
      <c r="AK103" s="658"/>
      <c r="AL103" s="658"/>
      <c r="AM103" s="658"/>
      <c r="AN103" s="658"/>
      <c r="AO103" s="658"/>
      <c r="AP103" s="658"/>
      <c r="AQ103" s="658"/>
      <c r="AR103" s="658"/>
      <c r="AS103" s="658"/>
      <c r="AT103" s="658"/>
      <c r="AU103" s="658"/>
      <c r="AV103" s="658"/>
      <c r="AW103" s="658"/>
      <c r="AX103" s="658"/>
      <c r="AY103" s="658"/>
      <c r="AZ103" s="658"/>
      <c r="BA103" s="658"/>
      <c r="BB103" s="658"/>
      <c r="BC103" s="658"/>
      <c r="BD103" s="658"/>
      <c r="BE103" s="658"/>
      <c r="BF103" s="658"/>
      <c r="BG103" s="658"/>
      <c r="BH103" s="658"/>
      <c r="BI103" s="658"/>
      <c r="BJ103" s="658"/>
      <c r="BK103" s="658"/>
      <c r="BL103" s="658"/>
      <c r="BM103" s="658"/>
      <c r="BN103" s="658"/>
      <c r="BO103" s="658"/>
      <c r="BP103" s="658"/>
      <c r="BQ103" s="658"/>
      <c r="BR103" s="658"/>
      <c r="BS103" s="658"/>
      <c r="BT103" s="658"/>
      <c r="BU103" s="658"/>
      <c r="BV103" s="658"/>
      <c r="BW103" s="658"/>
      <c r="BX103" s="658"/>
      <c r="BY103" s="658"/>
      <c r="BZ103" s="658"/>
      <c r="CA103" s="658"/>
      <c r="CB103" s="658"/>
      <c r="CC103" s="658"/>
      <c r="CD103" s="658"/>
      <c r="CE103" s="658"/>
      <c r="CF103" s="658"/>
      <c r="CG103" s="658"/>
      <c r="CH103" s="658"/>
      <c r="CI103" s="658"/>
      <c r="CJ103" s="658"/>
      <c r="CK103" s="658"/>
      <c r="CL103" s="658"/>
      <c r="CM103" s="658"/>
      <c r="CN103" s="658"/>
      <c r="CO103" s="658"/>
      <c r="CP103" s="658"/>
      <c r="CQ103" s="658"/>
      <c r="CR103" s="658"/>
      <c r="CS103" s="658"/>
      <c r="CT103" s="658"/>
      <c r="CU103" s="658"/>
      <c r="CV103" s="658"/>
      <c r="CW103" s="658"/>
      <c r="CX103" s="658"/>
      <c r="CY103" s="658"/>
      <c r="CZ103" s="658"/>
      <c r="DA103" s="658"/>
      <c r="DB103" s="658"/>
      <c r="DC103" s="658"/>
      <c r="DD103" s="658"/>
      <c r="DE103" s="658"/>
      <c r="DF103" s="658"/>
      <c r="DG103" s="658"/>
      <c r="DH103" s="658"/>
      <c r="DI103" s="658"/>
      <c r="DJ103" s="658"/>
      <c r="DK103" s="658"/>
      <c r="DL103" s="658"/>
      <c r="DM103" s="658"/>
      <c r="DN103" s="658"/>
      <c r="DO103" s="177">
        <f t="shared" si="179"/>
        <v>0</v>
      </c>
      <c r="DP103" s="612" t="e">
        <f t="shared" si="180"/>
        <v>#N/A</v>
      </c>
      <c r="DQ103" s="612" t="e">
        <f t="shared" si="176"/>
        <v>#NUM!</v>
      </c>
      <c r="DR103" s="177"/>
      <c r="DS103" s="177"/>
      <c r="DT103" s="177"/>
      <c r="DU103" s="177"/>
      <c r="DV103" s="177"/>
      <c r="DW103" s="177"/>
      <c r="DX103" s="177"/>
      <c r="DY103" s="177"/>
      <c r="DZ103" s="177"/>
      <c r="EA103" s="613"/>
    </row>
    <row r="104" spans="1:131" ht="13.5">
      <c r="A104" s="652" t="str">
        <f t="shared" si="172"/>
        <v>평가방법론</v>
      </c>
      <c r="B104" s="653" t="s">
        <v>7</v>
      </c>
      <c r="C104" s="786"/>
      <c r="D104" s="786"/>
      <c r="E104" s="786"/>
      <c r="F104" s="230"/>
      <c r="G104" s="230"/>
      <c r="I104" s="657">
        <f t="shared" si="177"/>
        <v>0</v>
      </c>
      <c r="J104" s="606" t="str">
        <f t="shared" si="178"/>
        <v>N/A</v>
      </c>
      <c r="K104" s="471"/>
      <c r="L104" s="607"/>
      <c r="M104" s="300"/>
      <c r="N104" s="608"/>
      <c r="O104" s="609">
        <f t="shared" si="173"/>
        <v>0</v>
      </c>
      <c r="P104" s="609">
        <f t="shared" si="174"/>
        <v>0</v>
      </c>
      <c r="Q104" s="609">
        <f t="shared" si="175"/>
        <v>0</v>
      </c>
      <c r="R104" s="610" t="str">
        <f>IFERROR(Q104/Q108,"")</f>
        <v/>
      </c>
      <c r="S104" s="658"/>
      <c r="T104" s="658"/>
      <c r="U104" s="658"/>
      <c r="V104" s="658"/>
      <c r="W104" s="658"/>
      <c r="X104" s="658"/>
      <c r="Y104" s="658"/>
      <c r="Z104" s="658"/>
      <c r="AA104" s="658"/>
      <c r="AB104" s="658"/>
      <c r="AC104" s="658"/>
      <c r="AD104" s="658"/>
      <c r="AE104" s="658"/>
      <c r="AF104" s="658"/>
      <c r="AG104" s="658"/>
      <c r="AH104" s="658"/>
      <c r="AI104" s="658"/>
      <c r="AJ104" s="658"/>
      <c r="AK104" s="658"/>
      <c r="AL104" s="658"/>
      <c r="AM104" s="658"/>
      <c r="AN104" s="658"/>
      <c r="AO104" s="658"/>
      <c r="AP104" s="658"/>
      <c r="AQ104" s="658"/>
      <c r="AR104" s="658"/>
      <c r="AS104" s="658"/>
      <c r="AT104" s="658"/>
      <c r="AU104" s="658"/>
      <c r="AV104" s="658"/>
      <c r="AW104" s="658"/>
      <c r="AX104" s="658"/>
      <c r="AY104" s="658"/>
      <c r="AZ104" s="658"/>
      <c r="BA104" s="658"/>
      <c r="BB104" s="658"/>
      <c r="BC104" s="658"/>
      <c r="BD104" s="658"/>
      <c r="BE104" s="658"/>
      <c r="BF104" s="658"/>
      <c r="BG104" s="658"/>
      <c r="BH104" s="658"/>
      <c r="BI104" s="658"/>
      <c r="BJ104" s="658"/>
      <c r="BK104" s="658"/>
      <c r="BL104" s="658"/>
      <c r="BM104" s="658"/>
      <c r="BN104" s="658"/>
      <c r="BO104" s="658"/>
      <c r="BP104" s="658"/>
      <c r="BQ104" s="658"/>
      <c r="BR104" s="658"/>
      <c r="BS104" s="658"/>
      <c r="BT104" s="658"/>
      <c r="BU104" s="658"/>
      <c r="BV104" s="658"/>
      <c r="BW104" s="658"/>
      <c r="BX104" s="658"/>
      <c r="BY104" s="658"/>
      <c r="BZ104" s="658"/>
      <c r="CA104" s="658"/>
      <c r="CB104" s="658"/>
      <c r="CC104" s="658"/>
      <c r="CD104" s="658"/>
      <c r="CE104" s="658"/>
      <c r="CF104" s="658"/>
      <c r="CG104" s="658"/>
      <c r="CH104" s="658"/>
      <c r="CI104" s="658"/>
      <c r="CJ104" s="658"/>
      <c r="CK104" s="658"/>
      <c r="CL104" s="658"/>
      <c r="CM104" s="658"/>
      <c r="CN104" s="658"/>
      <c r="CO104" s="658"/>
      <c r="CP104" s="658"/>
      <c r="CQ104" s="658"/>
      <c r="CR104" s="658"/>
      <c r="CS104" s="658"/>
      <c r="CT104" s="658"/>
      <c r="CU104" s="658"/>
      <c r="CV104" s="658"/>
      <c r="CW104" s="658"/>
      <c r="CX104" s="658"/>
      <c r="CY104" s="658"/>
      <c r="CZ104" s="658"/>
      <c r="DA104" s="658"/>
      <c r="DB104" s="658"/>
      <c r="DC104" s="658"/>
      <c r="DD104" s="658"/>
      <c r="DE104" s="658"/>
      <c r="DF104" s="658"/>
      <c r="DG104" s="658"/>
      <c r="DH104" s="658"/>
      <c r="DI104" s="658"/>
      <c r="DJ104" s="658"/>
      <c r="DK104" s="658"/>
      <c r="DL104" s="658"/>
      <c r="DM104" s="658"/>
      <c r="DN104" s="658"/>
      <c r="DO104" s="177">
        <f t="shared" si="179"/>
        <v>0</v>
      </c>
      <c r="DP104" s="612" t="e">
        <f t="shared" si="180"/>
        <v>#N/A</v>
      </c>
      <c r="DQ104" s="612" t="e">
        <f t="shared" si="176"/>
        <v>#NUM!</v>
      </c>
      <c r="DR104" s="177"/>
      <c r="DS104" s="177"/>
      <c r="DT104" s="177"/>
      <c r="DU104" s="177"/>
      <c r="DV104" s="177"/>
      <c r="DW104" s="177"/>
      <c r="DX104" s="177"/>
      <c r="DY104" s="177"/>
      <c r="DZ104" s="177"/>
      <c r="EA104" s="613"/>
    </row>
    <row r="105" spans="1:131" ht="13.5">
      <c r="A105" s="652" t="str">
        <f t="shared" si="172"/>
        <v>분배 조항 여부</v>
      </c>
      <c r="B105" s="653" t="s">
        <v>355</v>
      </c>
      <c r="C105" s="786"/>
      <c r="D105" s="786"/>
      <c r="E105" s="786"/>
      <c r="F105" s="230"/>
      <c r="G105" s="230"/>
      <c r="I105" s="657">
        <f t="shared" si="177"/>
        <v>0</v>
      </c>
      <c r="J105" s="606" t="str">
        <f t="shared" si="178"/>
        <v>N/A</v>
      </c>
      <c r="K105" s="471"/>
      <c r="L105" s="607"/>
      <c r="M105" s="300"/>
      <c r="N105" s="608"/>
      <c r="O105" s="609">
        <f t="shared" si="173"/>
        <v>0</v>
      </c>
      <c r="P105" s="609">
        <f t="shared" si="174"/>
        <v>0</v>
      </c>
      <c r="Q105" s="609">
        <f t="shared" si="175"/>
        <v>0</v>
      </c>
      <c r="R105" s="610" t="str">
        <f>IFERROR(Q105/Q108,"")</f>
        <v/>
      </c>
      <c r="S105" s="658"/>
      <c r="T105" s="658"/>
      <c r="U105" s="658"/>
      <c r="V105" s="658"/>
      <c r="W105" s="658"/>
      <c r="X105" s="658"/>
      <c r="Y105" s="658"/>
      <c r="Z105" s="658"/>
      <c r="AA105" s="658"/>
      <c r="AB105" s="658"/>
      <c r="AC105" s="658"/>
      <c r="AD105" s="658"/>
      <c r="AE105" s="658"/>
      <c r="AF105" s="658"/>
      <c r="AG105" s="658"/>
      <c r="AH105" s="658"/>
      <c r="AI105" s="658"/>
      <c r="AJ105" s="658"/>
      <c r="AK105" s="658"/>
      <c r="AL105" s="658"/>
      <c r="AM105" s="658"/>
      <c r="AN105" s="658"/>
      <c r="AO105" s="658"/>
      <c r="AP105" s="658"/>
      <c r="AQ105" s="658"/>
      <c r="AR105" s="658"/>
      <c r="AS105" s="658"/>
      <c r="AT105" s="658"/>
      <c r="AU105" s="658"/>
      <c r="AV105" s="658"/>
      <c r="AW105" s="658"/>
      <c r="AX105" s="658"/>
      <c r="AY105" s="658"/>
      <c r="AZ105" s="658"/>
      <c r="BA105" s="658"/>
      <c r="BB105" s="658"/>
      <c r="BC105" s="658"/>
      <c r="BD105" s="658"/>
      <c r="BE105" s="658"/>
      <c r="BF105" s="658"/>
      <c r="BG105" s="658"/>
      <c r="BH105" s="658"/>
      <c r="BI105" s="658"/>
      <c r="BJ105" s="658"/>
      <c r="BK105" s="658"/>
      <c r="BL105" s="658"/>
      <c r="BM105" s="658"/>
      <c r="BN105" s="658"/>
      <c r="BO105" s="658"/>
      <c r="BP105" s="658"/>
      <c r="BQ105" s="658"/>
      <c r="BR105" s="658"/>
      <c r="BS105" s="658"/>
      <c r="BT105" s="658"/>
      <c r="BU105" s="658"/>
      <c r="BV105" s="658"/>
      <c r="BW105" s="658"/>
      <c r="BX105" s="658"/>
      <c r="BY105" s="658"/>
      <c r="BZ105" s="658"/>
      <c r="CA105" s="658"/>
      <c r="CB105" s="658"/>
      <c r="CC105" s="658"/>
      <c r="CD105" s="658"/>
      <c r="CE105" s="658"/>
      <c r="CF105" s="658"/>
      <c r="CG105" s="658"/>
      <c r="CH105" s="658"/>
      <c r="CI105" s="658"/>
      <c r="CJ105" s="658"/>
      <c r="CK105" s="658"/>
      <c r="CL105" s="658"/>
      <c r="CM105" s="658"/>
      <c r="CN105" s="658"/>
      <c r="CO105" s="658"/>
      <c r="CP105" s="658"/>
      <c r="CQ105" s="658"/>
      <c r="CR105" s="658"/>
      <c r="CS105" s="658"/>
      <c r="CT105" s="658"/>
      <c r="CU105" s="658"/>
      <c r="CV105" s="658"/>
      <c r="CW105" s="658"/>
      <c r="CX105" s="658"/>
      <c r="CY105" s="658"/>
      <c r="CZ105" s="658"/>
      <c r="DA105" s="658"/>
      <c r="DB105" s="658"/>
      <c r="DC105" s="658"/>
      <c r="DD105" s="658"/>
      <c r="DE105" s="658"/>
      <c r="DF105" s="658"/>
      <c r="DG105" s="658"/>
      <c r="DH105" s="658"/>
      <c r="DI105" s="658"/>
      <c r="DJ105" s="658"/>
      <c r="DK105" s="658"/>
      <c r="DL105" s="658"/>
      <c r="DM105" s="658"/>
      <c r="DN105" s="658"/>
      <c r="DO105" s="177">
        <f t="shared" si="179"/>
        <v>0</v>
      </c>
      <c r="DP105" s="612" t="e">
        <f t="shared" si="180"/>
        <v>#N/A</v>
      </c>
      <c r="DQ105" s="612" t="e">
        <f t="shared" si="176"/>
        <v>#NUM!</v>
      </c>
      <c r="DR105" s="177"/>
      <c r="DS105" s="177"/>
      <c r="DT105" s="177"/>
      <c r="DU105" s="177"/>
      <c r="DV105" s="177"/>
      <c r="DW105" s="177"/>
      <c r="DX105" s="177"/>
      <c r="DY105" s="177"/>
      <c r="DZ105" s="177"/>
      <c r="EA105" s="613"/>
    </row>
    <row r="106" spans="1:131" ht="14.25" thickBot="1">
      <c r="A106" s="652" t="str">
        <f t="shared" si="172"/>
        <v>모펀드 출자 지분율</v>
      </c>
      <c r="B106" s="660" t="s">
        <v>364</v>
      </c>
      <c r="C106" s="787"/>
      <c r="D106" s="787"/>
      <c r="E106" s="787"/>
      <c r="F106" s="230"/>
      <c r="G106" s="230"/>
      <c r="I106" s="657">
        <f t="shared" si="177"/>
        <v>0</v>
      </c>
      <c r="J106" s="606" t="str">
        <f t="shared" si="178"/>
        <v>N/A</v>
      </c>
      <c r="K106" s="471"/>
      <c r="L106" s="607"/>
      <c r="M106" s="300"/>
      <c r="N106" s="608"/>
      <c r="O106" s="609">
        <f t="shared" si="173"/>
        <v>0</v>
      </c>
      <c r="P106" s="609">
        <f t="shared" si="174"/>
        <v>0</v>
      </c>
      <c r="Q106" s="609">
        <f t="shared" si="175"/>
        <v>0</v>
      </c>
      <c r="R106" s="610" t="str">
        <f>IFERROR(Q106/Q108,"")</f>
        <v/>
      </c>
      <c r="S106" s="658"/>
      <c r="T106" s="658"/>
      <c r="U106" s="658"/>
      <c r="V106" s="658"/>
      <c r="W106" s="658"/>
      <c r="X106" s="658"/>
      <c r="Y106" s="658"/>
      <c r="Z106" s="658"/>
      <c r="AA106" s="658"/>
      <c r="AB106" s="658"/>
      <c r="AC106" s="658"/>
      <c r="AD106" s="658"/>
      <c r="AE106" s="658"/>
      <c r="AF106" s="658"/>
      <c r="AG106" s="658"/>
      <c r="AH106" s="658"/>
      <c r="AI106" s="658"/>
      <c r="AJ106" s="658"/>
      <c r="AK106" s="658"/>
      <c r="AL106" s="658"/>
      <c r="AM106" s="658"/>
      <c r="AN106" s="658"/>
      <c r="AO106" s="658"/>
      <c r="AP106" s="658"/>
      <c r="AQ106" s="658"/>
      <c r="AR106" s="658"/>
      <c r="AS106" s="658"/>
      <c r="AT106" s="658"/>
      <c r="AU106" s="658"/>
      <c r="AV106" s="658"/>
      <c r="AW106" s="658"/>
      <c r="AX106" s="658"/>
      <c r="AY106" s="658"/>
      <c r="AZ106" s="658"/>
      <c r="BA106" s="658"/>
      <c r="BB106" s="658"/>
      <c r="BC106" s="658"/>
      <c r="BD106" s="658"/>
      <c r="BE106" s="658"/>
      <c r="BF106" s="658"/>
      <c r="BG106" s="658"/>
      <c r="BH106" s="658"/>
      <c r="BI106" s="658"/>
      <c r="BJ106" s="658"/>
      <c r="BK106" s="658"/>
      <c r="BL106" s="658"/>
      <c r="BM106" s="658"/>
      <c r="BN106" s="658"/>
      <c r="BO106" s="658"/>
      <c r="BP106" s="658"/>
      <c r="BQ106" s="658"/>
      <c r="BR106" s="658"/>
      <c r="BS106" s="658"/>
      <c r="BT106" s="658"/>
      <c r="BU106" s="658"/>
      <c r="BV106" s="658"/>
      <c r="BW106" s="658"/>
      <c r="BX106" s="658"/>
      <c r="BY106" s="658"/>
      <c r="BZ106" s="658"/>
      <c r="CA106" s="658"/>
      <c r="CB106" s="658"/>
      <c r="CC106" s="658"/>
      <c r="CD106" s="658"/>
      <c r="CE106" s="658"/>
      <c r="CF106" s="658"/>
      <c r="CG106" s="658"/>
      <c r="CH106" s="658"/>
      <c r="CI106" s="658"/>
      <c r="CJ106" s="658"/>
      <c r="CK106" s="658"/>
      <c r="CL106" s="658"/>
      <c r="CM106" s="658"/>
      <c r="CN106" s="658"/>
      <c r="CO106" s="658"/>
      <c r="CP106" s="658"/>
      <c r="CQ106" s="658"/>
      <c r="CR106" s="658"/>
      <c r="CS106" s="658"/>
      <c r="CT106" s="658"/>
      <c r="CU106" s="658"/>
      <c r="CV106" s="658"/>
      <c r="CW106" s="658"/>
      <c r="CX106" s="658"/>
      <c r="CY106" s="658"/>
      <c r="CZ106" s="658"/>
      <c r="DA106" s="658"/>
      <c r="DB106" s="658"/>
      <c r="DC106" s="658"/>
      <c r="DD106" s="658"/>
      <c r="DE106" s="658"/>
      <c r="DF106" s="658"/>
      <c r="DG106" s="658"/>
      <c r="DH106" s="658"/>
      <c r="DI106" s="658"/>
      <c r="DJ106" s="658"/>
      <c r="DK106" s="658"/>
      <c r="DL106" s="658"/>
      <c r="DM106" s="658"/>
      <c r="DN106" s="658"/>
      <c r="DO106" s="177">
        <f t="shared" si="179"/>
        <v>0</v>
      </c>
      <c r="DP106" s="612" t="e">
        <f t="shared" si="180"/>
        <v>#N/A</v>
      </c>
      <c r="DQ106" s="612" t="e">
        <f t="shared" si="176"/>
        <v>#NUM!</v>
      </c>
      <c r="DR106" s="177"/>
      <c r="DS106" s="177"/>
      <c r="DT106" s="177"/>
      <c r="DU106" s="177"/>
      <c r="DV106" s="177"/>
      <c r="DW106" s="177"/>
      <c r="DX106" s="177"/>
      <c r="DY106" s="177"/>
      <c r="DZ106" s="177"/>
      <c r="EA106" s="613"/>
    </row>
    <row r="107" spans="1:131" ht="14.25" thickBot="1">
      <c r="B107" s="778" t="s">
        <v>3404</v>
      </c>
      <c r="C107" s="616" t="s">
        <v>223</v>
      </c>
      <c r="D107" s="616" t="s">
        <v>224</v>
      </c>
      <c r="E107" s="616" t="s">
        <v>225</v>
      </c>
      <c r="F107" s="230"/>
      <c r="G107" s="230"/>
      <c r="I107" s="657">
        <f t="shared" si="177"/>
        <v>0</v>
      </c>
      <c r="J107" s="606" t="str">
        <f t="shared" si="178"/>
        <v>N/A</v>
      </c>
      <c r="K107" s="471"/>
      <c r="L107" s="607"/>
      <c r="M107" s="300"/>
      <c r="N107" s="608"/>
      <c r="O107" s="609">
        <f t="shared" si="173"/>
        <v>0</v>
      </c>
      <c r="P107" s="609">
        <f t="shared" si="174"/>
        <v>0</v>
      </c>
      <c r="Q107" s="609">
        <f t="shared" si="175"/>
        <v>0</v>
      </c>
      <c r="R107" s="610" t="str">
        <f>IFERROR(Q107/Q108,"")</f>
        <v/>
      </c>
      <c r="S107" s="658"/>
      <c r="T107" s="658"/>
      <c r="U107" s="658"/>
      <c r="V107" s="658"/>
      <c r="W107" s="658"/>
      <c r="X107" s="658"/>
      <c r="Y107" s="658"/>
      <c r="Z107" s="658"/>
      <c r="AA107" s="658"/>
      <c r="AB107" s="658"/>
      <c r="AC107" s="658"/>
      <c r="AD107" s="658"/>
      <c r="AE107" s="658"/>
      <c r="AF107" s="658"/>
      <c r="AG107" s="658"/>
      <c r="AH107" s="658"/>
      <c r="AI107" s="658"/>
      <c r="AJ107" s="658"/>
      <c r="AK107" s="658"/>
      <c r="AL107" s="658"/>
      <c r="AM107" s="658"/>
      <c r="AN107" s="658"/>
      <c r="AO107" s="658"/>
      <c r="AP107" s="658"/>
      <c r="AQ107" s="658"/>
      <c r="AR107" s="658"/>
      <c r="AS107" s="658"/>
      <c r="AT107" s="658"/>
      <c r="AU107" s="658"/>
      <c r="AV107" s="658"/>
      <c r="AW107" s="658"/>
      <c r="AX107" s="658"/>
      <c r="AY107" s="658"/>
      <c r="AZ107" s="658"/>
      <c r="BA107" s="658"/>
      <c r="BB107" s="658"/>
      <c r="BC107" s="658"/>
      <c r="BD107" s="658"/>
      <c r="BE107" s="658"/>
      <c r="BF107" s="658"/>
      <c r="BG107" s="658"/>
      <c r="BH107" s="658"/>
      <c r="BI107" s="658"/>
      <c r="BJ107" s="658"/>
      <c r="BK107" s="658"/>
      <c r="BL107" s="658"/>
      <c r="BM107" s="658"/>
      <c r="BN107" s="658"/>
      <c r="BO107" s="658"/>
      <c r="BP107" s="658"/>
      <c r="BQ107" s="658"/>
      <c r="BR107" s="658"/>
      <c r="BS107" s="658"/>
      <c r="BT107" s="658"/>
      <c r="BU107" s="658"/>
      <c r="BV107" s="658"/>
      <c r="BW107" s="658"/>
      <c r="BX107" s="658"/>
      <c r="BY107" s="658"/>
      <c r="BZ107" s="658"/>
      <c r="CA107" s="658"/>
      <c r="CB107" s="658"/>
      <c r="CC107" s="658"/>
      <c r="CD107" s="658"/>
      <c r="CE107" s="658"/>
      <c r="CF107" s="658"/>
      <c r="CG107" s="658"/>
      <c r="CH107" s="658"/>
      <c r="CI107" s="658"/>
      <c r="CJ107" s="658"/>
      <c r="CK107" s="658"/>
      <c r="CL107" s="658"/>
      <c r="CM107" s="658"/>
      <c r="CN107" s="658"/>
      <c r="CO107" s="658"/>
      <c r="CP107" s="658"/>
      <c r="CQ107" s="658"/>
      <c r="CR107" s="658"/>
      <c r="CS107" s="658"/>
      <c r="CT107" s="658"/>
      <c r="CU107" s="658"/>
      <c r="CV107" s="658"/>
      <c r="CW107" s="658"/>
      <c r="CX107" s="658"/>
      <c r="CY107" s="658"/>
      <c r="CZ107" s="658"/>
      <c r="DA107" s="658"/>
      <c r="DB107" s="658"/>
      <c r="DC107" s="658"/>
      <c r="DD107" s="658"/>
      <c r="DE107" s="658"/>
      <c r="DF107" s="658"/>
      <c r="DG107" s="658"/>
      <c r="DH107" s="658"/>
      <c r="DI107" s="658"/>
      <c r="DJ107" s="658"/>
      <c r="DK107" s="658"/>
      <c r="DL107" s="658"/>
      <c r="DM107" s="658"/>
      <c r="DN107" s="658"/>
      <c r="DO107" s="177">
        <f t="shared" si="179"/>
        <v>0</v>
      </c>
      <c r="DP107" s="612" t="e">
        <f t="shared" si="180"/>
        <v>#N/A</v>
      </c>
      <c r="DQ107" s="612" t="e">
        <f t="shared" si="176"/>
        <v>#NUM!</v>
      </c>
      <c r="DR107" s="177"/>
      <c r="DS107" s="177"/>
      <c r="DT107" s="177"/>
      <c r="DU107" s="177"/>
      <c r="DV107" s="177"/>
      <c r="DW107" s="177"/>
      <c r="DX107" s="177"/>
      <c r="DY107" s="177"/>
      <c r="DZ107" s="177"/>
      <c r="EA107" s="613"/>
    </row>
    <row r="108" spans="1:131" ht="14.25" thickBot="1">
      <c r="A108" s="317"/>
      <c r="B108" s="779"/>
      <c r="C108" s="661"/>
      <c r="D108" s="661"/>
      <c r="E108" s="661"/>
      <c r="F108" s="662"/>
      <c r="G108" s="662"/>
      <c r="H108" s="317"/>
      <c r="I108" s="634">
        <f>SUM(I100:I107)</f>
        <v>0</v>
      </c>
      <c r="J108" s="663"/>
      <c r="K108" s="664"/>
      <c r="L108" s="664"/>
      <c r="M108" s="664"/>
      <c r="N108" s="634">
        <f t="shared" ref="N108:R108" si="181">SUM(N100:N107)</f>
        <v>0</v>
      </c>
      <c r="O108" s="634">
        <f t="shared" si="181"/>
        <v>0</v>
      </c>
      <c r="P108" s="634">
        <f t="shared" si="181"/>
        <v>0</v>
      </c>
      <c r="Q108" s="634">
        <f t="shared" si="181"/>
        <v>0</v>
      </c>
      <c r="R108" s="665">
        <f t="shared" si="181"/>
        <v>0</v>
      </c>
      <c r="S108" s="634">
        <f>SUM(S100:S107)</f>
        <v>0</v>
      </c>
      <c r="T108" s="634">
        <f t="shared" ref="T108" si="182">SUM(T100:T107)</f>
        <v>0</v>
      </c>
      <c r="U108" s="634">
        <f t="shared" ref="U108" si="183">SUM(U100:U107)</f>
        <v>0</v>
      </c>
      <c r="V108" s="634">
        <f t="shared" ref="V108" si="184">SUM(V100:V107)</f>
        <v>0</v>
      </c>
      <c r="W108" s="634">
        <f t="shared" ref="W108" si="185">SUM(W100:W107)</f>
        <v>0</v>
      </c>
      <c r="X108" s="634">
        <f t="shared" ref="X108" si="186">SUM(X100:X107)</f>
        <v>0</v>
      </c>
      <c r="Y108" s="634">
        <f t="shared" ref="Y108" si="187">SUM(Y100:Y107)</f>
        <v>0</v>
      </c>
      <c r="Z108" s="634">
        <f t="shared" ref="Z108" si="188">SUM(Z100:Z107)</f>
        <v>0</v>
      </c>
      <c r="AA108" s="634">
        <f t="shared" ref="AA108" si="189">SUM(AA100:AA107)</f>
        <v>0</v>
      </c>
      <c r="AB108" s="634">
        <f t="shared" ref="AB108" si="190">SUM(AB100:AB107)</f>
        <v>0</v>
      </c>
      <c r="AC108" s="634">
        <f t="shared" ref="AC108" si="191">SUM(AC100:AC107)</f>
        <v>0</v>
      </c>
      <c r="AD108" s="634">
        <f t="shared" ref="AD108" si="192">SUM(AD100:AD107)</f>
        <v>0</v>
      </c>
      <c r="AE108" s="634">
        <f t="shared" ref="AE108" si="193">SUM(AE100:AE107)</f>
        <v>0</v>
      </c>
      <c r="AF108" s="634">
        <f t="shared" ref="AF108" si="194">SUM(AF100:AF107)</f>
        <v>0</v>
      </c>
      <c r="AG108" s="634">
        <f t="shared" ref="AG108" si="195">SUM(AG100:AG107)</f>
        <v>0</v>
      </c>
      <c r="AH108" s="634">
        <f t="shared" ref="AH108" si="196">SUM(AH100:AH107)</f>
        <v>0</v>
      </c>
      <c r="AI108" s="634">
        <f t="shared" ref="AI108" si="197">SUM(AI100:AI107)</f>
        <v>0</v>
      </c>
      <c r="AJ108" s="634">
        <f t="shared" ref="AJ108" si="198">SUM(AJ100:AJ107)</f>
        <v>0</v>
      </c>
      <c r="AK108" s="634">
        <f t="shared" ref="AK108" si="199">SUM(AK100:AK107)</f>
        <v>0</v>
      </c>
      <c r="AL108" s="634">
        <f t="shared" ref="AL108" si="200">SUM(AL100:AL107)</f>
        <v>0</v>
      </c>
      <c r="AM108" s="634">
        <f t="shared" ref="AM108" si="201">SUM(AM100:AM107)</f>
        <v>0</v>
      </c>
      <c r="AN108" s="634">
        <f t="shared" ref="AN108" si="202">SUM(AN100:AN107)</f>
        <v>0</v>
      </c>
      <c r="AO108" s="634">
        <f t="shared" ref="AO108" si="203">SUM(AO100:AO107)</f>
        <v>0</v>
      </c>
      <c r="AP108" s="634">
        <f t="shared" ref="AP108" si="204">SUM(AP100:AP107)</f>
        <v>0</v>
      </c>
      <c r="AQ108" s="634">
        <f t="shared" ref="AQ108" si="205">SUM(AQ100:AQ107)</f>
        <v>0</v>
      </c>
      <c r="AR108" s="634">
        <f t="shared" ref="AR108" si="206">SUM(AR100:AR107)</f>
        <v>0</v>
      </c>
      <c r="AS108" s="634">
        <f t="shared" ref="AS108" si="207">SUM(AS100:AS107)</f>
        <v>0</v>
      </c>
      <c r="AT108" s="634">
        <f t="shared" ref="AT108" si="208">SUM(AT100:AT107)</f>
        <v>0</v>
      </c>
      <c r="AU108" s="634">
        <f t="shared" ref="AU108" si="209">SUM(AU100:AU107)</f>
        <v>0</v>
      </c>
      <c r="AV108" s="634">
        <f t="shared" ref="AV108" si="210">SUM(AV100:AV107)</f>
        <v>0</v>
      </c>
      <c r="AW108" s="634">
        <f t="shared" ref="AW108" si="211">SUM(AW100:AW107)</f>
        <v>0</v>
      </c>
      <c r="AX108" s="634">
        <f t="shared" ref="AX108" si="212">SUM(AX100:AX107)</f>
        <v>0</v>
      </c>
      <c r="AY108" s="634">
        <f t="shared" ref="AY108" si="213">SUM(AY100:AY107)</f>
        <v>0</v>
      </c>
      <c r="AZ108" s="634">
        <f t="shared" ref="AZ108" si="214">SUM(AZ100:AZ107)</f>
        <v>0</v>
      </c>
      <c r="BA108" s="634">
        <f t="shared" ref="BA108" si="215">SUM(BA100:BA107)</f>
        <v>0</v>
      </c>
      <c r="BB108" s="634">
        <f t="shared" ref="BB108" si="216">SUM(BB100:BB107)</f>
        <v>0</v>
      </c>
      <c r="BC108" s="634">
        <f t="shared" ref="BC108" si="217">SUM(BC100:BC107)</f>
        <v>0</v>
      </c>
      <c r="BD108" s="634">
        <f t="shared" ref="BD108" si="218">SUM(BD100:BD107)</f>
        <v>0</v>
      </c>
      <c r="BE108" s="634">
        <f t="shared" ref="BE108" si="219">SUM(BE100:BE107)</f>
        <v>0</v>
      </c>
      <c r="BF108" s="634">
        <f t="shared" ref="BF108" si="220">SUM(BF100:BF107)</f>
        <v>0</v>
      </c>
      <c r="BG108" s="634">
        <f t="shared" ref="BG108" si="221">SUM(BG100:BG107)</f>
        <v>0</v>
      </c>
      <c r="BH108" s="634">
        <f t="shared" ref="BH108" si="222">SUM(BH100:BH107)</f>
        <v>0</v>
      </c>
      <c r="BI108" s="634">
        <f t="shared" ref="BI108" si="223">SUM(BI100:BI107)</f>
        <v>0</v>
      </c>
      <c r="BJ108" s="634">
        <f t="shared" ref="BJ108" si="224">SUM(BJ100:BJ107)</f>
        <v>0</v>
      </c>
      <c r="BK108" s="634">
        <f t="shared" ref="BK108" si="225">SUM(BK100:BK107)</f>
        <v>0</v>
      </c>
      <c r="BL108" s="634">
        <f t="shared" ref="BL108" si="226">SUM(BL100:BL107)</f>
        <v>0</v>
      </c>
      <c r="BM108" s="634">
        <f t="shared" ref="BM108" si="227">SUM(BM100:BM107)</f>
        <v>0</v>
      </c>
      <c r="BN108" s="634">
        <f t="shared" ref="BN108" si="228">SUM(BN100:BN107)</f>
        <v>0</v>
      </c>
      <c r="BO108" s="634">
        <f t="shared" ref="BO108" si="229">SUM(BO100:BO107)</f>
        <v>0</v>
      </c>
      <c r="BP108" s="634">
        <f t="shared" ref="BP108" si="230">SUM(BP100:BP107)</f>
        <v>0</v>
      </c>
      <c r="BQ108" s="634">
        <f t="shared" ref="BQ108" si="231">SUM(BQ100:BQ107)</f>
        <v>0</v>
      </c>
      <c r="BR108" s="634">
        <f t="shared" ref="BR108" si="232">SUM(BR100:BR107)</f>
        <v>0</v>
      </c>
      <c r="BS108" s="634">
        <f t="shared" ref="BS108" si="233">SUM(BS100:BS107)</f>
        <v>0</v>
      </c>
      <c r="BT108" s="634">
        <f t="shared" ref="BT108" si="234">SUM(BT100:BT107)</f>
        <v>0</v>
      </c>
      <c r="BU108" s="634">
        <f t="shared" ref="BU108" si="235">SUM(BU100:BU107)</f>
        <v>0</v>
      </c>
      <c r="BV108" s="634">
        <f t="shared" ref="BV108" si="236">SUM(BV100:BV107)</f>
        <v>0</v>
      </c>
      <c r="BW108" s="634">
        <f t="shared" ref="BW108" si="237">SUM(BW100:BW107)</f>
        <v>0</v>
      </c>
      <c r="BX108" s="634">
        <f t="shared" ref="BX108" si="238">SUM(BX100:BX107)</f>
        <v>0</v>
      </c>
      <c r="BY108" s="634">
        <f t="shared" ref="BY108" si="239">SUM(BY100:BY107)</f>
        <v>0</v>
      </c>
      <c r="BZ108" s="634">
        <f t="shared" ref="BZ108" si="240">SUM(BZ100:BZ107)</f>
        <v>0</v>
      </c>
      <c r="CA108" s="634">
        <f t="shared" ref="CA108" si="241">SUM(CA100:CA107)</f>
        <v>0</v>
      </c>
      <c r="CB108" s="634">
        <f t="shared" ref="CB108" si="242">SUM(CB100:CB107)</f>
        <v>0</v>
      </c>
      <c r="CC108" s="634">
        <f t="shared" ref="CC108" si="243">SUM(CC100:CC107)</f>
        <v>0</v>
      </c>
      <c r="CD108" s="634">
        <f t="shared" ref="CD108" si="244">SUM(CD100:CD107)</f>
        <v>0</v>
      </c>
      <c r="CE108" s="634">
        <f t="shared" ref="CE108" si="245">SUM(CE100:CE107)</f>
        <v>0</v>
      </c>
      <c r="CF108" s="634">
        <f t="shared" ref="CF108" si="246">SUM(CF100:CF107)</f>
        <v>0</v>
      </c>
      <c r="CG108" s="634">
        <f t="shared" ref="CG108" si="247">SUM(CG100:CG107)</f>
        <v>0</v>
      </c>
      <c r="CH108" s="634">
        <f t="shared" ref="CH108" si="248">SUM(CH100:CH107)</f>
        <v>0</v>
      </c>
      <c r="CI108" s="634">
        <f t="shared" ref="CI108" si="249">SUM(CI100:CI107)</f>
        <v>0</v>
      </c>
      <c r="CJ108" s="634">
        <f t="shared" ref="CJ108" si="250">SUM(CJ100:CJ107)</f>
        <v>0</v>
      </c>
      <c r="CK108" s="634">
        <f t="shared" ref="CK108" si="251">SUM(CK100:CK107)</f>
        <v>0</v>
      </c>
      <c r="CL108" s="634">
        <f t="shared" ref="CL108" si="252">SUM(CL100:CL107)</f>
        <v>0</v>
      </c>
      <c r="CM108" s="634">
        <f t="shared" ref="CM108" si="253">SUM(CM100:CM107)</f>
        <v>0</v>
      </c>
      <c r="CN108" s="634">
        <f t="shared" ref="CN108" si="254">SUM(CN100:CN107)</f>
        <v>0</v>
      </c>
      <c r="CO108" s="634">
        <f t="shared" ref="CO108" si="255">SUM(CO100:CO107)</f>
        <v>0</v>
      </c>
      <c r="CP108" s="634">
        <f t="shared" ref="CP108" si="256">SUM(CP100:CP107)</f>
        <v>0</v>
      </c>
      <c r="CQ108" s="634">
        <f t="shared" ref="CQ108" si="257">SUM(CQ100:CQ107)</f>
        <v>0</v>
      </c>
      <c r="CR108" s="634">
        <f t="shared" ref="CR108" si="258">SUM(CR100:CR107)</f>
        <v>0</v>
      </c>
      <c r="CS108" s="634">
        <f t="shared" ref="CS108" si="259">SUM(CS100:CS107)</f>
        <v>0</v>
      </c>
      <c r="CT108" s="634">
        <f t="shared" ref="CT108" si="260">SUM(CT100:CT107)</f>
        <v>0</v>
      </c>
      <c r="CU108" s="634">
        <f t="shared" ref="CU108" si="261">SUM(CU100:CU107)</f>
        <v>0</v>
      </c>
      <c r="CV108" s="634">
        <f t="shared" ref="CV108" si="262">SUM(CV100:CV107)</f>
        <v>0</v>
      </c>
      <c r="CW108" s="634">
        <f t="shared" ref="CW108" si="263">SUM(CW100:CW107)</f>
        <v>0</v>
      </c>
      <c r="CX108" s="634">
        <f t="shared" ref="CX108" si="264">SUM(CX100:CX107)</f>
        <v>0</v>
      </c>
      <c r="CY108" s="634">
        <f t="shared" ref="CY108" si="265">SUM(CY100:CY107)</f>
        <v>0</v>
      </c>
      <c r="CZ108" s="634">
        <f t="shared" ref="CZ108" si="266">SUM(CZ100:CZ107)</f>
        <v>0</v>
      </c>
      <c r="DA108" s="634">
        <f t="shared" ref="DA108" si="267">SUM(DA100:DA107)</f>
        <v>0</v>
      </c>
      <c r="DB108" s="634">
        <f t="shared" ref="DB108" si="268">SUM(DB100:DB107)</f>
        <v>0</v>
      </c>
      <c r="DC108" s="634">
        <f t="shared" ref="DC108" si="269">SUM(DC100:DC107)</f>
        <v>0</v>
      </c>
      <c r="DD108" s="634">
        <f t="shared" ref="DD108" si="270">SUM(DD100:DD107)</f>
        <v>0</v>
      </c>
      <c r="DE108" s="634">
        <f t="shared" ref="DE108" si="271">SUM(DE100:DE107)</f>
        <v>0</v>
      </c>
      <c r="DF108" s="634">
        <f t="shared" ref="DF108" si="272">SUM(DF100:DF107)</f>
        <v>0</v>
      </c>
      <c r="DG108" s="634">
        <f t="shared" ref="DG108" si="273">SUM(DG100:DG107)</f>
        <v>0</v>
      </c>
      <c r="DH108" s="634">
        <f t="shared" ref="DH108" si="274">SUM(DH100:DH107)</f>
        <v>0</v>
      </c>
      <c r="DI108" s="634">
        <f t="shared" ref="DI108" si="275">SUM(DI100:DI107)</f>
        <v>0</v>
      </c>
      <c r="DJ108" s="634">
        <f t="shared" ref="DJ108" si="276">SUM(DJ100:DJ107)</f>
        <v>0</v>
      </c>
      <c r="DK108" s="634">
        <f t="shared" ref="DK108" si="277">SUM(DK100:DK107)</f>
        <v>0</v>
      </c>
      <c r="DL108" s="634">
        <f t="shared" ref="DL108" si="278">SUM(DL100:DL107)</f>
        <v>0</v>
      </c>
      <c r="DM108" s="634">
        <f t="shared" ref="DM108" si="279">SUM(DM100:DM107)</f>
        <v>0</v>
      </c>
      <c r="DN108" s="634">
        <f t="shared" ref="DN108" si="280">SUM(DN100:DN107)</f>
        <v>0</v>
      </c>
      <c r="DO108" s="634">
        <f t="shared" ref="DO108" si="281">SUM(DO100:DO107)</f>
        <v>0</v>
      </c>
      <c r="DP108" s="666"/>
      <c r="DQ108" s="638" t="e">
        <f>XIRR(S108:DO108,$S$99:$DO$99)</f>
        <v>#NUM!</v>
      </c>
      <c r="DR108" s="636">
        <f t="shared" ref="DR108:DX108" si="282">SUM(DR100:DR107)</f>
        <v>0</v>
      </c>
      <c r="DS108" s="636">
        <f t="shared" si="282"/>
        <v>0</v>
      </c>
      <c r="DT108" s="636">
        <f t="shared" si="282"/>
        <v>0</v>
      </c>
      <c r="DU108" s="636">
        <f t="shared" si="282"/>
        <v>0</v>
      </c>
      <c r="DV108" s="636">
        <f t="shared" si="282"/>
        <v>0</v>
      </c>
      <c r="DW108" s="636">
        <f t="shared" si="282"/>
        <v>0</v>
      </c>
      <c r="DX108" s="636">
        <f t="shared" si="282"/>
        <v>0</v>
      </c>
      <c r="DY108" s="636">
        <f>SUM(DY100:DY107)</f>
        <v>0</v>
      </c>
      <c r="DZ108" s="636">
        <f>SUM(DZ100:DZ107)</f>
        <v>0</v>
      </c>
      <c r="EA108" s="636">
        <f>SUM(EA100:EA107)</f>
        <v>0</v>
      </c>
    </row>
    <row r="109" spans="1:131" ht="14.25" thickBot="1">
      <c r="A109" s="172"/>
      <c r="B109" s="667"/>
      <c r="C109" s="592" t="s">
        <v>3607</v>
      </c>
      <c r="D109" s="648">
        <f>D97+1</f>
        <v>5</v>
      </c>
      <c r="E109" s="649"/>
      <c r="F109" s="603"/>
      <c r="G109" s="603"/>
      <c r="I109" s="650" t="b">
        <f>I120=DR111</f>
        <v>1</v>
      </c>
      <c r="J109" s="172"/>
      <c r="K109" s="172"/>
      <c r="L109" s="172"/>
      <c r="M109" s="172"/>
      <c r="N109" s="172"/>
      <c r="O109" s="172"/>
      <c r="P109" s="172"/>
      <c r="Q109" s="639" t="str">
        <f>IF(Q120=NAV!E371,"자본금과 일치","자본금과 불일치")</f>
        <v>자본금과 일치</v>
      </c>
      <c r="R109" s="172"/>
      <c r="S109" s="172"/>
      <c r="T109" s="172"/>
      <c r="U109" s="172"/>
      <c r="V109" s="172"/>
      <c r="W109" s="172"/>
      <c r="X109" s="172"/>
      <c r="Y109" s="172"/>
      <c r="Z109" s="172"/>
      <c r="AA109" s="172"/>
      <c r="AB109" s="172"/>
      <c r="AC109" s="172"/>
      <c r="AD109" s="172"/>
      <c r="AE109" s="172"/>
      <c r="AF109" s="172"/>
      <c r="AG109" s="172"/>
      <c r="AH109" s="172"/>
      <c r="AI109" s="172"/>
      <c r="AJ109" s="172"/>
      <c r="AK109" s="172"/>
      <c r="AL109" s="172"/>
      <c r="AM109" s="172"/>
      <c r="AN109" s="172"/>
      <c r="AO109" s="172"/>
      <c r="AP109" s="172"/>
      <c r="AQ109" s="172"/>
      <c r="AR109" s="172"/>
      <c r="AS109" s="172"/>
      <c r="AT109" s="172"/>
      <c r="AU109" s="172"/>
      <c r="AV109" s="172"/>
      <c r="AW109" s="172"/>
      <c r="AX109" s="172"/>
      <c r="AY109" s="172"/>
      <c r="AZ109" s="172"/>
      <c r="BA109" s="172"/>
      <c r="BB109" s="172"/>
      <c r="BC109" s="172"/>
      <c r="BD109" s="172"/>
      <c r="BE109" s="172"/>
      <c r="BF109" s="172"/>
      <c r="BG109" s="172"/>
      <c r="BH109" s="172"/>
      <c r="BI109" s="172"/>
      <c r="BJ109" s="172"/>
      <c r="BK109" s="172"/>
      <c r="BL109" s="172"/>
      <c r="BM109" s="172"/>
      <c r="BN109" s="172"/>
      <c r="BO109" s="172"/>
      <c r="BP109" s="172"/>
      <c r="BQ109" s="172"/>
      <c r="BR109" s="172"/>
      <c r="BS109" s="172"/>
      <c r="BT109" s="172"/>
      <c r="BU109" s="172"/>
      <c r="BV109" s="172"/>
      <c r="BW109" s="172"/>
      <c r="BX109" s="172"/>
      <c r="BY109" s="172"/>
      <c r="BZ109" s="172"/>
      <c r="CA109" s="172"/>
      <c r="CB109" s="172"/>
      <c r="CC109" s="172"/>
      <c r="CD109" s="172"/>
      <c r="CE109" s="172"/>
      <c r="CF109" s="172"/>
      <c r="CG109" s="172"/>
      <c r="CH109" s="172"/>
      <c r="CI109" s="172"/>
      <c r="CJ109" s="172"/>
      <c r="CK109" s="172"/>
      <c r="CL109" s="172"/>
      <c r="CM109" s="172"/>
      <c r="CN109" s="172"/>
      <c r="CO109" s="172"/>
      <c r="CP109" s="172"/>
      <c r="CQ109" s="172"/>
      <c r="CR109" s="172"/>
      <c r="CS109" s="172"/>
      <c r="CT109" s="172"/>
      <c r="CU109" s="172"/>
      <c r="CV109" s="172"/>
      <c r="CW109" s="172"/>
      <c r="CX109" s="172"/>
      <c r="CY109" s="172"/>
      <c r="CZ109" s="172"/>
      <c r="DA109" s="172"/>
      <c r="DB109" s="172"/>
      <c r="DC109" s="172"/>
      <c r="DD109" s="172"/>
      <c r="DE109" s="172"/>
      <c r="DF109" s="172"/>
      <c r="DG109" s="172"/>
      <c r="DH109" s="172"/>
      <c r="DI109" s="172"/>
      <c r="DJ109" s="172"/>
      <c r="DK109" s="172"/>
      <c r="DL109" s="172"/>
      <c r="DM109" s="172"/>
      <c r="DN109" s="172"/>
      <c r="DO109" s="588" t="s">
        <v>219</v>
      </c>
      <c r="DP109" s="588" t="str">
        <f>IF(ROUND(_xlfn.AGGREGATE(9,6,DP112:DP119),5)=ROUND(_xlfn.AGGREGATE(9,6,DQ112:DQ119),5),"이상없음","기준수익률확인")</f>
        <v>이상없음</v>
      </c>
      <c r="DQ109" s="172"/>
      <c r="DR109" s="651" t="s">
        <v>3406</v>
      </c>
      <c r="DS109" s="172"/>
      <c r="DT109" s="615"/>
      <c r="DU109" s="615"/>
      <c r="DV109" s="172"/>
      <c r="DW109" s="172"/>
      <c r="DX109" s="615"/>
      <c r="DY109" s="172"/>
      <c r="DZ109" s="172"/>
      <c r="EA109" s="172"/>
    </row>
    <row r="110" spans="1:131" ht="13.5">
      <c r="A110" s="652" t="str">
        <f t="shared" ref="A110:A118" si="283">$B$109&amp;B110</f>
        <v>SPC명</v>
      </c>
      <c r="B110" s="653" t="s">
        <v>349</v>
      </c>
      <c r="C110" s="780"/>
      <c r="D110" s="780"/>
      <c r="E110" s="780"/>
      <c r="F110" s="230"/>
      <c r="G110" s="230"/>
      <c r="I110" s="776" t="s">
        <v>3393</v>
      </c>
      <c r="J110" s="776" t="s">
        <v>3394</v>
      </c>
      <c r="K110" s="774" t="s">
        <v>3395</v>
      </c>
      <c r="L110" s="774" t="s">
        <v>3396</v>
      </c>
      <c r="M110" s="774" t="s">
        <v>203</v>
      </c>
      <c r="N110" s="774" t="s">
        <v>211</v>
      </c>
      <c r="O110" s="774" t="s">
        <v>3399</v>
      </c>
      <c r="P110" s="776" t="s">
        <v>239</v>
      </c>
      <c r="Q110" s="774" t="s">
        <v>3401</v>
      </c>
      <c r="R110" s="774" t="s">
        <v>3402</v>
      </c>
      <c r="S110" s="593"/>
      <c r="T110" s="593"/>
      <c r="U110" s="593"/>
      <c r="V110" s="593"/>
      <c r="W110" s="593"/>
      <c r="X110" s="593"/>
      <c r="Y110" s="593"/>
      <c r="Z110" s="593"/>
      <c r="AA110" s="593"/>
      <c r="AB110" s="593"/>
      <c r="AC110" s="593"/>
      <c r="AD110" s="593"/>
      <c r="AE110" s="593"/>
      <c r="AF110" s="593"/>
      <c r="AG110" s="593"/>
      <c r="AH110" s="593"/>
      <c r="AI110" s="593"/>
      <c r="AJ110" s="593"/>
      <c r="AK110" s="593"/>
      <c r="AL110" s="593"/>
      <c r="AM110" s="593"/>
      <c r="AN110" s="593"/>
      <c r="AO110" s="593"/>
      <c r="AP110" s="593"/>
      <c r="AQ110" s="593"/>
      <c r="AR110" s="593"/>
      <c r="AS110" s="593"/>
      <c r="AT110" s="593"/>
      <c r="AU110" s="593"/>
      <c r="AV110" s="593"/>
      <c r="AW110" s="593"/>
      <c r="AX110" s="593"/>
      <c r="AY110" s="593"/>
      <c r="AZ110" s="593"/>
      <c r="BA110" s="593"/>
      <c r="BB110" s="593"/>
      <c r="BC110" s="593"/>
      <c r="BD110" s="593"/>
      <c r="BE110" s="593"/>
      <c r="BF110" s="593"/>
      <c r="BG110" s="593"/>
      <c r="BH110" s="593"/>
      <c r="BI110" s="593"/>
      <c r="BJ110" s="593"/>
      <c r="BK110" s="593"/>
      <c r="BL110" s="593"/>
      <c r="BM110" s="593"/>
      <c r="BN110" s="593"/>
      <c r="BO110" s="593"/>
      <c r="BP110" s="593"/>
      <c r="BQ110" s="593"/>
      <c r="BR110" s="593"/>
      <c r="BS110" s="593"/>
      <c r="BT110" s="593"/>
      <c r="BU110" s="593"/>
      <c r="BV110" s="593"/>
      <c r="BW110" s="593"/>
      <c r="BX110" s="593"/>
      <c r="BY110" s="593"/>
      <c r="BZ110" s="593"/>
      <c r="CA110" s="593"/>
      <c r="CB110" s="593"/>
      <c r="CC110" s="593"/>
      <c r="CD110" s="593"/>
      <c r="CE110" s="593"/>
      <c r="CF110" s="593"/>
      <c r="CG110" s="593"/>
      <c r="CH110" s="593"/>
      <c r="CI110" s="593"/>
      <c r="CJ110" s="593"/>
      <c r="CK110" s="593"/>
      <c r="CL110" s="593"/>
      <c r="CM110" s="593"/>
      <c r="CN110" s="593"/>
      <c r="CO110" s="593"/>
      <c r="CP110" s="593"/>
      <c r="CQ110" s="593"/>
      <c r="CR110" s="593"/>
      <c r="CS110" s="593"/>
      <c r="CT110" s="593"/>
      <c r="CU110" s="593"/>
      <c r="CV110" s="593"/>
      <c r="CW110" s="593"/>
      <c r="CX110" s="593"/>
      <c r="CY110" s="593"/>
      <c r="CZ110" s="593"/>
      <c r="DA110" s="593"/>
      <c r="DB110" s="593"/>
      <c r="DC110" s="593"/>
      <c r="DD110" s="593"/>
      <c r="DE110" s="593"/>
      <c r="DF110" s="593"/>
      <c r="DG110" s="593"/>
      <c r="DH110" s="593"/>
      <c r="DI110" s="593"/>
      <c r="DJ110" s="593"/>
      <c r="DK110" s="593"/>
      <c r="DL110" s="593"/>
      <c r="DM110" s="593"/>
      <c r="DN110" s="593"/>
      <c r="DO110" s="594" t="s">
        <v>220</v>
      </c>
      <c r="DP110" s="774" t="s">
        <v>218</v>
      </c>
      <c r="DQ110" s="774" t="s">
        <v>222</v>
      </c>
      <c r="DR110" s="594"/>
      <c r="DS110" s="594"/>
      <c r="DT110" s="594"/>
      <c r="DU110" s="594"/>
      <c r="DV110" s="594"/>
      <c r="DW110" s="594"/>
      <c r="DX110" s="594"/>
      <c r="DY110" s="594"/>
      <c r="DZ110" s="594"/>
      <c r="EA110" s="602"/>
    </row>
    <row r="111" spans="1:131" ht="14.25" thickBot="1">
      <c r="A111" s="652" t="str">
        <f t="shared" si="283"/>
        <v>유형</v>
      </c>
      <c r="B111" s="653" t="s">
        <v>350</v>
      </c>
      <c r="C111" s="780"/>
      <c r="D111" s="780"/>
      <c r="E111" s="780"/>
      <c r="F111" s="230"/>
      <c r="G111" s="230"/>
      <c r="I111" s="777"/>
      <c r="J111" s="777"/>
      <c r="K111" s="775"/>
      <c r="L111" s="775"/>
      <c r="M111" s="775"/>
      <c r="N111" s="775"/>
      <c r="O111" s="775"/>
      <c r="P111" s="777"/>
      <c r="Q111" s="775"/>
      <c r="R111" s="775"/>
      <c r="S111" s="601"/>
      <c r="T111" s="601"/>
      <c r="U111" s="601"/>
      <c r="V111" s="601"/>
      <c r="W111" s="601"/>
      <c r="X111" s="601"/>
      <c r="Y111" s="601"/>
      <c r="Z111" s="601"/>
      <c r="AA111" s="601"/>
      <c r="AB111" s="601"/>
      <c r="AC111" s="601"/>
      <c r="AD111" s="601"/>
      <c r="AE111" s="601"/>
      <c r="AF111" s="601"/>
      <c r="AG111" s="601"/>
      <c r="AH111" s="601"/>
      <c r="AI111" s="601"/>
      <c r="AJ111" s="601"/>
      <c r="AK111" s="601"/>
      <c r="AL111" s="601"/>
      <c r="AM111" s="601"/>
      <c r="AN111" s="601"/>
      <c r="AO111" s="601"/>
      <c r="AP111" s="601"/>
      <c r="AQ111" s="601"/>
      <c r="AR111" s="601"/>
      <c r="AS111" s="601"/>
      <c r="AT111" s="601"/>
      <c r="AU111" s="601"/>
      <c r="AV111" s="601"/>
      <c r="AW111" s="601"/>
      <c r="AX111" s="601"/>
      <c r="AY111" s="601"/>
      <c r="AZ111" s="601"/>
      <c r="BA111" s="601"/>
      <c r="BB111" s="601"/>
      <c r="BC111" s="601"/>
      <c r="BD111" s="601"/>
      <c r="BE111" s="601"/>
      <c r="BF111" s="601"/>
      <c r="BG111" s="601"/>
      <c r="BH111" s="601"/>
      <c r="BI111" s="601"/>
      <c r="BJ111" s="601"/>
      <c r="BK111" s="601"/>
      <c r="BL111" s="601"/>
      <c r="BM111" s="601"/>
      <c r="BN111" s="601"/>
      <c r="BO111" s="601"/>
      <c r="BP111" s="601"/>
      <c r="BQ111" s="601"/>
      <c r="BR111" s="601"/>
      <c r="BS111" s="601"/>
      <c r="BT111" s="601"/>
      <c r="BU111" s="601"/>
      <c r="BV111" s="601"/>
      <c r="BW111" s="601"/>
      <c r="BX111" s="601"/>
      <c r="BY111" s="601"/>
      <c r="BZ111" s="601"/>
      <c r="CA111" s="601"/>
      <c r="CB111" s="601"/>
      <c r="CC111" s="601"/>
      <c r="CD111" s="601"/>
      <c r="CE111" s="601"/>
      <c r="CF111" s="601"/>
      <c r="CG111" s="601"/>
      <c r="CH111" s="601"/>
      <c r="CI111" s="601"/>
      <c r="CJ111" s="601"/>
      <c r="CK111" s="601"/>
      <c r="CL111" s="601"/>
      <c r="CM111" s="601"/>
      <c r="CN111" s="601"/>
      <c r="CO111" s="601"/>
      <c r="CP111" s="601"/>
      <c r="CQ111" s="601"/>
      <c r="CR111" s="601"/>
      <c r="CS111" s="601"/>
      <c r="CT111" s="601"/>
      <c r="CU111" s="601"/>
      <c r="CV111" s="601"/>
      <c r="CW111" s="601"/>
      <c r="CX111" s="601"/>
      <c r="CY111" s="601"/>
      <c r="CZ111" s="601"/>
      <c r="DA111" s="601"/>
      <c r="DB111" s="601"/>
      <c r="DC111" s="601"/>
      <c r="DD111" s="601"/>
      <c r="DE111" s="601"/>
      <c r="DF111" s="601"/>
      <c r="DG111" s="601"/>
      <c r="DH111" s="601"/>
      <c r="DI111" s="601"/>
      <c r="DJ111" s="601"/>
      <c r="DK111" s="601"/>
      <c r="DL111" s="601"/>
      <c r="DM111" s="601"/>
      <c r="DN111" s="601"/>
      <c r="DO111" s="654">
        <f>$DO$7</f>
        <v>45473</v>
      </c>
      <c r="DP111" s="775"/>
      <c r="DQ111" s="775"/>
      <c r="DR111" s="595">
        <f>NAV!E377</f>
        <v>0</v>
      </c>
      <c r="DS111" s="596">
        <f>DR111-DR120</f>
        <v>0</v>
      </c>
      <c r="DT111" s="596"/>
      <c r="DU111" s="596"/>
      <c r="DV111" s="597"/>
      <c r="DW111" s="596"/>
      <c r="DX111" s="596"/>
      <c r="DY111" s="596"/>
      <c r="DZ111" s="655"/>
      <c r="EA111" s="656"/>
    </row>
    <row r="112" spans="1:131" ht="13.5">
      <c r="A112" s="652" t="str">
        <f t="shared" si="283"/>
        <v>설정일</v>
      </c>
      <c r="B112" s="653" t="s">
        <v>351</v>
      </c>
      <c r="C112" s="781"/>
      <c r="D112" s="780"/>
      <c r="E112" s="780"/>
      <c r="F112" s="230"/>
      <c r="G112" s="230"/>
      <c r="I112" s="657">
        <f>SUM(DR112:EA112)</f>
        <v>0</v>
      </c>
      <c r="J112" s="606" t="str">
        <f>IFERROR(I112/(Q112/$C$114),"N/A")</f>
        <v>N/A</v>
      </c>
      <c r="K112" s="471"/>
      <c r="L112" s="607"/>
      <c r="M112" s="300"/>
      <c r="N112" s="608"/>
      <c r="O112" s="609">
        <f t="shared" ref="O112:O119" si="284">-(SUMIF($S$110:$DN$110,"최초출자",S112:DN112)+SUMIF($S$110:$DN$110,"추가출자",S112:DN112))</f>
        <v>0</v>
      </c>
      <c r="P112" s="609">
        <f t="shared" ref="P112:P119" si="285">SUMIF($S$110:$DN$110,"이익분배",S112:DN112)+SUMIF($S$110:$DN$110,"원본분배",S112:DN112)</f>
        <v>0</v>
      </c>
      <c r="Q112" s="609">
        <f t="shared" ref="Q112:Q119" si="286">-(SUMIF($S$110:$DN$110,"최초출자",S112:DN112)+SUMIF($S$110:$DN$110,"추가출자",S112:DN112)+SUMIF($S$110:$DN$110,"원본분배",S112:DN112))</f>
        <v>0</v>
      </c>
      <c r="R112" s="610" t="str">
        <f>IFERROR(Q112/Q120,"")</f>
        <v/>
      </c>
      <c r="S112" s="658"/>
      <c r="T112" s="658"/>
      <c r="U112" s="658"/>
      <c r="V112" s="658"/>
      <c r="W112" s="658"/>
      <c r="X112" s="658"/>
      <c r="Y112" s="658"/>
      <c r="Z112" s="658"/>
      <c r="AA112" s="658"/>
      <c r="AB112" s="658"/>
      <c r="AC112" s="658"/>
      <c r="AD112" s="658"/>
      <c r="AE112" s="658"/>
      <c r="AF112" s="658"/>
      <c r="AG112" s="658"/>
      <c r="AH112" s="658"/>
      <c r="AI112" s="658"/>
      <c r="AJ112" s="658"/>
      <c r="AK112" s="658"/>
      <c r="AL112" s="658"/>
      <c r="AM112" s="658"/>
      <c r="AN112" s="658"/>
      <c r="AO112" s="658"/>
      <c r="AP112" s="658"/>
      <c r="AQ112" s="658"/>
      <c r="AR112" s="658"/>
      <c r="AS112" s="658"/>
      <c r="AT112" s="658"/>
      <c r="AU112" s="658"/>
      <c r="AV112" s="658"/>
      <c r="AW112" s="658"/>
      <c r="AX112" s="658"/>
      <c r="AY112" s="658"/>
      <c r="AZ112" s="658"/>
      <c r="BA112" s="658"/>
      <c r="BB112" s="658"/>
      <c r="BC112" s="658"/>
      <c r="BD112" s="658"/>
      <c r="BE112" s="658"/>
      <c r="BF112" s="658"/>
      <c r="BG112" s="658"/>
      <c r="BH112" s="658"/>
      <c r="BI112" s="658"/>
      <c r="BJ112" s="658"/>
      <c r="BK112" s="658"/>
      <c r="BL112" s="658"/>
      <c r="BM112" s="658"/>
      <c r="BN112" s="658"/>
      <c r="BO112" s="658"/>
      <c r="BP112" s="658"/>
      <c r="BQ112" s="658"/>
      <c r="BR112" s="658"/>
      <c r="BS112" s="658"/>
      <c r="BT112" s="658"/>
      <c r="BU112" s="658"/>
      <c r="BV112" s="658"/>
      <c r="BW112" s="658"/>
      <c r="BX112" s="658"/>
      <c r="BY112" s="658"/>
      <c r="BZ112" s="658"/>
      <c r="CA112" s="658"/>
      <c r="CB112" s="658"/>
      <c r="CC112" s="658"/>
      <c r="CD112" s="658"/>
      <c r="CE112" s="658"/>
      <c r="CF112" s="658"/>
      <c r="CG112" s="658"/>
      <c r="CH112" s="658"/>
      <c r="CI112" s="658"/>
      <c r="CJ112" s="658"/>
      <c r="CK112" s="658"/>
      <c r="CL112" s="658"/>
      <c r="CM112" s="658"/>
      <c r="CN112" s="658"/>
      <c r="CO112" s="658"/>
      <c r="CP112" s="658"/>
      <c r="CQ112" s="658"/>
      <c r="CR112" s="658"/>
      <c r="CS112" s="658"/>
      <c r="CT112" s="658"/>
      <c r="CU112" s="658"/>
      <c r="CV112" s="658"/>
      <c r="CW112" s="658"/>
      <c r="CX112" s="658"/>
      <c r="CY112" s="658"/>
      <c r="CZ112" s="658"/>
      <c r="DA112" s="658"/>
      <c r="DB112" s="658"/>
      <c r="DC112" s="658"/>
      <c r="DD112" s="658"/>
      <c r="DE112" s="658"/>
      <c r="DF112" s="658"/>
      <c r="DG112" s="658"/>
      <c r="DH112" s="658"/>
      <c r="DI112" s="658"/>
      <c r="DJ112" s="658"/>
      <c r="DK112" s="658"/>
      <c r="DL112" s="658"/>
      <c r="DM112" s="658"/>
      <c r="DN112" s="658"/>
      <c r="DO112" s="177">
        <f>IF(M112="",0,-XNPV(DP112,S112,S$111)*(1+DP112)^YEARFRAC($S$111,$DO$111,3))</f>
        <v>0</v>
      </c>
      <c r="DP112" s="612" t="e">
        <f>IF(HLOOKUP(L112,$C$119:$E$120,2,0)=0,1E-24%,HLOOKUP(L112,$C$119:$E$120,2,FALSE))</f>
        <v>#N/A</v>
      </c>
      <c r="DQ112" s="612" t="e">
        <f t="shared" ref="DQ112:DQ119" si="287">XIRR(S112:DO112,$S$111:$DO$111)</f>
        <v>#NUM!</v>
      </c>
      <c r="DR112" s="177"/>
      <c r="DS112" s="177"/>
      <c r="DT112" s="177"/>
      <c r="DU112" s="177"/>
      <c r="DV112" s="177"/>
      <c r="DW112" s="177"/>
      <c r="DX112" s="177"/>
      <c r="DY112" s="177"/>
      <c r="DZ112" s="177"/>
      <c r="EA112" s="613"/>
    </row>
    <row r="113" spans="1:131" ht="13.5">
      <c r="A113" s="652" t="str">
        <f t="shared" si="283"/>
        <v>출자잔액</v>
      </c>
      <c r="B113" s="653" t="s">
        <v>362</v>
      </c>
      <c r="C113" s="782"/>
      <c r="D113" s="782"/>
      <c r="E113" s="782"/>
      <c r="F113" s="230"/>
      <c r="G113" s="230"/>
      <c r="I113" s="657">
        <f t="shared" ref="I113:I119" si="288">SUM(DR113:EA113)</f>
        <v>0</v>
      </c>
      <c r="J113" s="606" t="str">
        <f t="shared" ref="J113:J119" si="289">IFERROR(I113/(Q113/$C$114),"N/A")</f>
        <v>N/A</v>
      </c>
      <c r="K113" s="471"/>
      <c r="L113" s="607"/>
      <c r="M113" s="300"/>
      <c r="N113" s="608"/>
      <c r="O113" s="609">
        <f t="shared" si="284"/>
        <v>0</v>
      </c>
      <c r="P113" s="609">
        <f t="shared" si="285"/>
        <v>0</v>
      </c>
      <c r="Q113" s="609">
        <f t="shared" si="286"/>
        <v>0</v>
      </c>
      <c r="R113" s="610" t="str">
        <f>IFERROR(Q113/Q120,"")</f>
        <v/>
      </c>
      <c r="S113" s="658"/>
      <c r="T113" s="658"/>
      <c r="U113" s="658"/>
      <c r="V113" s="658"/>
      <c r="W113" s="658"/>
      <c r="X113" s="658"/>
      <c r="Y113" s="658"/>
      <c r="Z113" s="658"/>
      <c r="AA113" s="658"/>
      <c r="AB113" s="658"/>
      <c r="AC113" s="658"/>
      <c r="AD113" s="658"/>
      <c r="AE113" s="658"/>
      <c r="AF113" s="658"/>
      <c r="AG113" s="658"/>
      <c r="AH113" s="658"/>
      <c r="AI113" s="658"/>
      <c r="AJ113" s="658"/>
      <c r="AK113" s="658"/>
      <c r="AL113" s="658"/>
      <c r="AM113" s="658"/>
      <c r="AN113" s="658"/>
      <c r="AO113" s="658"/>
      <c r="AP113" s="658"/>
      <c r="AQ113" s="658"/>
      <c r="AR113" s="658"/>
      <c r="AS113" s="658"/>
      <c r="AT113" s="658"/>
      <c r="AU113" s="658"/>
      <c r="AV113" s="658"/>
      <c r="AW113" s="658"/>
      <c r="AX113" s="658"/>
      <c r="AY113" s="658"/>
      <c r="AZ113" s="658"/>
      <c r="BA113" s="658"/>
      <c r="BB113" s="658"/>
      <c r="BC113" s="658"/>
      <c r="BD113" s="658"/>
      <c r="BE113" s="658"/>
      <c r="BF113" s="658"/>
      <c r="BG113" s="658"/>
      <c r="BH113" s="658"/>
      <c r="BI113" s="658"/>
      <c r="BJ113" s="658"/>
      <c r="BK113" s="658"/>
      <c r="BL113" s="658"/>
      <c r="BM113" s="658"/>
      <c r="BN113" s="658"/>
      <c r="BO113" s="658"/>
      <c r="BP113" s="658"/>
      <c r="BQ113" s="658"/>
      <c r="BR113" s="658"/>
      <c r="BS113" s="658"/>
      <c r="BT113" s="658"/>
      <c r="BU113" s="658"/>
      <c r="BV113" s="658"/>
      <c r="BW113" s="658"/>
      <c r="BX113" s="658"/>
      <c r="BY113" s="658"/>
      <c r="BZ113" s="658"/>
      <c r="CA113" s="658"/>
      <c r="CB113" s="658"/>
      <c r="CC113" s="658"/>
      <c r="CD113" s="658"/>
      <c r="CE113" s="658"/>
      <c r="CF113" s="658"/>
      <c r="CG113" s="658"/>
      <c r="CH113" s="658"/>
      <c r="CI113" s="658"/>
      <c r="CJ113" s="658"/>
      <c r="CK113" s="658"/>
      <c r="CL113" s="658"/>
      <c r="CM113" s="658"/>
      <c r="CN113" s="658"/>
      <c r="CO113" s="658"/>
      <c r="CP113" s="658"/>
      <c r="CQ113" s="658"/>
      <c r="CR113" s="658"/>
      <c r="CS113" s="658"/>
      <c r="CT113" s="658"/>
      <c r="CU113" s="658"/>
      <c r="CV113" s="658"/>
      <c r="CW113" s="658"/>
      <c r="CX113" s="658"/>
      <c r="CY113" s="658"/>
      <c r="CZ113" s="658"/>
      <c r="DA113" s="658"/>
      <c r="DB113" s="658"/>
      <c r="DC113" s="658"/>
      <c r="DD113" s="658"/>
      <c r="DE113" s="658"/>
      <c r="DF113" s="658"/>
      <c r="DG113" s="658"/>
      <c r="DH113" s="658"/>
      <c r="DI113" s="658"/>
      <c r="DJ113" s="658"/>
      <c r="DK113" s="658"/>
      <c r="DL113" s="658"/>
      <c r="DM113" s="658"/>
      <c r="DN113" s="658"/>
      <c r="DO113" s="177">
        <f t="shared" ref="DO113:DO119" si="290">IF(M113="",0,-XNPV(DP113,S113,S$111)*(1+DP113)^YEARFRAC($S$111,$DO$111,3))</f>
        <v>0</v>
      </c>
      <c r="DP113" s="612" t="e">
        <f t="shared" ref="DP113:DP119" si="291">IF(HLOOKUP(L113,$C$119:$E$120,2,0)=0,1E-24%,HLOOKUP(L113,$C$119:$E$120,2,FALSE))</f>
        <v>#N/A</v>
      </c>
      <c r="DQ113" s="612" t="e">
        <f t="shared" si="287"/>
        <v>#NUM!</v>
      </c>
      <c r="DR113" s="177"/>
      <c r="DS113" s="177"/>
      <c r="DT113" s="177"/>
      <c r="DU113" s="177"/>
      <c r="DV113" s="177"/>
      <c r="DW113" s="177"/>
      <c r="DX113" s="177"/>
      <c r="DY113" s="177"/>
      <c r="DZ113" s="177"/>
      <c r="EA113" s="613"/>
    </row>
    <row r="114" spans="1:131" ht="13.5">
      <c r="A114" s="652" t="str">
        <f t="shared" si="283"/>
        <v>1좌당 금액</v>
      </c>
      <c r="B114" s="653" t="s">
        <v>358</v>
      </c>
      <c r="C114" s="783"/>
      <c r="D114" s="783"/>
      <c r="E114" s="783"/>
      <c r="F114" s="230"/>
      <c r="G114" s="230"/>
      <c r="I114" s="657">
        <f t="shared" si="288"/>
        <v>0</v>
      </c>
      <c r="J114" s="606" t="str">
        <f t="shared" si="289"/>
        <v>N/A</v>
      </c>
      <c r="K114" s="471"/>
      <c r="L114" s="607"/>
      <c r="M114" s="300"/>
      <c r="N114" s="608"/>
      <c r="O114" s="609">
        <f t="shared" si="284"/>
        <v>0</v>
      </c>
      <c r="P114" s="609">
        <f t="shared" si="285"/>
        <v>0</v>
      </c>
      <c r="Q114" s="609">
        <f t="shared" si="286"/>
        <v>0</v>
      </c>
      <c r="R114" s="610" t="str">
        <f>IFERROR(Q114/Q120,"")</f>
        <v/>
      </c>
      <c r="S114" s="658"/>
      <c r="T114" s="658"/>
      <c r="U114" s="658"/>
      <c r="V114" s="658"/>
      <c r="W114" s="658"/>
      <c r="X114" s="658"/>
      <c r="Y114" s="658"/>
      <c r="Z114" s="658"/>
      <c r="AA114" s="658"/>
      <c r="AB114" s="658"/>
      <c r="AC114" s="658"/>
      <c r="AD114" s="658"/>
      <c r="AE114" s="658"/>
      <c r="AF114" s="658"/>
      <c r="AG114" s="658"/>
      <c r="AH114" s="658"/>
      <c r="AI114" s="658"/>
      <c r="AJ114" s="658"/>
      <c r="AK114" s="658"/>
      <c r="AL114" s="658"/>
      <c r="AM114" s="658"/>
      <c r="AN114" s="658"/>
      <c r="AO114" s="658"/>
      <c r="AP114" s="658"/>
      <c r="AQ114" s="658"/>
      <c r="AR114" s="658"/>
      <c r="AS114" s="658"/>
      <c r="AT114" s="658"/>
      <c r="AU114" s="658"/>
      <c r="AV114" s="658"/>
      <c r="AW114" s="658"/>
      <c r="AX114" s="658"/>
      <c r="AY114" s="658"/>
      <c r="AZ114" s="658"/>
      <c r="BA114" s="658"/>
      <c r="BB114" s="658"/>
      <c r="BC114" s="658"/>
      <c r="BD114" s="658"/>
      <c r="BE114" s="658"/>
      <c r="BF114" s="658"/>
      <c r="BG114" s="658"/>
      <c r="BH114" s="658"/>
      <c r="BI114" s="658"/>
      <c r="BJ114" s="658"/>
      <c r="BK114" s="658"/>
      <c r="BL114" s="658"/>
      <c r="BM114" s="658"/>
      <c r="BN114" s="658"/>
      <c r="BO114" s="658"/>
      <c r="BP114" s="658"/>
      <c r="BQ114" s="658"/>
      <c r="BR114" s="658"/>
      <c r="BS114" s="658"/>
      <c r="BT114" s="658"/>
      <c r="BU114" s="658"/>
      <c r="BV114" s="658"/>
      <c r="BW114" s="658"/>
      <c r="BX114" s="658"/>
      <c r="BY114" s="658"/>
      <c r="BZ114" s="658"/>
      <c r="CA114" s="658"/>
      <c r="CB114" s="658"/>
      <c r="CC114" s="658"/>
      <c r="CD114" s="658"/>
      <c r="CE114" s="658"/>
      <c r="CF114" s="658"/>
      <c r="CG114" s="658"/>
      <c r="CH114" s="658"/>
      <c r="CI114" s="658"/>
      <c r="CJ114" s="658"/>
      <c r="CK114" s="658"/>
      <c r="CL114" s="658"/>
      <c r="CM114" s="658"/>
      <c r="CN114" s="658"/>
      <c r="CO114" s="658"/>
      <c r="CP114" s="658"/>
      <c r="CQ114" s="658"/>
      <c r="CR114" s="658"/>
      <c r="CS114" s="658"/>
      <c r="CT114" s="658"/>
      <c r="CU114" s="658"/>
      <c r="CV114" s="658"/>
      <c r="CW114" s="658"/>
      <c r="CX114" s="658"/>
      <c r="CY114" s="658"/>
      <c r="CZ114" s="658"/>
      <c r="DA114" s="658"/>
      <c r="DB114" s="658"/>
      <c r="DC114" s="658"/>
      <c r="DD114" s="658"/>
      <c r="DE114" s="658"/>
      <c r="DF114" s="658"/>
      <c r="DG114" s="658"/>
      <c r="DH114" s="658"/>
      <c r="DI114" s="658"/>
      <c r="DJ114" s="658"/>
      <c r="DK114" s="658"/>
      <c r="DL114" s="658"/>
      <c r="DM114" s="658"/>
      <c r="DN114" s="658"/>
      <c r="DO114" s="177">
        <f t="shared" si="290"/>
        <v>0</v>
      </c>
      <c r="DP114" s="612" t="e">
        <f t="shared" si="291"/>
        <v>#N/A</v>
      </c>
      <c r="DQ114" s="612" t="e">
        <f t="shared" si="287"/>
        <v>#NUM!</v>
      </c>
      <c r="DR114" s="177"/>
      <c r="DS114" s="177"/>
      <c r="DT114" s="177"/>
      <c r="DU114" s="177"/>
      <c r="DV114" s="177"/>
      <c r="DW114" s="177"/>
      <c r="DX114" s="177"/>
      <c r="DY114" s="177"/>
      <c r="DZ114" s="177"/>
      <c r="EA114" s="613"/>
    </row>
    <row r="115" spans="1:131" ht="13.5">
      <c r="A115" s="652" t="str">
        <f t="shared" si="283"/>
        <v>기준수익률</v>
      </c>
      <c r="B115" s="653" t="s">
        <v>354</v>
      </c>
      <c r="C115" s="784"/>
      <c r="D115" s="785"/>
      <c r="E115" s="785"/>
      <c r="F115" s="230"/>
      <c r="G115" s="230"/>
      <c r="I115" s="657">
        <f t="shared" si="288"/>
        <v>0</v>
      </c>
      <c r="J115" s="606" t="str">
        <f t="shared" si="289"/>
        <v>N/A</v>
      </c>
      <c r="K115" s="471"/>
      <c r="L115" s="607"/>
      <c r="M115" s="300"/>
      <c r="N115" s="608"/>
      <c r="O115" s="609">
        <f t="shared" si="284"/>
        <v>0</v>
      </c>
      <c r="P115" s="609">
        <f t="shared" si="285"/>
        <v>0</v>
      </c>
      <c r="Q115" s="609">
        <f t="shared" si="286"/>
        <v>0</v>
      </c>
      <c r="R115" s="610" t="str">
        <f>IFERROR(Q115/Q120,"")</f>
        <v/>
      </c>
      <c r="S115" s="658"/>
      <c r="T115" s="658"/>
      <c r="U115" s="658"/>
      <c r="V115" s="658"/>
      <c r="W115" s="658"/>
      <c r="X115" s="658"/>
      <c r="Y115" s="658"/>
      <c r="Z115" s="658"/>
      <c r="AA115" s="658"/>
      <c r="AB115" s="658"/>
      <c r="AC115" s="658"/>
      <c r="AD115" s="658"/>
      <c r="AE115" s="658"/>
      <c r="AF115" s="658"/>
      <c r="AG115" s="658"/>
      <c r="AH115" s="658"/>
      <c r="AI115" s="658"/>
      <c r="AJ115" s="658"/>
      <c r="AK115" s="658"/>
      <c r="AL115" s="658"/>
      <c r="AM115" s="658"/>
      <c r="AN115" s="658"/>
      <c r="AO115" s="658"/>
      <c r="AP115" s="658"/>
      <c r="AQ115" s="658"/>
      <c r="AR115" s="658"/>
      <c r="AS115" s="658"/>
      <c r="AT115" s="658"/>
      <c r="AU115" s="658"/>
      <c r="AV115" s="658"/>
      <c r="AW115" s="658"/>
      <c r="AX115" s="658"/>
      <c r="AY115" s="658"/>
      <c r="AZ115" s="658"/>
      <c r="BA115" s="658"/>
      <c r="BB115" s="658"/>
      <c r="BC115" s="658"/>
      <c r="BD115" s="658"/>
      <c r="BE115" s="658"/>
      <c r="BF115" s="658"/>
      <c r="BG115" s="658"/>
      <c r="BH115" s="658"/>
      <c r="BI115" s="658"/>
      <c r="BJ115" s="658"/>
      <c r="BK115" s="658"/>
      <c r="BL115" s="658"/>
      <c r="BM115" s="658"/>
      <c r="BN115" s="658"/>
      <c r="BO115" s="658"/>
      <c r="BP115" s="658"/>
      <c r="BQ115" s="658"/>
      <c r="BR115" s="658"/>
      <c r="BS115" s="658"/>
      <c r="BT115" s="658"/>
      <c r="BU115" s="658"/>
      <c r="BV115" s="658"/>
      <c r="BW115" s="658"/>
      <c r="BX115" s="658"/>
      <c r="BY115" s="658"/>
      <c r="BZ115" s="658"/>
      <c r="CA115" s="658"/>
      <c r="CB115" s="658"/>
      <c r="CC115" s="658"/>
      <c r="CD115" s="658"/>
      <c r="CE115" s="658"/>
      <c r="CF115" s="658"/>
      <c r="CG115" s="658"/>
      <c r="CH115" s="658"/>
      <c r="CI115" s="658"/>
      <c r="CJ115" s="658"/>
      <c r="CK115" s="658"/>
      <c r="CL115" s="658"/>
      <c r="CM115" s="658"/>
      <c r="CN115" s="658"/>
      <c r="CO115" s="658"/>
      <c r="CP115" s="658"/>
      <c r="CQ115" s="658"/>
      <c r="CR115" s="658"/>
      <c r="CS115" s="658"/>
      <c r="CT115" s="658"/>
      <c r="CU115" s="658"/>
      <c r="CV115" s="658"/>
      <c r="CW115" s="658"/>
      <c r="CX115" s="658"/>
      <c r="CY115" s="658"/>
      <c r="CZ115" s="658"/>
      <c r="DA115" s="658"/>
      <c r="DB115" s="658"/>
      <c r="DC115" s="658"/>
      <c r="DD115" s="658"/>
      <c r="DE115" s="658"/>
      <c r="DF115" s="658"/>
      <c r="DG115" s="658"/>
      <c r="DH115" s="658"/>
      <c r="DI115" s="658"/>
      <c r="DJ115" s="658"/>
      <c r="DK115" s="658"/>
      <c r="DL115" s="658"/>
      <c r="DM115" s="658"/>
      <c r="DN115" s="658"/>
      <c r="DO115" s="177">
        <f t="shared" si="290"/>
        <v>0</v>
      </c>
      <c r="DP115" s="612" t="e">
        <f t="shared" si="291"/>
        <v>#N/A</v>
      </c>
      <c r="DQ115" s="612" t="e">
        <f t="shared" si="287"/>
        <v>#NUM!</v>
      </c>
      <c r="DR115" s="177"/>
      <c r="DS115" s="177"/>
      <c r="DT115" s="177"/>
      <c r="DU115" s="177"/>
      <c r="DV115" s="177"/>
      <c r="DW115" s="177"/>
      <c r="DX115" s="177"/>
      <c r="DY115" s="177"/>
      <c r="DZ115" s="177"/>
      <c r="EA115" s="613"/>
    </row>
    <row r="116" spans="1:131" ht="13.5">
      <c r="A116" s="652" t="str">
        <f t="shared" si="283"/>
        <v>평가방법론</v>
      </c>
      <c r="B116" s="653" t="s">
        <v>7</v>
      </c>
      <c r="C116" s="786"/>
      <c r="D116" s="786"/>
      <c r="E116" s="786"/>
      <c r="F116" s="230"/>
      <c r="G116" s="230"/>
      <c r="I116" s="657">
        <f t="shared" si="288"/>
        <v>0</v>
      </c>
      <c r="J116" s="606" t="str">
        <f t="shared" si="289"/>
        <v>N/A</v>
      </c>
      <c r="K116" s="471"/>
      <c r="L116" s="607"/>
      <c r="M116" s="300"/>
      <c r="N116" s="608"/>
      <c r="O116" s="609">
        <f t="shared" si="284"/>
        <v>0</v>
      </c>
      <c r="P116" s="609">
        <f t="shared" si="285"/>
        <v>0</v>
      </c>
      <c r="Q116" s="609">
        <f t="shared" si="286"/>
        <v>0</v>
      </c>
      <c r="R116" s="610" t="str">
        <f>IFERROR(Q116/Q120,"")</f>
        <v/>
      </c>
      <c r="S116" s="658"/>
      <c r="T116" s="658"/>
      <c r="U116" s="658"/>
      <c r="V116" s="658"/>
      <c r="W116" s="658"/>
      <c r="X116" s="658"/>
      <c r="Y116" s="658"/>
      <c r="Z116" s="658"/>
      <c r="AA116" s="658"/>
      <c r="AB116" s="658"/>
      <c r="AC116" s="658"/>
      <c r="AD116" s="658"/>
      <c r="AE116" s="658"/>
      <c r="AF116" s="658"/>
      <c r="AG116" s="658"/>
      <c r="AH116" s="658"/>
      <c r="AI116" s="658"/>
      <c r="AJ116" s="658"/>
      <c r="AK116" s="658"/>
      <c r="AL116" s="658"/>
      <c r="AM116" s="658"/>
      <c r="AN116" s="658"/>
      <c r="AO116" s="658"/>
      <c r="AP116" s="658"/>
      <c r="AQ116" s="658"/>
      <c r="AR116" s="658"/>
      <c r="AS116" s="658"/>
      <c r="AT116" s="658"/>
      <c r="AU116" s="658"/>
      <c r="AV116" s="658"/>
      <c r="AW116" s="658"/>
      <c r="AX116" s="658"/>
      <c r="AY116" s="658"/>
      <c r="AZ116" s="658"/>
      <c r="BA116" s="658"/>
      <c r="BB116" s="658"/>
      <c r="BC116" s="658"/>
      <c r="BD116" s="658"/>
      <c r="BE116" s="658"/>
      <c r="BF116" s="658"/>
      <c r="BG116" s="658"/>
      <c r="BH116" s="658"/>
      <c r="BI116" s="658"/>
      <c r="BJ116" s="658"/>
      <c r="BK116" s="658"/>
      <c r="BL116" s="658"/>
      <c r="BM116" s="658"/>
      <c r="BN116" s="658"/>
      <c r="BO116" s="658"/>
      <c r="BP116" s="658"/>
      <c r="BQ116" s="658"/>
      <c r="BR116" s="658"/>
      <c r="BS116" s="658"/>
      <c r="BT116" s="658"/>
      <c r="BU116" s="658"/>
      <c r="BV116" s="658"/>
      <c r="BW116" s="658"/>
      <c r="BX116" s="658"/>
      <c r="BY116" s="658"/>
      <c r="BZ116" s="658"/>
      <c r="CA116" s="658"/>
      <c r="CB116" s="658"/>
      <c r="CC116" s="658"/>
      <c r="CD116" s="658"/>
      <c r="CE116" s="658"/>
      <c r="CF116" s="658"/>
      <c r="CG116" s="658"/>
      <c r="CH116" s="658"/>
      <c r="CI116" s="658"/>
      <c r="CJ116" s="658"/>
      <c r="CK116" s="658"/>
      <c r="CL116" s="658"/>
      <c r="CM116" s="658"/>
      <c r="CN116" s="658"/>
      <c r="CO116" s="658"/>
      <c r="CP116" s="658"/>
      <c r="CQ116" s="658"/>
      <c r="CR116" s="658"/>
      <c r="CS116" s="658"/>
      <c r="CT116" s="658"/>
      <c r="CU116" s="658"/>
      <c r="CV116" s="658"/>
      <c r="CW116" s="658"/>
      <c r="CX116" s="658"/>
      <c r="CY116" s="658"/>
      <c r="CZ116" s="658"/>
      <c r="DA116" s="658"/>
      <c r="DB116" s="658"/>
      <c r="DC116" s="658"/>
      <c r="DD116" s="658"/>
      <c r="DE116" s="658"/>
      <c r="DF116" s="658"/>
      <c r="DG116" s="658"/>
      <c r="DH116" s="658"/>
      <c r="DI116" s="658"/>
      <c r="DJ116" s="658"/>
      <c r="DK116" s="658"/>
      <c r="DL116" s="658"/>
      <c r="DM116" s="658"/>
      <c r="DN116" s="658"/>
      <c r="DO116" s="177">
        <f t="shared" si="290"/>
        <v>0</v>
      </c>
      <c r="DP116" s="612" t="e">
        <f t="shared" si="291"/>
        <v>#N/A</v>
      </c>
      <c r="DQ116" s="612" t="e">
        <f t="shared" si="287"/>
        <v>#NUM!</v>
      </c>
      <c r="DR116" s="177"/>
      <c r="DS116" s="177"/>
      <c r="DT116" s="177"/>
      <c r="DU116" s="177"/>
      <c r="DV116" s="177"/>
      <c r="DW116" s="177"/>
      <c r="DX116" s="177"/>
      <c r="DY116" s="177"/>
      <c r="DZ116" s="177"/>
      <c r="EA116" s="613"/>
    </row>
    <row r="117" spans="1:131" ht="13.5">
      <c r="A117" s="652" t="str">
        <f t="shared" si="283"/>
        <v>분배 조항 여부</v>
      </c>
      <c r="B117" s="653" t="s">
        <v>355</v>
      </c>
      <c r="C117" s="786"/>
      <c r="D117" s="786"/>
      <c r="E117" s="786"/>
      <c r="F117" s="230"/>
      <c r="G117" s="230"/>
      <c r="I117" s="657">
        <f t="shared" si="288"/>
        <v>0</v>
      </c>
      <c r="J117" s="606" t="str">
        <f t="shared" si="289"/>
        <v>N/A</v>
      </c>
      <c r="K117" s="471"/>
      <c r="L117" s="607"/>
      <c r="M117" s="300"/>
      <c r="N117" s="608"/>
      <c r="O117" s="609">
        <f t="shared" si="284"/>
        <v>0</v>
      </c>
      <c r="P117" s="609">
        <f t="shared" si="285"/>
        <v>0</v>
      </c>
      <c r="Q117" s="609">
        <f t="shared" si="286"/>
        <v>0</v>
      </c>
      <c r="R117" s="610" t="str">
        <f>IFERROR(Q117/Q120,"")</f>
        <v/>
      </c>
      <c r="S117" s="658"/>
      <c r="T117" s="658"/>
      <c r="U117" s="658"/>
      <c r="V117" s="658"/>
      <c r="W117" s="658"/>
      <c r="X117" s="658"/>
      <c r="Y117" s="658"/>
      <c r="Z117" s="658"/>
      <c r="AA117" s="658"/>
      <c r="AB117" s="658"/>
      <c r="AC117" s="658"/>
      <c r="AD117" s="658"/>
      <c r="AE117" s="658"/>
      <c r="AF117" s="658"/>
      <c r="AG117" s="658"/>
      <c r="AH117" s="658"/>
      <c r="AI117" s="658"/>
      <c r="AJ117" s="658"/>
      <c r="AK117" s="658"/>
      <c r="AL117" s="658"/>
      <c r="AM117" s="658"/>
      <c r="AN117" s="658"/>
      <c r="AO117" s="658"/>
      <c r="AP117" s="658"/>
      <c r="AQ117" s="658"/>
      <c r="AR117" s="658"/>
      <c r="AS117" s="658"/>
      <c r="AT117" s="658"/>
      <c r="AU117" s="658"/>
      <c r="AV117" s="658"/>
      <c r="AW117" s="658"/>
      <c r="AX117" s="658"/>
      <c r="AY117" s="658"/>
      <c r="AZ117" s="658"/>
      <c r="BA117" s="658"/>
      <c r="BB117" s="658"/>
      <c r="BC117" s="658"/>
      <c r="BD117" s="658"/>
      <c r="BE117" s="658"/>
      <c r="BF117" s="658"/>
      <c r="BG117" s="658"/>
      <c r="BH117" s="658"/>
      <c r="BI117" s="658"/>
      <c r="BJ117" s="658"/>
      <c r="BK117" s="658"/>
      <c r="BL117" s="658"/>
      <c r="BM117" s="658"/>
      <c r="BN117" s="658"/>
      <c r="BO117" s="658"/>
      <c r="BP117" s="658"/>
      <c r="BQ117" s="658"/>
      <c r="BR117" s="658"/>
      <c r="BS117" s="658"/>
      <c r="BT117" s="658"/>
      <c r="BU117" s="658"/>
      <c r="BV117" s="658"/>
      <c r="BW117" s="658"/>
      <c r="BX117" s="658"/>
      <c r="BY117" s="658"/>
      <c r="BZ117" s="658"/>
      <c r="CA117" s="658"/>
      <c r="CB117" s="658"/>
      <c r="CC117" s="658"/>
      <c r="CD117" s="658"/>
      <c r="CE117" s="658"/>
      <c r="CF117" s="658"/>
      <c r="CG117" s="658"/>
      <c r="CH117" s="658"/>
      <c r="CI117" s="658"/>
      <c r="CJ117" s="658"/>
      <c r="CK117" s="658"/>
      <c r="CL117" s="658"/>
      <c r="CM117" s="658"/>
      <c r="CN117" s="658"/>
      <c r="CO117" s="658"/>
      <c r="CP117" s="658"/>
      <c r="CQ117" s="658"/>
      <c r="CR117" s="658"/>
      <c r="CS117" s="658"/>
      <c r="CT117" s="658"/>
      <c r="CU117" s="658"/>
      <c r="CV117" s="658"/>
      <c r="CW117" s="658"/>
      <c r="CX117" s="658"/>
      <c r="CY117" s="658"/>
      <c r="CZ117" s="658"/>
      <c r="DA117" s="658"/>
      <c r="DB117" s="658"/>
      <c r="DC117" s="658"/>
      <c r="DD117" s="658"/>
      <c r="DE117" s="658"/>
      <c r="DF117" s="658"/>
      <c r="DG117" s="658"/>
      <c r="DH117" s="658"/>
      <c r="DI117" s="658"/>
      <c r="DJ117" s="658"/>
      <c r="DK117" s="658"/>
      <c r="DL117" s="658"/>
      <c r="DM117" s="658"/>
      <c r="DN117" s="658"/>
      <c r="DO117" s="177">
        <f t="shared" si="290"/>
        <v>0</v>
      </c>
      <c r="DP117" s="612" t="e">
        <f t="shared" si="291"/>
        <v>#N/A</v>
      </c>
      <c r="DQ117" s="612" t="e">
        <f t="shared" si="287"/>
        <v>#NUM!</v>
      </c>
      <c r="DR117" s="177"/>
      <c r="DS117" s="177"/>
      <c r="DT117" s="177"/>
      <c r="DU117" s="177"/>
      <c r="DV117" s="177"/>
      <c r="DW117" s="177"/>
      <c r="DX117" s="177"/>
      <c r="DY117" s="177"/>
      <c r="DZ117" s="177"/>
      <c r="EA117" s="613"/>
    </row>
    <row r="118" spans="1:131" ht="14.25" thickBot="1">
      <c r="A118" s="652" t="str">
        <f t="shared" si="283"/>
        <v>모펀드 출자 지분율</v>
      </c>
      <c r="B118" s="660" t="s">
        <v>356</v>
      </c>
      <c r="C118" s="787"/>
      <c r="D118" s="787"/>
      <c r="E118" s="787"/>
      <c r="F118" s="230"/>
      <c r="G118" s="230"/>
      <c r="I118" s="657">
        <f t="shared" si="288"/>
        <v>0</v>
      </c>
      <c r="J118" s="606" t="str">
        <f t="shared" si="289"/>
        <v>N/A</v>
      </c>
      <c r="K118" s="471"/>
      <c r="L118" s="607"/>
      <c r="M118" s="300"/>
      <c r="N118" s="608"/>
      <c r="O118" s="609">
        <f t="shared" si="284"/>
        <v>0</v>
      </c>
      <c r="P118" s="609">
        <f t="shared" si="285"/>
        <v>0</v>
      </c>
      <c r="Q118" s="609">
        <f t="shared" si="286"/>
        <v>0</v>
      </c>
      <c r="R118" s="610" t="str">
        <f>IFERROR(Q118/Q120,"")</f>
        <v/>
      </c>
      <c r="S118" s="658"/>
      <c r="T118" s="658"/>
      <c r="U118" s="658"/>
      <c r="V118" s="658"/>
      <c r="W118" s="658"/>
      <c r="X118" s="658"/>
      <c r="Y118" s="658"/>
      <c r="Z118" s="658"/>
      <c r="AA118" s="658"/>
      <c r="AB118" s="658"/>
      <c r="AC118" s="658"/>
      <c r="AD118" s="658"/>
      <c r="AE118" s="658"/>
      <c r="AF118" s="658"/>
      <c r="AG118" s="658"/>
      <c r="AH118" s="658"/>
      <c r="AI118" s="658"/>
      <c r="AJ118" s="658"/>
      <c r="AK118" s="658"/>
      <c r="AL118" s="658"/>
      <c r="AM118" s="658"/>
      <c r="AN118" s="658"/>
      <c r="AO118" s="658"/>
      <c r="AP118" s="658"/>
      <c r="AQ118" s="658"/>
      <c r="AR118" s="658"/>
      <c r="AS118" s="658"/>
      <c r="AT118" s="658"/>
      <c r="AU118" s="658"/>
      <c r="AV118" s="658"/>
      <c r="AW118" s="658"/>
      <c r="AX118" s="658"/>
      <c r="AY118" s="658"/>
      <c r="AZ118" s="658"/>
      <c r="BA118" s="658"/>
      <c r="BB118" s="658"/>
      <c r="BC118" s="658"/>
      <c r="BD118" s="658"/>
      <c r="BE118" s="658"/>
      <c r="BF118" s="658"/>
      <c r="BG118" s="658"/>
      <c r="BH118" s="658"/>
      <c r="BI118" s="658"/>
      <c r="BJ118" s="658"/>
      <c r="BK118" s="658"/>
      <c r="BL118" s="658"/>
      <c r="BM118" s="658"/>
      <c r="BN118" s="658"/>
      <c r="BO118" s="658"/>
      <c r="BP118" s="658"/>
      <c r="BQ118" s="658"/>
      <c r="BR118" s="658"/>
      <c r="BS118" s="658"/>
      <c r="BT118" s="658"/>
      <c r="BU118" s="658"/>
      <c r="BV118" s="658"/>
      <c r="BW118" s="658"/>
      <c r="BX118" s="658"/>
      <c r="BY118" s="658"/>
      <c r="BZ118" s="658"/>
      <c r="CA118" s="658"/>
      <c r="CB118" s="658"/>
      <c r="CC118" s="658"/>
      <c r="CD118" s="658"/>
      <c r="CE118" s="658"/>
      <c r="CF118" s="658"/>
      <c r="CG118" s="658"/>
      <c r="CH118" s="658"/>
      <c r="CI118" s="658"/>
      <c r="CJ118" s="658"/>
      <c r="CK118" s="658"/>
      <c r="CL118" s="658"/>
      <c r="CM118" s="658"/>
      <c r="CN118" s="658"/>
      <c r="CO118" s="658"/>
      <c r="CP118" s="658"/>
      <c r="CQ118" s="658"/>
      <c r="CR118" s="658"/>
      <c r="CS118" s="658"/>
      <c r="CT118" s="658"/>
      <c r="CU118" s="658"/>
      <c r="CV118" s="658"/>
      <c r="CW118" s="658"/>
      <c r="CX118" s="658"/>
      <c r="CY118" s="658"/>
      <c r="CZ118" s="658"/>
      <c r="DA118" s="658"/>
      <c r="DB118" s="658"/>
      <c r="DC118" s="658"/>
      <c r="DD118" s="658"/>
      <c r="DE118" s="658"/>
      <c r="DF118" s="658"/>
      <c r="DG118" s="658"/>
      <c r="DH118" s="658"/>
      <c r="DI118" s="658"/>
      <c r="DJ118" s="658"/>
      <c r="DK118" s="658"/>
      <c r="DL118" s="658"/>
      <c r="DM118" s="658"/>
      <c r="DN118" s="658"/>
      <c r="DO118" s="177">
        <f t="shared" si="290"/>
        <v>0</v>
      </c>
      <c r="DP118" s="612" t="e">
        <f t="shared" si="291"/>
        <v>#N/A</v>
      </c>
      <c r="DQ118" s="612" t="e">
        <f t="shared" si="287"/>
        <v>#NUM!</v>
      </c>
      <c r="DR118" s="177"/>
      <c r="DS118" s="177"/>
      <c r="DT118" s="177"/>
      <c r="DU118" s="177"/>
      <c r="DV118" s="177"/>
      <c r="DW118" s="177"/>
      <c r="DX118" s="177"/>
      <c r="DY118" s="177"/>
      <c r="DZ118" s="177"/>
      <c r="EA118" s="613"/>
    </row>
    <row r="119" spans="1:131" ht="14.25" thickBot="1">
      <c r="B119" s="778" t="s">
        <v>3404</v>
      </c>
      <c r="C119" s="616" t="s">
        <v>223</v>
      </c>
      <c r="D119" s="616" t="s">
        <v>224</v>
      </c>
      <c r="E119" s="616" t="s">
        <v>225</v>
      </c>
      <c r="F119" s="230"/>
      <c r="G119" s="230"/>
      <c r="I119" s="657">
        <f t="shared" si="288"/>
        <v>0</v>
      </c>
      <c r="J119" s="606" t="str">
        <f t="shared" si="289"/>
        <v>N/A</v>
      </c>
      <c r="K119" s="471"/>
      <c r="L119" s="607"/>
      <c r="M119" s="300"/>
      <c r="N119" s="608"/>
      <c r="O119" s="609">
        <f t="shared" si="284"/>
        <v>0</v>
      </c>
      <c r="P119" s="609">
        <f t="shared" si="285"/>
        <v>0</v>
      </c>
      <c r="Q119" s="609">
        <f t="shared" si="286"/>
        <v>0</v>
      </c>
      <c r="R119" s="610" t="str">
        <f>IFERROR(Q119/Q120,"")</f>
        <v/>
      </c>
      <c r="S119" s="658"/>
      <c r="T119" s="658"/>
      <c r="U119" s="658"/>
      <c r="V119" s="658"/>
      <c r="W119" s="658"/>
      <c r="X119" s="658"/>
      <c r="Y119" s="658"/>
      <c r="Z119" s="658"/>
      <c r="AA119" s="658"/>
      <c r="AB119" s="658"/>
      <c r="AC119" s="658"/>
      <c r="AD119" s="658"/>
      <c r="AE119" s="658"/>
      <c r="AF119" s="658"/>
      <c r="AG119" s="658"/>
      <c r="AH119" s="658"/>
      <c r="AI119" s="658"/>
      <c r="AJ119" s="658"/>
      <c r="AK119" s="658"/>
      <c r="AL119" s="658"/>
      <c r="AM119" s="658"/>
      <c r="AN119" s="658"/>
      <c r="AO119" s="658"/>
      <c r="AP119" s="658"/>
      <c r="AQ119" s="658"/>
      <c r="AR119" s="658"/>
      <c r="AS119" s="658"/>
      <c r="AT119" s="658"/>
      <c r="AU119" s="658"/>
      <c r="AV119" s="658"/>
      <c r="AW119" s="658"/>
      <c r="AX119" s="658"/>
      <c r="AY119" s="658"/>
      <c r="AZ119" s="658"/>
      <c r="BA119" s="658"/>
      <c r="BB119" s="658"/>
      <c r="BC119" s="658"/>
      <c r="BD119" s="658"/>
      <c r="BE119" s="658"/>
      <c r="BF119" s="658"/>
      <c r="BG119" s="658"/>
      <c r="BH119" s="658"/>
      <c r="BI119" s="658"/>
      <c r="BJ119" s="658"/>
      <c r="BK119" s="658"/>
      <c r="BL119" s="658"/>
      <c r="BM119" s="658"/>
      <c r="BN119" s="658"/>
      <c r="BO119" s="658"/>
      <c r="BP119" s="658"/>
      <c r="BQ119" s="658"/>
      <c r="BR119" s="658"/>
      <c r="BS119" s="658"/>
      <c r="BT119" s="658"/>
      <c r="BU119" s="658"/>
      <c r="BV119" s="658"/>
      <c r="BW119" s="658"/>
      <c r="BX119" s="658"/>
      <c r="BY119" s="658"/>
      <c r="BZ119" s="658"/>
      <c r="CA119" s="658"/>
      <c r="CB119" s="658"/>
      <c r="CC119" s="658"/>
      <c r="CD119" s="658"/>
      <c r="CE119" s="658"/>
      <c r="CF119" s="658"/>
      <c r="CG119" s="658"/>
      <c r="CH119" s="658"/>
      <c r="CI119" s="658"/>
      <c r="CJ119" s="658"/>
      <c r="CK119" s="658"/>
      <c r="CL119" s="658"/>
      <c r="CM119" s="658"/>
      <c r="CN119" s="658"/>
      <c r="CO119" s="658"/>
      <c r="CP119" s="658"/>
      <c r="CQ119" s="658"/>
      <c r="CR119" s="658"/>
      <c r="CS119" s="658"/>
      <c r="CT119" s="658"/>
      <c r="CU119" s="658"/>
      <c r="CV119" s="658"/>
      <c r="CW119" s="658"/>
      <c r="CX119" s="658"/>
      <c r="CY119" s="658"/>
      <c r="CZ119" s="658"/>
      <c r="DA119" s="658"/>
      <c r="DB119" s="658"/>
      <c r="DC119" s="658"/>
      <c r="DD119" s="658"/>
      <c r="DE119" s="658"/>
      <c r="DF119" s="658"/>
      <c r="DG119" s="658"/>
      <c r="DH119" s="658"/>
      <c r="DI119" s="658"/>
      <c r="DJ119" s="658"/>
      <c r="DK119" s="658"/>
      <c r="DL119" s="658"/>
      <c r="DM119" s="658"/>
      <c r="DN119" s="658"/>
      <c r="DO119" s="177">
        <f t="shared" si="290"/>
        <v>0</v>
      </c>
      <c r="DP119" s="612" t="e">
        <f t="shared" si="291"/>
        <v>#N/A</v>
      </c>
      <c r="DQ119" s="612" t="e">
        <f t="shared" si="287"/>
        <v>#NUM!</v>
      </c>
      <c r="DR119" s="177"/>
      <c r="DS119" s="177"/>
      <c r="DT119" s="177"/>
      <c r="DU119" s="177"/>
      <c r="DV119" s="177"/>
      <c r="DW119" s="177"/>
      <c r="DX119" s="177"/>
      <c r="DY119" s="177"/>
      <c r="DZ119" s="177"/>
      <c r="EA119" s="613"/>
    </row>
    <row r="120" spans="1:131" ht="14.25" thickBot="1">
      <c r="B120" s="779"/>
      <c r="C120" s="661"/>
      <c r="D120" s="661"/>
      <c r="E120" s="661"/>
      <c r="F120" s="662"/>
      <c r="G120" s="662"/>
      <c r="H120" s="317"/>
      <c r="I120" s="634">
        <f>SUM(I112:I119)</f>
        <v>0</v>
      </c>
      <c r="J120" s="663"/>
      <c r="K120" s="664"/>
      <c r="L120" s="664"/>
      <c r="M120" s="664"/>
      <c r="N120" s="634">
        <f t="shared" ref="N120:R120" si="292">SUM(N112:N119)</f>
        <v>0</v>
      </c>
      <c r="O120" s="634">
        <f t="shared" si="292"/>
        <v>0</v>
      </c>
      <c r="P120" s="634">
        <f t="shared" si="292"/>
        <v>0</v>
      </c>
      <c r="Q120" s="634">
        <f t="shared" si="292"/>
        <v>0</v>
      </c>
      <c r="R120" s="665">
        <f t="shared" si="292"/>
        <v>0</v>
      </c>
      <c r="S120" s="634">
        <f>SUM(S112:S119)</f>
        <v>0</v>
      </c>
      <c r="T120" s="634">
        <f t="shared" ref="T120" si="293">SUM(T112:T119)</f>
        <v>0</v>
      </c>
      <c r="U120" s="634">
        <f t="shared" ref="U120" si="294">SUM(U112:U119)</f>
        <v>0</v>
      </c>
      <c r="V120" s="634">
        <f t="shared" ref="V120" si="295">SUM(V112:V119)</f>
        <v>0</v>
      </c>
      <c r="W120" s="634">
        <f t="shared" ref="W120" si="296">SUM(W112:W119)</f>
        <v>0</v>
      </c>
      <c r="X120" s="634">
        <f t="shared" ref="X120" si="297">SUM(X112:X119)</f>
        <v>0</v>
      </c>
      <c r="Y120" s="634">
        <f t="shared" ref="Y120" si="298">SUM(Y112:Y119)</f>
        <v>0</v>
      </c>
      <c r="Z120" s="634">
        <f t="shared" ref="Z120" si="299">SUM(Z112:Z119)</f>
        <v>0</v>
      </c>
      <c r="AA120" s="634">
        <f t="shared" ref="AA120" si="300">SUM(AA112:AA119)</f>
        <v>0</v>
      </c>
      <c r="AB120" s="634">
        <f t="shared" ref="AB120" si="301">SUM(AB112:AB119)</f>
        <v>0</v>
      </c>
      <c r="AC120" s="634">
        <f t="shared" ref="AC120" si="302">SUM(AC112:AC119)</f>
        <v>0</v>
      </c>
      <c r="AD120" s="634">
        <f t="shared" ref="AD120" si="303">SUM(AD112:AD119)</f>
        <v>0</v>
      </c>
      <c r="AE120" s="634">
        <f t="shared" ref="AE120" si="304">SUM(AE112:AE119)</f>
        <v>0</v>
      </c>
      <c r="AF120" s="634">
        <f t="shared" ref="AF120" si="305">SUM(AF112:AF119)</f>
        <v>0</v>
      </c>
      <c r="AG120" s="634">
        <f t="shared" ref="AG120" si="306">SUM(AG112:AG119)</f>
        <v>0</v>
      </c>
      <c r="AH120" s="634">
        <f t="shared" ref="AH120" si="307">SUM(AH112:AH119)</f>
        <v>0</v>
      </c>
      <c r="AI120" s="634">
        <f t="shared" ref="AI120" si="308">SUM(AI112:AI119)</f>
        <v>0</v>
      </c>
      <c r="AJ120" s="634">
        <f t="shared" ref="AJ120" si="309">SUM(AJ112:AJ119)</f>
        <v>0</v>
      </c>
      <c r="AK120" s="634">
        <f t="shared" ref="AK120" si="310">SUM(AK112:AK119)</f>
        <v>0</v>
      </c>
      <c r="AL120" s="634">
        <f t="shared" ref="AL120" si="311">SUM(AL112:AL119)</f>
        <v>0</v>
      </c>
      <c r="AM120" s="634">
        <f t="shared" ref="AM120" si="312">SUM(AM112:AM119)</f>
        <v>0</v>
      </c>
      <c r="AN120" s="634">
        <f t="shared" ref="AN120" si="313">SUM(AN112:AN119)</f>
        <v>0</v>
      </c>
      <c r="AO120" s="634">
        <f t="shared" ref="AO120" si="314">SUM(AO112:AO119)</f>
        <v>0</v>
      </c>
      <c r="AP120" s="634">
        <f t="shared" ref="AP120" si="315">SUM(AP112:AP119)</f>
        <v>0</v>
      </c>
      <c r="AQ120" s="634">
        <f t="shared" ref="AQ120" si="316">SUM(AQ112:AQ119)</f>
        <v>0</v>
      </c>
      <c r="AR120" s="634">
        <f t="shared" ref="AR120" si="317">SUM(AR112:AR119)</f>
        <v>0</v>
      </c>
      <c r="AS120" s="634">
        <f t="shared" ref="AS120" si="318">SUM(AS112:AS119)</f>
        <v>0</v>
      </c>
      <c r="AT120" s="634">
        <f t="shared" ref="AT120" si="319">SUM(AT112:AT119)</f>
        <v>0</v>
      </c>
      <c r="AU120" s="634">
        <f t="shared" ref="AU120" si="320">SUM(AU112:AU119)</f>
        <v>0</v>
      </c>
      <c r="AV120" s="634">
        <f t="shared" ref="AV120" si="321">SUM(AV112:AV119)</f>
        <v>0</v>
      </c>
      <c r="AW120" s="634">
        <f t="shared" ref="AW120" si="322">SUM(AW112:AW119)</f>
        <v>0</v>
      </c>
      <c r="AX120" s="634">
        <f t="shared" ref="AX120" si="323">SUM(AX112:AX119)</f>
        <v>0</v>
      </c>
      <c r="AY120" s="634">
        <f t="shared" ref="AY120" si="324">SUM(AY112:AY119)</f>
        <v>0</v>
      </c>
      <c r="AZ120" s="634">
        <f t="shared" ref="AZ120" si="325">SUM(AZ112:AZ119)</f>
        <v>0</v>
      </c>
      <c r="BA120" s="634">
        <f t="shared" ref="BA120" si="326">SUM(BA112:BA119)</f>
        <v>0</v>
      </c>
      <c r="BB120" s="634">
        <f t="shared" ref="BB120" si="327">SUM(BB112:BB119)</f>
        <v>0</v>
      </c>
      <c r="BC120" s="634">
        <f t="shared" ref="BC120" si="328">SUM(BC112:BC119)</f>
        <v>0</v>
      </c>
      <c r="BD120" s="634">
        <f t="shared" ref="BD120" si="329">SUM(BD112:BD119)</f>
        <v>0</v>
      </c>
      <c r="BE120" s="634">
        <f t="shared" ref="BE120" si="330">SUM(BE112:BE119)</f>
        <v>0</v>
      </c>
      <c r="BF120" s="634">
        <f t="shared" ref="BF120" si="331">SUM(BF112:BF119)</f>
        <v>0</v>
      </c>
      <c r="BG120" s="634">
        <f t="shared" ref="BG120" si="332">SUM(BG112:BG119)</f>
        <v>0</v>
      </c>
      <c r="BH120" s="634">
        <f t="shared" ref="BH120" si="333">SUM(BH112:BH119)</f>
        <v>0</v>
      </c>
      <c r="BI120" s="634">
        <f t="shared" ref="BI120" si="334">SUM(BI112:BI119)</f>
        <v>0</v>
      </c>
      <c r="BJ120" s="634">
        <f t="shared" ref="BJ120" si="335">SUM(BJ112:BJ119)</f>
        <v>0</v>
      </c>
      <c r="BK120" s="634">
        <f t="shared" ref="BK120" si="336">SUM(BK112:BK119)</f>
        <v>0</v>
      </c>
      <c r="BL120" s="634">
        <f t="shared" ref="BL120" si="337">SUM(BL112:BL119)</f>
        <v>0</v>
      </c>
      <c r="BM120" s="634">
        <f t="shared" ref="BM120" si="338">SUM(BM112:BM119)</f>
        <v>0</v>
      </c>
      <c r="BN120" s="634">
        <f t="shared" ref="BN120" si="339">SUM(BN112:BN119)</f>
        <v>0</v>
      </c>
      <c r="BO120" s="634">
        <f t="shared" ref="BO120" si="340">SUM(BO112:BO119)</f>
        <v>0</v>
      </c>
      <c r="BP120" s="634">
        <f t="shared" ref="BP120" si="341">SUM(BP112:BP119)</f>
        <v>0</v>
      </c>
      <c r="BQ120" s="634">
        <f t="shared" ref="BQ120" si="342">SUM(BQ112:BQ119)</f>
        <v>0</v>
      </c>
      <c r="BR120" s="634">
        <f t="shared" ref="BR120" si="343">SUM(BR112:BR119)</f>
        <v>0</v>
      </c>
      <c r="BS120" s="634">
        <f t="shared" ref="BS120" si="344">SUM(BS112:BS119)</f>
        <v>0</v>
      </c>
      <c r="BT120" s="634">
        <f t="shared" ref="BT120" si="345">SUM(BT112:BT119)</f>
        <v>0</v>
      </c>
      <c r="BU120" s="634">
        <f t="shared" ref="BU120" si="346">SUM(BU112:BU119)</f>
        <v>0</v>
      </c>
      <c r="BV120" s="634">
        <f t="shared" ref="BV120" si="347">SUM(BV112:BV119)</f>
        <v>0</v>
      </c>
      <c r="BW120" s="634">
        <f t="shared" ref="BW120" si="348">SUM(BW112:BW119)</f>
        <v>0</v>
      </c>
      <c r="BX120" s="634">
        <f t="shared" ref="BX120" si="349">SUM(BX112:BX119)</f>
        <v>0</v>
      </c>
      <c r="BY120" s="634">
        <f t="shared" ref="BY120" si="350">SUM(BY112:BY119)</f>
        <v>0</v>
      </c>
      <c r="BZ120" s="634">
        <f t="shared" ref="BZ120" si="351">SUM(BZ112:BZ119)</f>
        <v>0</v>
      </c>
      <c r="CA120" s="634">
        <f t="shared" ref="CA120" si="352">SUM(CA112:CA119)</f>
        <v>0</v>
      </c>
      <c r="CB120" s="634">
        <f t="shared" ref="CB120" si="353">SUM(CB112:CB119)</f>
        <v>0</v>
      </c>
      <c r="CC120" s="634">
        <f t="shared" ref="CC120" si="354">SUM(CC112:CC119)</f>
        <v>0</v>
      </c>
      <c r="CD120" s="634">
        <f t="shared" ref="CD120" si="355">SUM(CD112:CD119)</f>
        <v>0</v>
      </c>
      <c r="CE120" s="634">
        <f t="shared" ref="CE120" si="356">SUM(CE112:CE119)</f>
        <v>0</v>
      </c>
      <c r="CF120" s="634">
        <f t="shared" ref="CF120" si="357">SUM(CF112:CF119)</f>
        <v>0</v>
      </c>
      <c r="CG120" s="634">
        <f t="shared" ref="CG120" si="358">SUM(CG112:CG119)</f>
        <v>0</v>
      </c>
      <c r="CH120" s="634">
        <f t="shared" ref="CH120" si="359">SUM(CH112:CH119)</f>
        <v>0</v>
      </c>
      <c r="CI120" s="634">
        <f t="shared" ref="CI120" si="360">SUM(CI112:CI119)</f>
        <v>0</v>
      </c>
      <c r="CJ120" s="634">
        <f t="shared" ref="CJ120" si="361">SUM(CJ112:CJ119)</f>
        <v>0</v>
      </c>
      <c r="CK120" s="634">
        <f t="shared" ref="CK120" si="362">SUM(CK112:CK119)</f>
        <v>0</v>
      </c>
      <c r="CL120" s="634">
        <f t="shared" ref="CL120" si="363">SUM(CL112:CL119)</f>
        <v>0</v>
      </c>
      <c r="CM120" s="634">
        <f t="shared" ref="CM120" si="364">SUM(CM112:CM119)</f>
        <v>0</v>
      </c>
      <c r="CN120" s="634">
        <f t="shared" ref="CN120" si="365">SUM(CN112:CN119)</f>
        <v>0</v>
      </c>
      <c r="CO120" s="634">
        <f t="shared" ref="CO120" si="366">SUM(CO112:CO119)</f>
        <v>0</v>
      </c>
      <c r="CP120" s="634">
        <f t="shared" ref="CP120" si="367">SUM(CP112:CP119)</f>
        <v>0</v>
      </c>
      <c r="CQ120" s="634">
        <f t="shared" ref="CQ120" si="368">SUM(CQ112:CQ119)</f>
        <v>0</v>
      </c>
      <c r="CR120" s="634">
        <f t="shared" ref="CR120" si="369">SUM(CR112:CR119)</f>
        <v>0</v>
      </c>
      <c r="CS120" s="634">
        <f t="shared" ref="CS120" si="370">SUM(CS112:CS119)</f>
        <v>0</v>
      </c>
      <c r="CT120" s="634">
        <f t="shared" ref="CT120" si="371">SUM(CT112:CT119)</f>
        <v>0</v>
      </c>
      <c r="CU120" s="634">
        <f t="shared" ref="CU120" si="372">SUM(CU112:CU119)</f>
        <v>0</v>
      </c>
      <c r="CV120" s="634">
        <f t="shared" ref="CV120" si="373">SUM(CV112:CV119)</f>
        <v>0</v>
      </c>
      <c r="CW120" s="634">
        <f t="shared" ref="CW120" si="374">SUM(CW112:CW119)</f>
        <v>0</v>
      </c>
      <c r="CX120" s="634">
        <f t="shared" ref="CX120" si="375">SUM(CX112:CX119)</f>
        <v>0</v>
      </c>
      <c r="CY120" s="634">
        <f t="shared" ref="CY120" si="376">SUM(CY112:CY119)</f>
        <v>0</v>
      </c>
      <c r="CZ120" s="634">
        <f t="shared" ref="CZ120" si="377">SUM(CZ112:CZ119)</f>
        <v>0</v>
      </c>
      <c r="DA120" s="634">
        <f t="shared" ref="DA120" si="378">SUM(DA112:DA119)</f>
        <v>0</v>
      </c>
      <c r="DB120" s="634">
        <f t="shared" ref="DB120" si="379">SUM(DB112:DB119)</f>
        <v>0</v>
      </c>
      <c r="DC120" s="634">
        <f t="shared" ref="DC120" si="380">SUM(DC112:DC119)</f>
        <v>0</v>
      </c>
      <c r="DD120" s="634">
        <f t="shared" ref="DD120" si="381">SUM(DD112:DD119)</f>
        <v>0</v>
      </c>
      <c r="DE120" s="634">
        <f t="shared" ref="DE120" si="382">SUM(DE112:DE119)</f>
        <v>0</v>
      </c>
      <c r="DF120" s="634">
        <f t="shared" ref="DF120" si="383">SUM(DF112:DF119)</f>
        <v>0</v>
      </c>
      <c r="DG120" s="634">
        <f t="shared" ref="DG120" si="384">SUM(DG112:DG119)</f>
        <v>0</v>
      </c>
      <c r="DH120" s="634">
        <f t="shared" ref="DH120" si="385">SUM(DH112:DH119)</f>
        <v>0</v>
      </c>
      <c r="DI120" s="634">
        <f t="shared" ref="DI120" si="386">SUM(DI112:DI119)</f>
        <v>0</v>
      </c>
      <c r="DJ120" s="634">
        <f t="shared" ref="DJ120" si="387">SUM(DJ112:DJ119)</f>
        <v>0</v>
      </c>
      <c r="DK120" s="634">
        <f t="shared" ref="DK120" si="388">SUM(DK112:DK119)</f>
        <v>0</v>
      </c>
      <c r="DL120" s="634">
        <f t="shared" ref="DL120" si="389">SUM(DL112:DL119)</f>
        <v>0</v>
      </c>
      <c r="DM120" s="634">
        <f t="shared" ref="DM120" si="390">SUM(DM112:DM119)</f>
        <v>0</v>
      </c>
      <c r="DN120" s="634">
        <f t="shared" ref="DN120" si="391">SUM(DN112:DN119)</f>
        <v>0</v>
      </c>
      <c r="DO120" s="634">
        <f t="shared" ref="DO120" si="392">SUM(DO112:DO119)</f>
        <v>0</v>
      </c>
      <c r="DP120" s="666"/>
      <c r="DQ120" s="638" t="e">
        <f>XIRR(S120:DO120,$S$111:$DO$111)</f>
        <v>#NUM!</v>
      </c>
      <c r="DR120" s="636">
        <f t="shared" ref="DR120:DX120" si="393">SUM(DR112:DR119)</f>
        <v>0</v>
      </c>
      <c r="DS120" s="636">
        <f t="shared" si="393"/>
        <v>0</v>
      </c>
      <c r="DT120" s="636">
        <f t="shared" si="393"/>
        <v>0</v>
      </c>
      <c r="DU120" s="636">
        <f t="shared" si="393"/>
        <v>0</v>
      </c>
      <c r="DV120" s="636">
        <f t="shared" si="393"/>
        <v>0</v>
      </c>
      <c r="DW120" s="636">
        <f t="shared" si="393"/>
        <v>0</v>
      </c>
      <c r="DX120" s="636">
        <f t="shared" si="393"/>
        <v>0</v>
      </c>
      <c r="DY120" s="636">
        <f>SUM(DY112:DY119)</f>
        <v>0</v>
      </c>
      <c r="DZ120" s="636">
        <f>SUM(DZ112:DZ119)</f>
        <v>0</v>
      </c>
      <c r="EA120" s="636">
        <f>SUM(EA112:EA119)</f>
        <v>0</v>
      </c>
    </row>
    <row r="121" spans="1:131" ht="14.25" thickBot="1">
      <c r="A121" s="172"/>
      <c r="B121" s="647"/>
      <c r="C121" s="592" t="s">
        <v>3609</v>
      </c>
      <c r="D121" s="648">
        <f>D109+1</f>
        <v>6</v>
      </c>
      <c r="E121" s="649"/>
      <c r="F121" s="603"/>
      <c r="G121" s="603"/>
      <c r="I121" s="650" t="b">
        <f>I132=DR123</f>
        <v>1</v>
      </c>
      <c r="J121" s="172"/>
      <c r="K121" s="172"/>
      <c r="L121" s="172"/>
      <c r="M121" s="172"/>
      <c r="N121" s="172"/>
      <c r="O121" s="172"/>
      <c r="P121" s="172"/>
      <c r="Q121" s="639" t="str">
        <f>IF(Q132=NAV!E409,"자본금과 일치","자본금과 불일치")</f>
        <v>자본금과 일치</v>
      </c>
      <c r="R121" s="172"/>
      <c r="S121" s="172"/>
      <c r="T121" s="172"/>
      <c r="U121" s="172"/>
      <c r="V121" s="172"/>
      <c r="W121" s="172"/>
      <c r="X121" s="172"/>
      <c r="Y121" s="172"/>
      <c r="Z121" s="172"/>
      <c r="AA121" s="172"/>
      <c r="AB121" s="172"/>
      <c r="AC121" s="172"/>
      <c r="AD121" s="172"/>
      <c r="AE121" s="172"/>
      <c r="AF121" s="172"/>
      <c r="AG121" s="172"/>
      <c r="AH121" s="172"/>
      <c r="AI121" s="172"/>
      <c r="AJ121" s="172"/>
      <c r="AK121" s="172"/>
      <c r="AL121" s="172"/>
      <c r="AM121" s="172"/>
      <c r="AN121" s="172"/>
      <c r="AO121" s="172"/>
      <c r="AP121" s="172"/>
      <c r="AQ121" s="172"/>
      <c r="AR121" s="172"/>
      <c r="AS121" s="172"/>
      <c r="AT121" s="172"/>
      <c r="AU121" s="172"/>
      <c r="AV121" s="172"/>
      <c r="AW121" s="172"/>
      <c r="AX121" s="172"/>
      <c r="AY121" s="172"/>
      <c r="AZ121" s="172"/>
      <c r="BA121" s="172"/>
      <c r="BB121" s="172"/>
      <c r="BC121" s="172"/>
      <c r="BD121" s="172"/>
      <c r="BE121" s="172"/>
      <c r="BF121" s="172"/>
      <c r="BG121" s="172"/>
      <c r="BH121" s="172"/>
      <c r="BI121" s="172"/>
      <c r="BJ121" s="172"/>
      <c r="BK121" s="172"/>
      <c r="BL121" s="172"/>
      <c r="BM121" s="172"/>
      <c r="BN121" s="172"/>
      <c r="BO121" s="172"/>
      <c r="BP121" s="172"/>
      <c r="BQ121" s="172"/>
      <c r="BR121" s="172"/>
      <c r="BS121" s="172"/>
      <c r="BT121" s="172"/>
      <c r="BU121" s="172"/>
      <c r="BV121" s="172"/>
      <c r="BW121" s="172"/>
      <c r="BX121" s="172"/>
      <c r="BY121" s="172"/>
      <c r="BZ121" s="172"/>
      <c r="CA121" s="172"/>
      <c r="CB121" s="172"/>
      <c r="CC121" s="172"/>
      <c r="CD121" s="172"/>
      <c r="CE121" s="172"/>
      <c r="CF121" s="172"/>
      <c r="CG121" s="172"/>
      <c r="CH121" s="172"/>
      <c r="CI121" s="172"/>
      <c r="CJ121" s="172"/>
      <c r="CK121" s="172"/>
      <c r="CL121" s="172"/>
      <c r="CM121" s="172"/>
      <c r="CN121" s="172"/>
      <c r="CO121" s="172"/>
      <c r="CP121" s="172"/>
      <c r="CQ121" s="172"/>
      <c r="CR121" s="172"/>
      <c r="CS121" s="172"/>
      <c r="CT121" s="172"/>
      <c r="CU121" s="172"/>
      <c r="CV121" s="172"/>
      <c r="CW121" s="172"/>
      <c r="CX121" s="172"/>
      <c r="CY121" s="172"/>
      <c r="CZ121" s="172"/>
      <c r="DA121" s="172"/>
      <c r="DB121" s="172"/>
      <c r="DC121" s="172"/>
      <c r="DD121" s="172"/>
      <c r="DE121" s="172"/>
      <c r="DF121" s="172"/>
      <c r="DG121" s="172"/>
      <c r="DH121" s="172"/>
      <c r="DI121" s="172"/>
      <c r="DJ121" s="172"/>
      <c r="DK121" s="172"/>
      <c r="DL121" s="172"/>
      <c r="DM121" s="172"/>
      <c r="DN121" s="172"/>
      <c r="DO121" s="588" t="s">
        <v>219</v>
      </c>
      <c r="DP121" s="588" t="str">
        <f>IF(ROUND(_xlfn.AGGREGATE(9,6,DP124:DP131),5)=ROUND(_xlfn.AGGREGATE(9,6,DQ124:DQ131),5),"이상없음","기준수익률확인")</f>
        <v>이상없음</v>
      </c>
      <c r="DQ121" s="172"/>
      <c r="DR121" s="651" t="s">
        <v>3406</v>
      </c>
      <c r="DS121" s="172"/>
      <c r="DT121" s="615"/>
      <c r="DU121" s="615"/>
      <c r="DV121" s="172"/>
      <c r="DW121" s="172"/>
      <c r="DX121" s="615"/>
      <c r="DY121" s="172"/>
      <c r="DZ121" s="172"/>
      <c r="EA121" s="172"/>
    </row>
    <row r="122" spans="1:131" ht="13.5">
      <c r="A122" s="652" t="str">
        <f t="shared" ref="A122:A130" si="394">$B$121&amp;B122</f>
        <v>SPC명</v>
      </c>
      <c r="B122" s="653" t="s">
        <v>357</v>
      </c>
      <c r="C122" s="780"/>
      <c r="D122" s="780"/>
      <c r="E122" s="780"/>
      <c r="F122" s="230"/>
      <c r="G122" s="230"/>
      <c r="I122" s="776" t="s">
        <v>3393</v>
      </c>
      <c r="J122" s="776" t="s">
        <v>3394</v>
      </c>
      <c r="K122" s="774" t="s">
        <v>3395</v>
      </c>
      <c r="L122" s="774" t="s">
        <v>3396</v>
      </c>
      <c r="M122" s="774" t="s">
        <v>203</v>
      </c>
      <c r="N122" s="774" t="s">
        <v>211</v>
      </c>
      <c r="O122" s="774" t="s">
        <v>3399</v>
      </c>
      <c r="P122" s="776" t="s">
        <v>239</v>
      </c>
      <c r="Q122" s="774" t="s">
        <v>3401</v>
      </c>
      <c r="R122" s="774" t="s">
        <v>3402</v>
      </c>
      <c r="S122" s="593"/>
      <c r="T122" s="593"/>
      <c r="U122" s="593"/>
      <c r="V122" s="593"/>
      <c r="W122" s="593"/>
      <c r="X122" s="593"/>
      <c r="Y122" s="593"/>
      <c r="Z122" s="593"/>
      <c r="AA122" s="593"/>
      <c r="AB122" s="593"/>
      <c r="AC122" s="593"/>
      <c r="AD122" s="593"/>
      <c r="AE122" s="593"/>
      <c r="AF122" s="593"/>
      <c r="AG122" s="593"/>
      <c r="AH122" s="593"/>
      <c r="AI122" s="593"/>
      <c r="AJ122" s="593"/>
      <c r="AK122" s="593"/>
      <c r="AL122" s="593"/>
      <c r="AM122" s="593"/>
      <c r="AN122" s="593"/>
      <c r="AO122" s="593"/>
      <c r="AP122" s="593"/>
      <c r="AQ122" s="593"/>
      <c r="AR122" s="593"/>
      <c r="AS122" s="593"/>
      <c r="AT122" s="593"/>
      <c r="AU122" s="593"/>
      <c r="AV122" s="593"/>
      <c r="AW122" s="593"/>
      <c r="AX122" s="593"/>
      <c r="AY122" s="593"/>
      <c r="AZ122" s="593"/>
      <c r="BA122" s="593"/>
      <c r="BB122" s="593"/>
      <c r="BC122" s="593"/>
      <c r="BD122" s="593"/>
      <c r="BE122" s="593"/>
      <c r="BF122" s="593"/>
      <c r="BG122" s="593"/>
      <c r="BH122" s="593"/>
      <c r="BI122" s="593"/>
      <c r="BJ122" s="593"/>
      <c r="BK122" s="593"/>
      <c r="BL122" s="593"/>
      <c r="BM122" s="593"/>
      <c r="BN122" s="593"/>
      <c r="BO122" s="593"/>
      <c r="BP122" s="593"/>
      <c r="BQ122" s="593"/>
      <c r="BR122" s="593"/>
      <c r="BS122" s="593"/>
      <c r="BT122" s="593"/>
      <c r="BU122" s="593"/>
      <c r="BV122" s="593"/>
      <c r="BW122" s="593"/>
      <c r="BX122" s="593"/>
      <c r="BY122" s="593"/>
      <c r="BZ122" s="593"/>
      <c r="CA122" s="593"/>
      <c r="CB122" s="593"/>
      <c r="CC122" s="593"/>
      <c r="CD122" s="593"/>
      <c r="CE122" s="593"/>
      <c r="CF122" s="593"/>
      <c r="CG122" s="593"/>
      <c r="CH122" s="593"/>
      <c r="CI122" s="593"/>
      <c r="CJ122" s="593"/>
      <c r="CK122" s="593"/>
      <c r="CL122" s="593"/>
      <c r="CM122" s="593"/>
      <c r="CN122" s="593"/>
      <c r="CO122" s="593"/>
      <c r="CP122" s="593"/>
      <c r="CQ122" s="593"/>
      <c r="CR122" s="593"/>
      <c r="CS122" s="593"/>
      <c r="CT122" s="593"/>
      <c r="CU122" s="593"/>
      <c r="CV122" s="593"/>
      <c r="CW122" s="593"/>
      <c r="CX122" s="593"/>
      <c r="CY122" s="593"/>
      <c r="CZ122" s="593"/>
      <c r="DA122" s="593"/>
      <c r="DB122" s="593"/>
      <c r="DC122" s="593"/>
      <c r="DD122" s="593"/>
      <c r="DE122" s="593"/>
      <c r="DF122" s="593"/>
      <c r="DG122" s="593"/>
      <c r="DH122" s="593"/>
      <c r="DI122" s="593"/>
      <c r="DJ122" s="593"/>
      <c r="DK122" s="593"/>
      <c r="DL122" s="593"/>
      <c r="DM122" s="593"/>
      <c r="DN122" s="593"/>
      <c r="DO122" s="594" t="s">
        <v>220</v>
      </c>
      <c r="DP122" s="774" t="s">
        <v>218</v>
      </c>
      <c r="DQ122" s="774" t="s">
        <v>222</v>
      </c>
      <c r="DR122" s="594"/>
      <c r="DS122" s="594"/>
      <c r="DT122" s="594"/>
      <c r="DU122" s="594"/>
      <c r="DV122" s="594"/>
      <c r="DW122" s="594"/>
      <c r="DX122" s="594"/>
      <c r="DY122" s="594"/>
      <c r="DZ122" s="594"/>
      <c r="EA122" s="602"/>
    </row>
    <row r="123" spans="1:131" ht="14.25" thickBot="1">
      <c r="A123" s="652" t="str">
        <f t="shared" si="394"/>
        <v>유형</v>
      </c>
      <c r="B123" s="653" t="s">
        <v>350</v>
      </c>
      <c r="C123" s="780"/>
      <c r="D123" s="780"/>
      <c r="E123" s="780"/>
      <c r="F123" s="230"/>
      <c r="G123" s="230"/>
      <c r="I123" s="777"/>
      <c r="J123" s="777"/>
      <c r="K123" s="775"/>
      <c r="L123" s="775"/>
      <c r="M123" s="775"/>
      <c r="N123" s="775"/>
      <c r="O123" s="775"/>
      <c r="P123" s="777"/>
      <c r="Q123" s="775"/>
      <c r="R123" s="775"/>
      <c r="S123" s="601"/>
      <c r="T123" s="601"/>
      <c r="U123" s="601"/>
      <c r="V123" s="601"/>
      <c r="W123" s="601"/>
      <c r="X123" s="601"/>
      <c r="Y123" s="601"/>
      <c r="Z123" s="601"/>
      <c r="AA123" s="601"/>
      <c r="AB123" s="601"/>
      <c r="AC123" s="601"/>
      <c r="AD123" s="601"/>
      <c r="AE123" s="601"/>
      <c r="AF123" s="601"/>
      <c r="AG123" s="601"/>
      <c r="AH123" s="601"/>
      <c r="AI123" s="601"/>
      <c r="AJ123" s="601"/>
      <c r="AK123" s="601"/>
      <c r="AL123" s="601"/>
      <c r="AM123" s="601"/>
      <c r="AN123" s="601"/>
      <c r="AO123" s="601"/>
      <c r="AP123" s="601"/>
      <c r="AQ123" s="601"/>
      <c r="AR123" s="601"/>
      <c r="AS123" s="601"/>
      <c r="AT123" s="601"/>
      <c r="AU123" s="601"/>
      <c r="AV123" s="601"/>
      <c r="AW123" s="601"/>
      <c r="AX123" s="601"/>
      <c r="AY123" s="601"/>
      <c r="AZ123" s="601"/>
      <c r="BA123" s="601"/>
      <c r="BB123" s="601"/>
      <c r="BC123" s="601"/>
      <c r="BD123" s="601"/>
      <c r="BE123" s="601"/>
      <c r="BF123" s="601"/>
      <c r="BG123" s="601"/>
      <c r="BH123" s="601"/>
      <c r="BI123" s="601"/>
      <c r="BJ123" s="601"/>
      <c r="BK123" s="601"/>
      <c r="BL123" s="601"/>
      <c r="BM123" s="601"/>
      <c r="BN123" s="601"/>
      <c r="BO123" s="601"/>
      <c r="BP123" s="601"/>
      <c r="BQ123" s="601"/>
      <c r="BR123" s="601"/>
      <c r="BS123" s="601"/>
      <c r="BT123" s="601"/>
      <c r="BU123" s="601"/>
      <c r="BV123" s="601"/>
      <c r="BW123" s="601"/>
      <c r="BX123" s="601"/>
      <c r="BY123" s="601"/>
      <c r="BZ123" s="601"/>
      <c r="CA123" s="601"/>
      <c r="CB123" s="601"/>
      <c r="CC123" s="601"/>
      <c r="CD123" s="601"/>
      <c r="CE123" s="601"/>
      <c r="CF123" s="601"/>
      <c r="CG123" s="601"/>
      <c r="CH123" s="601"/>
      <c r="CI123" s="601"/>
      <c r="CJ123" s="601"/>
      <c r="CK123" s="601"/>
      <c r="CL123" s="601"/>
      <c r="CM123" s="601"/>
      <c r="CN123" s="601"/>
      <c r="CO123" s="601"/>
      <c r="CP123" s="601"/>
      <c r="CQ123" s="601"/>
      <c r="CR123" s="601"/>
      <c r="CS123" s="601"/>
      <c r="CT123" s="601"/>
      <c r="CU123" s="601"/>
      <c r="CV123" s="601"/>
      <c r="CW123" s="601"/>
      <c r="CX123" s="601"/>
      <c r="CY123" s="601"/>
      <c r="CZ123" s="601"/>
      <c r="DA123" s="601"/>
      <c r="DB123" s="601"/>
      <c r="DC123" s="601"/>
      <c r="DD123" s="601"/>
      <c r="DE123" s="601"/>
      <c r="DF123" s="601"/>
      <c r="DG123" s="601"/>
      <c r="DH123" s="601"/>
      <c r="DI123" s="601"/>
      <c r="DJ123" s="601"/>
      <c r="DK123" s="601"/>
      <c r="DL123" s="601"/>
      <c r="DM123" s="601"/>
      <c r="DN123" s="601"/>
      <c r="DO123" s="654">
        <f>$DO$7</f>
        <v>45473</v>
      </c>
      <c r="DP123" s="775"/>
      <c r="DQ123" s="775"/>
      <c r="DR123" s="595">
        <f>NAV!E415</f>
        <v>0</v>
      </c>
      <c r="DS123" s="596">
        <f>DR123-DR132</f>
        <v>0</v>
      </c>
      <c r="DT123" s="596"/>
      <c r="DU123" s="596"/>
      <c r="DV123" s="597"/>
      <c r="DW123" s="596"/>
      <c r="DX123" s="596"/>
      <c r="DY123" s="596"/>
      <c r="DZ123" s="655"/>
      <c r="EA123" s="656"/>
    </row>
    <row r="124" spans="1:131" ht="13.5">
      <c r="A124" s="652" t="str">
        <f t="shared" si="394"/>
        <v>설정일</v>
      </c>
      <c r="B124" s="653" t="s">
        <v>361</v>
      </c>
      <c r="C124" s="781"/>
      <c r="D124" s="780"/>
      <c r="E124" s="780"/>
      <c r="F124" s="230"/>
      <c r="G124" s="230"/>
      <c r="I124" s="657">
        <f>SUM(DR124:EA124)</f>
        <v>0</v>
      </c>
      <c r="J124" s="606" t="str">
        <f>IFERROR(I124/(Q124/$C$126),"N/A")</f>
        <v>N/A</v>
      </c>
      <c r="K124" s="471"/>
      <c r="L124" s="607"/>
      <c r="M124" s="300"/>
      <c r="N124" s="608"/>
      <c r="O124" s="609">
        <f t="shared" ref="O124:O131" si="395">-(SUMIF($S$122:$DN$122,"최초출자",S124:DN124)+SUMIF($S$122:$DN$122,"추가출자",S124:DN124))</f>
        <v>0</v>
      </c>
      <c r="P124" s="609">
        <f t="shared" ref="P124:P131" si="396">SUMIF($S$122:$DN$122,"이익분배",S124:DN124)+SUMIF($S$122:$DN$122,"원본분배",S124:DN124)</f>
        <v>0</v>
      </c>
      <c r="Q124" s="609">
        <f t="shared" ref="Q124:Q131" si="397">-(SUMIF($S$122:$DN$122,"최초출자",S124:DN124)+SUMIF($S$122:$DN$122,"추가출자",S124:DN124)+SUMIF($S$122:$DN$122,"원본분배",S124:DN124))</f>
        <v>0</v>
      </c>
      <c r="R124" s="610" t="str">
        <f>IFERROR(Q124/Q132,"")</f>
        <v/>
      </c>
      <c r="S124" s="658"/>
      <c r="T124" s="658"/>
      <c r="U124" s="658"/>
      <c r="V124" s="658"/>
      <c r="W124" s="658"/>
      <c r="X124" s="658"/>
      <c r="Y124" s="658"/>
      <c r="Z124" s="658"/>
      <c r="AA124" s="658"/>
      <c r="AB124" s="658"/>
      <c r="AC124" s="658"/>
      <c r="AD124" s="658"/>
      <c r="AE124" s="658"/>
      <c r="AF124" s="658"/>
      <c r="AG124" s="658"/>
      <c r="AH124" s="658"/>
      <c r="AI124" s="658"/>
      <c r="AJ124" s="658"/>
      <c r="AK124" s="658"/>
      <c r="AL124" s="658"/>
      <c r="AM124" s="658"/>
      <c r="AN124" s="658"/>
      <c r="AO124" s="658"/>
      <c r="AP124" s="658"/>
      <c r="AQ124" s="658"/>
      <c r="AR124" s="658"/>
      <c r="AS124" s="658"/>
      <c r="AT124" s="658"/>
      <c r="AU124" s="658"/>
      <c r="AV124" s="658"/>
      <c r="AW124" s="658"/>
      <c r="AX124" s="658"/>
      <c r="AY124" s="658"/>
      <c r="AZ124" s="658"/>
      <c r="BA124" s="658"/>
      <c r="BB124" s="658"/>
      <c r="BC124" s="658"/>
      <c r="BD124" s="658"/>
      <c r="BE124" s="658"/>
      <c r="BF124" s="658"/>
      <c r="BG124" s="658"/>
      <c r="BH124" s="658"/>
      <c r="BI124" s="658"/>
      <c r="BJ124" s="658"/>
      <c r="BK124" s="658"/>
      <c r="BL124" s="658"/>
      <c r="BM124" s="658"/>
      <c r="BN124" s="658"/>
      <c r="BO124" s="658"/>
      <c r="BP124" s="658"/>
      <c r="BQ124" s="658"/>
      <c r="BR124" s="658"/>
      <c r="BS124" s="658"/>
      <c r="BT124" s="658"/>
      <c r="BU124" s="658"/>
      <c r="BV124" s="658"/>
      <c r="BW124" s="658"/>
      <c r="BX124" s="658"/>
      <c r="BY124" s="658"/>
      <c r="BZ124" s="658"/>
      <c r="CA124" s="658"/>
      <c r="CB124" s="658"/>
      <c r="CC124" s="658"/>
      <c r="CD124" s="658"/>
      <c r="CE124" s="658"/>
      <c r="CF124" s="658"/>
      <c r="CG124" s="658"/>
      <c r="CH124" s="658"/>
      <c r="CI124" s="658"/>
      <c r="CJ124" s="658"/>
      <c r="CK124" s="658"/>
      <c r="CL124" s="658"/>
      <c r="CM124" s="658"/>
      <c r="CN124" s="658"/>
      <c r="CO124" s="658"/>
      <c r="CP124" s="658"/>
      <c r="CQ124" s="658"/>
      <c r="CR124" s="658"/>
      <c r="CS124" s="658"/>
      <c r="CT124" s="658"/>
      <c r="CU124" s="658"/>
      <c r="CV124" s="658"/>
      <c r="CW124" s="658"/>
      <c r="CX124" s="658"/>
      <c r="CY124" s="658"/>
      <c r="CZ124" s="658"/>
      <c r="DA124" s="658"/>
      <c r="DB124" s="658"/>
      <c r="DC124" s="658"/>
      <c r="DD124" s="658"/>
      <c r="DE124" s="658"/>
      <c r="DF124" s="658"/>
      <c r="DG124" s="658"/>
      <c r="DH124" s="658"/>
      <c r="DI124" s="658"/>
      <c r="DJ124" s="658"/>
      <c r="DK124" s="658"/>
      <c r="DL124" s="658"/>
      <c r="DM124" s="658"/>
      <c r="DN124" s="658"/>
      <c r="DO124" s="177">
        <f>IF(M124="",0,-XNPV(DP124,S124,S$123)*(1+DP124)^YEARFRAC($S$123,$DO$123,3))</f>
        <v>0</v>
      </c>
      <c r="DP124" s="612" t="e">
        <f>IF(HLOOKUP(L124,$C$131:$E$132,2,0)=0,1E-24%,HLOOKUP(L124,$C$131:$E$132,2,FALSE))</f>
        <v>#N/A</v>
      </c>
      <c r="DQ124" s="612" t="e">
        <f t="shared" ref="DQ124:DQ131" si="398">XIRR(S124:DO124,$S$123:$DO$123)</f>
        <v>#NUM!</v>
      </c>
      <c r="DR124" s="177"/>
      <c r="DS124" s="177"/>
      <c r="DT124" s="177"/>
      <c r="DU124" s="177"/>
      <c r="DV124" s="177"/>
      <c r="DW124" s="177"/>
      <c r="DX124" s="177"/>
      <c r="DY124" s="177"/>
      <c r="DZ124" s="177"/>
      <c r="EA124" s="613"/>
    </row>
    <row r="125" spans="1:131" ht="13.5">
      <c r="A125" s="652" t="str">
        <f t="shared" si="394"/>
        <v>출자잔액</v>
      </c>
      <c r="B125" s="653" t="s">
        <v>352</v>
      </c>
      <c r="C125" s="782"/>
      <c r="D125" s="782"/>
      <c r="E125" s="782"/>
      <c r="F125" s="230"/>
      <c r="G125" s="230"/>
      <c r="I125" s="657">
        <f t="shared" ref="I125:I131" si="399">SUM(DR125:EA125)</f>
        <v>0</v>
      </c>
      <c r="J125" s="606" t="str">
        <f t="shared" ref="J125:J131" si="400">IFERROR(I125/(Q125/$C$126),"N/A")</f>
        <v>N/A</v>
      </c>
      <c r="K125" s="471"/>
      <c r="L125" s="607"/>
      <c r="M125" s="300"/>
      <c r="N125" s="608"/>
      <c r="O125" s="609">
        <f t="shared" si="395"/>
        <v>0</v>
      </c>
      <c r="P125" s="609">
        <f t="shared" si="396"/>
        <v>0</v>
      </c>
      <c r="Q125" s="609">
        <f t="shared" si="397"/>
        <v>0</v>
      </c>
      <c r="R125" s="610" t="str">
        <f>IFERROR(Q125/Q132,"")</f>
        <v/>
      </c>
      <c r="S125" s="658"/>
      <c r="T125" s="658"/>
      <c r="U125" s="658"/>
      <c r="V125" s="658"/>
      <c r="W125" s="658"/>
      <c r="X125" s="658"/>
      <c r="Y125" s="658"/>
      <c r="Z125" s="658"/>
      <c r="AA125" s="658"/>
      <c r="AB125" s="658"/>
      <c r="AC125" s="658"/>
      <c r="AD125" s="658"/>
      <c r="AE125" s="658"/>
      <c r="AF125" s="658"/>
      <c r="AG125" s="658"/>
      <c r="AH125" s="658"/>
      <c r="AI125" s="658"/>
      <c r="AJ125" s="658"/>
      <c r="AK125" s="658"/>
      <c r="AL125" s="658"/>
      <c r="AM125" s="658"/>
      <c r="AN125" s="658"/>
      <c r="AO125" s="658"/>
      <c r="AP125" s="658"/>
      <c r="AQ125" s="658"/>
      <c r="AR125" s="658"/>
      <c r="AS125" s="658"/>
      <c r="AT125" s="658"/>
      <c r="AU125" s="658"/>
      <c r="AV125" s="658"/>
      <c r="AW125" s="658"/>
      <c r="AX125" s="658"/>
      <c r="AY125" s="658"/>
      <c r="AZ125" s="658"/>
      <c r="BA125" s="658"/>
      <c r="BB125" s="658"/>
      <c r="BC125" s="658"/>
      <c r="BD125" s="658"/>
      <c r="BE125" s="658"/>
      <c r="BF125" s="658"/>
      <c r="BG125" s="658"/>
      <c r="BH125" s="658"/>
      <c r="BI125" s="658"/>
      <c r="BJ125" s="658"/>
      <c r="BK125" s="658"/>
      <c r="BL125" s="658"/>
      <c r="BM125" s="658"/>
      <c r="BN125" s="658"/>
      <c r="BO125" s="658"/>
      <c r="BP125" s="658"/>
      <c r="BQ125" s="658"/>
      <c r="BR125" s="658"/>
      <c r="BS125" s="658"/>
      <c r="BT125" s="658"/>
      <c r="BU125" s="658"/>
      <c r="BV125" s="658"/>
      <c r="BW125" s="658"/>
      <c r="BX125" s="658"/>
      <c r="BY125" s="658"/>
      <c r="BZ125" s="658"/>
      <c r="CA125" s="658"/>
      <c r="CB125" s="658"/>
      <c r="CC125" s="658"/>
      <c r="CD125" s="658"/>
      <c r="CE125" s="658"/>
      <c r="CF125" s="658"/>
      <c r="CG125" s="658"/>
      <c r="CH125" s="658"/>
      <c r="CI125" s="658"/>
      <c r="CJ125" s="658"/>
      <c r="CK125" s="658"/>
      <c r="CL125" s="658"/>
      <c r="CM125" s="658"/>
      <c r="CN125" s="658"/>
      <c r="CO125" s="658"/>
      <c r="CP125" s="658"/>
      <c r="CQ125" s="658"/>
      <c r="CR125" s="658"/>
      <c r="CS125" s="658"/>
      <c r="CT125" s="658"/>
      <c r="CU125" s="658"/>
      <c r="CV125" s="658"/>
      <c r="CW125" s="658"/>
      <c r="CX125" s="658"/>
      <c r="CY125" s="658"/>
      <c r="CZ125" s="658"/>
      <c r="DA125" s="658"/>
      <c r="DB125" s="658"/>
      <c r="DC125" s="658"/>
      <c r="DD125" s="658"/>
      <c r="DE125" s="658"/>
      <c r="DF125" s="658"/>
      <c r="DG125" s="658"/>
      <c r="DH125" s="658"/>
      <c r="DI125" s="658"/>
      <c r="DJ125" s="658"/>
      <c r="DK125" s="658"/>
      <c r="DL125" s="658"/>
      <c r="DM125" s="658"/>
      <c r="DN125" s="658"/>
      <c r="DO125" s="177">
        <f t="shared" ref="DO125:DO131" si="401">IF(M125="",0,-XNPV(DP125,S125,S$123)*(1+DP125)^YEARFRAC($S$123,$DO$123,3))</f>
        <v>0</v>
      </c>
      <c r="DP125" s="612" t="e">
        <f t="shared" ref="DP125:DP131" si="402">IF(HLOOKUP(L125,$C$131:$E$132,2,0)=0,1E-24%,HLOOKUP(L125,$C$131:$E$132,2,FALSE))</f>
        <v>#N/A</v>
      </c>
      <c r="DQ125" s="612" t="e">
        <f t="shared" si="398"/>
        <v>#NUM!</v>
      </c>
      <c r="DR125" s="177"/>
      <c r="DS125" s="177"/>
      <c r="DT125" s="177"/>
      <c r="DU125" s="177"/>
      <c r="DV125" s="177"/>
      <c r="DW125" s="177"/>
      <c r="DX125" s="177"/>
      <c r="DY125" s="177"/>
      <c r="DZ125" s="177"/>
      <c r="EA125" s="613"/>
    </row>
    <row r="126" spans="1:131" ht="13.5">
      <c r="A126" s="652" t="str">
        <f t="shared" si="394"/>
        <v>1좌당 금액</v>
      </c>
      <c r="B126" s="653" t="s">
        <v>353</v>
      </c>
      <c r="C126" s="783"/>
      <c r="D126" s="783"/>
      <c r="E126" s="783"/>
      <c r="F126" s="230"/>
      <c r="G126" s="230"/>
      <c r="I126" s="657">
        <f t="shared" si="399"/>
        <v>0</v>
      </c>
      <c r="J126" s="606" t="str">
        <f t="shared" si="400"/>
        <v>N/A</v>
      </c>
      <c r="K126" s="471"/>
      <c r="L126" s="607"/>
      <c r="M126" s="300"/>
      <c r="N126" s="608"/>
      <c r="O126" s="609">
        <f t="shared" si="395"/>
        <v>0</v>
      </c>
      <c r="P126" s="609">
        <f t="shared" si="396"/>
        <v>0</v>
      </c>
      <c r="Q126" s="609">
        <f t="shared" si="397"/>
        <v>0</v>
      </c>
      <c r="R126" s="610" t="str">
        <f>IFERROR(Q126/Q132,"")</f>
        <v/>
      </c>
      <c r="S126" s="658"/>
      <c r="T126" s="658"/>
      <c r="U126" s="658"/>
      <c r="V126" s="658"/>
      <c r="W126" s="658"/>
      <c r="X126" s="658"/>
      <c r="Y126" s="658"/>
      <c r="Z126" s="658"/>
      <c r="AA126" s="658"/>
      <c r="AB126" s="658"/>
      <c r="AC126" s="658"/>
      <c r="AD126" s="658"/>
      <c r="AE126" s="658"/>
      <c r="AF126" s="658"/>
      <c r="AG126" s="658"/>
      <c r="AH126" s="658"/>
      <c r="AI126" s="658"/>
      <c r="AJ126" s="658"/>
      <c r="AK126" s="658"/>
      <c r="AL126" s="658"/>
      <c r="AM126" s="658"/>
      <c r="AN126" s="658"/>
      <c r="AO126" s="658"/>
      <c r="AP126" s="658"/>
      <c r="AQ126" s="658"/>
      <c r="AR126" s="658"/>
      <c r="AS126" s="658"/>
      <c r="AT126" s="658"/>
      <c r="AU126" s="658"/>
      <c r="AV126" s="658"/>
      <c r="AW126" s="658"/>
      <c r="AX126" s="658"/>
      <c r="AY126" s="658"/>
      <c r="AZ126" s="658"/>
      <c r="BA126" s="658"/>
      <c r="BB126" s="658"/>
      <c r="BC126" s="658"/>
      <c r="BD126" s="658"/>
      <c r="BE126" s="658"/>
      <c r="BF126" s="658"/>
      <c r="BG126" s="658"/>
      <c r="BH126" s="658"/>
      <c r="BI126" s="658"/>
      <c r="BJ126" s="658"/>
      <c r="BK126" s="658"/>
      <c r="BL126" s="658"/>
      <c r="BM126" s="658"/>
      <c r="BN126" s="658"/>
      <c r="BO126" s="658"/>
      <c r="BP126" s="658"/>
      <c r="BQ126" s="658"/>
      <c r="BR126" s="658"/>
      <c r="BS126" s="658"/>
      <c r="BT126" s="658"/>
      <c r="BU126" s="658"/>
      <c r="BV126" s="658"/>
      <c r="BW126" s="658"/>
      <c r="BX126" s="658"/>
      <c r="BY126" s="658"/>
      <c r="BZ126" s="658"/>
      <c r="CA126" s="658"/>
      <c r="CB126" s="658"/>
      <c r="CC126" s="658"/>
      <c r="CD126" s="658"/>
      <c r="CE126" s="658"/>
      <c r="CF126" s="658"/>
      <c r="CG126" s="658"/>
      <c r="CH126" s="658"/>
      <c r="CI126" s="658"/>
      <c r="CJ126" s="658"/>
      <c r="CK126" s="658"/>
      <c r="CL126" s="658"/>
      <c r="CM126" s="658"/>
      <c r="CN126" s="658"/>
      <c r="CO126" s="658"/>
      <c r="CP126" s="658"/>
      <c r="CQ126" s="658"/>
      <c r="CR126" s="658"/>
      <c r="CS126" s="658"/>
      <c r="CT126" s="658"/>
      <c r="CU126" s="658"/>
      <c r="CV126" s="658"/>
      <c r="CW126" s="658"/>
      <c r="CX126" s="658"/>
      <c r="CY126" s="658"/>
      <c r="CZ126" s="658"/>
      <c r="DA126" s="658"/>
      <c r="DB126" s="658"/>
      <c r="DC126" s="658"/>
      <c r="DD126" s="658"/>
      <c r="DE126" s="658"/>
      <c r="DF126" s="658"/>
      <c r="DG126" s="658"/>
      <c r="DH126" s="658"/>
      <c r="DI126" s="658"/>
      <c r="DJ126" s="658"/>
      <c r="DK126" s="658"/>
      <c r="DL126" s="658"/>
      <c r="DM126" s="658"/>
      <c r="DN126" s="658"/>
      <c r="DO126" s="177">
        <f t="shared" si="401"/>
        <v>0</v>
      </c>
      <c r="DP126" s="612" t="e">
        <f t="shared" si="402"/>
        <v>#N/A</v>
      </c>
      <c r="DQ126" s="612" t="e">
        <f t="shared" si="398"/>
        <v>#NUM!</v>
      </c>
      <c r="DR126" s="177"/>
      <c r="DS126" s="177"/>
      <c r="DT126" s="177"/>
      <c r="DU126" s="177"/>
      <c r="DV126" s="177"/>
      <c r="DW126" s="177"/>
      <c r="DX126" s="177"/>
      <c r="DY126" s="177"/>
      <c r="DZ126" s="177"/>
      <c r="EA126" s="613"/>
    </row>
    <row r="127" spans="1:131" ht="13.5">
      <c r="A127" s="652" t="str">
        <f t="shared" si="394"/>
        <v>기준수익률</v>
      </c>
      <c r="B127" s="653" t="s">
        <v>354</v>
      </c>
      <c r="C127" s="784"/>
      <c r="D127" s="785"/>
      <c r="E127" s="785"/>
      <c r="F127" s="230"/>
      <c r="G127" s="230"/>
      <c r="I127" s="657">
        <f t="shared" si="399"/>
        <v>0</v>
      </c>
      <c r="J127" s="606" t="str">
        <f t="shared" si="400"/>
        <v>N/A</v>
      </c>
      <c r="K127" s="471"/>
      <c r="L127" s="607"/>
      <c r="M127" s="300"/>
      <c r="N127" s="608"/>
      <c r="O127" s="609">
        <f t="shared" si="395"/>
        <v>0</v>
      </c>
      <c r="P127" s="609">
        <f t="shared" si="396"/>
        <v>0</v>
      </c>
      <c r="Q127" s="609">
        <f t="shared" si="397"/>
        <v>0</v>
      </c>
      <c r="R127" s="610" t="str">
        <f>IFERROR(Q127/Q132,"")</f>
        <v/>
      </c>
      <c r="S127" s="658"/>
      <c r="T127" s="658"/>
      <c r="U127" s="658"/>
      <c r="V127" s="658"/>
      <c r="W127" s="658"/>
      <c r="X127" s="658"/>
      <c r="Y127" s="658"/>
      <c r="Z127" s="658"/>
      <c r="AA127" s="658"/>
      <c r="AB127" s="658"/>
      <c r="AC127" s="658"/>
      <c r="AD127" s="658"/>
      <c r="AE127" s="658"/>
      <c r="AF127" s="658"/>
      <c r="AG127" s="658"/>
      <c r="AH127" s="658"/>
      <c r="AI127" s="658"/>
      <c r="AJ127" s="658"/>
      <c r="AK127" s="658"/>
      <c r="AL127" s="658"/>
      <c r="AM127" s="658"/>
      <c r="AN127" s="658"/>
      <c r="AO127" s="658"/>
      <c r="AP127" s="658"/>
      <c r="AQ127" s="658"/>
      <c r="AR127" s="658"/>
      <c r="AS127" s="658"/>
      <c r="AT127" s="658"/>
      <c r="AU127" s="658"/>
      <c r="AV127" s="658"/>
      <c r="AW127" s="658"/>
      <c r="AX127" s="658"/>
      <c r="AY127" s="658"/>
      <c r="AZ127" s="658"/>
      <c r="BA127" s="658"/>
      <c r="BB127" s="658"/>
      <c r="BC127" s="658"/>
      <c r="BD127" s="658"/>
      <c r="BE127" s="658"/>
      <c r="BF127" s="658"/>
      <c r="BG127" s="658"/>
      <c r="BH127" s="658"/>
      <c r="BI127" s="658"/>
      <c r="BJ127" s="658"/>
      <c r="BK127" s="658"/>
      <c r="BL127" s="658"/>
      <c r="BM127" s="658"/>
      <c r="BN127" s="658"/>
      <c r="BO127" s="658"/>
      <c r="BP127" s="658"/>
      <c r="BQ127" s="658"/>
      <c r="BR127" s="658"/>
      <c r="BS127" s="658"/>
      <c r="BT127" s="658"/>
      <c r="BU127" s="658"/>
      <c r="BV127" s="658"/>
      <c r="BW127" s="658"/>
      <c r="BX127" s="658"/>
      <c r="BY127" s="658"/>
      <c r="BZ127" s="658"/>
      <c r="CA127" s="658"/>
      <c r="CB127" s="658"/>
      <c r="CC127" s="658"/>
      <c r="CD127" s="658"/>
      <c r="CE127" s="658"/>
      <c r="CF127" s="658"/>
      <c r="CG127" s="658"/>
      <c r="CH127" s="658"/>
      <c r="CI127" s="658"/>
      <c r="CJ127" s="658"/>
      <c r="CK127" s="658"/>
      <c r="CL127" s="658"/>
      <c r="CM127" s="658"/>
      <c r="CN127" s="658"/>
      <c r="CO127" s="658"/>
      <c r="CP127" s="658"/>
      <c r="CQ127" s="658"/>
      <c r="CR127" s="658"/>
      <c r="CS127" s="658"/>
      <c r="CT127" s="658"/>
      <c r="CU127" s="658"/>
      <c r="CV127" s="658"/>
      <c r="CW127" s="658"/>
      <c r="CX127" s="658"/>
      <c r="CY127" s="658"/>
      <c r="CZ127" s="658"/>
      <c r="DA127" s="658"/>
      <c r="DB127" s="658"/>
      <c r="DC127" s="658"/>
      <c r="DD127" s="658"/>
      <c r="DE127" s="658"/>
      <c r="DF127" s="658"/>
      <c r="DG127" s="658"/>
      <c r="DH127" s="658"/>
      <c r="DI127" s="658"/>
      <c r="DJ127" s="658"/>
      <c r="DK127" s="658"/>
      <c r="DL127" s="658"/>
      <c r="DM127" s="658"/>
      <c r="DN127" s="658"/>
      <c r="DO127" s="177">
        <f t="shared" si="401"/>
        <v>0</v>
      </c>
      <c r="DP127" s="612" t="e">
        <f t="shared" si="402"/>
        <v>#N/A</v>
      </c>
      <c r="DQ127" s="612" t="e">
        <f t="shared" si="398"/>
        <v>#NUM!</v>
      </c>
      <c r="DR127" s="177"/>
      <c r="DS127" s="177"/>
      <c r="DT127" s="177"/>
      <c r="DU127" s="177"/>
      <c r="DV127" s="177"/>
      <c r="DW127" s="177"/>
      <c r="DX127" s="177"/>
      <c r="DY127" s="177"/>
      <c r="DZ127" s="177"/>
      <c r="EA127" s="613"/>
    </row>
    <row r="128" spans="1:131" ht="13.5">
      <c r="A128" s="652" t="str">
        <f t="shared" si="394"/>
        <v>평가방법론</v>
      </c>
      <c r="B128" s="653" t="s">
        <v>359</v>
      </c>
      <c r="C128" s="786"/>
      <c r="D128" s="786"/>
      <c r="E128" s="786"/>
      <c r="F128" s="230"/>
      <c r="G128" s="230"/>
      <c r="I128" s="657">
        <f t="shared" si="399"/>
        <v>0</v>
      </c>
      <c r="J128" s="606" t="str">
        <f t="shared" si="400"/>
        <v>N/A</v>
      </c>
      <c r="K128" s="471"/>
      <c r="L128" s="607"/>
      <c r="M128" s="300"/>
      <c r="N128" s="608"/>
      <c r="O128" s="609">
        <f t="shared" si="395"/>
        <v>0</v>
      </c>
      <c r="P128" s="609">
        <f t="shared" si="396"/>
        <v>0</v>
      </c>
      <c r="Q128" s="609">
        <f t="shared" si="397"/>
        <v>0</v>
      </c>
      <c r="R128" s="610" t="str">
        <f>IFERROR(Q128/Q132,"")</f>
        <v/>
      </c>
      <c r="S128" s="658"/>
      <c r="T128" s="658"/>
      <c r="U128" s="658"/>
      <c r="V128" s="658"/>
      <c r="W128" s="658"/>
      <c r="X128" s="658"/>
      <c r="Y128" s="658"/>
      <c r="Z128" s="658"/>
      <c r="AA128" s="658"/>
      <c r="AB128" s="658"/>
      <c r="AC128" s="658"/>
      <c r="AD128" s="658"/>
      <c r="AE128" s="658"/>
      <c r="AF128" s="658"/>
      <c r="AG128" s="658"/>
      <c r="AH128" s="658"/>
      <c r="AI128" s="658"/>
      <c r="AJ128" s="658"/>
      <c r="AK128" s="658"/>
      <c r="AL128" s="658"/>
      <c r="AM128" s="658"/>
      <c r="AN128" s="658"/>
      <c r="AO128" s="658"/>
      <c r="AP128" s="658"/>
      <c r="AQ128" s="658"/>
      <c r="AR128" s="658"/>
      <c r="AS128" s="658"/>
      <c r="AT128" s="658"/>
      <c r="AU128" s="658"/>
      <c r="AV128" s="658"/>
      <c r="AW128" s="658"/>
      <c r="AX128" s="658"/>
      <c r="AY128" s="658"/>
      <c r="AZ128" s="658"/>
      <c r="BA128" s="658"/>
      <c r="BB128" s="658"/>
      <c r="BC128" s="658"/>
      <c r="BD128" s="658"/>
      <c r="BE128" s="658"/>
      <c r="BF128" s="658"/>
      <c r="BG128" s="658"/>
      <c r="BH128" s="658"/>
      <c r="BI128" s="658"/>
      <c r="BJ128" s="658"/>
      <c r="BK128" s="658"/>
      <c r="BL128" s="658"/>
      <c r="BM128" s="658"/>
      <c r="BN128" s="658"/>
      <c r="BO128" s="658"/>
      <c r="BP128" s="658"/>
      <c r="BQ128" s="658"/>
      <c r="BR128" s="658"/>
      <c r="BS128" s="658"/>
      <c r="BT128" s="658"/>
      <c r="BU128" s="658"/>
      <c r="BV128" s="658"/>
      <c r="BW128" s="658"/>
      <c r="BX128" s="658"/>
      <c r="BY128" s="658"/>
      <c r="BZ128" s="658"/>
      <c r="CA128" s="658"/>
      <c r="CB128" s="658"/>
      <c r="CC128" s="658"/>
      <c r="CD128" s="658"/>
      <c r="CE128" s="658"/>
      <c r="CF128" s="658"/>
      <c r="CG128" s="658"/>
      <c r="CH128" s="658"/>
      <c r="CI128" s="658"/>
      <c r="CJ128" s="658"/>
      <c r="CK128" s="658"/>
      <c r="CL128" s="658"/>
      <c r="CM128" s="658"/>
      <c r="CN128" s="658"/>
      <c r="CO128" s="658"/>
      <c r="CP128" s="658"/>
      <c r="CQ128" s="658"/>
      <c r="CR128" s="658"/>
      <c r="CS128" s="658"/>
      <c r="CT128" s="658"/>
      <c r="CU128" s="658"/>
      <c r="CV128" s="658"/>
      <c r="CW128" s="658"/>
      <c r="CX128" s="658"/>
      <c r="CY128" s="658"/>
      <c r="CZ128" s="658"/>
      <c r="DA128" s="658"/>
      <c r="DB128" s="658"/>
      <c r="DC128" s="658"/>
      <c r="DD128" s="658"/>
      <c r="DE128" s="658"/>
      <c r="DF128" s="658"/>
      <c r="DG128" s="658"/>
      <c r="DH128" s="658"/>
      <c r="DI128" s="658"/>
      <c r="DJ128" s="658"/>
      <c r="DK128" s="658"/>
      <c r="DL128" s="658"/>
      <c r="DM128" s="658"/>
      <c r="DN128" s="658"/>
      <c r="DO128" s="177">
        <f t="shared" si="401"/>
        <v>0</v>
      </c>
      <c r="DP128" s="612" t="e">
        <f t="shared" si="402"/>
        <v>#N/A</v>
      </c>
      <c r="DQ128" s="612" t="e">
        <f t="shared" si="398"/>
        <v>#NUM!</v>
      </c>
      <c r="DR128" s="177"/>
      <c r="DS128" s="177"/>
      <c r="DT128" s="177"/>
      <c r="DU128" s="177"/>
      <c r="DV128" s="177"/>
      <c r="DW128" s="177"/>
      <c r="DX128" s="177"/>
      <c r="DY128" s="177"/>
      <c r="DZ128" s="177"/>
      <c r="EA128" s="613"/>
    </row>
    <row r="129" spans="1:131" ht="13.5">
      <c r="A129" s="652" t="str">
        <f t="shared" si="394"/>
        <v>분배 조항 여부</v>
      </c>
      <c r="B129" s="653" t="s">
        <v>363</v>
      </c>
      <c r="C129" s="786"/>
      <c r="D129" s="786"/>
      <c r="E129" s="786"/>
      <c r="F129" s="230"/>
      <c r="G129" s="230"/>
      <c r="I129" s="657">
        <f t="shared" si="399"/>
        <v>0</v>
      </c>
      <c r="J129" s="606" t="str">
        <f>IFERROR(I129/(Q129/$C$126),"N/A")</f>
        <v>N/A</v>
      </c>
      <c r="K129" s="471"/>
      <c r="L129" s="607"/>
      <c r="M129" s="300"/>
      <c r="N129" s="608"/>
      <c r="O129" s="609">
        <f t="shared" si="395"/>
        <v>0</v>
      </c>
      <c r="P129" s="609">
        <f t="shared" si="396"/>
        <v>0</v>
      </c>
      <c r="Q129" s="609">
        <f t="shared" si="397"/>
        <v>0</v>
      </c>
      <c r="R129" s="610" t="str">
        <f>IFERROR(Q129/Q132,"")</f>
        <v/>
      </c>
      <c r="S129" s="658"/>
      <c r="T129" s="658"/>
      <c r="U129" s="658"/>
      <c r="V129" s="658"/>
      <c r="W129" s="658"/>
      <c r="X129" s="658"/>
      <c r="Y129" s="658"/>
      <c r="Z129" s="658"/>
      <c r="AA129" s="658"/>
      <c r="AB129" s="658"/>
      <c r="AC129" s="658"/>
      <c r="AD129" s="658"/>
      <c r="AE129" s="658"/>
      <c r="AF129" s="658"/>
      <c r="AG129" s="658"/>
      <c r="AH129" s="658"/>
      <c r="AI129" s="658"/>
      <c r="AJ129" s="658"/>
      <c r="AK129" s="658"/>
      <c r="AL129" s="658"/>
      <c r="AM129" s="658"/>
      <c r="AN129" s="658"/>
      <c r="AO129" s="658"/>
      <c r="AP129" s="658"/>
      <c r="AQ129" s="658"/>
      <c r="AR129" s="658"/>
      <c r="AS129" s="658"/>
      <c r="AT129" s="658"/>
      <c r="AU129" s="658"/>
      <c r="AV129" s="658"/>
      <c r="AW129" s="658"/>
      <c r="AX129" s="658"/>
      <c r="AY129" s="658"/>
      <c r="AZ129" s="658"/>
      <c r="BA129" s="658"/>
      <c r="BB129" s="658"/>
      <c r="BC129" s="658"/>
      <c r="BD129" s="658"/>
      <c r="BE129" s="658"/>
      <c r="BF129" s="658"/>
      <c r="BG129" s="658"/>
      <c r="BH129" s="658"/>
      <c r="BI129" s="658"/>
      <c r="BJ129" s="658"/>
      <c r="BK129" s="658"/>
      <c r="BL129" s="658"/>
      <c r="BM129" s="658"/>
      <c r="BN129" s="658"/>
      <c r="BO129" s="658"/>
      <c r="BP129" s="658"/>
      <c r="BQ129" s="658"/>
      <c r="BR129" s="658"/>
      <c r="BS129" s="658"/>
      <c r="BT129" s="658"/>
      <c r="BU129" s="658"/>
      <c r="BV129" s="658"/>
      <c r="BW129" s="658"/>
      <c r="BX129" s="658"/>
      <c r="BY129" s="658"/>
      <c r="BZ129" s="658"/>
      <c r="CA129" s="658"/>
      <c r="CB129" s="658"/>
      <c r="CC129" s="658"/>
      <c r="CD129" s="658"/>
      <c r="CE129" s="658"/>
      <c r="CF129" s="658"/>
      <c r="CG129" s="658"/>
      <c r="CH129" s="658"/>
      <c r="CI129" s="658"/>
      <c r="CJ129" s="658"/>
      <c r="CK129" s="658"/>
      <c r="CL129" s="658"/>
      <c r="CM129" s="658"/>
      <c r="CN129" s="658"/>
      <c r="CO129" s="658"/>
      <c r="CP129" s="658"/>
      <c r="CQ129" s="658"/>
      <c r="CR129" s="658"/>
      <c r="CS129" s="658"/>
      <c r="CT129" s="658"/>
      <c r="CU129" s="658"/>
      <c r="CV129" s="658"/>
      <c r="CW129" s="658"/>
      <c r="CX129" s="658"/>
      <c r="CY129" s="658"/>
      <c r="CZ129" s="658"/>
      <c r="DA129" s="658"/>
      <c r="DB129" s="658"/>
      <c r="DC129" s="658"/>
      <c r="DD129" s="658"/>
      <c r="DE129" s="658"/>
      <c r="DF129" s="658"/>
      <c r="DG129" s="658"/>
      <c r="DH129" s="658"/>
      <c r="DI129" s="658"/>
      <c r="DJ129" s="658"/>
      <c r="DK129" s="658"/>
      <c r="DL129" s="658"/>
      <c r="DM129" s="658"/>
      <c r="DN129" s="658"/>
      <c r="DO129" s="177">
        <f t="shared" si="401"/>
        <v>0</v>
      </c>
      <c r="DP129" s="612" t="e">
        <f t="shared" si="402"/>
        <v>#N/A</v>
      </c>
      <c r="DQ129" s="612" t="e">
        <f t="shared" si="398"/>
        <v>#NUM!</v>
      </c>
      <c r="DR129" s="177"/>
      <c r="DS129" s="177"/>
      <c r="DT129" s="177"/>
      <c r="DU129" s="177"/>
      <c r="DV129" s="177"/>
      <c r="DW129" s="177"/>
      <c r="DX129" s="177"/>
      <c r="DY129" s="177"/>
      <c r="DZ129" s="177"/>
      <c r="EA129" s="613"/>
    </row>
    <row r="130" spans="1:131" ht="14.25" thickBot="1">
      <c r="A130" s="652" t="str">
        <f t="shared" si="394"/>
        <v>모펀드 출자 지분율</v>
      </c>
      <c r="B130" s="660" t="s">
        <v>356</v>
      </c>
      <c r="C130" s="787"/>
      <c r="D130" s="787"/>
      <c r="E130" s="787"/>
      <c r="F130" s="230"/>
      <c r="G130" s="230"/>
      <c r="I130" s="657">
        <f t="shared" si="399"/>
        <v>0</v>
      </c>
      <c r="J130" s="606" t="str">
        <f t="shared" si="400"/>
        <v>N/A</v>
      </c>
      <c r="K130" s="471"/>
      <c r="L130" s="607"/>
      <c r="M130" s="300"/>
      <c r="N130" s="608"/>
      <c r="O130" s="609">
        <f t="shared" si="395"/>
        <v>0</v>
      </c>
      <c r="P130" s="609">
        <f t="shared" si="396"/>
        <v>0</v>
      </c>
      <c r="Q130" s="609">
        <f t="shared" si="397"/>
        <v>0</v>
      </c>
      <c r="R130" s="610" t="str">
        <f>IFERROR(Q130/Q132,"")</f>
        <v/>
      </c>
      <c r="S130" s="658"/>
      <c r="T130" s="658"/>
      <c r="U130" s="658"/>
      <c r="V130" s="658"/>
      <c r="W130" s="658"/>
      <c r="X130" s="658"/>
      <c r="Y130" s="658"/>
      <c r="Z130" s="658"/>
      <c r="AA130" s="658"/>
      <c r="AB130" s="658"/>
      <c r="AC130" s="658"/>
      <c r="AD130" s="658"/>
      <c r="AE130" s="658"/>
      <c r="AF130" s="658"/>
      <c r="AG130" s="658"/>
      <c r="AH130" s="658"/>
      <c r="AI130" s="658"/>
      <c r="AJ130" s="658"/>
      <c r="AK130" s="658"/>
      <c r="AL130" s="658"/>
      <c r="AM130" s="658"/>
      <c r="AN130" s="658"/>
      <c r="AO130" s="658"/>
      <c r="AP130" s="658"/>
      <c r="AQ130" s="658"/>
      <c r="AR130" s="658"/>
      <c r="AS130" s="658"/>
      <c r="AT130" s="658"/>
      <c r="AU130" s="658"/>
      <c r="AV130" s="658"/>
      <c r="AW130" s="658"/>
      <c r="AX130" s="658"/>
      <c r="AY130" s="658"/>
      <c r="AZ130" s="658"/>
      <c r="BA130" s="658"/>
      <c r="BB130" s="658"/>
      <c r="BC130" s="658"/>
      <c r="BD130" s="658"/>
      <c r="BE130" s="658"/>
      <c r="BF130" s="658"/>
      <c r="BG130" s="658"/>
      <c r="BH130" s="658"/>
      <c r="BI130" s="658"/>
      <c r="BJ130" s="658"/>
      <c r="BK130" s="658"/>
      <c r="BL130" s="658"/>
      <c r="BM130" s="658"/>
      <c r="BN130" s="658"/>
      <c r="BO130" s="658"/>
      <c r="BP130" s="658"/>
      <c r="BQ130" s="658"/>
      <c r="BR130" s="658"/>
      <c r="BS130" s="658"/>
      <c r="BT130" s="658"/>
      <c r="BU130" s="658"/>
      <c r="BV130" s="658"/>
      <c r="BW130" s="658"/>
      <c r="BX130" s="658"/>
      <c r="BY130" s="658"/>
      <c r="BZ130" s="658"/>
      <c r="CA130" s="658"/>
      <c r="CB130" s="658"/>
      <c r="CC130" s="658"/>
      <c r="CD130" s="658"/>
      <c r="CE130" s="658"/>
      <c r="CF130" s="658"/>
      <c r="CG130" s="658"/>
      <c r="CH130" s="658"/>
      <c r="CI130" s="658"/>
      <c r="CJ130" s="658"/>
      <c r="CK130" s="658"/>
      <c r="CL130" s="658"/>
      <c r="CM130" s="658"/>
      <c r="CN130" s="658"/>
      <c r="CO130" s="658"/>
      <c r="CP130" s="658"/>
      <c r="CQ130" s="658"/>
      <c r="CR130" s="658"/>
      <c r="CS130" s="658"/>
      <c r="CT130" s="658"/>
      <c r="CU130" s="658"/>
      <c r="CV130" s="658"/>
      <c r="CW130" s="658"/>
      <c r="CX130" s="658"/>
      <c r="CY130" s="658"/>
      <c r="CZ130" s="658"/>
      <c r="DA130" s="658"/>
      <c r="DB130" s="658"/>
      <c r="DC130" s="658"/>
      <c r="DD130" s="658"/>
      <c r="DE130" s="658"/>
      <c r="DF130" s="658"/>
      <c r="DG130" s="658"/>
      <c r="DH130" s="658"/>
      <c r="DI130" s="658"/>
      <c r="DJ130" s="658"/>
      <c r="DK130" s="658"/>
      <c r="DL130" s="658"/>
      <c r="DM130" s="658"/>
      <c r="DN130" s="658"/>
      <c r="DO130" s="177">
        <f t="shared" si="401"/>
        <v>0</v>
      </c>
      <c r="DP130" s="612" t="e">
        <f t="shared" si="402"/>
        <v>#N/A</v>
      </c>
      <c r="DQ130" s="612" t="e">
        <f t="shared" si="398"/>
        <v>#NUM!</v>
      </c>
      <c r="DR130" s="177"/>
      <c r="DS130" s="177"/>
      <c r="DT130" s="177"/>
      <c r="DU130" s="177"/>
      <c r="DV130" s="177"/>
      <c r="DW130" s="177"/>
      <c r="DX130" s="177"/>
      <c r="DY130" s="177"/>
      <c r="DZ130" s="177"/>
      <c r="EA130" s="613"/>
    </row>
    <row r="131" spans="1:131" ht="14.25" thickBot="1">
      <c r="B131" s="778" t="s">
        <v>3404</v>
      </c>
      <c r="C131" s="616" t="s">
        <v>223</v>
      </c>
      <c r="D131" s="616" t="s">
        <v>224</v>
      </c>
      <c r="E131" s="616" t="s">
        <v>225</v>
      </c>
      <c r="F131" s="230"/>
      <c r="G131" s="230"/>
      <c r="I131" s="657">
        <f t="shared" si="399"/>
        <v>0</v>
      </c>
      <c r="J131" s="606" t="str">
        <f t="shared" si="400"/>
        <v>N/A</v>
      </c>
      <c r="K131" s="471"/>
      <c r="L131" s="607"/>
      <c r="M131" s="300"/>
      <c r="N131" s="608"/>
      <c r="O131" s="609">
        <f t="shared" si="395"/>
        <v>0</v>
      </c>
      <c r="P131" s="609">
        <f t="shared" si="396"/>
        <v>0</v>
      </c>
      <c r="Q131" s="609">
        <f t="shared" si="397"/>
        <v>0</v>
      </c>
      <c r="R131" s="610" t="str">
        <f>IFERROR(Q131/Q132,"")</f>
        <v/>
      </c>
      <c r="S131" s="658"/>
      <c r="T131" s="658"/>
      <c r="U131" s="658"/>
      <c r="V131" s="658"/>
      <c r="W131" s="658"/>
      <c r="X131" s="658"/>
      <c r="Y131" s="658"/>
      <c r="Z131" s="658"/>
      <c r="AA131" s="658"/>
      <c r="AB131" s="658"/>
      <c r="AC131" s="658"/>
      <c r="AD131" s="658"/>
      <c r="AE131" s="658"/>
      <c r="AF131" s="658"/>
      <c r="AG131" s="658"/>
      <c r="AH131" s="658"/>
      <c r="AI131" s="658"/>
      <c r="AJ131" s="658"/>
      <c r="AK131" s="658"/>
      <c r="AL131" s="658"/>
      <c r="AM131" s="658"/>
      <c r="AN131" s="658"/>
      <c r="AO131" s="658"/>
      <c r="AP131" s="658"/>
      <c r="AQ131" s="658"/>
      <c r="AR131" s="658"/>
      <c r="AS131" s="658"/>
      <c r="AT131" s="658"/>
      <c r="AU131" s="658"/>
      <c r="AV131" s="658"/>
      <c r="AW131" s="658"/>
      <c r="AX131" s="658"/>
      <c r="AY131" s="658"/>
      <c r="AZ131" s="658"/>
      <c r="BA131" s="658"/>
      <c r="BB131" s="658"/>
      <c r="BC131" s="658"/>
      <c r="BD131" s="658"/>
      <c r="BE131" s="658"/>
      <c r="BF131" s="658"/>
      <c r="BG131" s="658"/>
      <c r="BH131" s="658"/>
      <c r="BI131" s="658"/>
      <c r="BJ131" s="658"/>
      <c r="BK131" s="658"/>
      <c r="BL131" s="658"/>
      <c r="BM131" s="658"/>
      <c r="BN131" s="658"/>
      <c r="BO131" s="658"/>
      <c r="BP131" s="658"/>
      <c r="BQ131" s="658"/>
      <c r="BR131" s="658"/>
      <c r="BS131" s="658"/>
      <c r="BT131" s="658"/>
      <c r="BU131" s="658"/>
      <c r="BV131" s="658"/>
      <c r="BW131" s="658"/>
      <c r="BX131" s="658"/>
      <c r="BY131" s="658"/>
      <c r="BZ131" s="658"/>
      <c r="CA131" s="658"/>
      <c r="CB131" s="658"/>
      <c r="CC131" s="658"/>
      <c r="CD131" s="658"/>
      <c r="CE131" s="658"/>
      <c r="CF131" s="658"/>
      <c r="CG131" s="658"/>
      <c r="CH131" s="658"/>
      <c r="CI131" s="658"/>
      <c r="CJ131" s="658"/>
      <c r="CK131" s="658"/>
      <c r="CL131" s="658"/>
      <c r="CM131" s="658"/>
      <c r="CN131" s="658"/>
      <c r="CO131" s="658"/>
      <c r="CP131" s="658"/>
      <c r="CQ131" s="658"/>
      <c r="CR131" s="658"/>
      <c r="CS131" s="658"/>
      <c r="CT131" s="658"/>
      <c r="CU131" s="658"/>
      <c r="CV131" s="658"/>
      <c r="CW131" s="658"/>
      <c r="CX131" s="658"/>
      <c r="CY131" s="658"/>
      <c r="CZ131" s="658"/>
      <c r="DA131" s="658"/>
      <c r="DB131" s="658"/>
      <c r="DC131" s="658"/>
      <c r="DD131" s="658"/>
      <c r="DE131" s="658"/>
      <c r="DF131" s="658"/>
      <c r="DG131" s="658"/>
      <c r="DH131" s="658"/>
      <c r="DI131" s="658"/>
      <c r="DJ131" s="658"/>
      <c r="DK131" s="658"/>
      <c r="DL131" s="658"/>
      <c r="DM131" s="658"/>
      <c r="DN131" s="658"/>
      <c r="DO131" s="177">
        <f t="shared" si="401"/>
        <v>0</v>
      </c>
      <c r="DP131" s="612" t="e">
        <f t="shared" si="402"/>
        <v>#N/A</v>
      </c>
      <c r="DQ131" s="612" t="e">
        <f t="shared" si="398"/>
        <v>#NUM!</v>
      </c>
      <c r="DR131" s="177"/>
      <c r="DS131" s="177"/>
      <c r="DT131" s="177"/>
      <c r="DU131" s="177"/>
      <c r="DV131" s="177"/>
      <c r="DW131" s="177"/>
      <c r="DX131" s="177"/>
      <c r="DY131" s="177"/>
      <c r="DZ131" s="177"/>
      <c r="EA131" s="613"/>
    </row>
    <row r="132" spans="1:131" ht="14.25" thickBot="1">
      <c r="A132" s="317"/>
      <c r="B132" s="779"/>
      <c r="C132" s="661"/>
      <c r="D132" s="661"/>
      <c r="E132" s="661"/>
      <c r="F132" s="662"/>
      <c r="G132" s="662"/>
      <c r="H132" s="317"/>
      <c r="I132" s="634">
        <f>SUM(I124:I131)</f>
        <v>0</v>
      </c>
      <c r="J132" s="663"/>
      <c r="K132" s="664"/>
      <c r="L132" s="664"/>
      <c r="M132" s="664"/>
      <c r="N132" s="634">
        <f t="shared" ref="N132:R132" si="403">SUM(N124:N131)</f>
        <v>0</v>
      </c>
      <c r="O132" s="634">
        <f t="shared" si="403"/>
        <v>0</v>
      </c>
      <c r="P132" s="634">
        <f t="shared" si="403"/>
        <v>0</v>
      </c>
      <c r="Q132" s="634">
        <f t="shared" si="403"/>
        <v>0</v>
      </c>
      <c r="R132" s="665">
        <f t="shared" si="403"/>
        <v>0</v>
      </c>
      <c r="S132" s="634">
        <f>SUM(S124:S131)</f>
        <v>0</v>
      </c>
      <c r="T132" s="634">
        <f t="shared" ref="T132" si="404">SUM(T124:T131)</f>
        <v>0</v>
      </c>
      <c r="U132" s="634">
        <f t="shared" ref="U132" si="405">SUM(U124:U131)</f>
        <v>0</v>
      </c>
      <c r="V132" s="634">
        <f t="shared" ref="V132" si="406">SUM(V124:V131)</f>
        <v>0</v>
      </c>
      <c r="W132" s="634">
        <f t="shared" ref="W132" si="407">SUM(W124:W131)</f>
        <v>0</v>
      </c>
      <c r="X132" s="634">
        <f t="shared" ref="X132" si="408">SUM(X124:X131)</f>
        <v>0</v>
      </c>
      <c r="Y132" s="634">
        <f t="shared" ref="Y132" si="409">SUM(Y124:Y131)</f>
        <v>0</v>
      </c>
      <c r="Z132" s="634">
        <f t="shared" ref="Z132" si="410">SUM(Z124:Z131)</f>
        <v>0</v>
      </c>
      <c r="AA132" s="634">
        <f t="shared" ref="AA132" si="411">SUM(AA124:AA131)</f>
        <v>0</v>
      </c>
      <c r="AB132" s="634">
        <f t="shared" ref="AB132" si="412">SUM(AB124:AB131)</f>
        <v>0</v>
      </c>
      <c r="AC132" s="634">
        <f t="shared" ref="AC132" si="413">SUM(AC124:AC131)</f>
        <v>0</v>
      </c>
      <c r="AD132" s="634">
        <f t="shared" ref="AD132" si="414">SUM(AD124:AD131)</f>
        <v>0</v>
      </c>
      <c r="AE132" s="634">
        <f t="shared" ref="AE132" si="415">SUM(AE124:AE131)</f>
        <v>0</v>
      </c>
      <c r="AF132" s="634">
        <f t="shared" ref="AF132" si="416">SUM(AF124:AF131)</f>
        <v>0</v>
      </c>
      <c r="AG132" s="634">
        <f t="shared" ref="AG132" si="417">SUM(AG124:AG131)</f>
        <v>0</v>
      </c>
      <c r="AH132" s="634">
        <f t="shared" ref="AH132" si="418">SUM(AH124:AH131)</f>
        <v>0</v>
      </c>
      <c r="AI132" s="634">
        <f t="shared" ref="AI132" si="419">SUM(AI124:AI131)</f>
        <v>0</v>
      </c>
      <c r="AJ132" s="634">
        <f t="shared" ref="AJ132" si="420">SUM(AJ124:AJ131)</f>
        <v>0</v>
      </c>
      <c r="AK132" s="634">
        <f t="shared" ref="AK132" si="421">SUM(AK124:AK131)</f>
        <v>0</v>
      </c>
      <c r="AL132" s="634">
        <f t="shared" ref="AL132" si="422">SUM(AL124:AL131)</f>
        <v>0</v>
      </c>
      <c r="AM132" s="634">
        <f t="shared" ref="AM132" si="423">SUM(AM124:AM131)</f>
        <v>0</v>
      </c>
      <c r="AN132" s="634">
        <f t="shared" ref="AN132" si="424">SUM(AN124:AN131)</f>
        <v>0</v>
      </c>
      <c r="AO132" s="634">
        <f t="shared" ref="AO132" si="425">SUM(AO124:AO131)</f>
        <v>0</v>
      </c>
      <c r="AP132" s="634">
        <f t="shared" ref="AP132" si="426">SUM(AP124:AP131)</f>
        <v>0</v>
      </c>
      <c r="AQ132" s="634">
        <f t="shared" ref="AQ132" si="427">SUM(AQ124:AQ131)</f>
        <v>0</v>
      </c>
      <c r="AR132" s="634">
        <f t="shared" ref="AR132" si="428">SUM(AR124:AR131)</f>
        <v>0</v>
      </c>
      <c r="AS132" s="634">
        <f t="shared" ref="AS132" si="429">SUM(AS124:AS131)</f>
        <v>0</v>
      </c>
      <c r="AT132" s="634">
        <f t="shared" ref="AT132" si="430">SUM(AT124:AT131)</f>
        <v>0</v>
      </c>
      <c r="AU132" s="634">
        <f t="shared" ref="AU132" si="431">SUM(AU124:AU131)</f>
        <v>0</v>
      </c>
      <c r="AV132" s="634">
        <f t="shared" ref="AV132" si="432">SUM(AV124:AV131)</f>
        <v>0</v>
      </c>
      <c r="AW132" s="634">
        <f t="shared" ref="AW132" si="433">SUM(AW124:AW131)</f>
        <v>0</v>
      </c>
      <c r="AX132" s="634">
        <f t="shared" ref="AX132" si="434">SUM(AX124:AX131)</f>
        <v>0</v>
      </c>
      <c r="AY132" s="634">
        <f t="shared" ref="AY132" si="435">SUM(AY124:AY131)</f>
        <v>0</v>
      </c>
      <c r="AZ132" s="634">
        <f t="shared" ref="AZ132" si="436">SUM(AZ124:AZ131)</f>
        <v>0</v>
      </c>
      <c r="BA132" s="634">
        <f t="shared" ref="BA132" si="437">SUM(BA124:BA131)</f>
        <v>0</v>
      </c>
      <c r="BB132" s="634">
        <f t="shared" ref="BB132" si="438">SUM(BB124:BB131)</f>
        <v>0</v>
      </c>
      <c r="BC132" s="634">
        <f t="shared" ref="BC132" si="439">SUM(BC124:BC131)</f>
        <v>0</v>
      </c>
      <c r="BD132" s="634">
        <f t="shared" ref="BD132" si="440">SUM(BD124:BD131)</f>
        <v>0</v>
      </c>
      <c r="BE132" s="634">
        <f t="shared" ref="BE132" si="441">SUM(BE124:BE131)</f>
        <v>0</v>
      </c>
      <c r="BF132" s="634">
        <f t="shared" ref="BF132" si="442">SUM(BF124:BF131)</f>
        <v>0</v>
      </c>
      <c r="BG132" s="634">
        <f t="shared" ref="BG132" si="443">SUM(BG124:BG131)</f>
        <v>0</v>
      </c>
      <c r="BH132" s="634">
        <f t="shared" ref="BH132" si="444">SUM(BH124:BH131)</f>
        <v>0</v>
      </c>
      <c r="BI132" s="634">
        <f t="shared" ref="BI132" si="445">SUM(BI124:BI131)</f>
        <v>0</v>
      </c>
      <c r="BJ132" s="634">
        <f t="shared" ref="BJ132" si="446">SUM(BJ124:BJ131)</f>
        <v>0</v>
      </c>
      <c r="BK132" s="634">
        <f t="shared" ref="BK132" si="447">SUM(BK124:BK131)</f>
        <v>0</v>
      </c>
      <c r="BL132" s="634">
        <f t="shared" ref="BL132" si="448">SUM(BL124:BL131)</f>
        <v>0</v>
      </c>
      <c r="BM132" s="634">
        <f t="shared" ref="BM132" si="449">SUM(BM124:BM131)</f>
        <v>0</v>
      </c>
      <c r="BN132" s="634">
        <f t="shared" ref="BN132" si="450">SUM(BN124:BN131)</f>
        <v>0</v>
      </c>
      <c r="BO132" s="634">
        <f t="shared" ref="BO132" si="451">SUM(BO124:BO131)</f>
        <v>0</v>
      </c>
      <c r="BP132" s="634">
        <f t="shared" ref="BP132" si="452">SUM(BP124:BP131)</f>
        <v>0</v>
      </c>
      <c r="BQ132" s="634">
        <f t="shared" ref="BQ132" si="453">SUM(BQ124:BQ131)</f>
        <v>0</v>
      </c>
      <c r="BR132" s="634">
        <f t="shared" ref="BR132" si="454">SUM(BR124:BR131)</f>
        <v>0</v>
      </c>
      <c r="BS132" s="634">
        <f t="shared" ref="BS132" si="455">SUM(BS124:BS131)</f>
        <v>0</v>
      </c>
      <c r="BT132" s="634">
        <f t="shared" ref="BT132" si="456">SUM(BT124:BT131)</f>
        <v>0</v>
      </c>
      <c r="BU132" s="634">
        <f t="shared" ref="BU132" si="457">SUM(BU124:BU131)</f>
        <v>0</v>
      </c>
      <c r="BV132" s="634">
        <f t="shared" ref="BV132" si="458">SUM(BV124:BV131)</f>
        <v>0</v>
      </c>
      <c r="BW132" s="634">
        <f t="shared" ref="BW132" si="459">SUM(BW124:BW131)</f>
        <v>0</v>
      </c>
      <c r="BX132" s="634">
        <f t="shared" ref="BX132" si="460">SUM(BX124:BX131)</f>
        <v>0</v>
      </c>
      <c r="BY132" s="634">
        <f t="shared" ref="BY132" si="461">SUM(BY124:BY131)</f>
        <v>0</v>
      </c>
      <c r="BZ132" s="634">
        <f t="shared" ref="BZ132" si="462">SUM(BZ124:BZ131)</f>
        <v>0</v>
      </c>
      <c r="CA132" s="634">
        <f t="shared" ref="CA132" si="463">SUM(CA124:CA131)</f>
        <v>0</v>
      </c>
      <c r="CB132" s="634">
        <f t="shared" ref="CB132" si="464">SUM(CB124:CB131)</f>
        <v>0</v>
      </c>
      <c r="CC132" s="634">
        <f t="shared" ref="CC132" si="465">SUM(CC124:CC131)</f>
        <v>0</v>
      </c>
      <c r="CD132" s="634">
        <f t="shared" ref="CD132" si="466">SUM(CD124:CD131)</f>
        <v>0</v>
      </c>
      <c r="CE132" s="634">
        <f t="shared" ref="CE132" si="467">SUM(CE124:CE131)</f>
        <v>0</v>
      </c>
      <c r="CF132" s="634">
        <f t="shared" ref="CF132" si="468">SUM(CF124:CF131)</f>
        <v>0</v>
      </c>
      <c r="CG132" s="634">
        <f t="shared" ref="CG132" si="469">SUM(CG124:CG131)</f>
        <v>0</v>
      </c>
      <c r="CH132" s="634">
        <f t="shared" ref="CH132" si="470">SUM(CH124:CH131)</f>
        <v>0</v>
      </c>
      <c r="CI132" s="634">
        <f t="shared" ref="CI132" si="471">SUM(CI124:CI131)</f>
        <v>0</v>
      </c>
      <c r="CJ132" s="634">
        <f t="shared" ref="CJ132" si="472">SUM(CJ124:CJ131)</f>
        <v>0</v>
      </c>
      <c r="CK132" s="634">
        <f t="shared" ref="CK132" si="473">SUM(CK124:CK131)</f>
        <v>0</v>
      </c>
      <c r="CL132" s="634">
        <f t="shared" ref="CL132" si="474">SUM(CL124:CL131)</f>
        <v>0</v>
      </c>
      <c r="CM132" s="634">
        <f t="shared" ref="CM132" si="475">SUM(CM124:CM131)</f>
        <v>0</v>
      </c>
      <c r="CN132" s="634">
        <f t="shared" ref="CN132" si="476">SUM(CN124:CN131)</f>
        <v>0</v>
      </c>
      <c r="CO132" s="634">
        <f t="shared" ref="CO132" si="477">SUM(CO124:CO131)</f>
        <v>0</v>
      </c>
      <c r="CP132" s="634">
        <f t="shared" ref="CP132" si="478">SUM(CP124:CP131)</f>
        <v>0</v>
      </c>
      <c r="CQ132" s="634">
        <f t="shared" ref="CQ132" si="479">SUM(CQ124:CQ131)</f>
        <v>0</v>
      </c>
      <c r="CR132" s="634">
        <f t="shared" ref="CR132" si="480">SUM(CR124:CR131)</f>
        <v>0</v>
      </c>
      <c r="CS132" s="634">
        <f t="shared" ref="CS132" si="481">SUM(CS124:CS131)</f>
        <v>0</v>
      </c>
      <c r="CT132" s="634">
        <f t="shared" ref="CT132" si="482">SUM(CT124:CT131)</f>
        <v>0</v>
      </c>
      <c r="CU132" s="634">
        <f t="shared" ref="CU132" si="483">SUM(CU124:CU131)</f>
        <v>0</v>
      </c>
      <c r="CV132" s="634">
        <f t="shared" ref="CV132" si="484">SUM(CV124:CV131)</f>
        <v>0</v>
      </c>
      <c r="CW132" s="634">
        <f t="shared" ref="CW132" si="485">SUM(CW124:CW131)</f>
        <v>0</v>
      </c>
      <c r="CX132" s="634">
        <f t="shared" ref="CX132" si="486">SUM(CX124:CX131)</f>
        <v>0</v>
      </c>
      <c r="CY132" s="634">
        <f t="shared" ref="CY132" si="487">SUM(CY124:CY131)</f>
        <v>0</v>
      </c>
      <c r="CZ132" s="634">
        <f t="shared" ref="CZ132" si="488">SUM(CZ124:CZ131)</f>
        <v>0</v>
      </c>
      <c r="DA132" s="634">
        <f t="shared" ref="DA132" si="489">SUM(DA124:DA131)</f>
        <v>0</v>
      </c>
      <c r="DB132" s="634">
        <f t="shared" ref="DB132" si="490">SUM(DB124:DB131)</f>
        <v>0</v>
      </c>
      <c r="DC132" s="634">
        <f t="shared" ref="DC132" si="491">SUM(DC124:DC131)</f>
        <v>0</v>
      </c>
      <c r="DD132" s="634">
        <f t="shared" ref="DD132" si="492">SUM(DD124:DD131)</f>
        <v>0</v>
      </c>
      <c r="DE132" s="634">
        <f t="shared" ref="DE132" si="493">SUM(DE124:DE131)</f>
        <v>0</v>
      </c>
      <c r="DF132" s="634">
        <f t="shared" ref="DF132" si="494">SUM(DF124:DF131)</f>
        <v>0</v>
      </c>
      <c r="DG132" s="634">
        <f t="shared" ref="DG132" si="495">SUM(DG124:DG131)</f>
        <v>0</v>
      </c>
      <c r="DH132" s="634">
        <f t="shared" ref="DH132" si="496">SUM(DH124:DH131)</f>
        <v>0</v>
      </c>
      <c r="DI132" s="634">
        <f t="shared" ref="DI132" si="497">SUM(DI124:DI131)</f>
        <v>0</v>
      </c>
      <c r="DJ132" s="634">
        <f t="shared" ref="DJ132" si="498">SUM(DJ124:DJ131)</f>
        <v>0</v>
      </c>
      <c r="DK132" s="634">
        <f t="shared" ref="DK132" si="499">SUM(DK124:DK131)</f>
        <v>0</v>
      </c>
      <c r="DL132" s="634">
        <f t="shared" ref="DL132" si="500">SUM(DL124:DL131)</f>
        <v>0</v>
      </c>
      <c r="DM132" s="634">
        <f t="shared" ref="DM132" si="501">SUM(DM124:DM131)</f>
        <v>0</v>
      </c>
      <c r="DN132" s="634">
        <f t="shared" ref="DN132" si="502">SUM(DN124:DN131)</f>
        <v>0</v>
      </c>
      <c r="DO132" s="634">
        <f t="shared" ref="DO132" si="503">SUM(DO124:DO131)</f>
        <v>0</v>
      </c>
      <c r="DP132" s="666"/>
      <c r="DQ132" s="638" t="e">
        <f>XIRR(S132:DO132,$S$123:$DO$123)</f>
        <v>#NUM!</v>
      </c>
      <c r="DR132" s="636">
        <f t="shared" ref="DR132:DX132" si="504">SUM(DR124:DR131)</f>
        <v>0</v>
      </c>
      <c r="DS132" s="636">
        <f t="shared" si="504"/>
        <v>0</v>
      </c>
      <c r="DT132" s="636">
        <f t="shared" si="504"/>
        <v>0</v>
      </c>
      <c r="DU132" s="636">
        <f t="shared" si="504"/>
        <v>0</v>
      </c>
      <c r="DV132" s="636">
        <f t="shared" si="504"/>
        <v>0</v>
      </c>
      <c r="DW132" s="636">
        <f t="shared" si="504"/>
        <v>0</v>
      </c>
      <c r="DX132" s="636">
        <f t="shared" si="504"/>
        <v>0</v>
      </c>
      <c r="DY132" s="636">
        <f>SUM(DY124:DY131)</f>
        <v>0</v>
      </c>
      <c r="DZ132" s="636">
        <f>SUM(DZ124:DZ131)</f>
        <v>0</v>
      </c>
      <c r="EA132" s="636">
        <f>SUM(EA124:EA131)</f>
        <v>0</v>
      </c>
    </row>
    <row r="133" spans="1:131" ht="14.25" thickBot="1">
      <c r="A133" s="172"/>
      <c r="B133" s="667"/>
      <c r="C133" s="592" t="s">
        <v>3609</v>
      </c>
      <c r="D133" s="648">
        <f>D121+1</f>
        <v>7</v>
      </c>
      <c r="E133" s="649"/>
      <c r="F133" s="603"/>
      <c r="G133" s="603"/>
      <c r="I133" s="650" t="b">
        <f>I144=DR135</f>
        <v>1</v>
      </c>
      <c r="J133" s="172"/>
      <c r="K133" s="172"/>
      <c r="L133" s="172"/>
      <c r="M133" s="172"/>
      <c r="N133" s="172"/>
      <c r="O133" s="172"/>
      <c r="P133" s="172"/>
      <c r="Q133" s="639" t="str">
        <f>IF(Q144=NAV!E447,"자본금과 일치","자본금과 불일치")</f>
        <v>자본금과 일치</v>
      </c>
      <c r="R133" s="172"/>
      <c r="S133" s="172"/>
      <c r="T133" s="172"/>
      <c r="U133" s="172"/>
      <c r="V133" s="172"/>
      <c r="W133" s="172"/>
      <c r="X133" s="172"/>
      <c r="Y133" s="172"/>
      <c r="Z133" s="172"/>
      <c r="AA133" s="172"/>
      <c r="AB133" s="172"/>
      <c r="AC133" s="172"/>
      <c r="AD133" s="172"/>
      <c r="AE133" s="172"/>
      <c r="AF133" s="172"/>
      <c r="AG133" s="172"/>
      <c r="AH133" s="172"/>
      <c r="AI133" s="172"/>
      <c r="AJ133" s="172"/>
      <c r="AK133" s="172"/>
      <c r="AL133" s="172"/>
      <c r="AM133" s="172"/>
      <c r="AN133" s="172"/>
      <c r="AO133" s="172"/>
      <c r="AP133" s="172"/>
      <c r="AQ133" s="172"/>
      <c r="AR133" s="172"/>
      <c r="AS133" s="172"/>
      <c r="AT133" s="172"/>
      <c r="AU133" s="172"/>
      <c r="AV133" s="172"/>
      <c r="AW133" s="172"/>
      <c r="AX133" s="172"/>
      <c r="AY133" s="172"/>
      <c r="AZ133" s="172"/>
      <c r="BA133" s="172"/>
      <c r="BB133" s="172"/>
      <c r="BC133" s="172"/>
      <c r="BD133" s="172"/>
      <c r="BE133" s="172"/>
      <c r="BF133" s="172"/>
      <c r="BG133" s="172"/>
      <c r="BH133" s="172"/>
      <c r="BI133" s="172"/>
      <c r="BJ133" s="172"/>
      <c r="BK133" s="172"/>
      <c r="BL133" s="172"/>
      <c r="BM133" s="172"/>
      <c r="BN133" s="172"/>
      <c r="BO133" s="172"/>
      <c r="BP133" s="172"/>
      <c r="BQ133" s="172"/>
      <c r="BR133" s="172"/>
      <c r="BS133" s="172"/>
      <c r="BT133" s="172"/>
      <c r="BU133" s="172"/>
      <c r="BV133" s="172"/>
      <c r="BW133" s="172"/>
      <c r="BX133" s="172"/>
      <c r="BY133" s="172"/>
      <c r="BZ133" s="172"/>
      <c r="CA133" s="172"/>
      <c r="CB133" s="172"/>
      <c r="CC133" s="172"/>
      <c r="CD133" s="172"/>
      <c r="CE133" s="172"/>
      <c r="CF133" s="172"/>
      <c r="CG133" s="172"/>
      <c r="CH133" s="172"/>
      <c r="CI133" s="172"/>
      <c r="CJ133" s="172"/>
      <c r="CK133" s="172"/>
      <c r="CL133" s="172"/>
      <c r="CM133" s="172"/>
      <c r="CN133" s="172"/>
      <c r="CO133" s="172"/>
      <c r="CP133" s="172"/>
      <c r="CQ133" s="172"/>
      <c r="CR133" s="172"/>
      <c r="CS133" s="172"/>
      <c r="CT133" s="172"/>
      <c r="CU133" s="172"/>
      <c r="CV133" s="172"/>
      <c r="CW133" s="172"/>
      <c r="CX133" s="172"/>
      <c r="CY133" s="172"/>
      <c r="CZ133" s="172"/>
      <c r="DA133" s="172"/>
      <c r="DB133" s="172"/>
      <c r="DC133" s="172"/>
      <c r="DD133" s="172"/>
      <c r="DE133" s="172"/>
      <c r="DF133" s="172"/>
      <c r="DG133" s="172"/>
      <c r="DH133" s="172"/>
      <c r="DI133" s="172"/>
      <c r="DJ133" s="172"/>
      <c r="DK133" s="172"/>
      <c r="DL133" s="172"/>
      <c r="DM133" s="172"/>
      <c r="DN133" s="172"/>
      <c r="DO133" s="588" t="s">
        <v>219</v>
      </c>
      <c r="DP133" s="588" t="str">
        <f>IF(ROUND(_xlfn.AGGREGATE(9,6,DP136:DP143),5)=ROUND(_xlfn.AGGREGATE(9,6,DQ136:DQ143),5),"이상없음","기준수익률확인")</f>
        <v>이상없음</v>
      </c>
      <c r="DQ133" s="172"/>
      <c r="DR133" s="651" t="s">
        <v>3406</v>
      </c>
      <c r="DS133" s="172"/>
      <c r="DT133" s="615"/>
      <c r="DU133" s="615"/>
      <c r="DV133" s="172"/>
      <c r="DW133" s="172"/>
      <c r="DX133" s="615"/>
      <c r="DY133" s="172"/>
      <c r="DZ133" s="172"/>
      <c r="EA133" s="172"/>
    </row>
    <row r="134" spans="1:131" ht="13.5">
      <c r="A134" s="652" t="str">
        <f t="shared" ref="A134:A142" si="505">$B$133&amp;B134</f>
        <v>SPC명</v>
      </c>
      <c r="B134" s="653" t="s">
        <v>349</v>
      </c>
      <c r="C134" s="780"/>
      <c r="D134" s="780"/>
      <c r="E134" s="780"/>
      <c r="F134" s="230"/>
      <c r="G134" s="230"/>
      <c r="I134" s="776" t="s">
        <v>3393</v>
      </c>
      <c r="J134" s="776" t="s">
        <v>3394</v>
      </c>
      <c r="K134" s="774" t="s">
        <v>3395</v>
      </c>
      <c r="L134" s="774" t="s">
        <v>3396</v>
      </c>
      <c r="M134" s="774" t="s">
        <v>203</v>
      </c>
      <c r="N134" s="774" t="s">
        <v>211</v>
      </c>
      <c r="O134" s="774" t="s">
        <v>3399</v>
      </c>
      <c r="P134" s="776" t="s">
        <v>239</v>
      </c>
      <c r="Q134" s="774" t="s">
        <v>3401</v>
      </c>
      <c r="R134" s="774" t="s">
        <v>3402</v>
      </c>
      <c r="S134" s="593"/>
      <c r="T134" s="593"/>
      <c r="U134" s="593"/>
      <c r="V134" s="593"/>
      <c r="W134" s="593"/>
      <c r="X134" s="593"/>
      <c r="Y134" s="593"/>
      <c r="Z134" s="593"/>
      <c r="AA134" s="593"/>
      <c r="AB134" s="593"/>
      <c r="AC134" s="593"/>
      <c r="AD134" s="593"/>
      <c r="AE134" s="593"/>
      <c r="AF134" s="593"/>
      <c r="AG134" s="593"/>
      <c r="AH134" s="593"/>
      <c r="AI134" s="593"/>
      <c r="AJ134" s="593"/>
      <c r="AK134" s="593"/>
      <c r="AL134" s="593"/>
      <c r="AM134" s="593"/>
      <c r="AN134" s="593"/>
      <c r="AO134" s="593"/>
      <c r="AP134" s="593"/>
      <c r="AQ134" s="593"/>
      <c r="AR134" s="593"/>
      <c r="AS134" s="593"/>
      <c r="AT134" s="593"/>
      <c r="AU134" s="593"/>
      <c r="AV134" s="593"/>
      <c r="AW134" s="593"/>
      <c r="AX134" s="593"/>
      <c r="AY134" s="593"/>
      <c r="AZ134" s="593"/>
      <c r="BA134" s="593"/>
      <c r="BB134" s="593"/>
      <c r="BC134" s="593"/>
      <c r="BD134" s="593"/>
      <c r="BE134" s="593"/>
      <c r="BF134" s="593"/>
      <c r="BG134" s="593"/>
      <c r="BH134" s="593"/>
      <c r="BI134" s="593"/>
      <c r="BJ134" s="593"/>
      <c r="BK134" s="593"/>
      <c r="BL134" s="593"/>
      <c r="BM134" s="593"/>
      <c r="BN134" s="593"/>
      <c r="BO134" s="593"/>
      <c r="BP134" s="593"/>
      <c r="BQ134" s="593"/>
      <c r="BR134" s="593"/>
      <c r="BS134" s="593"/>
      <c r="BT134" s="593"/>
      <c r="BU134" s="593"/>
      <c r="BV134" s="593"/>
      <c r="BW134" s="593"/>
      <c r="BX134" s="593"/>
      <c r="BY134" s="593"/>
      <c r="BZ134" s="593"/>
      <c r="CA134" s="593"/>
      <c r="CB134" s="593"/>
      <c r="CC134" s="593"/>
      <c r="CD134" s="593"/>
      <c r="CE134" s="593"/>
      <c r="CF134" s="593"/>
      <c r="CG134" s="593"/>
      <c r="CH134" s="593"/>
      <c r="CI134" s="593"/>
      <c r="CJ134" s="593"/>
      <c r="CK134" s="593"/>
      <c r="CL134" s="593"/>
      <c r="CM134" s="593"/>
      <c r="CN134" s="593"/>
      <c r="CO134" s="593"/>
      <c r="CP134" s="593"/>
      <c r="CQ134" s="593"/>
      <c r="CR134" s="593"/>
      <c r="CS134" s="593"/>
      <c r="CT134" s="593"/>
      <c r="CU134" s="593"/>
      <c r="CV134" s="593"/>
      <c r="CW134" s="593"/>
      <c r="CX134" s="593"/>
      <c r="CY134" s="593"/>
      <c r="CZ134" s="593"/>
      <c r="DA134" s="593"/>
      <c r="DB134" s="593"/>
      <c r="DC134" s="593"/>
      <c r="DD134" s="593"/>
      <c r="DE134" s="593"/>
      <c r="DF134" s="593"/>
      <c r="DG134" s="593"/>
      <c r="DH134" s="593"/>
      <c r="DI134" s="593"/>
      <c r="DJ134" s="593"/>
      <c r="DK134" s="593"/>
      <c r="DL134" s="593"/>
      <c r="DM134" s="593"/>
      <c r="DN134" s="593"/>
      <c r="DO134" s="594" t="s">
        <v>220</v>
      </c>
      <c r="DP134" s="774" t="s">
        <v>218</v>
      </c>
      <c r="DQ134" s="774" t="s">
        <v>222</v>
      </c>
      <c r="DR134" s="594"/>
      <c r="DS134" s="594"/>
      <c r="DT134" s="594"/>
      <c r="DU134" s="594"/>
      <c r="DV134" s="594"/>
      <c r="DW134" s="594"/>
      <c r="DX134" s="594"/>
      <c r="DY134" s="594"/>
      <c r="DZ134" s="594"/>
      <c r="EA134" s="602"/>
    </row>
    <row r="135" spans="1:131" ht="14.25" thickBot="1">
      <c r="A135" s="652" t="str">
        <f t="shared" si="505"/>
        <v>유형</v>
      </c>
      <c r="B135" s="653" t="s">
        <v>360</v>
      </c>
      <c r="C135" s="780"/>
      <c r="D135" s="780"/>
      <c r="E135" s="780"/>
      <c r="F135" s="230"/>
      <c r="G135" s="230"/>
      <c r="I135" s="777"/>
      <c r="J135" s="777"/>
      <c r="K135" s="775"/>
      <c r="L135" s="775"/>
      <c r="M135" s="775"/>
      <c r="N135" s="775"/>
      <c r="O135" s="775"/>
      <c r="P135" s="777"/>
      <c r="Q135" s="775"/>
      <c r="R135" s="775"/>
      <c r="S135" s="601"/>
      <c r="T135" s="601"/>
      <c r="U135" s="601"/>
      <c r="V135" s="601"/>
      <c r="W135" s="601"/>
      <c r="X135" s="601"/>
      <c r="Y135" s="601"/>
      <c r="Z135" s="601"/>
      <c r="AA135" s="601"/>
      <c r="AB135" s="601"/>
      <c r="AC135" s="601"/>
      <c r="AD135" s="601"/>
      <c r="AE135" s="601"/>
      <c r="AF135" s="601"/>
      <c r="AG135" s="601"/>
      <c r="AH135" s="601"/>
      <c r="AI135" s="601"/>
      <c r="AJ135" s="601"/>
      <c r="AK135" s="601"/>
      <c r="AL135" s="601"/>
      <c r="AM135" s="601"/>
      <c r="AN135" s="601"/>
      <c r="AO135" s="601"/>
      <c r="AP135" s="601"/>
      <c r="AQ135" s="601"/>
      <c r="AR135" s="601"/>
      <c r="AS135" s="601"/>
      <c r="AT135" s="601"/>
      <c r="AU135" s="601"/>
      <c r="AV135" s="601"/>
      <c r="AW135" s="601"/>
      <c r="AX135" s="601"/>
      <c r="AY135" s="601"/>
      <c r="AZ135" s="601"/>
      <c r="BA135" s="601"/>
      <c r="BB135" s="601"/>
      <c r="BC135" s="601"/>
      <c r="BD135" s="601"/>
      <c r="BE135" s="601"/>
      <c r="BF135" s="601"/>
      <c r="BG135" s="601"/>
      <c r="BH135" s="601"/>
      <c r="BI135" s="601"/>
      <c r="BJ135" s="601"/>
      <c r="BK135" s="601"/>
      <c r="BL135" s="601"/>
      <c r="BM135" s="601"/>
      <c r="BN135" s="601"/>
      <c r="BO135" s="601"/>
      <c r="BP135" s="601"/>
      <c r="BQ135" s="601"/>
      <c r="BR135" s="601"/>
      <c r="BS135" s="601"/>
      <c r="BT135" s="601"/>
      <c r="BU135" s="601"/>
      <c r="BV135" s="601"/>
      <c r="BW135" s="601"/>
      <c r="BX135" s="601"/>
      <c r="BY135" s="601"/>
      <c r="BZ135" s="601"/>
      <c r="CA135" s="601"/>
      <c r="CB135" s="601"/>
      <c r="CC135" s="601"/>
      <c r="CD135" s="601"/>
      <c r="CE135" s="601"/>
      <c r="CF135" s="601"/>
      <c r="CG135" s="601"/>
      <c r="CH135" s="601"/>
      <c r="CI135" s="601"/>
      <c r="CJ135" s="601"/>
      <c r="CK135" s="601"/>
      <c r="CL135" s="601"/>
      <c r="CM135" s="601"/>
      <c r="CN135" s="601"/>
      <c r="CO135" s="601"/>
      <c r="CP135" s="601"/>
      <c r="CQ135" s="601"/>
      <c r="CR135" s="601"/>
      <c r="CS135" s="601"/>
      <c r="CT135" s="601"/>
      <c r="CU135" s="601"/>
      <c r="CV135" s="601"/>
      <c r="CW135" s="601"/>
      <c r="CX135" s="601"/>
      <c r="CY135" s="601"/>
      <c r="CZ135" s="601"/>
      <c r="DA135" s="601"/>
      <c r="DB135" s="601"/>
      <c r="DC135" s="601"/>
      <c r="DD135" s="601"/>
      <c r="DE135" s="601"/>
      <c r="DF135" s="601"/>
      <c r="DG135" s="601"/>
      <c r="DH135" s="601"/>
      <c r="DI135" s="601"/>
      <c r="DJ135" s="601"/>
      <c r="DK135" s="601"/>
      <c r="DL135" s="601"/>
      <c r="DM135" s="601"/>
      <c r="DN135" s="601"/>
      <c r="DO135" s="654">
        <f>$DO$7</f>
        <v>45473</v>
      </c>
      <c r="DP135" s="775"/>
      <c r="DQ135" s="775"/>
      <c r="DR135" s="595">
        <f>NAV!E453</f>
        <v>0</v>
      </c>
      <c r="DS135" s="596">
        <f>DR135-DR144</f>
        <v>0</v>
      </c>
      <c r="DT135" s="596"/>
      <c r="DU135" s="596"/>
      <c r="DV135" s="597"/>
      <c r="DW135" s="596"/>
      <c r="DX135" s="596"/>
      <c r="DY135" s="596"/>
      <c r="DZ135" s="655"/>
      <c r="EA135" s="656"/>
    </row>
    <row r="136" spans="1:131" ht="13.5">
      <c r="A136" s="652" t="str">
        <f t="shared" si="505"/>
        <v>설정일</v>
      </c>
      <c r="B136" s="653" t="s">
        <v>351</v>
      </c>
      <c r="C136" s="781"/>
      <c r="D136" s="780"/>
      <c r="E136" s="780"/>
      <c r="F136" s="230"/>
      <c r="G136" s="230"/>
      <c r="I136" s="657">
        <f>SUM(DR136:EA136)</f>
        <v>0</v>
      </c>
      <c r="J136" s="606" t="str">
        <f>IFERROR(I136/(Q136/$C$138),"N/A")</f>
        <v>N/A</v>
      </c>
      <c r="K136" s="471"/>
      <c r="L136" s="607"/>
      <c r="M136" s="300"/>
      <c r="N136" s="608"/>
      <c r="O136" s="609">
        <f t="shared" ref="O136:O143" si="506">-(SUMIF($S$134:$DN$134,"최초출자",S136:DN136)+SUMIF($S$134:$DN$134,"추가출자",S136:DN136))</f>
        <v>0</v>
      </c>
      <c r="P136" s="609">
        <f t="shared" ref="P136:P143" si="507">SUMIF($S$134:$DN$134,"이익분배",S136:DN136)+SUMIF($S$134:$DN$134,"원본분배",S136:DN136)</f>
        <v>0</v>
      </c>
      <c r="Q136" s="609">
        <f t="shared" ref="Q136:Q143" si="508">-(SUMIF($S$134:$DN$134,"최초출자",S136:DN136)+SUMIF($S$134:$DN$134,"추가출자",S136:DN136)+SUMIF($S$134:$DN$134,"원본분배",S136:DN136))</f>
        <v>0</v>
      </c>
      <c r="R136" s="610" t="str">
        <f>IFERROR(Q136/Q144,"")</f>
        <v/>
      </c>
      <c r="S136" s="658"/>
      <c r="T136" s="658"/>
      <c r="U136" s="658"/>
      <c r="V136" s="658"/>
      <c r="W136" s="658"/>
      <c r="X136" s="658"/>
      <c r="Y136" s="658"/>
      <c r="Z136" s="658"/>
      <c r="AA136" s="658"/>
      <c r="AB136" s="658"/>
      <c r="AC136" s="658"/>
      <c r="AD136" s="658"/>
      <c r="AE136" s="658"/>
      <c r="AF136" s="658"/>
      <c r="AG136" s="658"/>
      <c r="AH136" s="658"/>
      <c r="AI136" s="658"/>
      <c r="AJ136" s="658"/>
      <c r="AK136" s="658"/>
      <c r="AL136" s="658"/>
      <c r="AM136" s="658"/>
      <c r="AN136" s="658"/>
      <c r="AO136" s="658"/>
      <c r="AP136" s="658"/>
      <c r="AQ136" s="658"/>
      <c r="AR136" s="658"/>
      <c r="AS136" s="658"/>
      <c r="AT136" s="658"/>
      <c r="AU136" s="658"/>
      <c r="AV136" s="658"/>
      <c r="AW136" s="658"/>
      <c r="AX136" s="658"/>
      <c r="AY136" s="658"/>
      <c r="AZ136" s="658"/>
      <c r="BA136" s="658"/>
      <c r="BB136" s="658"/>
      <c r="BC136" s="658"/>
      <c r="BD136" s="658"/>
      <c r="BE136" s="658"/>
      <c r="BF136" s="658"/>
      <c r="BG136" s="658"/>
      <c r="BH136" s="658"/>
      <c r="BI136" s="658"/>
      <c r="BJ136" s="658"/>
      <c r="BK136" s="658"/>
      <c r="BL136" s="658"/>
      <c r="BM136" s="658"/>
      <c r="BN136" s="658"/>
      <c r="BO136" s="658"/>
      <c r="BP136" s="658"/>
      <c r="BQ136" s="658"/>
      <c r="BR136" s="658"/>
      <c r="BS136" s="658"/>
      <c r="BT136" s="658"/>
      <c r="BU136" s="658"/>
      <c r="BV136" s="658"/>
      <c r="BW136" s="658"/>
      <c r="BX136" s="658"/>
      <c r="BY136" s="658"/>
      <c r="BZ136" s="658"/>
      <c r="CA136" s="658"/>
      <c r="CB136" s="658"/>
      <c r="CC136" s="658"/>
      <c r="CD136" s="658"/>
      <c r="CE136" s="658"/>
      <c r="CF136" s="658"/>
      <c r="CG136" s="658"/>
      <c r="CH136" s="658"/>
      <c r="CI136" s="658"/>
      <c r="CJ136" s="658"/>
      <c r="CK136" s="658"/>
      <c r="CL136" s="658"/>
      <c r="CM136" s="658"/>
      <c r="CN136" s="658"/>
      <c r="CO136" s="658"/>
      <c r="CP136" s="658"/>
      <c r="CQ136" s="658"/>
      <c r="CR136" s="658"/>
      <c r="CS136" s="658"/>
      <c r="CT136" s="658"/>
      <c r="CU136" s="658"/>
      <c r="CV136" s="658"/>
      <c r="CW136" s="658"/>
      <c r="CX136" s="658"/>
      <c r="CY136" s="658"/>
      <c r="CZ136" s="658"/>
      <c r="DA136" s="658"/>
      <c r="DB136" s="658"/>
      <c r="DC136" s="658"/>
      <c r="DD136" s="658"/>
      <c r="DE136" s="658"/>
      <c r="DF136" s="658"/>
      <c r="DG136" s="658"/>
      <c r="DH136" s="658"/>
      <c r="DI136" s="658"/>
      <c r="DJ136" s="658"/>
      <c r="DK136" s="658"/>
      <c r="DL136" s="658"/>
      <c r="DM136" s="658"/>
      <c r="DN136" s="658"/>
      <c r="DO136" s="177">
        <f>IF(M136="",0,-XNPV(DP136,S136,S$135)*(1+DP136)^YEARFRAC($S$135,$DO$135,3))</f>
        <v>0</v>
      </c>
      <c r="DP136" s="612" t="e">
        <f>IF(HLOOKUP(L136,$C$143:$E$144,2,0)=0,1E-24%,HLOOKUP(L136,$C$143:$E$144,2,FALSE))</f>
        <v>#N/A</v>
      </c>
      <c r="DQ136" s="612" t="e">
        <f t="shared" ref="DQ136:DQ143" si="509">XIRR(S136:DO136,$S$135:$DO$135)</f>
        <v>#NUM!</v>
      </c>
      <c r="DR136" s="177"/>
      <c r="DS136" s="177"/>
      <c r="DT136" s="177"/>
      <c r="DU136" s="177"/>
      <c r="DV136" s="177"/>
      <c r="DW136" s="177"/>
      <c r="DX136" s="177"/>
      <c r="DY136" s="177"/>
      <c r="DZ136" s="177"/>
      <c r="EA136" s="613"/>
    </row>
    <row r="137" spans="1:131" ht="13.5">
      <c r="A137" s="652" t="str">
        <f t="shared" si="505"/>
        <v>출자잔액</v>
      </c>
      <c r="B137" s="653" t="s">
        <v>362</v>
      </c>
      <c r="C137" s="782"/>
      <c r="D137" s="782"/>
      <c r="E137" s="782"/>
      <c r="F137" s="230"/>
      <c r="G137" s="230"/>
      <c r="I137" s="657">
        <f t="shared" ref="I137:I143" si="510">SUM(DR137:EA137)</f>
        <v>0</v>
      </c>
      <c r="J137" s="606" t="str">
        <f t="shared" ref="J137:J143" si="511">IFERROR(I137/(Q137/$C$138),"N/A")</f>
        <v>N/A</v>
      </c>
      <c r="K137" s="471"/>
      <c r="L137" s="607"/>
      <c r="M137" s="300"/>
      <c r="N137" s="608"/>
      <c r="O137" s="609">
        <f t="shared" si="506"/>
        <v>0</v>
      </c>
      <c r="P137" s="609">
        <f t="shared" si="507"/>
        <v>0</v>
      </c>
      <c r="Q137" s="609">
        <f t="shared" si="508"/>
        <v>0</v>
      </c>
      <c r="R137" s="610" t="str">
        <f>IFERROR(Q137/Q144,"")</f>
        <v/>
      </c>
      <c r="S137" s="658"/>
      <c r="T137" s="658"/>
      <c r="U137" s="658"/>
      <c r="V137" s="658"/>
      <c r="W137" s="658"/>
      <c r="X137" s="658"/>
      <c r="Y137" s="658"/>
      <c r="Z137" s="658"/>
      <c r="AA137" s="658"/>
      <c r="AB137" s="658"/>
      <c r="AC137" s="658"/>
      <c r="AD137" s="658"/>
      <c r="AE137" s="658"/>
      <c r="AF137" s="658"/>
      <c r="AG137" s="658"/>
      <c r="AH137" s="658"/>
      <c r="AI137" s="658"/>
      <c r="AJ137" s="658"/>
      <c r="AK137" s="658"/>
      <c r="AL137" s="658"/>
      <c r="AM137" s="658"/>
      <c r="AN137" s="658"/>
      <c r="AO137" s="658"/>
      <c r="AP137" s="658"/>
      <c r="AQ137" s="658"/>
      <c r="AR137" s="658"/>
      <c r="AS137" s="658"/>
      <c r="AT137" s="658"/>
      <c r="AU137" s="658"/>
      <c r="AV137" s="658"/>
      <c r="AW137" s="658"/>
      <c r="AX137" s="658"/>
      <c r="AY137" s="658"/>
      <c r="AZ137" s="658"/>
      <c r="BA137" s="658"/>
      <c r="BB137" s="658"/>
      <c r="BC137" s="658"/>
      <c r="BD137" s="658"/>
      <c r="BE137" s="658"/>
      <c r="BF137" s="658"/>
      <c r="BG137" s="658"/>
      <c r="BH137" s="658"/>
      <c r="BI137" s="658"/>
      <c r="BJ137" s="658"/>
      <c r="BK137" s="658"/>
      <c r="BL137" s="658"/>
      <c r="BM137" s="658"/>
      <c r="BN137" s="658"/>
      <c r="BO137" s="658"/>
      <c r="BP137" s="658"/>
      <c r="BQ137" s="658"/>
      <c r="BR137" s="658"/>
      <c r="BS137" s="658"/>
      <c r="BT137" s="658"/>
      <c r="BU137" s="658"/>
      <c r="BV137" s="658"/>
      <c r="BW137" s="658"/>
      <c r="BX137" s="658"/>
      <c r="BY137" s="658"/>
      <c r="BZ137" s="658"/>
      <c r="CA137" s="658"/>
      <c r="CB137" s="658"/>
      <c r="CC137" s="658"/>
      <c r="CD137" s="658"/>
      <c r="CE137" s="658"/>
      <c r="CF137" s="658"/>
      <c r="CG137" s="658"/>
      <c r="CH137" s="658"/>
      <c r="CI137" s="658"/>
      <c r="CJ137" s="658"/>
      <c r="CK137" s="658"/>
      <c r="CL137" s="658"/>
      <c r="CM137" s="658"/>
      <c r="CN137" s="658"/>
      <c r="CO137" s="658"/>
      <c r="CP137" s="658"/>
      <c r="CQ137" s="658"/>
      <c r="CR137" s="658"/>
      <c r="CS137" s="658"/>
      <c r="CT137" s="658"/>
      <c r="CU137" s="658"/>
      <c r="CV137" s="658"/>
      <c r="CW137" s="658"/>
      <c r="CX137" s="658"/>
      <c r="CY137" s="658"/>
      <c r="CZ137" s="658"/>
      <c r="DA137" s="658"/>
      <c r="DB137" s="658"/>
      <c r="DC137" s="658"/>
      <c r="DD137" s="658"/>
      <c r="DE137" s="658"/>
      <c r="DF137" s="658"/>
      <c r="DG137" s="658"/>
      <c r="DH137" s="658"/>
      <c r="DI137" s="658"/>
      <c r="DJ137" s="658"/>
      <c r="DK137" s="658"/>
      <c r="DL137" s="658"/>
      <c r="DM137" s="658"/>
      <c r="DN137" s="658"/>
      <c r="DO137" s="177">
        <f t="shared" ref="DO137:DO143" si="512">IF(M137="",0,-XNPV(DP137,S137,S$135)*(1+DP137)^YEARFRAC($S$135,$DO$135,3))</f>
        <v>0</v>
      </c>
      <c r="DP137" s="612" t="e">
        <f t="shared" ref="DP137:DP143" si="513">IF(HLOOKUP(L137,$C$143:$E$144,2,0)=0,1E-24%,HLOOKUP(L137,$C$143:$E$144,2,FALSE))</f>
        <v>#N/A</v>
      </c>
      <c r="DQ137" s="612" t="e">
        <f t="shared" si="509"/>
        <v>#NUM!</v>
      </c>
      <c r="DR137" s="177"/>
      <c r="DS137" s="177"/>
      <c r="DT137" s="177"/>
      <c r="DU137" s="177"/>
      <c r="DV137" s="177"/>
      <c r="DW137" s="177"/>
      <c r="DX137" s="177"/>
      <c r="DY137" s="177"/>
      <c r="DZ137" s="177"/>
      <c r="EA137" s="613"/>
    </row>
    <row r="138" spans="1:131" ht="13.5">
      <c r="A138" s="652" t="str">
        <f t="shared" si="505"/>
        <v>1좌당 금액</v>
      </c>
      <c r="B138" s="653" t="s">
        <v>358</v>
      </c>
      <c r="C138" s="783"/>
      <c r="D138" s="783"/>
      <c r="E138" s="783"/>
      <c r="F138" s="230"/>
      <c r="G138" s="230"/>
      <c r="I138" s="657">
        <f t="shared" si="510"/>
        <v>0</v>
      </c>
      <c r="J138" s="606" t="str">
        <f t="shared" si="511"/>
        <v>N/A</v>
      </c>
      <c r="K138" s="471"/>
      <c r="L138" s="607"/>
      <c r="M138" s="300"/>
      <c r="N138" s="608"/>
      <c r="O138" s="609">
        <f t="shared" si="506"/>
        <v>0</v>
      </c>
      <c r="P138" s="609">
        <f t="shared" si="507"/>
        <v>0</v>
      </c>
      <c r="Q138" s="609">
        <f t="shared" si="508"/>
        <v>0</v>
      </c>
      <c r="R138" s="610" t="str">
        <f>IFERROR(Q138/Q144,"")</f>
        <v/>
      </c>
      <c r="S138" s="658"/>
      <c r="T138" s="658"/>
      <c r="U138" s="658"/>
      <c r="V138" s="658"/>
      <c r="W138" s="658"/>
      <c r="X138" s="658"/>
      <c r="Y138" s="658"/>
      <c r="Z138" s="658"/>
      <c r="AA138" s="658"/>
      <c r="AB138" s="658"/>
      <c r="AC138" s="658"/>
      <c r="AD138" s="658"/>
      <c r="AE138" s="658"/>
      <c r="AF138" s="658"/>
      <c r="AG138" s="658"/>
      <c r="AH138" s="658"/>
      <c r="AI138" s="658"/>
      <c r="AJ138" s="658"/>
      <c r="AK138" s="658"/>
      <c r="AL138" s="658"/>
      <c r="AM138" s="658"/>
      <c r="AN138" s="658"/>
      <c r="AO138" s="658"/>
      <c r="AP138" s="658"/>
      <c r="AQ138" s="658"/>
      <c r="AR138" s="658"/>
      <c r="AS138" s="658"/>
      <c r="AT138" s="658"/>
      <c r="AU138" s="658"/>
      <c r="AV138" s="658"/>
      <c r="AW138" s="658"/>
      <c r="AX138" s="658"/>
      <c r="AY138" s="658"/>
      <c r="AZ138" s="658"/>
      <c r="BA138" s="658"/>
      <c r="BB138" s="658"/>
      <c r="BC138" s="658"/>
      <c r="BD138" s="658"/>
      <c r="BE138" s="658"/>
      <c r="BF138" s="658"/>
      <c r="BG138" s="658"/>
      <c r="BH138" s="658"/>
      <c r="BI138" s="658"/>
      <c r="BJ138" s="658"/>
      <c r="BK138" s="658"/>
      <c r="BL138" s="658"/>
      <c r="BM138" s="658"/>
      <c r="BN138" s="658"/>
      <c r="BO138" s="658"/>
      <c r="BP138" s="658"/>
      <c r="BQ138" s="658"/>
      <c r="BR138" s="658"/>
      <c r="BS138" s="658"/>
      <c r="BT138" s="658"/>
      <c r="BU138" s="658"/>
      <c r="BV138" s="658"/>
      <c r="BW138" s="658"/>
      <c r="BX138" s="658"/>
      <c r="BY138" s="658"/>
      <c r="BZ138" s="658"/>
      <c r="CA138" s="658"/>
      <c r="CB138" s="658"/>
      <c r="CC138" s="658"/>
      <c r="CD138" s="658"/>
      <c r="CE138" s="658"/>
      <c r="CF138" s="658"/>
      <c r="CG138" s="658"/>
      <c r="CH138" s="658"/>
      <c r="CI138" s="658"/>
      <c r="CJ138" s="658"/>
      <c r="CK138" s="658"/>
      <c r="CL138" s="658"/>
      <c r="CM138" s="658"/>
      <c r="CN138" s="658"/>
      <c r="CO138" s="658"/>
      <c r="CP138" s="658"/>
      <c r="CQ138" s="658"/>
      <c r="CR138" s="658"/>
      <c r="CS138" s="658"/>
      <c r="CT138" s="658"/>
      <c r="CU138" s="658"/>
      <c r="CV138" s="658"/>
      <c r="CW138" s="658"/>
      <c r="CX138" s="658"/>
      <c r="CY138" s="658"/>
      <c r="CZ138" s="658"/>
      <c r="DA138" s="658"/>
      <c r="DB138" s="658"/>
      <c r="DC138" s="658"/>
      <c r="DD138" s="658"/>
      <c r="DE138" s="658"/>
      <c r="DF138" s="658"/>
      <c r="DG138" s="658"/>
      <c r="DH138" s="658"/>
      <c r="DI138" s="658"/>
      <c r="DJ138" s="658"/>
      <c r="DK138" s="658"/>
      <c r="DL138" s="658"/>
      <c r="DM138" s="658"/>
      <c r="DN138" s="658"/>
      <c r="DO138" s="177">
        <f t="shared" si="512"/>
        <v>0</v>
      </c>
      <c r="DP138" s="612" t="e">
        <f t="shared" si="513"/>
        <v>#N/A</v>
      </c>
      <c r="DQ138" s="612" t="e">
        <f t="shared" si="509"/>
        <v>#NUM!</v>
      </c>
      <c r="DR138" s="177"/>
      <c r="DS138" s="177"/>
      <c r="DT138" s="177"/>
      <c r="DU138" s="177"/>
      <c r="DV138" s="177"/>
      <c r="DW138" s="177"/>
      <c r="DX138" s="177"/>
      <c r="DY138" s="177"/>
      <c r="DZ138" s="177"/>
      <c r="EA138" s="613"/>
    </row>
    <row r="139" spans="1:131" ht="13.5">
      <c r="A139" s="652" t="str">
        <f t="shared" si="505"/>
        <v>기준수익률</v>
      </c>
      <c r="B139" s="653" t="s">
        <v>365</v>
      </c>
      <c r="C139" s="784"/>
      <c r="D139" s="785"/>
      <c r="E139" s="785"/>
      <c r="F139" s="230"/>
      <c r="G139" s="230"/>
      <c r="I139" s="657">
        <f t="shared" si="510"/>
        <v>0</v>
      </c>
      <c r="J139" s="606" t="str">
        <f t="shared" si="511"/>
        <v>N/A</v>
      </c>
      <c r="K139" s="471"/>
      <c r="L139" s="607"/>
      <c r="M139" s="300"/>
      <c r="N139" s="608"/>
      <c r="O139" s="609">
        <f t="shared" si="506"/>
        <v>0</v>
      </c>
      <c r="P139" s="609">
        <f t="shared" si="507"/>
        <v>0</v>
      </c>
      <c r="Q139" s="609">
        <f t="shared" si="508"/>
        <v>0</v>
      </c>
      <c r="R139" s="610" t="str">
        <f>IFERROR(Q139/Q144,"")</f>
        <v/>
      </c>
      <c r="S139" s="658"/>
      <c r="T139" s="658"/>
      <c r="U139" s="658"/>
      <c r="V139" s="658"/>
      <c r="W139" s="658"/>
      <c r="X139" s="658"/>
      <c r="Y139" s="658"/>
      <c r="Z139" s="658"/>
      <c r="AA139" s="658"/>
      <c r="AB139" s="658"/>
      <c r="AC139" s="658"/>
      <c r="AD139" s="658"/>
      <c r="AE139" s="658"/>
      <c r="AF139" s="658"/>
      <c r="AG139" s="658"/>
      <c r="AH139" s="658"/>
      <c r="AI139" s="658"/>
      <c r="AJ139" s="658"/>
      <c r="AK139" s="658"/>
      <c r="AL139" s="658"/>
      <c r="AM139" s="658"/>
      <c r="AN139" s="658"/>
      <c r="AO139" s="658"/>
      <c r="AP139" s="658"/>
      <c r="AQ139" s="658"/>
      <c r="AR139" s="658"/>
      <c r="AS139" s="658"/>
      <c r="AT139" s="658"/>
      <c r="AU139" s="658"/>
      <c r="AV139" s="658"/>
      <c r="AW139" s="658"/>
      <c r="AX139" s="658"/>
      <c r="AY139" s="658"/>
      <c r="AZ139" s="658"/>
      <c r="BA139" s="658"/>
      <c r="BB139" s="658"/>
      <c r="BC139" s="658"/>
      <c r="BD139" s="658"/>
      <c r="BE139" s="658"/>
      <c r="BF139" s="658"/>
      <c r="BG139" s="658"/>
      <c r="BH139" s="658"/>
      <c r="BI139" s="658"/>
      <c r="BJ139" s="658"/>
      <c r="BK139" s="658"/>
      <c r="BL139" s="658"/>
      <c r="BM139" s="658"/>
      <c r="BN139" s="658"/>
      <c r="BO139" s="658"/>
      <c r="BP139" s="658"/>
      <c r="BQ139" s="658"/>
      <c r="BR139" s="658"/>
      <c r="BS139" s="658"/>
      <c r="BT139" s="658"/>
      <c r="BU139" s="658"/>
      <c r="BV139" s="658"/>
      <c r="BW139" s="658"/>
      <c r="BX139" s="658"/>
      <c r="BY139" s="658"/>
      <c r="BZ139" s="658"/>
      <c r="CA139" s="658"/>
      <c r="CB139" s="658"/>
      <c r="CC139" s="658"/>
      <c r="CD139" s="658"/>
      <c r="CE139" s="658"/>
      <c r="CF139" s="658"/>
      <c r="CG139" s="658"/>
      <c r="CH139" s="658"/>
      <c r="CI139" s="658"/>
      <c r="CJ139" s="658"/>
      <c r="CK139" s="658"/>
      <c r="CL139" s="658"/>
      <c r="CM139" s="658"/>
      <c r="CN139" s="658"/>
      <c r="CO139" s="658"/>
      <c r="CP139" s="658"/>
      <c r="CQ139" s="658"/>
      <c r="CR139" s="658"/>
      <c r="CS139" s="658"/>
      <c r="CT139" s="658"/>
      <c r="CU139" s="658"/>
      <c r="CV139" s="658"/>
      <c r="CW139" s="658"/>
      <c r="CX139" s="658"/>
      <c r="CY139" s="658"/>
      <c r="CZ139" s="658"/>
      <c r="DA139" s="658"/>
      <c r="DB139" s="658"/>
      <c r="DC139" s="658"/>
      <c r="DD139" s="658"/>
      <c r="DE139" s="658"/>
      <c r="DF139" s="658"/>
      <c r="DG139" s="658"/>
      <c r="DH139" s="658"/>
      <c r="DI139" s="658"/>
      <c r="DJ139" s="658"/>
      <c r="DK139" s="658"/>
      <c r="DL139" s="658"/>
      <c r="DM139" s="658"/>
      <c r="DN139" s="658"/>
      <c r="DO139" s="177">
        <f t="shared" si="512"/>
        <v>0</v>
      </c>
      <c r="DP139" s="612" t="e">
        <f t="shared" si="513"/>
        <v>#N/A</v>
      </c>
      <c r="DQ139" s="612" t="e">
        <f t="shared" si="509"/>
        <v>#NUM!</v>
      </c>
      <c r="DR139" s="177"/>
      <c r="DS139" s="177"/>
      <c r="DT139" s="177"/>
      <c r="DU139" s="177"/>
      <c r="DV139" s="177"/>
      <c r="DW139" s="177"/>
      <c r="DX139" s="177"/>
      <c r="DY139" s="177"/>
      <c r="DZ139" s="177"/>
      <c r="EA139" s="613"/>
    </row>
    <row r="140" spans="1:131" ht="13.5">
      <c r="A140" s="652" t="str">
        <f t="shared" si="505"/>
        <v>평가방법론</v>
      </c>
      <c r="B140" s="653" t="s">
        <v>359</v>
      </c>
      <c r="C140" s="786"/>
      <c r="D140" s="786"/>
      <c r="E140" s="786"/>
      <c r="F140" s="230"/>
      <c r="G140" s="230"/>
      <c r="I140" s="657">
        <f t="shared" si="510"/>
        <v>0</v>
      </c>
      <c r="J140" s="606" t="str">
        <f t="shared" si="511"/>
        <v>N/A</v>
      </c>
      <c r="K140" s="471"/>
      <c r="L140" s="607"/>
      <c r="M140" s="300"/>
      <c r="N140" s="608"/>
      <c r="O140" s="609">
        <f t="shared" si="506"/>
        <v>0</v>
      </c>
      <c r="P140" s="609">
        <f t="shared" si="507"/>
        <v>0</v>
      </c>
      <c r="Q140" s="609">
        <f t="shared" si="508"/>
        <v>0</v>
      </c>
      <c r="R140" s="610" t="str">
        <f>IFERROR(Q140/Q144,"")</f>
        <v/>
      </c>
      <c r="S140" s="658"/>
      <c r="T140" s="658"/>
      <c r="U140" s="658"/>
      <c r="V140" s="658"/>
      <c r="W140" s="658"/>
      <c r="X140" s="658"/>
      <c r="Y140" s="658"/>
      <c r="Z140" s="658"/>
      <c r="AA140" s="658"/>
      <c r="AB140" s="658"/>
      <c r="AC140" s="658"/>
      <c r="AD140" s="658"/>
      <c r="AE140" s="658"/>
      <c r="AF140" s="658"/>
      <c r="AG140" s="658"/>
      <c r="AH140" s="658"/>
      <c r="AI140" s="658"/>
      <c r="AJ140" s="658"/>
      <c r="AK140" s="658"/>
      <c r="AL140" s="658"/>
      <c r="AM140" s="658"/>
      <c r="AN140" s="658"/>
      <c r="AO140" s="658"/>
      <c r="AP140" s="658"/>
      <c r="AQ140" s="658"/>
      <c r="AR140" s="658"/>
      <c r="AS140" s="658"/>
      <c r="AT140" s="658"/>
      <c r="AU140" s="658"/>
      <c r="AV140" s="658"/>
      <c r="AW140" s="658"/>
      <c r="AX140" s="658"/>
      <c r="AY140" s="658"/>
      <c r="AZ140" s="658"/>
      <c r="BA140" s="658"/>
      <c r="BB140" s="658"/>
      <c r="BC140" s="658"/>
      <c r="BD140" s="658"/>
      <c r="BE140" s="658"/>
      <c r="BF140" s="658"/>
      <c r="BG140" s="658"/>
      <c r="BH140" s="658"/>
      <c r="BI140" s="658"/>
      <c r="BJ140" s="658"/>
      <c r="BK140" s="658"/>
      <c r="BL140" s="658"/>
      <c r="BM140" s="658"/>
      <c r="BN140" s="658"/>
      <c r="BO140" s="658"/>
      <c r="BP140" s="658"/>
      <c r="BQ140" s="658"/>
      <c r="BR140" s="658"/>
      <c r="BS140" s="658"/>
      <c r="BT140" s="658"/>
      <c r="BU140" s="658"/>
      <c r="BV140" s="658"/>
      <c r="BW140" s="658"/>
      <c r="BX140" s="658"/>
      <c r="BY140" s="658"/>
      <c r="BZ140" s="658"/>
      <c r="CA140" s="658"/>
      <c r="CB140" s="658"/>
      <c r="CC140" s="658"/>
      <c r="CD140" s="658"/>
      <c r="CE140" s="658"/>
      <c r="CF140" s="658"/>
      <c r="CG140" s="658"/>
      <c r="CH140" s="658"/>
      <c r="CI140" s="658"/>
      <c r="CJ140" s="658"/>
      <c r="CK140" s="658"/>
      <c r="CL140" s="658"/>
      <c r="CM140" s="658"/>
      <c r="CN140" s="658"/>
      <c r="CO140" s="658"/>
      <c r="CP140" s="658"/>
      <c r="CQ140" s="658"/>
      <c r="CR140" s="658"/>
      <c r="CS140" s="658"/>
      <c r="CT140" s="658"/>
      <c r="CU140" s="658"/>
      <c r="CV140" s="658"/>
      <c r="CW140" s="658"/>
      <c r="CX140" s="658"/>
      <c r="CY140" s="658"/>
      <c r="CZ140" s="658"/>
      <c r="DA140" s="658"/>
      <c r="DB140" s="658"/>
      <c r="DC140" s="658"/>
      <c r="DD140" s="658"/>
      <c r="DE140" s="658"/>
      <c r="DF140" s="658"/>
      <c r="DG140" s="658"/>
      <c r="DH140" s="658"/>
      <c r="DI140" s="658"/>
      <c r="DJ140" s="658"/>
      <c r="DK140" s="658"/>
      <c r="DL140" s="658"/>
      <c r="DM140" s="658"/>
      <c r="DN140" s="658"/>
      <c r="DO140" s="177">
        <f t="shared" si="512"/>
        <v>0</v>
      </c>
      <c r="DP140" s="612" t="e">
        <f t="shared" si="513"/>
        <v>#N/A</v>
      </c>
      <c r="DQ140" s="612" t="e">
        <f t="shared" si="509"/>
        <v>#NUM!</v>
      </c>
      <c r="DR140" s="177"/>
      <c r="DS140" s="177"/>
      <c r="DT140" s="177"/>
      <c r="DU140" s="177"/>
      <c r="DV140" s="177"/>
      <c r="DW140" s="177"/>
      <c r="DX140" s="177"/>
      <c r="DY140" s="177"/>
      <c r="DZ140" s="177"/>
      <c r="EA140" s="613"/>
    </row>
    <row r="141" spans="1:131" ht="13.5">
      <c r="A141" s="652" t="str">
        <f t="shared" si="505"/>
        <v>분배 조항 여부</v>
      </c>
      <c r="B141" s="653" t="s">
        <v>363</v>
      </c>
      <c r="C141" s="786"/>
      <c r="D141" s="786"/>
      <c r="E141" s="786"/>
      <c r="F141" s="230"/>
      <c r="G141" s="230"/>
      <c r="I141" s="657">
        <f t="shared" si="510"/>
        <v>0</v>
      </c>
      <c r="J141" s="606" t="str">
        <f t="shared" si="511"/>
        <v>N/A</v>
      </c>
      <c r="K141" s="471"/>
      <c r="L141" s="607"/>
      <c r="M141" s="300"/>
      <c r="N141" s="608"/>
      <c r="O141" s="609">
        <f t="shared" si="506"/>
        <v>0</v>
      </c>
      <c r="P141" s="609">
        <f t="shared" si="507"/>
        <v>0</v>
      </c>
      <c r="Q141" s="609">
        <f t="shared" si="508"/>
        <v>0</v>
      </c>
      <c r="R141" s="610" t="str">
        <f>IFERROR(Q141/Q144,"")</f>
        <v/>
      </c>
      <c r="S141" s="658"/>
      <c r="T141" s="658"/>
      <c r="U141" s="658"/>
      <c r="V141" s="658"/>
      <c r="W141" s="658"/>
      <c r="X141" s="658"/>
      <c r="Y141" s="658"/>
      <c r="Z141" s="658"/>
      <c r="AA141" s="658"/>
      <c r="AB141" s="658"/>
      <c r="AC141" s="658"/>
      <c r="AD141" s="658"/>
      <c r="AE141" s="658"/>
      <c r="AF141" s="658"/>
      <c r="AG141" s="658"/>
      <c r="AH141" s="658"/>
      <c r="AI141" s="658"/>
      <c r="AJ141" s="658"/>
      <c r="AK141" s="658"/>
      <c r="AL141" s="658"/>
      <c r="AM141" s="658"/>
      <c r="AN141" s="658"/>
      <c r="AO141" s="658"/>
      <c r="AP141" s="658"/>
      <c r="AQ141" s="658"/>
      <c r="AR141" s="658"/>
      <c r="AS141" s="658"/>
      <c r="AT141" s="658"/>
      <c r="AU141" s="658"/>
      <c r="AV141" s="658"/>
      <c r="AW141" s="658"/>
      <c r="AX141" s="658"/>
      <c r="AY141" s="658"/>
      <c r="AZ141" s="658"/>
      <c r="BA141" s="658"/>
      <c r="BB141" s="658"/>
      <c r="BC141" s="658"/>
      <c r="BD141" s="658"/>
      <c r="BE141" s="658"/>
      <c r="BF141" s="658"/>
      <c r="BG141" s="658"/>
      <c r="BH141" s="658"/>
      <c r="BI141" s="658"/>
      <c r="BJ141" s="658"/>
      <c r="BK141" s="658"/>
      <c r="BL141" s="658"/>
      <c r="BM141" s="658"/>
      <c r="BN141" s="658"/>
      <c r="BO141" s="658"/>
      <c r="BP141" s="658"/>
      <c r="BQ141" s="658"/>
      <c r="BR141" s="658"/>
      <c r="BS141" s="658"/>
      <c r="BT141" s="658"/>
      <c r="BU141" s="658"/>
      <c r="BV141" s="658"/>
      <c r="BW141" s="658"/>
      <c r="BX141" s="658"/>
      <c r="BY141" s="658"/>
      <c r="BZ141" s="658"/>
      <c r="CA141" s="658"/>
      <c r="CB141" s="658"/>
      <c r="CC141" s="658"/>
      <c r="CD141" s="658"/>
      <c r="CE141" s="658"/>
      <c r="CF141" s="658"/>
      <c r="CG141" s="658"/>
      <c r="CH141" s="658"/>
      <c r="CI141" s="658"/>
      <c r="CJ141" s="658"/>
      <c r="CK141" s="658"/>
      <c r="CL141" s="658"/>
      <c r="CM141" s="658"/>
      <c r="CN141" s="658"/>
      <c r="CO141" s="658"/>
      <c r="CP141" s="658"/>
      <c r="CQ141" s="658"/>
      <c r="CR141" s="658"/>
      <c r="CS141" s="658"/>
      <c r="CT141" s="658"/>
      <c r="CU141" s="658"/>
      <c r="CV141" s="658"/>
      <c r="CW141" s="658"/>
      <c r="CX141" s="658"/>
      <c r="CY141" s="658"/>
      <c r="CZ141" s="658"/>
      <c r="DA141" s="658"/>
      <c r="DB141" s="658"/>
      <c r="DC141" s="658"/>
      <c r="DD141" s="658"/>
      <c r="DE141" s="658"/>
      <c r="DF141" s="658"/>
      <c r="DG141" s="658"/>
      <c r="DH141" s="658"/>
      <c r="DI141" s="658"/>
      <c r="DJ141" s="658"/>
      <c r="DK141" s="658"/>
      <c r="DL141" s="658"/>
      <c r="DM141" s="658"/>
      <c r="DN141" s="658"/>
      <c r="DO141" s="177">
        <f t="shared" si="512"/>
        <v>0</v>
      </c>
      <c r="DP141" s="612" t="e">
        <f t="shared" si="513"/>
        <v>#N/A</v>
      </c>
      <c r="DQ141" s="612" t="e">
        <f t="shared" si="509"/>
        <v>#NUM!</v>
      </c>
      <c r="DR141" s="177"/>
      <c r="DS141" s="177"/>
      <c r="DT141" s="177"/>
      <c r="DU141" s="177"/>
      <c r="DV141" s="177"/>
      <c r="DW141" s="177"/>
      <c r="DX141" s="177"/>
      <c r="DY141" s="177"/>
      <c r="DZ141" s="177"/>
      <c r="EA141" s="613"/>
    </row>
    <row r="142" spans="1:131" ht="14.25" thickBot="1">
      <c r="A142" s="652" t="str">
        <f t="shared" si="505"/>
        <v>모펀드 출자 지분율</v>
      </c>
      <c r="B142" s="660" t="s">
        <v>364</v>
      </c>
      <c r="C142" s="787"/>
      <c r="D142" s="787"/>
      <c r="E142" s="787"/>
      <c r="F142" s="230"/>
      <c r="G142" s="230"/>
      <c r="I142" s="657">
        <f t="shared" si="510"/>
        <v>0</v>
      </c>
      <c r="J142" s="606" t="str">
        <f t="shared" si="511"/>
        <v>N/A</v>
      </c>
      <c r="K142" s="471"/>
      <c r="L142" s="607"/>
      <c r="M142" s="300"/>
      <c r="N142" s="608"/>
      <c r="O142" s="609">
        <f t="shared" si="506"/>
        <v>0</v>
      </c>
      <c r="P142" s="609">
        <f t="shared" si="507"/>
        <v>0</v>
      </c>
      <c r="Q142" s="609">
        <f t="shared" si="508"/>
        <v>0</v>
      </c>
      <c r="R142" s="610" t="str">
        <f>IFERROR(Q142/Q144,"")</f>
        <v/>
      </c>
      <c r="S142" s="658"/>
      <c r="T142" s="658"/>
      <c r="U142" s="658"/>
      <c r="V142" s="658"/>
      <c r="W142" s="658"/>
      <c r="X142" s="658"/>
      <c r="Y142" s="658"/>
      <c r="Z142" s="658"/>
      <c r="AA142" s="658"/>
      <c r="AB142" s="658"/>
      <c r="AC142" s="658"/>
      <c r="AD142" s="658"/>
      <c r="AE142" s="658"/>
      <c r="AF142" s="658"/>
      <c r="AG142" s="658"/>
      <c r="AH142" s="658"/>
      <c r="AI142" s="658"/>
      <c r="AJ142" s="658"/>
      <c r="AK142" s="658"/>
      <c r="AL142" s="658"/>
      <c r="AM142" s="658"/>
      <c r="AN142" s="658"/>
      <c r="AO142" s="658"/>
      <c r="AP142" s="658"/>
      <c r="AQ142" s="658"/>
      <c r="AR142" s="658"/>
      <c r="AS142" s="658"/>
      <c r="AT142" s="658"/>
      <c r="AU142" s="658"/>
      <c r="AV142" s="658"/>
      <c r="AW142" s="658"/>
      <c r="AX142" s="658"/>
      <c r="AY142" s="658"/>
      <c r="AZ142" s="658"/>
      <c r="BA142" s="658"/>
      <c r="BB142" s="658"/>
      <c r="BC142" s="658"/>
      <c r="BD142" s="658"/>
      <c r="BE142" s="658"/>
      <c r="BF142" s="658"/>
      <c r="BG142" s="658"/>
      <c r="BH142" s="658"/>
      <c r="BI142" s="658"/>
      <c r="BJ142" s="658"/>
      <c r="BK142" s="658"/>
      <c r="BL142" s="658"/>
      <c r="BM142" s="658"/>
      <c r="BN142" s="658"/>
      <c r="BO142" s="658"/>
      <c r="BP142" s="658"/>
      <c r="BQ142" s="658"/>
      <c r="BR142" s="658"/>
      <c r="BS142" s="658"/>
      <c r="BT142" s="658"/>
      <c r="BU142" s="658"/>
      <c r="BV142" s="658"/>
      <c r="BW142" s="658"/>
      <c r="BX142" s="658"/>
      <c r="BY142" s="658"/>
      <c r="BZ142" s="658"/>
      <c r="CA142" s="658"/>
      <c r="CB142" s="658"/>
      <c r="CC142" s="658"/>
      <c r="CD142" s="658"/>
      <c r="CE142" s="658"/>
      <c r="CF142" s="658"/>
      <c r="CG142" s="658"/>
      <c r="CH142" s="658"/>
      <c r="CI142" s="658"/>
      <c r="CJ142" s="658"/>
      <c r="CK142" s="658"/>
      <c r="CL142" s="658"/>
      <c r="CM142" s="658"/>
      <c r="CN142" s="658"/>
      <c r="CO142" s="658"/>
      <c r="CP142" s="658"/>
      <c r="CQ142" s="658"/>
      <c r="CR142" s="658"/>
      <c r="CS142" s="658"/>
      <c r="CT142" s="658"/>
      <c r="CU142" s="658"/>
      <c r="CV142" s="658"/>
      <c r="CW142" s="658"/>
      <c r="CX142" s="658"/>
      <c r="CY142" s="658"/>
      <c r="CZ142" s="658"/>
      <c r="DA142" s="658"/>
      <c r="DB142" s="658"/>
      <c r="DC142" s="658"/>
      <c r="DD142" s="658"/>
      <c r="DE142" s="658"/>
      <c r="DF142" s="658"/>
      <c r="DG142" s="658"/>
      <c r="DH142" s="658"/>
      <c r="DI142" s="658"/>
      <c r="DJ142" s="658"/>
      <c r="DK142" s="658"/>
      <c r="DL142" s="658"/>
      <c r="DM142" s="658"/>
      <c r="DN142" s="658"/>
      <c r="DO142" s="177">
        <f t="shared" si="512"/>
        <v>0</v>
      </c>
      <c r="DP142" s="612" t="e">
        <f t="shared" si="513"/>
        <v>#N/A</v>
      </c>
      <c r="DQ142" s="612" t="e">
        <f t="shared" si="509"/>
        <v>#NUM!</v>
      </c>
      <c r="DR142" s="177"/>
      <c r="DS142" s="177"/>
      <c r="DT142" s="177"/>
      <c r="DU142" s="177"/>
      <c r="DV142" s="177"/>
      <c r="DW142" s="177"/>
      <c r="DX142" s="177"/>
      <c r="DY142" s="177"/>
      <c r="DZ142" s="177"/>
      <c r="EA142" s="613"/>
    </row>
    <row r="143" spans="1:131" ht="14.25" thickBot="1">
      <c r="B143" s="778" t="s">
        <v>3404</v>
      </c>
      <c r="C143" s="616" t="s">
        <v>223</v>
      </c>
      <c r="D143" s="616" t="s">
        <v>224</v>
      </c>
      <c r="E143" s="616" t="s">
        <v>225</v>
      </c>
      <c r="F143" s="230"/>
      <c r="G143" s="230"/>
      <c r="I143" s="657">
        <f t="shared" si="510"/>
        <v>0</v>
      </c>
      <c r="J143" s="606" t="str">
        <f t="shared" si="511"/>
        <v>N/A</v>
      </c>
      <c r="K143" s="471"/>
      <c r="L143" s="607"/>
      <c r="M143" s="300"/>
      <c r="N143" s="608"/>
      <c r="O143" s="609">
        <f t="shared" si="506"/>
        <v>0</v>
      </c>
      <c r="P143" s="609">
        <f t="shared" si="507"/>
        <v>0</v>
      </c>
      <c r="Q143" s="609">
        <f t="shared" si="508"/>
        <v>0</v>
      </c>
      <c r="R143" s="610" t="str">
        <f>IFERROR(Q143/Q144,"")</f>
        <v/>
      </c>
      <c r="S143" s="658"/>
      <c r="T143" s="658"/>
      <c r="U143" s="658"/>
      <c r="V143" s="658"/>
      <c r="W143" s="658"/>
      <c r="X143" s="658"/>
      <c r="Y143" s="658"/>
      <c r="Z143" s="658"/>
      <c r="AA143" s="658"/>
      <c r="AB143" s="658"/>
      <c r="AC143" s="658"/>
      <c r="AD143" s="658"/>
      <c r="AE143" s="658"/>
      <c r="AF143" s="658"/>
      <c r="AG143" s="658"/>
      <c r="AH143" s="658"/>
      <c r="AI143" s="658"/>
      <c r="AJ143" s="658"/>
      <c r="AK143" s="658"/>
      <c r="AL143" s="658"/>
      <c r="AM143" s="658"/>
      <c r="AN143" s="658"/>
      <c r="AO143" s="658"/>
      <c r="AP143" s="658"/>
      <c r="AQ143" s="658"/>
      <c r="AR143" s="658"/>
      <c r="AS143" s="658"/>
      <c r="AT143" s="658"/>
      <c r="AU143" s="658"/>
      <c r="AV143" s="658"/>
      <c r="AW143" s="658"/>
      <c r="AX143" s="658"/>
      <c r="AY143" s="658"/>
      <c r="AZ143" s="658"/>
      <c r="BA143" s="658"/>
      <c r="BB143" s="658"/>
      <c r="BC143" s="658"/>
      <c r="BD143" s="658"/>
      <c r="BE143" s="658"/>
      <c r="BF143" s="658"/>
      <c r="BG143" s="658"/>
      <c r="BH143" s="658"/>
      <c r="BI143" s="658"/>
      <c r="BJ143" s="658"/>
      <c r="BK143" s="658"/>
      <c r="BL143" s="658"/>
      <c r="BM143" s="658"/>
      <c r="BN143" s="658"/>
      <c r="BO143" s="658"/>
      <c r="BP143" s="658"/>
      <c r="BQ143" s="658"/>
      <c r="BR143" s="658"/>
      <c r="BS143" s="658"/>
      <c r="BT143" s="658"/>
      <c r="BU143" s="658"/>
      <c r="BV143" s="658"/>
      <c r="BW143" s="658"/>
      <c r="BX143" s="658"/>
      <c r="BY143" s="658"/>
      <c r="BZ143" s="658"/>
      <c r="CA143" s="658"/>
      <c r="CB143" s="658"/>
      <c r="CC143" s="658"/>
      <c r="CD143" s="658"/>
      <c r="CE143" s="658"/>
      <c r="CF143" s="658"/>
      <c r="CG143" s="658"/>
      <c r="CH143" s="658"/>
      <c r="CI143" s="658"/>
      <c r="CJ143" s="658"/>
      <c r="CK143" s="658"/>
      <c r="CL143" s="658"/>
      <c r="CM143" s="658"/>
      <c r="CN143" s="658"/>
      <c r="CO143" s="658"/>
      <c r="CP143" s="658"/>
      <c r="CQ143" s="658"/>
      <c r="CR143" s="658"/>
      <c r="CS143" s="658"/>
      <c r="CT143" s="658"/>
      <c r="CU143" s="658"/>
      <c r="CV143" s="658"/>
      <c r="CW143" s="658"/>
      <c r="CX143" s="658"/>
      <c r="CY143" s="658"/>
      <c r="CZ143" s="658"/>
      <c r="DA143" s="658"/>
      <c r="DB143" s="658"/>
      <c r="DC143" s="658"/>
      <c r="DD143" s="658"/>
      <c r="DE143" s="658"/>
      <c r="DF143" s="658"/>
      <c r="DG143" s="658"/>
      <c r="DH143" s="658"/>
      <c r="DI143" s="658"/>
      <c r="DJ143" s="658"/>
      <c r="DK143" s="658"/>
      <c r="DL143" s="658"/>
      <c r="DM143" s="658"/>
      <c r="DN143" s="658"/>
      <c r="DO143" s="177">
        <f t="shared" si="512"/>
        <v>0</v>
      </c>
      <c r="DP143" s="612" t="e">
        <f t="shared" si="513"/>
        <v>#N/A</v>
      </c>
      <c r="DQ143" s="612" t="e">
        <f t="shared" si="509"/>
        <v>#NUM!</v>
      </c>
      <c r="DR143" s="177"/>
      <c r="DS143" s="177"/>
      <c r="DT143" s="177"/>
      <c r="DU143" s="177"/>
      <c r="DV143" s="177"/>
      <c r="DW143" s="177"/>
      <c r="DX143" s="177"/>
      <c r="DY143" s="177"/>
      <c r="DZ143" s="177"/>
      <c r="EA143" s="613"/>
    </row>
    <row r="144" spans="1:131" ht="14.25" thickBot="1">
      <c r="A144" s="317"/>
      <c r="B144" s="779"/>
      <c r="C144" s="661"/>
      <c r="D144" s="661"/>
      <c r="E144" s="661"/>
      <c r="F144" s="662"/>
      <c r="G144" s="662"/>
      <c r="H144" s="317"/>
      <c r="I144" s="634">
        <f>SUM(I136:I143)</f>
        <v>0</v>
      </c>
      <c r="J144" s="663"/>
      <c r="K144" s="664"/>
      <c r="L144" s="664"/>
      <c r="M144" s="664"/>
      <c r="N144" s="634">
        <f t="shared" ref="N144:R144" si="514">SUM(N136:N143)</f>
        <v>0</v>
      </c>
      <c r="O144" s="634">
        <f t="shared" si="514"/>
        <v>0</v>
      </c>
      <c r="P144" s="634">
        <f t="shared" si="514"/>
        <v>0</v>
      </c>
      <c r="Q144" s="634">
        <f t="shared" si="514"/>
        <v>0</v>
      </c>
      <c r="R144" s="665">
        <f t="shared" si="514"/>
        <v>0</v>
      </c>
      <c r="S144" s="634">
        <f>SUM(S136:S143)</f>
        <v>0</v>
      </c>
      <c r="T144" s="634">
        <f t="shared" ref="T144" si="515">SUM(T136:T143)</f>
        <v>0</v>
      </c>
      <c r="U144" s="634">
        <f t="shared" ref="U144" si="516">SUM(U136:U143)</f>
        <v>0</v>
      </c>
      <c r="V144" s="634">
        <f t="shared" ref="V144" si="517">SUM(V136:V143)</f>
        <v>0</v>
      </c>
      <c r="W144" s="634">
        <f t="shared" ref="W144" si="518">SUM(W136:W143)</f>
        <v>0</v>
      </c>
      <c r="X144" s="634">
        <f t="shared" ref="X144" si="519">SUM(X136:X143)</f>
        <v>0</v>
      </c>
      <c r="Y144" s="634">
        <f t="shared" ref="Y144" si="520">SUM(Y136:Y143)</f>
        <v>0</v>
      </c>
      <c r="Z144" s="634">
        <f t="shared" ref="Z144" si="521">SUM(Z136:Z143)</f>
        <v>0</v>
      </c>
      <c r="AA144" s="634">
        <f t="shared" ref="AA144" si="522">SUM(AA136:AA143)</f>
        <v>0</v>
      </c>
      <c r="AB144" s="634">
        <f t="shared" ref="AB144" si="523">SUM(AB136:AB143)</f>
        <v>0</v>
      </c>
      <c r="AC144" s="634">
        <f t="shared" ref="AC144" si="524">SUM(AC136:AC143)</f>
        <v>0</v>
      </c>
      <c r="AD144" s="634">
        <f t="shared" ref="AD144" si="525">SUM(AD136:AD143)</f>
        <v>0</v>
      </c>
      <c r="AE144" s="634">
        <f t="shared" ref="AE144" si="526">SUM(AE136:AE143)</f>
        <v>0</v>
      </c>
      <c r="AF144" s="634">
        <f t="shared" ref="AF144" si="527">SUM(AF136:AF143)</f>
        <v>0</v>
      </c>
      <c r="AG144" s="634">
        <f t="shared" ref="AG144" si="528">SUM(AG136:AG143)</f>
        <v>0</v>
      </c>
      <c r="AH144" s="634">
        <f t="shared" ref="AH144" si="529">SUM(AH136:AH143)</f>
        <v>0</v>
      </c>
      <c r="AI144" s="634">
        <f t="shared" ref="AI144" si="530">SUM(AI136:AI143)</f>
        <v>0</v>
      </c>
      <c r="AJ144" s="634">
        <f t="shared" ref="AJ144" si="531">SUM(AJ136:AJ143)</f>
        <v>0</v>
      </c>
      <c r="AK144" s="634">
        <f t="shared" ref="AK144" si="532">SUM(AK136:AK143)</f>
        <v>0</v>
      </c>
      <c r="AL144" s="634">
        <f t="shared" ref="AL144" si="533">SUM(AL136:AL143)</f>
        <v>0</v>
      </c>
      <c r="AM144" s="634">
        <f t="shared" ref="AM144" si="534">SUM(AM136:AM143)</f>
        <v>0</v>
      </c>
      <c r="AN144" s="634">
        <f t="shared" ref="AN144" si="535">SUM(AN136:AN143)</f>
        <v>0</v>
      </c>
      <c r="AO144" s="634">
        <f t="shared" ref="AO144" si="536">SUM(AO136:AO143)</f>
        <v>0</v>
      </c>
      <c r="AP144" s="634">
        <f t="shared" ref="AP144" si="537">SUM(AP136:AP143)</f>
        <v>0</v>
      </c>
      <c r="AQ144" s="634">
        <f t="shared" ref="AQ144" si="538">SUM(AQ136:AQ143)</f>
        <v>0</v>
      </c>
      <c r="AR144" s="634">
        <f t="shared" ref="AR144" si="539">SUM(AR136:AR143)</f>
        <v>0</v>
      </c>
      <c r="AS144" s="634">
        <f t="shared" ref="AS144" si="540">SUM(AS136:AS143)</f>
        <v>0</v>
      </c>
      <c r="AT144" s="634">
        <f t="shared" ref="AT144" si="541">SUM(AT136:AT143)</f>
        <v>0</v>
      </c>
      <c r="AU144" s="634">
        <f t="shared" ref="AU144" si="542">SUM(AU136:AU143)</f>
        <v>0</v>
      </c>
      <c r="AV144" s="634">
        <f t="shared" ref="AV144" si="543">SUM(AV136:AV143)</f>
        <v>0</v>
      </c>
      <c r="AW144" s="634">
        <f t="shared" ref="AW144" si="544">SUM(AW136:AW143)</f>
        <v>0</v>
      </c>
      <c r="AX144" s="634">
        <f t="shared" ref="AX144" si="545">SUM(AX136:AX143)</f>
        <v>0</v>
      </c>
      <c r="AY144" s="634">
        <f t="shared" ref="AY144" si="546">SUM(AY136:AY143)</f>
        <v>0</v>
      </c>
      <c r="AZ144" s="634">
        <f t="shared" ref="AZ144" si="547">SUM(AZ136:AZ143)</f>
        <v>0</v>
      </c>
      <c r="BA144" s="634">
        <f t="shared" ref="BA144" si="548">SUM(BA136:BA143)</f>
        <v>0</v>
      </c>
      <c r="BB144" s="634">
        <f t="shared" ref="BB144" si="549">SUM(BB136:BB143)</f>
        <v>0</v>
      </c>
      <c r="BC144" s="634">
        <f t="shared" ref="BC144" si="550">SUM(BC136:BC143)</f>
        <v>0</v>
      </c>
      <c r="BD144" s="634">
        <f t="shared" ref="BD144" si="551">SUM(BD136:BD143)</f>
        <v>0</v>
      </c>
      <c r="BE144" s="634">
        <f t="shared" ref="BE144" si="552">SUM(BE136:BE143)</f>
        <v>0</v>
      </c>
      <c r="BF144" s="634">
        <f t="shared" ref="BF144" si="553">SUM(BF136:BF143)</f>
        <v>0</v>
      </c>
      <c r="BG144" s="634">
        <f t="shared" ref="BG144" si="554">SUM(BG136:BG143)</f>
        <v>0</v>
      </c>
      <c r="BH144" s="634">
        <f t="shared" ref="BH144" si="555">SUM(BH136:BH143)</f>
        <v>0</v>
      </c>
      <c r="BI144" s="634">
        <f t="shared" ref="BI144" si="556">SUM(BI136:BI143)</f>
        <v>0</v>
      </c>
      <c r="BJ144" s="634">
        <f t="shared" ref="BJ144" si="557">SUM(BJ136:BJ143)</f>
        <v>0</v>
      </c>
      <c r="BK144" s="634">
        <f t="shared" ref="BK144" si="558">SUM(BK136:BK143)</f>
        <v>0</v>
      </c>
      <c r="BL144" s="634">
        <f t="shared" ref="BL144" si="559">SUM(BL136:BL143)</f>
        <v>0</v>
      </c>
      <c r="BM144" s="634">
        <f t="shared" ref="BM144" si="560">SUM(BM136:BM143)</f>
        <v>0</v>
      </c>
      <c r="BN144" s="634">
        <f t="shared" ref="BN144" si="561">SUM(BN136:BN143)</f>
        <v>0</v>
      </c>
      <c r="BO144" s="634">
        <f t="shared" ref="BO144" si="562">SUM(BO136:BO143)</f>
        <v>0</v>
      </c>
      <c r="BP144" s="634">
        <f t="shared" ref="BP144" si="563">SUM(BP136:BP143)</f>
        <v>0</v>
      </c>
      <c r="BQ144" s="634">
        <f t="shared" ref="BQ144" si="564">SUM(BQ136:BQ143)</f>
        <v>0</v>
      </c>
      <c r="BR144" s="634">
        <f t="shared" ref="BR144" si="565">SUM(BR136:BR143)</f>
        <v>0</v>
      </c>
      <c r="BS144" s="634">
        <f t="shared" ref="BS144" si="566">SUM(BS136:BS143)</f>
        <v>0</v>
      </c>
      <c r="BT144" s="634">
        <f t="shared" ref="BT144" si="567">SUM(BT136:BT143)</f>
        <v>0</v>
      </c>
      <c r="BU144" s="634">
        <f t="shared" ref="BU144" si="568">SUM(BU136:BU143)</f>
        <v>0</v>
      </c>
      <c r="BV144" s="634">
        <f t="shared" ref="BV144" si="569">SUM(BV136:BV143)</f>
        <v>0</v>
      </c>
      <c r="BW144" s="634">
        <f t="shared" ref="BW144" si="570">SUM(BW136:BW143)</f>
        <v>0</v>
      </c>
      <c r="BX144" s="634">
        <f t="shared" ref="BX144" si="571">SUM(BX136:BX143)</f>
        <v>0</v>
      </c>
      <c r="BY144" s="634">
        <f t="shared" ref="BY144" si="572">SUM(BY136:BY143)</f>
        <v>0</v>
      </c>
      <c r="BZ144" s="634">
        <f t="shared" ref="BZ144" si="573">SUM(BZ136:BZ143)</f>
        <v>0</v>
      </c>
      <c r="CA144" s="634">
        <f t="shared" ref="CA144" si="574">SUM(CA136:CA143)</f>
        <v>0</v>
      </c>
      <c r="CB144" s="634">
        <f t="shared" ref="CB144" si="575">SUM(CB136:CB143)</f>
        <v>0</v>
      </c>
      <c r="CC144" s="634">
        <f t="shared" ref="CC144" si="576">SUM(CC136:CC143)</f>
        <v>0</v>
      </c>
      <c r="CD144" s="634">
        <f t="shared" ref="CD144" si="577">SUM(CD136:CD143)</f>
        <v>0</v>
      </c>
      <c r="CE144" s="634">
        <f t="shared" ref="CE144" si="578">SUM(CE136:CE143)</f>
        <v>0</v>
      </c>
      <c r="CF144" s="634">
        <f t="shared" ref="CF144" si="579">SUM(CF136:CF143)</f>
        <v>0</v>
      </c>
      <c r="CG144" s="634">
        <f t="shared" ref="CG144" si="580">SUM(CG136:CG143)</f>
        <v>0</v>
      </c>
      <c r="CH144" s="634">
        <f t="shared" ref="CH144" si="581">SUM(CH136:CH143)</f>
        <v>0</v>
      </c>
      <c r="CI144" s="634">
        <f t="shared" ref="CI144" si="582">SUM(CI136:CI143)</f>
        <v>0</v>
      </c>
      <c r="CJ144" s="634">
        <f t="shared" ref="CJ144" si="583">SUM(CJ136:CJ143)</f>
        <v>0</v>
      </c>
      <c r="CK144" s="634">
        <f t="shared" ref="CK144" si="584">SUM(CK136:CK143)</f>
        <v>0</v>
      </c>
      <c r="CL144" s="634">
        <f t="shared" ref="CL144" si="585">SUM(CL136:CL143)</f>
        <v>0</v>
      </c>
      <c r="CM144" s="634">
        <f t="shared" ref="CM144" si="586">SUM(CM136:CM143)</f>
        <v>0</v>
      </c>
      <c r="CN144" s="634">
        <f t="shared" ref="CN144" si="587">SUM(CN136:CN143)</f>
        <v>0</v>
      </c>
      <c r="CO144" s="634">
        <f t="shared" ref="CO144" si="588">SUM(CO136:CO143)</f>
        <v>0</v>
      </c>
      <c r="CP144" s="634">
        <f t="shared" ref="CP144" si="589">SUM(CP136:CP143)</f>
        <v>0</v>
      </c>
      <c r="CQ144" s="634">
        <f t="shared" ref="CQ144" si="590">SUM(CQ136:CQ143)</f>
        <v>0</v>
      </c>
      <c r="CR144" s="634">
        <f t="shared" ref="CR144" si="591">SUM(CR136:CR143)</f>
        <v>0</v>
      </c>
      <c r="CS144" s="634">
        <f t="shared" ref="CS144" si="592">SUM(CS136:CS143)</f>
        <v>0</v>
      </c>
      <c r="CT144" s="634">
        <f t="shared" ref="CT144" si="593">SUM(CT136:CT143)</f>
        <v>0</v>
      </c>
      <c r="CU144" s="634">
        <f t="shared" ref="CU144" si="594">SUM(CU136:CU143)</f>
        <v>0</v>
      </c>
      <c r="CV144" s="634">
        <f t="shared" ref="CV144" si="595">SUM(CV136:CV143)</f>
        <v>0</v>
      </c>
      <c r="CW144" s="634">
        <f t="shared" ref="CW144" si="596">SUM(CW136:CW143)</f>
        <v>0</v>
      </c>
      <c r="CX144" s="634">
        <f t="shared" ref="CX144" si="597">SUM(CX136:CX143)</f>
        <v>0</v>
      </c>
      <c r="CY144" s="634">
        <f t="shared" ref="CY144" si="598">SUM(CY136:CY143)</f>
        <v>0</v>
      </c>
      <c r="CZ144" s="634">
        <f t="shared" ref="CZ144" si="599">SUM(CZ136:CZ143)</f>
        <v>0</v>
      </c>
      <c r="DA144" s="634">
        <f t="shared" ref="DA144" si="600">SUM(DA136:DA143)</f>
        <v>0</v>
      </c>
      <c r="DB144" s="634">
        <f t="shared" ref="DB144" si="601">SUM(DB136:DB143)</f>
        <v>0</v>
      </c>
      <c r="DC144" s="634">
        <f t="shared" ref="DC144" si="602">SUM(DC136:DC143)</f>
        <v>0</v>
      </c>
      <c r="DD144" s="634">
        <f t="shared" ref="DD144" si="603">SUM(DD136:DD143)</f>
        <v>0</v>
      </c>
      <c r="DE144" s="634">
        <f t="shared" ref="DE144" si="604">SUM(DE136:DE143)</f>
        <v>0</v>
      </c>
      <c r="DF144" s="634">
        <f t="shared" ref="DF144" si="605">SUM(DF136:DF143)</f>
        <v>0</v>
      </c>
      <c r="DG144" s="634">
        <f t="shared" ref="DG144" si="606">SUM(DG136:DG143)</f>
        <v>0</v>
      </c>
      <c r="DH144" s="634">
        <f t="shared" ref="DH144" si="607">SUM(DH136:DH143)</f>
        <v>0</v>
      </c>
      <c r="DI144" s="634">
        <f t="shared" ref="DI144" si="608">SUM(DI136:DI143)</f>
        <v>0</v>
      </c>
      <c r="DJ144" s="634">
        <f t="shared" ref="DJ144" si="609">SUM(DJ136:DJ143)</f>
        <v>0</v>
      </c>
      <c r="DK144" s="634">
        <f t="shared" ref="DK144" si="610">SUM(DK136:DK143)</f>
        <v>0</v>
      </c>
      <c r="DL144" s="634">
        <f t="shared" ref="DL144" si="611">SUM(DL136:DL143)</f>
        <v>0</v>
      </c>
      <c r="DM144" s="634">
        <f t="shared" ref="DM144" si="612">SUM(DM136:DM143)</f>
        <v>0</v>
      </c>
      <c r="DN144" s="634">
        <f t="shared" ref="DN144" si="613">SUM(DN136:DN143)</f>
        <v>0</v>
      </c>
      <c r="DO144" s="634">
        <f t="shared" ref="DO144" si="614">SUM(DO136:DO143)</f>
        <v>0</v>
      </c>
      <c r="DP144" s="666"/>
      <c r="DQ144" s="638" t="e">
        <f>XIRR(S144:DO144,$S$135:$DO$135)</f>
        <v>#NUM!</v>
      </c>
      <c r="DR144" s="636">
        <f t="shared" ref="DR144:DX144" si="615">SUM(DR136:DR143)</f>
        <v>0</v>
      </c>
      <c r="DS144" s="636">
        <f t="shared" si="615"/>
        <v>0</v>
      </c>
      <c r="DT144" s="636">
        <f t="shared" si="615"/>
        <v>0</v>
      </c>
      <c r="DU144" s="636">
        <f t="shared" si="615"/>
        <v>0</v>
      </c>
      <c r="DV144" s="636">
        <f t="shared" si="615"/>
        <v>0</v>
      </c>
      <c r="DW144" s="636">
        <f t="shared" si="615"/>
        <v>0</v>
      </c>
      <c r="DX144" s="636">
        <f t="shared" si="615"/>
        <v>0</v>
      </c>
      <c r="DY144" s="636">
        <f>SUM(DY136:DY143)</f>
        <v>0</v>
      </c>
      <c r="DZ144" s="636">
        <f>SUM(DZ136:DZ143)</f>
        <v>0</v>
      </c>
      <c r="EA144" s="636">
        <f>SUM(EA136:EA143)</f>
        <v>0</v>
      </c>
    </row>
    <row r="145" spans="1:131" ht="14.25" thickBot="1">
      <c r="A145" s="172"/>
      <c r="B145" s="667"/>
      <c r="C145" s="592" t="s">
        <v>3609</v>
      </c>
      <c r="D145" s="648">
        <f>D133+1</f>
        <v>8</v>
      </c>
      <c r="E145" s="649"/>
      <c r="F145" s="603"/>
      <c r="G145" s="603"/>
      <c r="I145" s="650" t="b">
        <f>I156=DR147</f>
        <v>1</v>
      </c>
      <c r="J145" s="172"/>
      <c r="K145" s="172"/>
      <c r="L145" s="172"/>
      <c r="M145" s="172"/>
      <c r="N145" s="172"/>
      <c r="O145" s="172"/>
      <c r="P145" s="172"/>
      <c r="Q145" s="639" t="str">
        <f>IF(Q156=NAV!E485,"자본금과 일치","자본금과 불일치")</f>
        <v>자본금과 일치</v>
      </c>
      <c r="R145" s="172"/>
      <c r="S145" s="172"/>
      <c r="T145" s="172"/>
      <c r="U145" s="172"/>
      <c r="V145" s="172"/>
      <c r="W145" s="172"/>
      <c r="X145" s="172"/>
      <c r="Y145" s="172"/>
      <c r="Z145" s="172"/>
      <c r="AA145" s="172"/>
      <c r="AB145" s="172"/>
      <c r="AC145" s="172"/>
      <c r="AD145" s="172"/>
      <c r="AE145" s="172"/>
      <c r="AF145" s="172"/>
      <c r="AG145" s="172"/>
      <c r="AH145" s="172"/>
      <c r="AI145" s="172"/>
      <c r="AJ145" s="172"/>
      <c r="AK145" s="172"/>
      <c r="AL145" s="172"/>
      <c r="AM145" s="172"/>
      <c r="AN145" s="172"/>
      <c r="AO145" s="172"/>
      <c r="AP145" s="172"/>
      <c r="AQ145" s="172"/>
      <c r="AR145" s="172"/>
      <c r="AS145" s="172"/>
      <c r="AT145" s="172"/>
      <c r="AU145" s="172"/>
      <c r="AV145" s="172"/>
      <c r="AW145" s="172"/>
      <c r="AX145" s="172"/>
      <c r="AY145" s="172"/>
      <c r="AZ145" s="172"/>
      <c r="BA145" s="172"/>
      <c r="BB145" s="172"/>
      <c r="BC145" s="172"/>
      <c r="BD145" s="172"/>
      <c r="BE145" s="172"/>
      <c r="BF145" s="172"/>
      <c r="BG145" s="172"/>
      <c r="BH145" s="172"/>
      <c r="BI145" s="172"/>
      <c r="BJ145" s="172"/>
      <c r="BK145" s="172"/>
      <c r="BL145" s="172"/>
      <c r="BM145" s="172"/>
      <c r="BN145" s="172"/>
      <c r="BO145" s="172"/>
      <c r="BP145" s="172"/>
      <c r="BQ145" s="172"/>
      <c r="BR145" s="172"/>
      <c r="BS145" s="172"/>
      <c r="BT145" s="172"/>
      <c r="BU145" s="172"/>
      <c r="BV145" s="172"/>
      <c r="BW145" s="172"/>
      <c r="BX145" s="172"/>
      <c r="BY145" s="172"/>
      <c r="BZ145" s="172"/>
      <c r="CA145" s="172"/>
      <c r="CB145" s="172"/>
      <c r="CC145" s="172"/>
      <c r="CD145" s="172"/>
      <c r="CE145" s="172"/>
      <c r="CF145" s="172"/>
      <c r="CG145" s="172"/>
      <c r="CH145" s="172"/>
      <c r="CI145" s="172"/>
      <c r="CJ145" s="172"/>
      <c r="CK145" s="172"/>
      <c r="CL145" s="172"/>
      <c r="CM145" s="172"/>
      <c r="CN145" s="172"/>
      <c r="CO145" s="172"/>
      <c r="CP145" s="172"/>
      <c r="CQ145" s="172"/>
      <c r="CR145" s="172"/>
      <c r="CS145" s="172"/>
      <c r="CT145" s="172"/>
      <c r="CU145" s="172"/>
      <c r="CV145" s="172"/>
      <c r="CW145" s="172"/>
      <c r="CX145" s="172"/>
      <c r="CY145" s="172"/>
      <c r="CZ145" s="172"/>
      <c r="DA145" s="172"/>
      <c r="DB145" s="172"/>
      <c r="DC145" s="172"/>
      <c r="DD145" s="172"/>
      <c r="DE145" s="172"/>
      <c r="DF145" s="172"/>
      <c r="DG145" s="172"/>
      <c r="DH145" s="172"/>
      <c r="DI145" s="172"/>
      <c r="DJ145" s="172"/>
      <c r="DK145" s="172"/>
      <c r="DL145" s="172"/>
      <c r="DM145" s="172"/>
      <c r="DN145" s="172"/>
      <c r="DO145" s="588" t="s">
        <v>219</v>
      </c>
      <c r="DP145" s="588" t="str">
        <f>IF(ROUND(_xlfn.AGGREGATE(9,6,DP148:DP155),5)=ROUND(_xlfn.AGGREGATE(9,6,DQ148:DQ155),5),"이상없음","기준수익률확인")</f>
        <v>이상없음</v>
      </c>
      <c r="DQ145" s="172"/>
      <c r="DR145" s="651" t="s">
        <v>3406</v>
      </c>
      <c r="DS145" s="172"/>
      <c r="DT145" s="615"/>
      <c r="DU145" s="615"/>
      <c r="DV145" s="172"/>
      <c r="DW145" s="172"/>
      <c r="DX145" s="615"/>
      <c r="DY145" s="172"/>
      <c r="DZ145" s="172"/>
      <c r="EA145" s="172"/>
    </row>
    <row r="146" spans="1:131" ht="13.5">
      <c r="A146" s="652" t="str">
        <f t="shared" ref="A146:A154" si="616">$B$145&amp;B146</f>
        <v>SPC명</v>
      </c>
      <c r="B146" s="653" t="s">
        <v>357</v>
      </c>
      <c r="C146" s="780"/>
      <c r="D146" s="780"/>
      <c r="E146" s="780"/>
      <c r="F146" s="230"/>
      <c r="G146" s="230"/>
      <c r="I146" s="776" t="s">
        <v>3393</v>
      </c>
      <c r="J146" s="776" t="s">
        <v>3394</v>
      </c>
      <c r="K146" s="774" t="s">
        <v>3395</v>
      </c>
      <c r="L146" s="774" t="s">
        <v>3396</v>
      </c>
      <c r="M146" s="774" t="s">
        <v>203</v>
      </c>
      <c r="N146" s="774" t="s">
        <v>211</v>
      </c>
      <c r="O146" s="774" t="s">
        <v>3399</v>
      </c>
      <c r="P146" s="776" t="s">
        <v>239</v>
      </c>
      <c r="Q146" s="774" t="s">
        <v>3401</v>
      </c>
      <c r="R146" s="774" t="s">
        <v>3402</v>
      </c>
      <c r="S146" s="593"/>
      <c r="T146" s="593"/>
      <c r="U146" s="593"/>
      <c r="V146" s="593"/>
      <c r="W146" s="593"/>
      <c r="X146" s="593"/>
      <c r="Y146" s="593"/>
      <c r="Z146" s="593"/>
      <c r="AA146" s="593"/>
      <c r="AB146" s="593"/>
      <c r="AC146" s="593"/>
      <c r="AD146" s="593"/>
      <c r="AE146" s="593"/>
      <c r="AF146" s="593"/>
      <c r="AG146" s="593"/>
      <c r="AH146" s="593"/>
      <c r="AI146" s="593"/>
      <c r="AJ146" s="593"/>
      <c r="AK146" s="593"/>
      <c r="AL146" s="593"/>
      <c r="AM146" s="593"/>
      <c r="AN146" s="593"/>
      <c r="AO146" s="593"/>
      <c r="AP146" s="593"/>
      <c r="AQ146" s="593"/>
      <c r="AR146" s="593"/>
      <c r="AS146" s="593"/>
      <c r="AT146" s="593"/>
      <c r="AU146" s="593"/>
      <c r="AV146" s="593"/>
      <c r="AW146" s="593"/>
      <c r="AX146" s="593"/>
      <c r="AY146" s="593"/>
      <c r="AZ146" s="593"/>
      <c r="BA146" s="593"/>
      <c r="BB146" s="593"/>
      <c r="BC146" s="593"/>
      <c r="BD146" s="593"/>
      <c r="BE146" s="593"/>
      <c r="BF146" s="593"/>
      <c r="BG146" s="593"/>
      <c r="BH146" s="593"/>
      <c r="BI146" s="593"/>
      <c r="BJ146" s="593"/>
      <c r="BK146" s="593"/>
      <c r="BL146" s="593"/>
      <c r="BM146" s="593"/>
      <c r="BN146" s="593"/>
      <c r="BO146" s="593"/>
      <c r="BP146" s="593"/>
      <c r="BQ146" s="593"/>
      <c r="BR146" s="593"/>
      <c r="BS146" s="593"/>
      <c r="BT146" s="593"/>
      <c r="BU146" s="593"/>
      <c r="BV146" s="593"/>
      <c r="BW146" s="593"/>
      <c r="BX146" s="593"/>
      <c r="BY146" s="593"/>
      <c r="BZ146" s="593"/>
      <c r="CA146" s="593"/>
      <c r="CB146" s="593"/>
      <c r="CC146" s="593"/>
      <c r="CD146" s="593"/>
      <c r="CE146" s="593"/>
      <c r="CF146" s="593"/>
      <c r="CG146" s="593"/>
      <c r="CH146" s="593"/>
      <c r="CI146" s="593"/>
      <c r="CJ146" s="593"/>
      <c r="CK146" s="593"/>
      <c r="CL146" s="593"/>
      <c r="CM146" s="593"/>
      <c r="CN146" s="593"/>
      <c r="CO146" s="593"/>
      <c r="CP146" s="593"/>
      <c r="CQ146" s="593"/>
      <c r="CR146" s="593"/>
      <c r="CS146" s="593"/>
      <c r="CT146" s="593"/>
      <c r="CU146" s="593"/>
      <c r="CV146" s="593"/>
      <c r="CW146" s="593"/>
      <c r="CX146" s="593"/>
      <c r="CY146" s="593"/>
      <c r="CZ146" s="593"/>
      <c r="DA146" s="593"/>
      <c r="DB146" s="593"/>
      <c r="DC146" s="593"/>
      <c r="DD146" s="593"/>
      <c r="DE146" s="593"/>
      <c r="DF146" s="593"/>
      <c r="DG146" s="593"/>
      <c r="DH146" s="593"/>
      <c r="DI146" s="593"/>
      <c r="DJ146" s="593"/>
      <c r="DK146" s="593"/>
      <c r="DL146" s="593"/>
      <c r="DM146" s="593"/>
      <c r="DN146" s="593"/>
      <c r="DO146" s="594" t="s">
        <v>220</v>
      </c>
      <c r="DP146" s="774" t="s">
        <v>218</v>
      </c>
      <c r="DQ146" s="774" t="s">
        <v>222</v>
      </c>
      <c r="DR146" s="594"/>
      <c r="DS146" s="594"/>
      <c r="DT146" s="594"/>
      <c r="DU146" s="594"/>
      <c r="DV146" s="594"/>
      <c r="DW146" s="594"/>
      <c r="DX146" s="594"/>
      <c r="DY146" s="594"/>
      <c r="DZ146" s="594"/>
      <c r="EA146" s="602"/>
    </row>
    <row r="147" spans="1:131" ht="14.25" thickBot="1">
      <c r="A147" s="652" t="str">
        <f t="shared" si="616"/>
        <v>유형</v>
      </c>
      <c r="B147" s="653" t="s">
        <v>360</v>
      </c>
      <c r="C147" s="780"/>
      <c r="D147" s="780"/>
      <c r="E147" s="780"/>
      <c r="F147" s="230"/>
      <c r="G147" s="230"/>
      <c r="I147" s="777"/>
      <c r="J147" s="777"/>
      <c r="K147" s="775"/>
      <c r="L147" s="775"/>
      <c r="M147" s="775"/>
      <c r="N147" s="775"/>
      <c r="O147" s="775"/>
      <c r="P147" s="777"/>
      <c r="Q147" s="775"/>
      <c r="R147" s="775"/>
      <c r="S147" s="601"/>
      <c r="T147" s="601"/>
      <c r="U147" s="601"/>
      <c r="V147" s="601"/>
      <c r="W147" s="601"/>
      <c r="X147" s="601"/>
      <c r="Y147" s="601"/>
      <c r="Z147" s="601"/>
      <c r="AA147" s="601"/>
      <c r="AB147" s="601"/>
      <c r="AC147" s="601"/>
      <c r="AD147" s="601"/>
      <c r="AE147" s="601"/>
      <c r="AF147" s="601"/>
      <c r="AG147" s="601"/>
      <c r="AH147" s="601"/>
      <c r="AI147" s="601"/>
      <c r="AJ147" s="601"/>
      <c r="AK147" s="601"/>
      <c r="AL147" s="601"/>
      <c r="AM147" s="601"/>
      <c r="AN147" s="601"/>
      <c r="AO147" s="601"/>
      <c r="AP147" s="601"/>
      <c r="AQ147" s="601"/>
      <c r="AR147" s="601"/>
      <c r="AS147" s="601"/>
      <c r="AT147" s="601"/>
      <c r="AU147" s="601"/>
      <c r="AV147" s="601"/>
      <c r="AW147" s="601"/>
      <c r="AX147" s="601"/>
      <c r="AY147" s="601"/>
      <c r="AZ147" s="601"/>
      <c r="BA147" s="601"/>
      <c r="BB147" s="601"/>
      <c r="BC147" s="601"/>
      <c r="BD147" s="601"/>
      <c r="BE147" s="601"/>
      <c r="BF147" s="601"/>
      <c r="BG147" s="601"/>
      <c r="BH147" s="601"/>
      <c r="BI147" s="601"/>
      <c r="BJ147" s="601"/>
      <c r="BK147" s="601"/>
      <c r="BL147" s="601"/>
      <c r="BM147" s="601"/>
      <c r="BN147" s="601"/>
      <c r="BO147" s="601"/>
      <c r="BP147" s="601"/>
      <c r="BQ147" s="601"/>
      <c r="BR147" s="601"/>
      <c r="BS147" s="601"/>
      <c r="BT147" s="601"/>
      <c r="BU147" s="601"/>
      <c r="BV147" s="601"/>
      <c r="BW147" s="601"/>
      <c r="BX147" s="601"/>
      <c r="BY147" s="601"/>
      <c r="BZ147" s="601"/>
      <c r="CA147" s="601"/>
      <c r="CB147" s="601"/>
      <c r="CC147" s="601"/>
      <c r="CD147" s="601"/>
      <c r="CE147" s="601"/>
      <c r="CF147" s="601"/>
      <c r="CG147" s="601"/>
      <c r="CH147" s="601"/>
      <c r="CI147" s="601"/>
      <c r="CJ147" s="601"/>
      <c r="CK147" s="601"/>
      <c r="CL147" s="601"/>
      <c r="CM147" s="601"/>
      <c r="CN147" s="601"/>
      <c r="CO147" s="601"/>
      <c r="CP147" s="601"/>
      <c r="CQ147" s="601"/>
      <c r="CR147" s="601"/>
      <c r="CS147" s="601"/>
      <c r="CT147" s="601"/>
      <c r="CU147" s="601"/>
      <c r="CV147" s="601"/>
      <c r="CW147" s="601"/>
      <c r="CX147" s="601"/>
      <c r="CY147" s="601"/>
      <c r="CZ147" s="601"/>
      <c r="DA147" s="601"/>
      <c r="DB147" s="601"/>
      <c r="DC147" s="601"/>
      <c r="DD147" s="601"/>
      <c r="DE147" s="601"/>
      <c r="DF147" s="601"/>
      <c r="DG147" s="601"/>
      <c r="DH147" s="601"/>
      <c r="DI147" s="601"/>
      <c r="DJ147" s="601"/>
      <c r="DK147" s="601"/>
      <c r="DL147" s="601"/>
      <c r="DM147" s="601"/>
      <c r="DN147" s="601"/>
      <c r="DO147" s="654">
        <f>$DO$7</f>
        <v>45473</v>
      </c>
      <c r="DP147" s="775"/>
      <c r="DQ147" s="775"/>
      <c r="DR147" s="595">
        <f>NAV!E491</f>
        <v>0</v>
      </c>
      <c r="DS147" s="596">
        <f>DR147-DR156</f>
        <v>0</v>
      </c>
      <c r="DT147" s="596"/>
      <c r="DU147" s="596"/>
      <c r="DV147" s="597"/>
      <c r="DW147" s="596"/>
      <c r="DX147" s="596"/>
      <c r="DY147" s="596"/>
      <c r="DZ147" s="655"/>
      <c r="EA147" s="656"/>
    </row>
    <row r="148" spans="1:131" ht="13.5">
      <c r="A148" s="652" t="str">
        <f t="shared" si="616"/>
        <v>설정일</v>
      </c>
      <c r="B148" s="653" t="s">
        <v>361</v>
      </c>
      <c r="C148" s="781"/>
      <c r="D148" s="780"/>
      <c r="E148" s="780"/>
      <c r="F148" s="230"/>
      <c r="G148" s="230"/>
      <c r="I148" s="657">
        <f>SUM(DR148:EA148)</f>
        <v>0</v>
      </c>
      <c r="J148" s="606" t="str">
        <f>IFERROR(I148/(Q148/$C$150),"N/A")</f>
        <v>N/A</v>
      </c>
      <c r="K148" s="471"/>
      <c r="L148" s="607"/>
      <c r="M148" s="300"/>
      <c r="N148" s="608"/>
      <c r="O148" s="609">
        <f t="shared" ref="O148:O155" si="617">-(SUMIF($S$146:$DN$146,"최초출자",S148:DN148)+SUMIF($S$146:$DN$146,"추가출자",S148:DN148))</f>
        <v>0</v>
      </c>
      <c r="P148" s="609">
        <f t="shared" ref="P148:P155" si="618">SUMIF($S$146:$DN$146,"이익분배",S148:DN148)+SUMIF($S$146:$DN$146,"원본분배",S148:DN148)</f>
        <v>0</v>
      </c>
      <c r="Q148" s="609">
        <f t="shared" ref="Q148:Q155" si="619">-(SUMIF($S$146:$DN$146,"최초출자",S148:DN148)+SUMIF($S$146:$DN$146,"추가출자",S148:DN148)+SUMIF($S$146:$DN$146,"원본분배",S148:DN148))</f>
        <v>0</v>
      </c>
      <c r="R148" s="610" t="str">
        <f>IFERROR(Q148/Q156,"")</f>
        <v/>
      </c>
      <c r="S148" s="658"/>
      <c r="T148" s="658"/>
      <c r="U148" s="658"/>
      <c r="V148" s="658"/>
      <c r="W148" s="658"/>
      <c r="X148" s="658"/>
      <c r="Y148" s="658"/>
      <c r="Z148" s="658"/>
      <c r="AA148" s="658"/>
      <c r="AB148" s="658"/>
      <c r="AC148" s="658"/>
      <c r="AD148" s="658"/>
      <c r="AE148" s="658"/>
      <c r="AF148" s="658"/>
      <c r="AG148" s="658"/>
      <c r="AH148" s="658"/>
      <c r="AI148" s="658"/>
      <c r="AJ148" s="658"/>
      <c r="AK148" s="658"/>
      <c r="AL148" s="658"/>
      <c r="AM148" s="658"/>
      <c r="AN148" s="658"/>
      <c r="AO148" s="658"/>
      <c r="AP148" s="658"/>
      <c r="AQ148" s="658"/>
      <c r="AR148" s="658"/>
      <c r="AS148" s="658"/>
      <c r="AT148" s="658"/>
      <c r="AU148" s="658"/>
      <c r="AV148" s="658"/>
      <c r="AW148" s="658"/>
      <c r="AX148" s="658"/>
      <c r="AY148" s="658"/>
      <c r="AZ148" s="658"/>
      <c r="BA148" s="658"/>
      <c r="BB148" s="658"/>
      <c r="BC148" s="658"/>
      <c r="BD148" s="658"/>
      <c r="BE148" s="658"/>
      <c r="BF148" s="658"/>
      <c r="BG148" s="658"/>
      <c r="BH148" s="658"/>
      <c r="BI148" s="658"/>
      <c r="BJ148" s="658"/>
      <c r="BK148" s="658"/>
      <c r="BL148" s="658"/>
      <c r="BM148" s="658"/>
      <c r="BN148" s="658"/>
      <c r="BO148" s="658"/>
      <c r="BP148" s="658"/>
      <c r="BQ148" s="658"/>
      <c r="BR148" s="658"/>
      <c r="BS148" s="658"/>
      <c r="BT148" s="658"/>
      <c r="BU148" s="658"/>
      <c r="BV148" s="658"/>
      <c r="BW148" s="658"/>
      <c r="BX148" s="658"/>
      <c r="BY148" s="658"/>
      <c r="BZ148" s="658"/>
      <c r="CA148" s="658"/>
      <c r="CB148" s="658"/>
      <c r="CC148" s="658"/>
      <c r="CD148" s="658"/>
      <c r="CE148" s="658"/>
      <c r="CF148" s="658"/>
      <c r="CG148" s="658"/>
      <c r="CH148" s="658"/>
      <c r="CI148" s="658"/>
      <c r="CJ148" s="658"/>
      <c r="CK148" s="658"/>
      <c r="CL148" s="658"/>
      <c r="CM148" s="658"/>
      <c r="CN148" s="658"/>
      <c r="CO148" s="658"/>
      <c r="CP148" s="658"/>
      <c r="CQ148" s="658"/>
      <c r="CR148" s="658"/>
      <c r="CS148" s="658"/>
      <c r="CT148" s="658"/>
      <c r="CU148" s="658"/>
      <c r="CV148" s="658"/>
      <c r="CW148" s="658"/>
      <c r="CX148" s="658"/>
      <c r="CY148" s="658"/>
      <c r="CZ148" s="658"/>
      <c r="DA148" s="658"/>
      <c r="DB148" s="658"/>
      <c r="DC148" s="658"/>
      <c r="DD148" s="658"/>
      <c r="DE148" s="658"/>
      <c r="DF148" s="658"/>
      <c r="DG148" s="658"/>
      <c r="DH148" s="658"/>
      <c r="DI148" s="658"/>
      <c r="DJ148" s="658"/>
      <c r="DK148" s="658"/>
      <c r="DL148" s="658"/>
      <c r="DM148" s="658"/>
      <c r="DN148" s="658"/>
      <c r="DO148" s="177">
        <f>IF(M148="",0,-XNPV(DP148,S148,S$147)*(1+DP148)^YEARFRAC($S$147,$DO$147,3))</f>
        <v>0</v>
      </c>
      <c r="DP148" s="612" t="e">
        <f>IF(HLOOKUP(L148,$C$155:$E$156,2,0)=0,1E-24%,HLOOKUP(L148,$C$155:$E$156,2,FALSE))</f>
        <v>#N/A</v>
      </c>
      <c r="DQ148" s="612" t="e">
        <f t="shared" ref="DQ148:DQ155" si="620">XIRR(S148:DO148,$S$147:$DO$147)</f>
        <v>#NUM!</v>
      </c>
      <c r="DR148" s="177"/>
      <c r="DS148" s="177"/>
      <c r="DT148" s="177"/>
      <c r="DU148" s="177"/>
      <c r="DV148" s="177"/>
      <c r="DW148" s="177"/>
      <c r="DX148" s="177"/>
      <c r="DY148" s="177"/>
      <c r="DZ148" s="177"/>
      <c r="EA148" s="613"/>
    </row>
    <row r="149" spans="1:131" ht="13.5">
      <c r="A149" s="652" t="str">
        <f t="shared" si="616"/>
        <v>출자잔액</v>
      </c>
      <c r="B149" s="653" t="s">
        <v>352</v>
      </c>
      <c r="C149" s="782"/>
      <c r="D149" s="782"/>
      <c r="E149" s="782"/>
      <c r="F149" s="230"/>
      <c r="G149" s="230"/>
      <c r="I149" s="657">
        <f t="shared" ref="I149:I155" si="621">SUM(DR149:EA149)</f>
        <v>0</v>
      </c>
      <c r="J149" s="606" t="str">
        <f t="shared" ref="J149:J155" si="622">IFERROR(I149/(Q149/$C$150),"N/A")</f>
        <v>N/A</v>
      </c>
      <c r="K149" s="471"/>
      <c r="L149" s="607"/>
      <c r="M149" s="300"/>
      <c r="N149" s="608"/>
      <c r="O149" s="609">
        <f t="shared" si="617"/>
        <v>0</v>
      </c>
      <c r="P149" s="609">
        <f t="shared" si="618"/>
        <v>0</v>
      </c>
      <c r="Q149" s="609">
        <f t="shared" si="619"/>
        <v>0</v>
      </c>
      <c r="R149" s="610" t="str">
        <f>IFERROR(Q149/Q156,"")</f>
        <v/>
      </c>
      <c r="S149" s="658"/>
      <c r="T149" s="658"/>
      <c r="U149" s="658"/>
      <c r="V149" s="658"/>
      <c r="W149" s="658"/>
      <c r="X149" s="658"/>
      <c r="Y149" s="658"/>
      <c r="Z149" s="658"/>
      <c r="AA149" s="658"/>
      <c r="AB149" s="658"/>
      <c r="AC149" s="658"/>
      <c r="AD149" s="658"/>
      <c r="AE149" s="658"/>
      <c r="AF149" s="658"/>
      <c r="AG149" s="658"/>
      <c r="AH149" s="658"/>
      <c r="AI149" s="658"/>
      <c r="AJ149" s="658"/>
      <c r="AK149" s="658"/>
      <c r="AL149" s="658"/>
      <c r="AM149" s="658"/>
      <c r="AN149" s="658"/>
      <c r="AO149" s="658"/>
      <c r="AP149" s="658"/>
      <c r="AQ149" s="658"/>
      <c r="AR149" s="658"/>
      <c r="AS149" s="658"/>
      <c r="AT149" s="658"/>
      <c r="AU149" s="658"/>
      <c r="AV149" s="658"/>
      <c r="AW149" s="658"/>
      <c r="AX149" s="658"/>
      <c r="AY149" s="658"/>
      <c r="AZ149" s="658"/>
      <c r="BA149" s="658"/>
      <c r="BB149" s="658"/>
      <c r="BC149" s="658"/>
      <c r="BD149" s="658"/>
      <c r="BE149" s="658"/>
      <c r="BF149" s="658"/>
      <c r="BG149" s="658"/>
      <c r="BH149" s="658"/>
      <c r="BI149" s="658"/>
      <c r="BJ149" s="658"/>
      <c r="BK149" s="658"/>
      <c r="BL149" s="658"/>
      <c r="BM149" s="658"/>
      <c r="BN149" s="658"/>
      <c r="BO149" s="658"/>
      <c r="BP149" s="658"/>
      <c r="BQ149" s="658"/>
      <c r="BR149" s="658"/>
      <c r="BS149" s="658"/>
      <c r="BT149" s="658"/>
      <c r="BU149" s="658"/>
      <c r="BV149" s="658"/>
      <c r="BW149" s="658"/>
      <c r="BX149" s="658"/>
      <c r="BY149" s="658"/>
      <c r="BZ149" s="658"/>
      <c r="CA149" s="658"/>
      <c r="CB149" s="658"/>
      <c r="CC149" s="658"/>
      <c r="CD149" s="658"/>
      <c r="CE149" s="658"/>
      <c r="CF149" s="658"/>
      <c r="CG149" s="658"/>
      <c r="CH149" s="658"/>
      <c r="CI149" s="658"/>
      <c r="CJ149" s="658"/>
      <c r="CK149" s="658"/>
      <c r="CL149" s="658"/>
      <c r="CM149" s="658"/>
      <c r="CN149" s="658"/>
      <c r="CO149" s="658"/>
      <c r="CP149" s="658"/>
      <c r="CQ149" s="658"/>
      <c r="CR149" s="658"/>
      <c r="CS149" s="658"/>
      <c r="CT149" s="658"/>
      <c r="CU149" s="658"/>
      <c r="CV149" s="658"/>
      <c r="CW149" s="658"/>
      <c r="CX149" s="658"/>
      <c r="CY149" s="658"/>
      <c r="CZ149" s="658"/>
      <c r="DA149" s="658"/>
      <c r="DB149" s="658"/>
      <c r="DC149" s="658"/>
      <c r="DD149" s="658"/>
      <c r="DE149" s="658"/>
      <c r="DF149" s="658"/>
      <c r="DG149" s="658"/>
      <c r="DH149" s="658"/>
      <c r="DI149" s="658"/>
      <c r="DJ149" s="658"/>
      <c r="DK149" s="658"/>
      <c r="DL149" s="658"/>
      <c r="DM149" s="658"/>
      <c r="DN149" s="658"/>
      <c r="DO149" s="177">
        <f t="shared" ref="DO149:DO155" si="623">IF(M149="",0,-XNPV(DP149,S149,S$147)*(1+DP149)^YEARFRAC($S$147,$DO$147,3))</f>
        <v>0</v>
      </c>
      <c r="DP149" s="612" t="e">
        <f t="shared" ref="DP149:DP155" si="624">IF(HLOOKUP(L149,$C$155:$E$156,2,0)=0,1E-24%,HLOOKUP(L149,$C$155:$E$156,2,FALSE))</f>
        <v>#N/A</v>
      </c>
      <c r="DQ149" s="612" t="e">
        <f t="shared" si="620"/>
        <v>#NUM!</v>
      </c>
      <c r="DR149" s="177"/>
      <c r="DS149" s="177"/>
      <c r="DT149" s="177"/>
      <c r="DU149" s="177"/>
      <c r="DV149" s="177"/>
      <c r="DW149" s="177"/>
      <c r="DX149" s="177"/>
      <c r="DY149" s="177"/>
      <c r="DZ149" s="177"/>
      <c r="EA149" s="613"/>
    </row>
    <row r="150" spans="1:131" ht="13.5">
      <c r="A150" s="652" t="str">
        <f t="shared" si="616"/>
        <v>1좌당 금액</v>
      </c>
      <c r="B150" s="653" t="s">
        <v>358</v>
      </c>
      <c r="C150" s="783"/>
      <c r="D150" s="783"/>
      <c r="E150" s="783"/>
      <c r="F150" s="230"/>
      <c r="G150" s="230"/>
      <c r="I150" s="657">
        <f t="shared" si="621"/>
        <v>0</v>
      </c>
      <c r="J150" s="606" t="str">
        <f t="shared" si="622"/>
        <v>N/A</v>
      </c>
      <c r="K150" s="471"/>
      <c r="L150" s="607"/>
      <c r="M150" s="300"/>
      <c r="N150" s="608"/>
      <c r="O150" s="609">
        <f t="shared" si="617"/>
        <v>0</v>
      </c>
      <c r="P150" s="609">
        <f t="shared" si="618"/>
        <v>0</v>
      </c>
      <c r="Q150" s="609">
        <f t="shared" si="619"/>
        <v>0</v>
      </c>
      <c r="R150" s="610" t="str">
        <f>IFERROR(Q150/Q156,"")</f>
        <v/>
      </c>
      <c r="S150" s="658"/>
      <c r="T150" s="658"/>
      <c r="U150" s="658"/>
      <c r="V150" s="658"/>
      <c r="W150" s="658"/>
      <c r="X150" s="658"/>
      <c r="Y150" s="658"/>
      <c r="Z150" s="658"/>
      <c r="AA150" s="658"/>
      <c r="AB150" s="658"/>
      <c r="AC150" s="658"/>
      <c r="AD150" s="658"/>
      <c r="AE150" s="658"/>
      <c r="AF150" s="658"/>
      <c r="AG150" s="658"/>
      <c r="AH150" s="658"/>
      <c r="AI150" s="658"/>
      <c r="AJ150" s="658"/>
      <c r="AK150" s="658"/>
      <c r="AL150" s="658"/>
      <c r="AM150" s="658"/>
      <c r="AN150" s="658"/>
      <c r="AO150" s="658"/>
      <c r="AP150" s="658"/>
      <c r="AQ150" s="658"/>
      <c r="AR150" s="658"/>
      <c r="AS150" s="658"/>
      <c r="AT150" s="658"/>
      <c r="AU150" s="658"/>
      <c r="AV150" s="658"/>
      <c r="AW150" s="658"/>
      <c r="AX150" s="658"/>
      <c r="AY150" s="658"/>
      <c r="AZ150" s="658"/>
      <c r="BA150" s="658"/>
      <c r="BB150" s="658"/>
      <c r="BC150" s="658"/>
      <c r="BD150" s="658"/>
      <c r="BE150" s="658"/>
      <c r="BF150" s="658"/>
      <c r="BG150" s="658"/>
      <c r="BH150" s="658"/>
      <c r="BI150" s="658"/>
      <c r="BJ150" s="658"/>
      <c r="BK150" s="658"/>
      <c r="BL150" s="658"/>
      <c r="BM150" s="658"/>
      <c r="BN150" s="658"/>
      <c r="BO150" s="658"/>
      <c r="BP150" s="658"/>
      <c r="BQ150" s="658"/>
      <c r="BR150" s="658"/>
      <c r="BS150" s="658"/>
      <c r="BT150" s="658"/>
      <c r="BU150" s="658"/>
      <c r="BV150" s="658"/>
      <c r="BW150" s="658"/>
      <c r="BX150" s="658"/>
      <c r="BY150" s="658"/>
      <c r="BZ150" s="658"/>
      <c r="CA150" s="658"/>
      <c r="CB150" s="658"/>
      <c r="CC150" s="658"/>
      <c r="CD150" s="658"/>
      <c r="CE150" s="658"/>
      <c r="CF150" s="658"/>
      <c r="CG150" s="658"/>
      <c r="CH150" s="658"/>
      <c r="CI150" s="658"/>
      <c r="CJ150" s="658"/>
      <c r="CK150" s="658"/>
      <c r="CL150" s="658"/>
      <c r="CM150" s="658"/>
      <c r="CN150" s="658"/>
      <c r="CO150" s="658"/>
      <c r="CP150" s="658"/>
      <c r="CQ150" s="658"/>
      <c r="CR150" s="658"/>
      <c r="CS150" s="658"/>
      <c r="CT150" s="658"/>
      <c r="CU150" s="658"/>
      <c r="CV150" s="658"/>
      <c r="CW150" s="658"/>
      <c r="CX150" s="658"/>
      <c r="CY150" s="658"/>
      <c r="CZ150" s="658"/>
      <c r="DA150" s="658"/>
      <c r="DB150" s="658"/>
      <c r="DC150" s="658"/>
      <c r="DD150" s="658"/>
      <c r="DE150" s="658"/>
      <c r="DF150" s="658"/>
      <c r="DG150" s="658"/>
      <c r="DH150" s="658"/>
      <c r="DI150" s="658"/>
      <c r="DJ150" s="658"/>
      <c r="DK150" s="658"/>
      <c r="DL150" s="658"/>
      <c r="DM150" s="658"/>
      <c r="DN150" s="658"/>
      <c r="DO150" s="177">
        <f t="shared" si="623"/>
        <v>0</v>
      </c>
      <c r="DP150" s="612" t="e">
        <f t="shared" si="624"/>
        <v>#N/A</v>
      </c>
      <c r="DQ150" s="612" t="e">
        <f t="shared" si="620"/>
        <v>#NUM!</v>
      </c>
      <c r="DR150" s="177"/>
      <c r="DS150" s="177"/>
      <c r="DT150" s="177"/>
      <c r="DU150" s="177"/>
      <c r="DV150" s="177"/>
      <c r="DW150" s="177"/>
      <c r="DX150" s="177"/>
      <c r="DY150" s="177"/>
      <c r="DZ150" s="177"/>
      <c r="EA150" s="613"/>
    </row>
    <row r="151" spans="1:131" ht="13.5">
      <c r="A151" s="652" t="str">
        <f t="shared" si="616"/>
        <v>기준수익률</v>
      </c>
      <c r="B151" s="653" t="s">
        <v>365</v>
      </c>
      <c r="C151" s="784"/>
      <c r="D151" s="785"/>
      <c r="E151" s="785"/>
      <c r="F151" s="230"/>
      <c r="G151" s="230"/>
      <c r="I151" s="657">
        <f t="shared" si="621"/>
        <v>0</v>
      </c>
      <c r="J151" s="606" t="str">
        <f t="shared" si="622"/>
        <v>N/A</v>
      </c>
      <c r="K151" s="471"/>
      <c r="L151" s="607"/>
      <c r="M151" s="300"/>
      <c r="N151" s="608"/>
      <c r="O151" s="609">
        <f t="shared" si="617"/>
        <v>0</v>
      </c>
      <c r="P151" s="609">
        <f t="shared" si="618"/>
        <v>0</v>
      </c>
      <c r="Q151" s="609">
        <f t="shared" si="619"/>
        <v>0</v>
      </c>
      <c r="R151" s="610" t="str">
        <f>IFERROR(Q151/Q156,"")</f>
        <v/>
      </c>
      <c r="S151" s="658"/>
      <c r="T151" s="658"/>
      <c r="U151" s="658"/>
      <c r="V151" s="658"/>
      <c r="W151" s="658"/>
      <c r="X151" s="658"/>
      <c r="Y151" s="658"/>
      <c r="Z151" s="658"/>
      <c r="AA151" s="658"/>
      <c r="AB151" s="658"/>
      <c r="AC151" s="658"/>
      <c r="AD151" s="658"/>
      <c r="AE151" s="658"/>
      <c r="AF151" s="658"/>
      <c r="AG151" s="658"/>
      <c r="AH151" s="658"/>
      <c r="AI151" s="658"/>
      <c r="AJ151" s="658"/>
      <c r="AK151" s="658"/>
      <c r="AL151" s="658"/>
      <c r="AM151" s="658"/>
      <c r="AN151" s="658"/>
      <c r="AO151" s="658"/>
      <c r="AP151" s="658"/>
      <c r="AQ151" s="658"/>
      <c r="AR151" s="658"/>
      <c r="AS151" s="658"/>
      <c r="AT151" s="658"/>
      <c r="AU151" s="658"/>
      <c r="AV151" s="658"/>
      <c r="AW151" s="658"/>
      <c r="AX151" s="658"/>
      <c r="AY151" s="658"/>
      <c r="AZ151" s="658"/>
      <c r="BA151" s="658"/>
      <c r="BB151" s="658"/>
      <c r="BC151" s="658"/>
      <c r="BD151" s="658"/>
      <c r="BE151" s="658"/>
      <c r="BF151" s="658"/>
      <c r="BG151" s="658"/>
      <c r="BH151" s="658"/>
      <c r="BI151" s="658"/>
      <c r="BJ151" s="658"/>
      <c r="BK151" s="658"/>
      <c r="BL151" s="658"/>
      <c r="BM151" s="658"/>
      <c r="BN151" s="658"/>
      <c r="BO151" s="658"/>
      <c r="BP151" s="658"/>
      <c r="BQ151" s="658"/>
      <c r="BR151" s="658"/>
      <c r="BS151" s="658"/>
      <c r="BT151" s="658"/>
      <c r="BU151" s="658"/>
      <c r="BV151" s="658"/>
      <c r="BW151" s="658"/>
      <c r="BX151" s="658"/>
      <c r="BY151" s="658"/>
      <c r="BZ151" s="658"/>
      <c r="CA151" s="658"/>
      <c r="CB151" s="658"/>
      <c r="CC151" s="658"/>
      <c r="CD151" s="658"/>
      <c r="CE151" s="658"/>
      <c r="CF151" s="658"/>
      <c r="CG151" s="658"/>
      <c r="CH151" s="658"/>
      <c r="CI151" s="658"/>
      <c r="CJ151" s="658"/>
      <c r="CK151" s="658"/>
      <c r="CL151" s="658"/>
      <c r="CM151" s="658"/>
      <c r="CN151" s="658"/>
      <c r="CO151" s="658"/>
      <c r="CP151" s="658"/>
      <c r="CQ151" s="658"/>
      <c r="CR151" s="658"/>
      <c r="CS151" s="658"/>
      <c r="CT151" s="658"/>
      <c r="CU151" s="658"/>
      <c r="CV151" s="658"/>
      <c r="CW151" s="658"/>
      <c r="CX151" s="658"/>
      <c r="CY151" s="658"/>
      <c r="CZ151" s="658"/>
      <c r="DA151" s="658"/>
      <c r="DB151" s="658"/>
      <c r="DC151" s="658"/>
      <c r="DD151" s="658"/>
      <c r="DE151" s="658"/>
      <c r="DF151" s="658"/>
      <c r="DG151" s="658"/>
      <c r="DH151" s="658"/>
      <c r="DI151" s="658"/>
      <c r="DJ151" s="658"/>
      <c r="DK151" s="658"/>
      <c r="DL151" s="658"/>
      <c r="DM151" s="658"/>
      <c r="DN151" s="658"/>
      <c r="DO151" s="177">
        <f t="shared" si="623"/>
        <v>0</v>
      </c>
      <c r="DP151" s="612" t="e">
        <f t="shared" si="624"/>
        <v>#N/A</v>
      </c>
      <c r="DQ151" s="612" t="e">
        <f t="shared" si="620"/>
        <v>#NUM!</v>
      </c>
      <c r="DR151" s="177"/>
      <c r="DS151" s="177"/>
      <c r="DT151" s="177"/>
      <c r="DU151" s="177"/>
      <c r="DV151" s="177"/>
      <c r="DW151" s="177"/>
      <c r="DX151" s="177"/>
      <c r="DY151" s="177"/>
      <c r="DZ151" s="177"/>
      <c r="EA151" s="613"/>
    </row>
    <row r="152" spans="1:131" ht="13.5">
      <c r="A152" s="652" t="str">
        <f t="shared" si="616"/>
        <v>평가방법론</v>
      </c>
      <c r="B152" s="653" t="s">
        <v>7</v>
      </c>
      <c r="C152" s="786"/>
      <c r="D152" s="786"/>
      <c r="E152" s="786"/>
      <c r="F152" s="230"/>
      <c r="G152" s="230"/>
      <c r="I152" s="657">
        <f t="shared" si="621"/>
        <v>0</v>
      </c>
      <c r="J152" s="606" t="str">
        <f t="shared" si="622"/>
        <v>N/A</v>
      </c>
      <c r="K152" s="471"/>
      <c r="L152" s="607"/>
      <c r="M152" s="300"/>
      <c r="N152" s="608"/>
      <c r="O152" s="609">
        <f t="shared" si="617"/>
        <v>0</v>
      </c>
      <c r="P152" s="609">
        <f t="shared" si="618"/>
        <v>0</v>
      </c>
      <c r="Q152" s="609">
        <f t="shared" si="619"/>
        <v>0</v>
      </c>
      <c r="R152" s="610" t="str">
        <f>IFERROR(Q152/Q156,"")</f>
        <v/>
      </c>
      <c r="S152" s="658"/>
      <c r="T152" s="658"/>
      <c r="U152" s="658"/>
      <c r="V152" s="658"/>
      <c r="W152" s="658"/>
      <c r="X152" s="658"/>
      <c r="Y152" s="658"/>
      <c r="Z152" s="658"/>
      <c r="AA152" s="658"/>
      <c r="AB152" s="658"/>
      <c r="AC152" s="658"/>
      <c r="AD152" s="658"/>
      <c r="AE152" s="658"/>
      <c r="AF152" s="658"/>
      <c r="AG152" s="658"/>
      <c r="AH152" s="658"/>
      <c r="AI152" s="658"/>
      <c r="AJ152" s="658"/>
      <c r="AK152" s="658"/>
      <c r="AL152" s="658"/>
      <c r="AM152" s="658"/>
      <c r="AN152" s="658"/>
      <c r="AO152" s="658"/>
      <c r="AP152" s="658"/>
      <c r="AQ152" s="658"/>
      <c r="AR152" s="658"/>
      <c r="AS152" s="658"/>
      <c r="AT152" s="658"/>
      <c r="AU152" s="658"/>
      <c r="AV152" s="658"/>
      <c r="AW152" s="658"/>
      <c r="AX152" s="658"/>
      <c r="AY152" s="658"/>
      <c r="AZ152" s="658"/>
      <c r="BA152" s="658"/>
      <c r="BB152" s="658"/>
      <c r="BC152" s="658"/>
      <c r="BD152" s="658"/>
      <c r="BE152" s="658"/>
      <c r="BF152" s="658"/>
      <c r="BG152" s="658"/>
      <c r="BH152" s="658"/>
      <c r="BI152" s="658"/>
      <c r="BJ152" s="658"/>
      <c r="BK152" s="658"/>
      <c r="BL152" s="658"/>
      <c r="BM152" s="658"/>
      <c r="BN152" s="658"/>
      <c r="BO152" s="658"/>
      <c r="BP152" s="658"/>
      <c r="BQ152" s="658"/>
      <c r="BR152" s="658"/>
      <c r="BS152" s="658"/>
      <c r="BT152" s="658"/>
      <c r="BU152" s="658"/>
      <c r="BV152" s="658"/>
      <c r="BW152" s="658"/>
      <c r="BX152" s="658"/>
      <c r="BY152" s="658"/>
      <c r="BZ152" s="658"/>
      <c r="CA152" s="658"/>
      <c r="CB152" s="658"/>
      <c r="CC152" s="658"/>
      <c r="CD152" s="658"/>
      <c r="CE152" s="658"/>
      <c r="CF152" s="658"/>
      <c r="CG152" s="658"/>
      <c r="CH152" s="658"/>
      <c r="CI152" s="658"/>
      <c r="CJ152" s="658"/>
      <c r="CK152" s="658"/>
      <c r="CL152" s="658"/>
      <c r="CM152" s="658"/>
      <c r="CN152" s="658"/>
      <c r="CO152" s="658"/>
      <c r="CP152" s="658"/>
      <c r="CQ152" s="658"/>
      <c r="CR152" s="658"/>
      <c r="CS152" s="658"/>
      <c r="CT152" s="658"/>
      <c r="CU152" s="658"/>
      <c r="CV152" s="658"/>
      <c r="CW152" s="658"/>
      <c r="CX152" s="658"/>
      <c r="CY152" s="658"/>
      <c r="CZ152" s="658"/>
      <c r="DA152" s="658"/>
      <c r="DB152" s="658"/>
      <c r="DC152" s="658"/>
      <c r="DD152" s="658"/>
      <c r="DE152" s="658"/>
      <c r="DF152" s="658"/>
      <c r="DG152" s="658"/>
      <c r="DH152" s="658"/>
      <c r="DI152" s="658"/>
      <c r="DJ152" s="658"/>
      <c r="DK152" s="658"/>
      <c r="DL152" s="658"/>
      <c r="DM152" s="658"/>
      <c r="DN152" s="658"/>
      <c r="DO152" s="177">
        <f t="shared" si="623"/>
        <v>0</v>
      </c>
      <c r="DP152" s="612" t="e">
        <f t="shared" si="624"/>
        <v>#N/A</v>
      </c>
      <c r="DQ152" s="612" t="e">
        <f t="shared" si="620"/>
        <v>#NUM!</v>
      </c>
      <c r="DR152" s="177"/>
      <c r="DS152" s="177"/>
      <c r="DT152" s="177"/>
      <c r="DU152" s="177"/>
      <c r="DV152" s="177"/>
      <c r="DW152" s="177"/>
      <c r="DX152" s="177"/>
      <c r="DY152" s="177"/>
      <c r="DZ152" s="177"/>
      <c r="EA152" s="613"/>
    </row>
    <row r="153" spans="1:131" ht="13.5">
      <c r="A153" s="652" t="str">
        <f t="shared" si="616"/>
        <v>분배 조항 여부</v>
      </c>
      <c r="B153" s="653" t="s">
        <v>355</v>
      </c>
      <c r="C153" s="786"/>
      <c r="D153" s="786"/>
      <c r="E153" s="786"/>
      <c r="F153" s="230"/>
      <c r="G153" s="230"/>
      <c r="I153" s="657">
        <f t="shared" si="621"/>
        <v>0</v>
      </c>
      <c r="J153" s="606" t="str">
        <f t="shared" si="622"/>
        <v>N/A</v>
      </c>
      <c r="K153" s="471"/>
      <c r="L153" s="607"/>
      <c r="M153" s="300"/>
      <c r="N153" s="608"/>
      <c r="O153" s="609">
        <f t="shared" si="617"/>
        <v>0</v>
      </c>
      <c r="P153" s="609">
        <f t="shared" si="618"/>
        <v>0</v>
      </c>
      <c r="Q153" s="609">
        <f t="shared" si="619"/>
        <v>0</v>
      </c>
      <c r="R153" s="610" t="str">
        <f>IFERROR(Q153/Q156,"")</f>
        <v/>
      </c>
      <c r="S153" s="658"/>
      <c r="T153" s="658"/>
      <c r="U153" s="658"/>
      <c r="V153" s="658"/>
      <c r="W153" s="658"/>
      <c r="X153" s="658"/>
      <c r="Y153" s="658"/>
      <c r="Z153" s="658"/>
      <c r="AA153" s="658"/>
      <c r="AB153" s="658"/>
      <c r="AC153" s="658"/>
      <c r="AD153" s="658"/>
      <c r="AE153" s="658"/>
      <c r="AF153" s="658"/>
      <c r="AG153" s="658"/>
      <c r="AH153" s="658"/>
      <c r="AI153" s="658"/>
      <c r="AJ153" s="658"/>
      <c r="AK153" s="658"/>
      <c r="AL153" s="658"/>
      <c r="AM153" s="658"/>
      <c r="AN153" s="658"/>
      <c r="AO153" s="658"/>
      <c r="AP153" s="658"/>
      <c r="AQ153" s="658"/>
      <c r="AR153" s="658"/>
      <c r="AS153" s="658"/>
      <c r="AT153" s="658"/>
      <c r="AU153" s="658"/>
      <c r="AV153" s="658"/>
      <c r="AW153" s="658"/>
      <c r="AX153" s="658"/>
      <c r="AY153" s="658"/>
      <c r="AZ153" s="658"/>
      <c r="BA153" s="658"/>
      <c r="BB153" s="658"/>
      <c r="BC153" s="658"/>
      <c r="BD153" s="658"/>
      <c r="BE153" s="658"/>
      <c r="BF153" s="658"/>
      <c r="BG153" s="658"/>
      <c r="BH153" s="658"/>
      <c r="BI153" s="658"/>
      <c r="BJ153" s="658"/>
      <c r="BK153" s="658"/>
      <c r="BL153" s="658"/>
      <c r="BM153" s="658"/>
      <c r="BN153" s="658"/>
      <c r="BO153" s="658"/>
      <c r="BP153" s="658"/>
      <c r="BQ153" s="658"/>
      <c r="BR153" s="658"/>
      <c r="BS153" s="658"/>
      <c r="BT153" s="658"/>
      <c r="BU153" s="658"/>
      <c r="BV153" s="658"/>
      <c r="BW153" s="658"/>
      <c r="BX153" s="658"/>
      <c r="BY153" s="658"/>
      <c r="BZ153" s="658"/>
      <c r="CA153" s="658"/>
      <c r="CB153" s="658"/>
      <c r="CC153" s="658"/>
      <c r="CD153" s="658"/>
      <c r="CE153" s="658"/>
      <c r="CF153" s="658"/>
      <c r="CG153" s="658"/>
      <c r="CH153" s="658"/>
      <c r="CI153" s="658"/>
      <c r="CJ153" s="658"/>
      <c r="CK153" s="658"/>
      <c r="CL153" s="658"/>
      <c r="CM153" s="658"/>
      <c r="CN153" s="658"/>
      <c r="CO153" s="658"/>
      <c r="CP153" s="658"/>
      <c r="CQ153" s="658"/>
      <c r="CR153" s="658"/>
      <c r="CS153" s="658"/>
      <c r="CT153" s="658"/>
      <c r="CU153" s="658"/>
      <c r="CV153" s="658"/>
      <c r="CW153" s="658"/>
      <c r="CX153" s="658"/>
      <c r="CY153" s="658"/>
      <c r="CZ153" s="658"/>
      <c r="DA153" s="658"/>
      <c r="DB153" s="658"/>
      <c r="DC153" s="658"/>
      <c r="DD153" s="658"/>
      <c r="DE153" s="658"/>
      <c r="DF153" s="658"/>
      <c r="DG153" s="658"/>
      <c r="DH153" s="658"/>
      <c r="DI153" s="658"/>
      <c r="DJ153" s="658"/>
      <c r="DK153" s="658"/>
      <c r="DL153" s="658"/>
      <c r="DM153" s="658"/>
      <c r="DN153" s="658"/>
      <c r="DO153" s="177">
        <f t="shared" si="623"/>
        <v>0</v>
      </c>
      <c r="DP153" s="612" t="e">
        <f t="shared" si="624"/>
        <v>#N/A</v>
      </c>
      <c r="DQ153" s="612" t="e">
        <f t="shared" si="620"/>
        <v>#NUM!</v>
      </c>
      <c r="DR153" s="177"/>
      <c r="DS153" s="177"/>
      <c r="DT153" s="177"/>
      <c r="DU153" s="177"/>
      <c r="DV153" s="177"/>
      <c r="DW153" s="177"/>
      <c r="DX153" s="177"/>
      <c r="DY153" s="177"/>
      <c r="DZ153" s="177"/>
      <c r="EA153" s="613"/>
    </row>
    <row r="154" spans="1:131" ht="14.25" thickBot="1">
      <c r="A154" s="652" t="str">
        <f t="shared" si="616"/>
        <v>모펀드 출자 지분율</v>
      </c>
      <c r="B154" s="660" t="s">
        <v>356</v>
      </c>
      <c r="C154" s="787"/>
      <c r="D154" s="787"/>
      <c r="E154" s="787"/>
      <c r="F154" s="230"/>
      <c r="G154" s="230"/>
      <c r="I154" s="657">
        <f t="shared" si="621"/>
        <v>0</v>
      </c>
      <c r="J154" s="606" t="str">
        <f t="shared" si="622"/>
        <v>N/A</v>
      </c>
      <c r="K154" s="471"/>
      <c r="L154" s="607"/>
      <c r="M154" s="300"/>
      <c r="N154" s="608"/>
      <c r="O154" s="609">
        <f t="shared" si="617"/>
        <v>0</v>
      </c>
      <c r="P154" s="609">
        <f t="shared" si="618"/>
        <v>0</v>
      </c>
      <c r="Q154" s="609">
        <f t="shared" si="619"/>
        <v>0</v>
      </c>
      <c r="R154" s="610" t="str">
        <f>IFERROR(Q154/Q156,"")</f>
        <v/>
      </c>
      <c r="S154" s="658"/>
      <c r="T154" s="658"/>
      <c r="U154" s="658"/>
      <c r="V154" s="658"/>
      <c r="W154" s="658"/>
      <c r="X154" s="658"/>
      <c r="Y154" s="658"/>
      <c r="Z154" s="658"/>
      <c r="AA154" s="658"/>
      <c r="AB154" s="658"/>
      <c r="AC154" s="658"/>
      <c r="AD154" s="658"/>
      <c r="AE154" s="658"/>
      <c r="AF154" s="658"/>
      <c r="AG154" s="658"/>
      <c r="AH154" s="658"/>
      <c r="AI154" s="658"/>
      <c r="AJ154" s="658"/>
      <c r="AK154" s="658"/>
      <c r="AL154" s="658"/>
      <c r="AM154" s="658"/>
      <c r="AN154" s="658"/>
      <c r="AO154" s="658"/>
      <c r="AP154" s="658"/>
      <c r="AQ154" s="658"/>
      <c r="AR154" s="658"/>
      <c r="AS154" s="658"/>
      <c r="AT154" s="658"/>
      <c r="AU154" s="658"/>
      <c r="AV154" s="658"/>
      <c r="AW154" s="658"/>
      <c r="AX154" s="658"/>
      <c r="AY154" s="658"/>
      <c r="AZ154" s="658"/>
      <c r="BA154" s="658"/>
      <c r="BB154" s="658"/>
      <c r="BC154" s="658"/>
      <c r="BD154" s="658"/>
      <c r="BE154" s="658"/>
      <c r="BF154" s="658"/>
      <c r="BG154" s="658"/>
      <c r="BH154" s="658"/>
      <c r="BI154" s="658"/>
      <c r="BJ154" s="658"/>
      <c r="BK154" s="658"/>
      <c r="BL154" s="658"/>
      <c r="BM154" s="658"/>
      <c r="BN154" s="658"/>
      <c r="BO154" s="658"/>
      <c r="BP154" s="658"/>
      <c r="BQ154" s="658"/>
      <c r="BR154" s="658"/>
      <c r="BS154" s="658"/>
      <c r="BT154" s="658"/>
      <c r="BU154" s="658"/>
      <c r="BV154" s="658"/>
      <c r="BW154" s="658"/>
      <c r="BX154" s="658"/>
      <c r="BY154" s="658"/>
      <c r="BZ154" s="658"/>
      <c r="CA154" s="658"/>
      <c r="CB154" s="658"/>
      <c r="CC154" s="658"/>
      <c r="CD154" s="658"/>
      <c r="CE154" s="658"/>
      <c r="CF154" s="658"/>
      <c r="CG154" s="658"/>
      <c r="CH154" s="658"/>
      <c r="CI154" s="658"/>
      <c r="CJ154" s="658"/>
      <c r="CK154" s="658"/>
      <c r="CL154" s="658"/>
      <c r="CM154" s="658"/>
      <c r="CN154" s="658"/>
      <c r="CO154" s="658"/>
      <c r="CP154" s="658"/>
      <c r="CQ154" s="658"/>
      <c r="CR154" s="658"/>
      <c r="CS154" s="658"/>
      <c r="CT154" s="658"/>
      <c r="CU154" s="658"/>
      <c r="CV154" s="658"/>
      <c r="CW154" s="658"/>
      <c r="CX154" s="658"/>
      <c r="CY154" s="658"/>
      <c r="CZ154" s="658"/>
      <c r="DA154" s="658"/>
      <c r="DB154" s="658"/>
      <c r="DC154" s="658"/>
      <c r="DD154" s="658"/>
      <c r="DE154" s="658"/>
      <c r="DF154" s="658"/>
      <c r="DG154" s="658"/>
      <c r="DH154" s="658"/>
      <c r="DI154" s="658"/>
      <c r="DJ154" s="658"/>
      <c r="DK154" s="658"/>
      <c r="DL154" s="658"/>
      <c r="DM154" s="658"/>
      <c r="DN154" s="658"/>
      <c r="DO154" s="177">
        <f t="shared" si="623"/>
        <v>0</v>
      </c>
      <c r="DP154" s="612" t="e">
        <f t="shared" si="624"/>
        <v>#N/A</v>
      </c>
      <c r="DQ154" s="612" t="e">
        <f t="shared" si="620"/>
        <v>#NUM!</v>
      </c>
      <c r="DR154" s="177"/>
      <c r="DS154" s="177"/>
      <c r="DT154" s="177"/>
      <c r="DU154" s="177"/>
      <c r="DV154" s="177"/>
      <c r="DW154" s="177"/>
      <c r="DX154" s="177"/>
      <c r="DY154" s="177"/>
      <c r="DZ154" s="177"/>
      <c r="EA154" s="613"/>
    </row>
    <row r="155" spans="1:131" ht="14.25" thickBot="1">
      <c r="B155" s="778" t="s">
        <v>3404</v>
      </c>
      <c r="C155" s="616" t="s">
        <v>223</v>
      </c>
      <c r="D155" s="616" t="s">
        <v>224</v>
      </c>
      <c r="E155" s="616" t="s">
        <v>225</v>
      </c>
      <c r="F155" s="230"/>
      <c r="G155" s="230"/>
      <c r="I155" s="657">
        <f t="shared" si="621"/>
        <v>0</v>
      </c>
      <c r="J155" s="606" t="str">
        <f t="shared" si="622"/>
        <v>N/A</v>
      </c>
      <c r="K155" s="471"/>
      <c r="L155" s="607"/>
      <c r="M155" s="300"/>
      <c r="N155" s="608"/>
      <c r="O155" s="609">
        <f t="shared" si="617"/>
        <v>0</v>
      </c>
      <c r="P155" s="609">
        <f t="shared" si="618"/>
        <v>0</v>
      </c>
      <c r="Q155" s="609">
        <f t="shared" si="619"/>
        <v>0</v>
      </c>
      <c r="R155" s="610" t="str">
        <f>IFERROR(Q155/Q156,"")</f>
        <v/>
      </c>
      <c r="S155" s="658"/>
      <c r="T155" s="658"/>
      <c r="U155" s="658"/>
      <c r="V155" s="658"/>
      <c r="W155" s="658"/>
      <c r="X155" s="658"/>
      <c r="Y155" s="658"/>
      <c r="Z155" s="658"/>
      <c r="AA155" s="658"/>
      <c r="AB155" s="658"/>
      <c r="AC155" s="658"/>
      <c r="AD155" s="658"/>
      <c r="AE155" s="658"/>
      <c r="AF155" s="658"/>
      <c r="AG155" s="658"/>
      <c r="AH155" s="658"/>
      <c r="AI155" s="658"/>
      <c r="AJ155" s="658"/>
      <c r="AK155" s="658"/>
      <c r="AL155" s="658"/>
      <c r="AM155" s="658"/>
      <c r="AN155" s="658"/>
      <c r="AO155" s="658"/>
      <c r="AP155" s="658"/>
      <c r="AQ155" s="658"/>
      <c r="AR155" s="658"/>
      <c r="AS155" s="658"/>
      <c r="AT155" s="658"/>
      <c r="AU155" s="658"/>
      <c r="AV155" s="658"/>
      <c r="AW155" s="658"/>
      <c r="AX155" s="658"/>
      <c r="AY155" s="658"/>
      <c r="AZ155" s="658"/>
      <c r="BA155" s="658"/>
      <c r="BB155" s="658"/>
      <c r="BC155" s="658"/>
      <c r="BD155" s="658"/>
      <c r="BE155" s="658"/>
      <c r="BF155" s="658"/>
      <c r="BG155" s="658"/>
      <c r="BH155" s="658"/>
      <c r="BI155" s="658"/>
      <c r="BJ155" s="658"/>
      <c r="BK155" s="658"/>
      <c r="BL155" s="658"/>
      <c r="BM155" s="658"/>
      <c r="BN155" s="658"/>
      <c r="BO155" s="658"/>
      <c r="BP155" s="658"/>
      <c r="BQ155" s="658"/>
      <c r="BR155" s="658"/>
      <c r="BS155" s="658"/>
      <c r="BT155" s="658"/>
      <c r="BU155" s="658"/>
      <c r="BV155" s="658"/>
      <c r="BW155" s="658"/>
      <c r="BX155" s="658"/>
      <c r="BY155" s="658"/>
      <c r="BZ155" s="658"/>
      <c r="CA155" s="658"/>
      <c r="CB155" s="658"/>
      <c r="CC155" s="658"/>
      <c r="CD155" s="658"/>
      <c r="CE155" s="658"/>
      <c r="CF155" s="658"/>
      <c r="CG155" s="658"/>
      <c r="CH155" s="658"/>
      <c r="CI155" s="658"/>
      <c r="CJ155" s="658"/>
      <c r="CK155" s="658"/>
      <c r="CL155" s="658"/>
      <c r="CM155" s="658"/>
      <c r="CN155" s="658"/>
      <c r="CO155" s="658"/>
      <c r="CP155" s="658"/>
      <c r="CQ155" s="658"/>
      <c r="CR155" s="658"/>
      <c r="CS155" s="658"/>
      <c r="CT155" s="658"/>
      <c r="CU155" s="658"/>
      <c r="CV155" s="658"/>
      <c r="CW155" s="658"/>
      <c r="CX155" s="658"/>
      <c r="CY155" s="658"/>
      <c r="CZ155" s="658"/>
      <c r="DA155" s="658"/>
      <c r="DB155" s="658"/>
      <c r="DC155" s="658"/>
      <c r="DD155" s="658"/>
      <c r="DE155" s="658"/>
      <c r="DF155" s="658"/>
      <c r="DG155" s="658"/>
      <c r="DH155" s="658"/>
      <c r="DI155" s="658"/>
      <c r="DJ155" s="658"/>
      <c r="DK155" s="658"/>
      <c r="DL155" s="658"/>
      <c r="DM155" s="658"/>
      <c r="DN155" s="658"/>
      <c r="DO155" s="177">
        <f t="shared" si="623"/>
        <v>0</v>
      </c>
      <c r="DP155" s="612" t="e">
        <f t="shared" si="624"/>
        <v>#N/A</v>
      </c>
      <c r="DQ155" s="612" t="e">
        <f t="shared" si="620"/>
        <v>#NUM!</v>
      </c>
      <c r="DR155" s="177"/>
      <c r="DS155" s="177"/>
      <c r="DT155" s="177"/>
      <c r="DU155" s="177"/>
      <c r="DV155" s="177"/>
      <c r="DW155" s="177"/>
      <c r="DX155" s="177"/>
      <c r="DY155" s="177"/>
      <c r="DZ155" s="177"/>
      <c r="EA155" s="613"/>
    </row>
    <row r="156" spans="1:131" s="603" customFormat="1" ht="14.25" thickBot="1">
      <c r="A156" s="649"/>
      <c r="B156" s="779"/>
      <c r="C156" s="661"/>
      <c r="D156" s="661"/>
      <c r="E156" s="661"/>
      <c r="F156" s="662"/>
      <c r="G156" s="662"/>
      <c r="H156" s="317"/>
      <c r="I156" s="634">
        <f>SUM(I148:I155)</f>
        <v>0</v>
      </c>
      <c r="J156" s="663"/>
      <c r="K156" s="664"/>
      <c r="L156" s="664"/>
      <c r="M156" s="664"/>
      <c r="N156" s="634">
        <f t="shared" ref="N156:R156" si="625">SUM(N148:N155)</f>
        <v>0</v>
      </c>
      <c r="O156" s="634">
        <f t="shared" si="625"/>
        <v>0</v>
      </c>
      <c r="P156" s="634">
        <f t="shared" si="625"/>
        <v>0</v>
      </c>
      <c r="Q156" s="634">
        <f t="shared" si="625"/>
        <v>0</v>
      </c>
      <c r="R156" s="665">
        <f t="shared" si="625"/>
        <v>0</v>
      </c>
      <c r="S156" s="634">
        <f>SUM(S148:S155)</f>
        <v>0</v>
      </c>
      <c r="T156" s="634">
        <f t="shared" ref="T156" si="626">SUM(T148:T155)</f>
        <v>0</v>
      </c>
      <c r="U156" s="634">
        <f t="shared" ref="U156" si="627">SUM(U148:U155)</f>
        <v>0</v>
      </c>
      <c r="V156" s="634">
        <f t="shared" ref="V156" si="628">SUM(V148:V155)</f>
        <v>0</v>
      </c>
      <c r="W156" s="634">
        <f t="shared" ref="W156" si="629">SUM(W148:W155)</f>
        <v>0</v>
      </c>
      <c r="X156" s="634">
        <f t="shared" ref="X156" si="630">SUM(X148:X155)</f>
        <v>0</v>
      </c>
      <c r="Y156" s="634">
        <f t="shared" ref="Y156" si="631">SUM(Y148:Y155)</f>
        <v>0</v>
      </c>
      <c r="Z156" s="634">
        <f t="shared" ref="Z156" si="632">SUM(Z148:Z155)</f>
        <v>0</v>
      </c>
      <c r="AA156" s="634">
        <f t="shared" ref="AA156" si="633">SUM(AA148:AA155)</f>
        <v>0</v>
      </c>
      <c r="AB156" s="634">
        <f t="shared" ref="AB156" si="634">SUM(AB148:AB155)</f>
        <v>0</v>
      </c>
      <c r="AC156" s="634">
        <f t="shared" ref="AC156" si="635">SUM(AC148:AC155)</f>
        <v>0</v>
      </c>
      <c r="AD156" s="634">
        <f t="shared" ref="AD156" si="636">SUM(AD148:AD155)</f>
        <v>0</v>
      </c>
      <c r="AE156" s="634">
        <f t="shared" ref="AE156" si="637">SUM(AE148:AE155)</f>
        <v>0</v>
      </c>
      <c r="AF156" s="634">
        <f t="shared" ref="AF156" si="638">SUM(AF148:AF155)</f>
        <v>0</v>
      </c>
      <c r="AG156" s="634">
        <f t="shared" ref="AG156" si="639">SUM(AG148:AG155)</f>
        <v>0</v>
      </c>
      <c r="AH156" s="634">
        <f t="shared" ref="AH156" si="640">SUM(AH148:AH155)</f>
        <v>0</v>
      </c>
      <c r="AI156" s="634">
        <f t="shared" ref="AI156" si="641">SUM(AI148:AI155)</f>
        <v>0</v>
      </c>
      <c r="AJ156" s="634">
        <f t="shared" ref="AJ156" si="642">SUM(AJ148:AJ155)</f>
        <v>0</v>
      </c>
      <c r="AK156" s="634">
        <f t="shared" ref="AK156" si="643">SUM(AK148:AK155)</f>
        <v>0</v>
      </c>
      <c r="AL156" s="634">
        <f t="shared" ref="AL156" si="644">SUM(AL148:AL155)</f>
        <v>0</v>
      </c>
      <c r="AM156" s="634">
        <f t="shared" ref="AM156" si="645">SUM(AM148:AM155)</f>
        <v>0</v>
      </c>
      <c r="AN156" s="634">
        <f t="shared" ref="AN156" si="646">SUM(AN148:AN155)</f>
        <v>0</v>
      </c>
      <c r="AO156" s="634">
        <f t="shared" ref="AO156" si="647">SUM(AO148:AO155)</f>
        <v>0</v>
      </c>
      <c r="AP156" s="634">
        <f t="shared" ref="AP156" si="648">SUM(AP148:AP155)</f>
        <v>0</v>
      </c>
      <c r="AQ156" s="634">
        <f t="shared" ref="AQ156" si="649">SUM(AQ148:AQ155)</f>
        <v>0</v>
      </c>
      <c r="AR156" s="634">
        <f t="shared" ref="AR156" si="650">SUM(AR148:AR155)</f>
        <v>0</v>
      </c>
      <c r="AS156" s="634">
        <f t="shared" ref="AS156" si="651">SUM(AS148:AS155)</f>
        <v>0</v>
      </c>
      <c r="AT156" s="634">
        <f t="shared" ref="AT156" si="652">SUM(AT148:AT155)</f>
        <v>0</v>
      </c>
      <c r="AU156" s="634">
        <f t="shared" ref="AU156" si="653">SUM(AU148:AU155)</f>
        <v>0</v>
      </c>
      <c r="AV156" s="634">
        <f t="shared" ref="AV156" si="654">SUM(AV148:AV155)</f>
        <v>0</v>
      </c>
      <c r="AW156" s="634">
        <f t="shared" ref="AW156" si="655">SUM(AW148:AW155)</f>
        <v>0</v>
      </c>
      <c r="AX156" s="634">
        <f t="shared" ref="AX156" si="656">SUM(AX148:AX155)</f>
        <v>0</v>
      </c>
      <c r="AY156" s="634">
        <f t="shared" ref="AY156" si="657">SUM(AY148:AY155)</f>
        <v>0</v>
      </c>
      <c r="AZ156" s="634">
        <f t="shared" ref="AZ156" si="658">SUM(AZ148:AZ155)</f>
        <v>0</v>
      </c>
      <c r="BA156" s="634">
        <f t="shared" ref="BA156" si="659">SUM(BA148:BA155)</f>
        <v>0</v>
      </c>
      <c r="BB156" s="634">
        <f t="shared" ref="BB156" si="660">SUM(BB148:BB155)</f>
        <v>0</v>
      </c>
      <c r="BC156" s="634">
        <f t="shared" ref="BC156" si="661">SUM(BC148:BC155)</f>
        <v>0</v>
      </c>
      <c r="BD156" s="634">
        <f t="shared" ref="BD156" si="662">SUM(BD148:BD155)</f>
        <v>0</v>
      </c>
      <c r="BE156" s="634">
        <f t="shared" ref="BE156" si="663">SUM(BE148:BE155)</f>
        <v>0</v>
      </c>
      <c r="BF156" s="634">
        <f t="shared" ref="BF156" si="664">SUM(BF148:BF155)</f>
        <v>0</v>
      </c>
      <c r="BG156" s="634">
        <f t="shared" ref="BG156" si="665">SUM(BG148:BG155)</f>
        <v>0</v>
      </c>
      <c r="BH156" s="634">
        <f t="shared" ref="BH156" si="666">SUM(BH148:BH155)</f>
        <v>0</v>
      </c>
      <c r="BI156" s="634">
        <f t="shared" ref="BI156" si="667">SUM(BI148:BI155)</f>
        <v>0</v>
      </c>
      <c r="BJ156" s="634">
        <f t="shared" ref="BJ156" si="668">SUM(BJ148:BJ155)</f>
        <v>0</v>
      </c>
      <c r="BK156" s="634">
        <f t="shared" ref="BK156" si="669">SUM(BK148:BK155)</f>
        <v>0</v>
      </c>
      <c r="BL156" s="634">
        <f t="shared" ref="BL156" si="670">SUM(BL148:BL155)</f>
        <v>0</v>
      </c>
      <c r="BM156" s="634">
        <f t="shared" ref="BM156" si="671">SUM(BM148:BM155)</f>
        <v>0</v>
      </c>
      <c r="BN156" s="634">
        <f t="shared" ref="BN156" si="672">SUM(BN148:BN155)</f>
        <v>0</v>
      </c>
      <c r="BO156" s="634">
        <f t="shared" ref="BO156" si="673">SUM(BO148:BO155)</f>
        <v>0</v>
      </c>
      <c r="BP156" s="634">
        <f t="shared" ref="BP156" si="674">SUM(BP148:BP155)</f>
        <v>0</v>
      </c>
      <c r="BQ156" s="634">
        <f t="shared" ref="BQ156" si="675">SUM(BQ148:BQ155)</f>
        <v>0</v>
      </c>
      <c r="BR156" s="634">
        <f t="shared" ref="BR156" si="676">SUM(BR148:BR155)</f>
        <v>0</v>
      </c>
      <c r="BS156" s="634">
        <f t="shared" ref="BS156" si="677">SUM(BS148:BS155)</f>
        <v>0</v>
      </c>
      <c r="BT156" s="634">
        <f t="shared" ref="BT156" si="678">SUM(BT148:BT155)</f>
        <v>0</v>
      </c>
      <c r="BU156" s="634">
        <f t="shared" ref="BU156" si="679">SUM(BU148:BU155)</f>
        <v>0</v>
      </c>
      <c r="BV156" s="634">
        <f t="shared" ref="BV156" si="680">SUM(BV148:BV155)</f>
        <v>0</v>
      </c>
      <c r="BW156" s="634">
        <f t="shared" ref="BW156" si="681">SUM(BW148:BW155)</f>
        <v>0</v>
      </c>
      <c r="BX156" s="634">
        <f t="shared" ref="BX156" si="682">SUM(BX148:BX155)</f>
        <v>0</v>
      </c>
      <c r="BY156" s="634">
        <f t="shared" ref="BY156" si="683">SUM(BY148:BY155)</f>
        <v>0</v>
      </c>
      <c r="BZ156" s="634">
        <f t="shared" ref="BZ156" si="684">SUM(BZ148:BZ155)</f>
        <v>0</v>
      </c>
      <c r="CA156" s="634">
        <f t="shared" ref="CA156" si="685">SUM(CA148:CA155)</f>
        <v>0</v>
      </c>
      <c r="CB156" s="634">
        <f t="shared" ref="CB156" si="686">SUM(CB148:CB155)</f>
        <v>0</v>
      </c>
      <c r="CC156" s="634">
        <f t="shared" ref="CC156" si="687">SUM(CC148:CC155)</f>
        <v>0</v>
      </c>
      <c r="CD156" s="634">
        <f t="shared" ref="CD156" si="688">SUM(CD148:CD155)</f>
        <v>0</v>
      </c>
      <c r="CE156" s="634">
        <f t="shared" ref="CE156" si="689">SUM(CE148:CE155)</f>
        <v>0</v>
      </c>
      <c r="CF156" s="634">
        <f t="shared" ref="CF156" si="690">SUM(CF148:CF155)</f>
        <v>0</v>
      </c>
      <c r="CG156" s="634">
        <f t="shared" ref="CG156" si="691">SUM(CG148:CG155)</f>
        <v>0</v>
      </c>
      <c r="CH156" s="634">
        <f t="shared" ref="CH156" si="692">SUM(CH148:CH155)</f>
        <v>0</v>
      </c>
      <c r="CI156" s="634">
        <f t="shared" ref="CI156" si="693">SUM(CI148:CI155)</f>
        <v>0</v>
      </c>
      <c r="CJ156" s="634">
        <f t="shared" ref="CJ156" si="694">SUM(CJ148:CJ155)</f>
        <v>0</v>
      </c>
      <c r="CK156" s="634">
        <f t="shared" ref="CK156" si="695">SUM(CK148:CK155)</f>
        <v>0</v>
      </c>
      <c r="CL156" s="634">
        <f t="shared" ref="CL156" si="696">SUM(CL148:CL155)</f>
        <v>0</v>
      </c>
      <c r="CM156" s="634">
        <f t="shared" ref="CM156" si="697">SUM(CM148:CM155)</f>
        <v>0</v>
      </c>
      <c r="CN156" s="634">
        <f t="shared" ref="CN156" si="698">SUM(CN148:CN155)</f>
        <v>0</v>
      </c>
      <c r="CO156" s="634">
        <f t="shared" ref="CO156" si="699">SUM(CO148:CO155)</f>
        <v>0</v>
      </c>
      <c r="CP156" s="634">
        <f t="shared" ref="CP156" si="700">SUM(CP148:CP155)</f>
        <v>0</v>
      </c>
      <c r="CQ156" s="634">
        <f t="shared" ref="CQ156" si="701">SUM(CQ148:CQ155)</f>
        <v>0</v>
      </c>
      <c r="CR156" s="634">
        <f t="shared" ref="CR156" si="702">SUM(CR148:CR155)</f>
        <v>0</v>
      </c>
      <c r="CS156" s="634">
        <f t="shared" ref="CS156" si="703">SUM(CS148:CS155)</f>
        <v>0</v>
      </c>
      <c r="CT156" s="634">
        <f t="shared" ref="CT156" si="704">SUM(CT148:CT155)</f>
        <v>0</v>
      </c>
      <c r="CU156" s="634">
        <f t="shared" ref="CU156" si="705">SUM(CU148:CU155)</f>
        <v>0</v>
      </c>
      <c r="CV156" s="634">
        <f t="shared" ref="CV156" si="706">SUM(CV148:CV155)</f>
        <v>0</v>
      </c>
      <c r="CW156" s="634">
        <f t="shared" ref="CW156" si="707">SUM(CW148:CW155)</f>
        <v>0</v>
      </c>
      <c r="CX156" s="634">
        <f t="shared" ref="CX156" si="708">SUM(CX148:CX155)</f>
        <v>0</v>
      </c>
      <c r="CY156" s="634">
        <f t="shared" ref="CY156" si="709">SUM(CY148:CY155)</f>
        <v>0</v>
      </c>
      <c r="CZ156" s="634">
        <f t="shared" ref="CZ156" si="710">SUM(CZ148:CZ155)</f>
        <v>0</v>
      </c>
      <c r="DA156" s="634">
        <f t="shared" ref="DA156" si="711">SUM(DA148:DA155)</f>
        <v>0</v>
      </c>
      <c r="DB156" s="634">
        <f t="shared" ref="DB156" si="712">SUM(DB148:DB155)</f>
        <v>0</v>
      </c>
      <c r="DC156" s="634">
        <f t="shared" ref="DC156" si="713">SUM(DC148:DC155)</f>
        <v>0</v>
      </c>
      <c r="DD156" s="634">
        <f t="shared" ref="DD156" si="714">SUM(DD148:DD155)</f>
        <v>0</v>
      </c>
      <c r="DE156" s="634">
        <f t="shared" ref="DE156" si="715">SUM(DE148:DE155)</f>
        <v>0</v>
      </c>
      <c r="DF156" s="634">
        <f t="shared" ref="DF156" si="716">SUM(DF148:DF155)</f>
        <v>0</v>
      </c>
      <c r="DG156" s="634">
        <f t="shared" ref="DG156" si="717">SUM(DG148:DG155)</f>
        <v>0</v>
      </c>
      <c r="DH156" s="634">
        <f t="shared" ref="DH156" si="718">SUM(DH148:DH155)</f>
        <v>0</v>
      </c>
      <c r="DI156" s="634">
        <f t="shared" ref="DI156" si="719">SUM(DI148:DI155)</f>
        <v>0</v>
      </c>
      <c r="DJ156" s="634">
        <f t="shared" ref="DJ156" si="720">SUM(DJ148:DJ155)</f>
        <v>0</v>
      </c>
      <c r="DK156" s="634">
        <f t="shared" ref="DK156" si="721">SUM(DK148:DK155)</f>
        <v>0</v>
      </c>
      <c r="DL156" s="634">
        <f t="shared" ref="DL156" si="722">SUM(DL148:DL155)</f>
        <v>0</v>
      </c>
      <c r="DM156" s="634">
        <f t="shared" ref="DM156" si="723">SUM(DM148:DM155)</f>
        <v>0</v>
      </c>
      <c r="DN156" s="634">
        <f t="shared" ref="DN156" si="724">SUM(DN148:DN155)</f>
        <v>0</v>
      </c>
      <c r="DO156" s="634">
        <f t="shared" ref="DO156" si="725">SUM(DO148:DO155)</f>
        <v>0</v>
      </c>
      <c r="DP156" s="666"/>
      <c r="DQ156" s="638" t="e">
        <f>XIRR(S156:DO156,$S$147:$DO$147)</f>
        <v>#NUM!</v>
      </c>
      <c r="DR156" s="636">
        <f t="shared" ref="DR156:DX156" si="726">SUM(DR148:DR155)</f>
        <v>0</v>
      </c>
      <c r="DS156" s="636">
        <f t="shared" si="726"/>
        <v>0</v>
      </c>
      <c r="DT156" s="636">
        <f t="shared" si="726"/>
        <v>0</v>
      </c>
      <c r="DU156" s="636">
        <f t="shared" si="726"/>
        <v>0</v>
      </c>
      <c r="DV156" s="636">
        <f t="shared" si="726"/>
        <v>0</v>
      </c>
      <c r="DW156" s="636">
        <f t="shared" si="726"/>
        <v>0</v>
      </c>
      <c r="DX156" s="636">
        <f t="shared" si="726"/>
        <v>0</v>
      </c>
      <c r="DY156" s="636">
        <f>SUM(DY148:DY155)</f>
        <v>0</v>
      </c>
      <c r="DZ156" s="636">
        <f>SUM(DZ148:DZ155)</f>
        <v>0</v>
      </c>
      <c r="EA156" s="636">
        <f>SUM(EA148:EA155)</f>
        <v>0</v>
      </c>
    </row>
    <row r="157" spans="1:131" s="603" customFormat="1" ht="13.5" customHeight="1" thickBot="1">
      <c r="A157" s="172"/>
      <c r="B157" s="667"/>
      <c r="C157" s="592" t="s">
        <v>3609</v>
      </c>
      <c r="D157" s="648">
        <f>D145+1</f>
        <v>9</v>
      </c>
      <c r="E157" s="649"/>
      <c r="H157" s="225"/>
      <c r="I157" s="650" t="b">
        <f>I168=DR159</f>
        <v>1</v>
      </c>
      <c r="J157" s="172"/>
      <c r="K157" s="172"/>
      <c r="L157" s="172"/>
      <c r="M157" s="172"/>
      <c r="N157" s="172"/>
      <c r="O157" s="172"/>
      <c r="P157" s="172"/>
      <c r="Q157" s="639" t="str">
        <f>IF(Q168=NAV!E523,"자본금과 일치","자본금과 불일치")</f>
        <v>자본금과 일치</v>
      </c>
      <c r="R157" s="172"/>
      <c r="S157" s="172"/>
      <c r="T157" s="172"/>
      <c r="U157" s="172"/>
      <c r="V157" s="172"/>
      <c r="W157" s="172"/>
      <c r="X157" s="172"/>
      <c r="Y157" s="172"/>
      <c r="Z157" s="172"/>
      <c r="AA157" s="172"/>
      <c r="AB157" s="172"/>
      <c r="AC157" s="172"/>
      <c r="AD157" s="172"/>
      <c r="AE157" s="172"/>
      <c r="AF157" s="172"/>
      <c r="AG157" s="172"/>
      <c r="AH157" s="172"/>
      <c r="AI157" s="172"/>
      <c r="AJ157" s="172"/>
      <c r="AK157" s="172"/>
      <c r="AL157" s="172"/>
      <c r="AM157" s="172"/>
      <c r="AN157" s="172"/>
      <c r="AO157" s="172"/>
      <c r="AP157" s="172"/>
      <c r="AQ157" s="172"/>
      <c r="AR157" s="172"/>
      <c r="AS157" s="172"/>
      <c r="AT157" s="172"/>
      <c r="AU157" s="172"/>
      <c r="AV157" s="172"/>
      <c r="AW157" s="172"/>
      <c r="AX157" s="172"/>
      <c r="AY157" s="172"/>
      <c r="AZ157" s="172"/>
      <c r="BA157" s="172"/>
      <c r="BB157" s="172"/>
      <c r="BC157" s="172"/>
      <c r="BD157" s="172"/>
      <c r="BE157" s="172"/>
      <c r="BF157" s="172"/>
      <c r="BG157" s="172"/>
      <c r="BH157" s="172"/>
      <c r="BI157" s="172"/>
      <c r="BJ157" s="172"/>
      <c r="BK157" s="172"/>
      <c r="BL157" s="172"/>
      <c r="BM157" s="172"/>
      <c r="BN157" s="172"/>
      <c r="BO157" s="172"/>
      <c r="BP157" s="172"/>
      <c r="BQ157" s="172"/>
      <c r="BR157" s="172"/>
      <c r="BS157" s="172"/>
      <c r="BT157" s="172"/>
      <c r="BU157" s="172"/>
      <c r="BV157" s="172"/>
      <c r="BW157" s="172"/>
      <c r="BX157" s="172"/>
      <c r="BY157" s="172"/>
      <c r="BZ157" s="172"/>
      <c r="CA157" s="172"/>
      <c r="CB157" s="172"/>
      <c r="CC157" s="172"/>
      <c r="CD157" s="172"/>
      <c r="CE157" s="172"/>
      <c r="CF157" s="172"/>
      <c r="CG157" s="172"/>
      <c r="CH157" s="172"/>
      <c r="CI157" s="172"/>
      <c r="CJ157" s="172"/>
      <c r="CK157" s="172"/>
      <c r="CL157" s="172"/>
      <c r="CM157" s="172"/>
      <c r="CN157" s="172"/>
      <c r="CO157" s="172"/>
      <c r="CP157" s="172"/>
      <c r="CQ157" s="172"/>
      <c r="CR157" s="172"/>
      <c r="CS157" s="172"/>
      <c r="CT157" s="172"/>
      <c r="CU157" s="172"/>
      <c r="CV157" s="172"/>
      <c r="CW157" s="172"/>
      <c r="CX157" s="172"/>
      <c r="CY157" s="172"/>
      <c r="CZ157" s="172"/>
      <c r="DA157" s="172"/>
      <c r="DB157" s="172"/>
      <c r="DC157" s="172"/>
      <c r="DD157" s="172"/>
      <c r="DE157" s="172"/>
      <c r="DF157" s="172"/>
      <c r="DG157" s="172"/>
      <c r="DH157" s="172"/>
      <c r="DI157" s="172"/>
      <c r="DJ157" s="172"/>
      <c r="DK157" s="172"/>
      <c r="DL157" s="172"/>
      <c r="DM157" s="172"/>
      <c r="DN157" s="172"/>
      <c r="DO157" s="588" t="s">
        <v>219</v>
      </c>
      <c r="DP157" s="588" t="str">
        <f>IF(ROUND(_xlfn.AGGREGATE(9,6,DP160:DP167),5)=ROUND(_xlfn.AGGREGATE(9,6,DQ160:DQ167),5),"이상없음","기준수익률확인")</f>
        <v>이상없음</v>
      </c>
      <c r="DQ157" s="172"/>
      <c r="DR157" s="651" t="s">
        <v>3406</v>
      </c>
      <c r="DS157" s="172"/>
      <c r="DT157" s="615"/>
      <c r="DU157" s="615"/>
      <c r="DV157" s="172"/>
      <c r="DW157" s="172"/>
      <c r="DX157" s="615"/>
      <c r="DY157" s="172"/>
      <c r="DZ157" s="172"/>
      <c r="EA157" s="172"/>
    </row>
    <row r="158" spans="1:131" s="603" customFormat="1" ht="13.5" customHeight="1">
      <c r="A158" s="652" t="str">
        <f t="shared" ref="A158:A166" si="727">$B$157&amp;B158</f>
        <v>SPC명</v>
      </c>
      <c r="B158" s="653" t="s">
        <v>349</v>
      </c>
      <c r="C158" s="780"/>
      <c r="D158" s="780"/>
      <c r="E158" s="780"/>
      <c r="F158" s="230"/>
      <c r="G158" s="230"/>
      <c r="H158" s="225"/>
      <c r="I158" s="776" t="s">
        <v>3393</v>
      </c>
      <c r="J158" s="776" t="s">
        <v>3394</v>
      </c>
      <c r="K158" s="774" t="s">
        <v>3395</v>
      </c>
      <c r="L158" s="774" t="s">
        <v>3396</v>
      </c>
      <c r="M158" s="774" t="s">
        <v>203</v>
      </c>
      <c r="N158" s="774" t="s">
        <v>211</v>
      </c>
      <c r="O158" s="774" t="s">
        <v>3399</v>
      </c>
      <c r="P158" s="776" t="s">
        <v>239</v>
      </c>
      <c r="Q158" s="774" t="s">
        <v>3401</v>
      </c>
      <c r="R158" s="774" t="s">
        <v>3402</v>
      </c>
      <c r="S158" s="593"/>
      <c r="T158" s="593"/>
      <c r="U158" s="593"/>
      <c r="V158" s="593"/>
      <c r="W158" s="593"/>
      <c r="X158" s="593"/>
      <c r="Y158" s="593"/>
      <c r="Z158" s="593"/>
      <c r="AA158" s="593"/>
      <c r="AB158" s="593"/>
      <c r="AC158" s="593"/>
      <c r="AD158" s="593"/>
      <c r="AE158" s="593"/>
      <c r="AF158" s="593"/>
      <c r="AG158" s="593"/>
      <c r="AH158" s="593"/>
      <c r="AI158" s="593"/>
      <c r="AJ158" s="593"/>
      <c r="AK158" s="593"/>
      <c r="AL158" s="593"/>
      <c r="AM158" s="593"/>
      <c r="AN158" s="593"/>
      <c r="AO158" s="593"/>
      <c r="AP158" s="593"/>
      <c r="AQ158" s="593"/>
      <c r="AR158" s="593"/>
      <c r="AS158" s="593"/>
      <c r="AT158" s="593"/>
      <c r="AU158" s="593"/>
      <c r="AV158" s="593"/>
      <c r="AW158" s="593"/>
      <c r="AX158" s="593"/>
      <c r="AY158" s="593"/>
      <c r="AZ158" s="593"/>
      <c r="BA158" s="593"/>
      <c r="BB158" s="593"/>
      <c r="BC158" s="593"/>
      <c r="BD158" s="593"/>
      <c r="BE158" s="593"/>
      <c r="BF158" s="593"/>
      <c r="BG158" s="593"/>
      <c r="BH158" s="593"/>
      <c r="BI158" s="593"/>
      <c r="BJ158" s="593"/>
      <c r="BK158" s="593"/>
      <c r="BL158" s="593"/>
      <c r="BM158" s="593"/>
      <c r="BN158" s="593"/>
      <c r="BO158" s="593"/>
      <c r="BP158" s="593"/>
      <c r="BQ158" s="593"/>
      <c r="BR158" s="593"/>
      <c r="BS158" s="593"/>
      <c r="BT158" s="593"/>
      <c r="BU158" s="593"/>
      <c r="BV158" s="593"/>
      <c r="BW158" s="593"/>
      <c r="BX158" s="593"/>
      <c r="BY158" s="593"/>
      <c r="BZ158" s="593"/>
      <c r="CA158" s="593"/>
      <c r="CB158" s="593"/>
      <c r="CC158" s="593"/>
      <c r="CD158" s="593"/>
      <c r="CE158" s="593"/>
      <c r="CF158" s="593"/>
      <c r="CG158" s="593"/>
      <c r="CH158" s="593"/>
      <c r="CI158" s="593"/>
      <c r="CJ158" s="593"/>
      <c r="CK158" s="593"/>
      <c r="CL158" s="593"/>
      <c r="CM158" s="593"/>
      <c r="CN158" s="593"/>
      <c r="CO158" s="593"/>
      <c r="CP158" s="593"/>
      <c r="CQ158" s="593"/>
      <c r="CR158" s="593"/>
      <c r="CS158" s="593"/>
      <c r="CT158" s="593"/>
      <c r="CU158" s="593"/>
      <c r="CV158" s="593"/>
      <c r="CW158" s="593"/>
      <c r="CX158" s="593"/>
      <c r="CY158" s="593"/>
      <c r="CZ158" s="593"/>
      <c r="DA158" s="593"/>
      <c r="DB158" s="593"/>
      <c r="DC158" s="593"/>
      <c r="DD158" s="593"/>
      <c r="DE158" s="593"/>
      <c r="DF158" s="593"/>
      <c r="DG158" s="593"/>
      <c r="DH158" s="593"/>
      <c r="DI158" s="593"/>
      <c r="DJ158" s="593"/>
      <c r="DK158" s="593"/>
      <c r="DL158" s="593"/>
      <c r="DM158" s="593"/>
      <c r="DN158" s="593"/>
      <c r="DO158" s="594" t="s">
        <v>220</v>
      </c>
      <c r="DP158" s="774" t="s">
        <v>218</v>
      </c>
      <c r="DQ158" s="774" t="s">
        <v>222</v>
      </c>
      <c r="DR158" s="594"/>
      <c r="DS158" s="594"/>
      <c r="DT158" s="594"/>
      <c r="DU158" s="594"/>
      <c r="DV158" s="594"/>
      <c r="DW158" s="594"/>
      <c r="DX158" s="594"/>
      <c r="DY158" s="594"/>
      <c r="DZ158" s="594"/>
      <c r="EA158" s="602"/>
    </row>
    <row r="159" spans="1:131" s="603" customFormat="1" ht="13.5" customHeight="1" thickBot="1">
      <c r="A159" s="652" t="str">
        <f t="shared" si="727"/>
        <v>유형</v>
      </c>
      <c r="B159" s="653" t="s">
        <v>366</v>
      </c>
      <c r="C159" s="780"/>
      <c r="D159" s="780"/>
      <c r="E159" s="780"/>
      <c r="F159" s="230"/>
      <c r="G159" s="230"/>
      <c r="H159" s="225"/>
      <c r="I159" s="777"/>
      <c r="J159" s="777"/>
      <c r="K159" s="775"/>
      <c r="L159" s="775"/>
      <c r="M159" s="775"/>
      <c r="N159" s="775"/>
      <c r="O159" s="775"/>
      <c r="P159" s="777"/>
      <c r="Q159" s="775"/>
      <c r="R159" s="775"/>
      <c r="S159" s="601"/>
      <c r="T159" s="601"/>
      <c r="U159" s="601"/>
      <c r="V159" s="601"/>
      <c r="W159" s="601"/>
      <c r="X159" s="601"/>
      <c r="Y159" s="601"/>
      <c r="Z159" s="601"/>
      <c r="AA159" s="601"/>
      <c r="AB159" s="601"/>
      <c r="AC159" s="601"/>
      <c r="AD159" s="601"/>
      <c r="AE159" s="601"/>
      <c r="AF159" s="601"/>
      <c r="AG159" s="601"/>
      <c r="AH159" s="601"/>
      <c r="AI159" s="601"/>
      <c r="AJ159" s="601"/>
      <c r="AK159" s="601"/>
      <c r="AL159" s="601"/>
      <c r="AM159" s="601"/>
      <c r="AN159" s="601"/>
      <c r="AO159" s="601"/>
      <c r="AP159" s="601"/>
      <c r="AQ159" s="601"/>
      <c r="AR159" s="601"/>
      <c r="AS159" s="601"/>
      <c r="AT159" s="601"/>
      <c r="AU159" s="601"/>
      <c r="AV159" s="601"/>
      <c r="AW159" s="601"/>
      <c r="AX159" s="601"/>
      <c r="AY159" s="601"/>
      <c r="AZ159" s="601"/>
      <c r="BA159" s="601"/>
      <c r="BB159" s="601"/>
      <c r="BC159" s="601"/>
      <c r="BD159" s="601"/>
      <c r="BE159" s="601"/>
      <c r="BF159" s="601"/>
      <c r="BG159" s="601"/>
      <c r="BH159" s="601"/>
      <c r="BI159" s="601"/>
      <c r="BJ159" s="601"/>
      <c r="BK159" s="601"/>
      <c r="BL159" s="601"/>
      <c r="BM159" s="601"/>
      <c r="BN159" s="601"/>
      <c r="BO159" s="601"/>
      <c r="BP159" s="601"/>
      <c r="BQ159" s="601"/>
      <c r="BR159" s="601"/>
      <c r="BS159" s="601"/>
      <c r="BT159" s="601"/>
      <c r="BU159" s="601"/>
      <c r="BV159" s="601"/>
      <c r="BW159" s="601"/>
      <c r="BX159" s="601"/>
      <c r="BY159" s="601"/>
      <c r="BZ159" s="601"/>
      <c r="CA159" s="601"/>
      <c r="CB159" s="601"/>
      <c r="CC159" s="601"/>
      <c r="CD159" s="601"/>
      <c r="CE159" s="601"/>
      <c r="CF159" s="601"/>
      <c r="CG159" s="601"/>
      <c r="CH159" s="601"/>
      <c r="CI159" s="601"/>
      <c r="CJ159" s="601"/>
      <c r="CK159" s="601"/>
      <c r="CL159" s="601"/>
      <c r="CM159" s="601"/>
      <c r="CN159" s="601"/>
      <c r="CO159" s="601"/>
      <c r="CP159" s="601"/>
      <c r="CQ159" s="601"/>
      <c r="CR159" s="601"/>
      <c r="CS159" s="601"/>
      <c r="CT159" s="601"/>
      <c r="CU159" s="601"/>
      <c r="CV159" s="601"/>
      <c r="CW159" s="601"/>
      <c r="CX159" s="601"/>
      <c r="CY159" s="601"/>
      <c r="CZ159" s="601"/>
      <c r="DA159" s="601"/>
      <c r="DB159" s="601"/>
      <c r="DC159" s="601"/>
      <c r="DD159" s="601"/>
      <c r="DE159" s="601"/>
      <c r="DF159" s="601"/>
      <c r="DG159" s="601"/>
      <c r="DH159" s="601"/>
      <c r="DI159" s="601"/>
      <c r="DJ159" s="601"/>
      <c r="DK159" s="601"/>
      <c r="DL159" s="601"/>
      <c r="DM159" s="601"/>
      <c r="DN159" s="601"/>
      <c r="DO159" s="654">
        <f>$DO$7</f>
        <v>45473</v>
      </c>
      <c r="DP159" s="775"/>
      <c r="DQ159" s="775"/>
      <c r="DR159" s="595">
        <f>NAV!E529</f>
        <v>0</v>
      </c>
      <c r="DS159" s="596">
        <f>DR159-DR168</f>
        <v>0</v>
      </c>
      <c r="DT159" s="596"/>
      <c r="DU159" s="596"/>
      <c r="DV159" s="597"/>
      <c r="DW159" s="596"/>
      <c r="DX159" s="596"/>
      <c r="DY159" s="596"/>
      <c r="DZ159" s="655"/>
      <c r="EA159" s="656"/>
    </row>
    <row r="160" spans="1:131" s="603" customFormat="1" ht="13.5" customHeight="1">
      <c r="A160" s="652" t="str">
        <f t="shared" si="727"/>
        <v>설정일</v>
      </c>
      <c r="B160" s="653" t="s">
        <v>361</v>
      </c>
      <c r="C160" s="781"/>
      <c r="D160" s="780"/>
      <c r="E160" s="780"/>
      <c r="F160" s="230"/>
      <c r="G160" s="230"/>
      <c r="H160" s="225"/>
      <c r="I160" s="657">
        <f>SUM(DR160:EA160)</f>
        <v>0</v>
      </c>
      <c r="J160" s="606" t="str">
        <f>IFERROR(I160/(Q160/$C$162),"N/A")</f>
        <v>N/A</v>
      </c>
      <c r="K160" s="471"/>
      <c r="L160" s="607"/>
      <c r="M160" s="300"/>
      <c r="N160" s="608"/>
      <c r="O160" s="609">
        <f t="shared" ref="O160:O167" si="728">-(SUMIF($S$158:$DN$158,"최초출자",S160:DN160)+SUMIF($S$158:$DN$158,"추가출자",S160:DN160))</f>
        <v>0</v>
      </c>
      <c r="P160" s="609">
        <f t="shared" ref="P160:P167" si="729">SUMIF($S$158:$DN$158,"이익분배",S160:DN160)+SUMIF($S$158:$DN$158,"원본분배",S160:DN160)</f>
        <v>0</v>
      </c>
      <c r="Q160" s="609">
        <f t="shared" ref="Q160:Q167" si="730">-(SUMIF($S$158:$DN$158,"최초출자",S160:DN160)+SUMIF($S$158:$DN$158,"추가출자",S160:DN160)+SUMIF($S$158:$DN$158,"원본분배",S160:DN160))</f>
        <v>0</v>
      </c>
      <c r="R160" s="610" t="str">
        <f>IFERROR(Q160/Q168,"")</f>
        <v/>
      </c>
      <c r="S160" s="658"/>
      <c r="T160" s="658"/>
      <c r="U160" s="658"/>
      <c r="V160" s="658"/>
      <c r="W160" s="658"/>
      <c r="X160" s="658"/>
      <c r="Y160" s="658"/>
      <c r="Z160" s="658"/>
      <c r="AA160" s="658"/>
      <c r="AB160" s="658"/>
      <c r="AC160" s="658"/>
      <c r="AD160" s="658"/>
      <c r="AE160" s="658"/>
      <c r="AF160" s="658"/>
      <c r="AG160" s="658"/>
      <c r="AH160" s="658"/>
      <c r="AI160" s="658"/>
      <c r="AJ160" s="658"/>
      <c r="AK160" s="658"/>
      <c r="AL160" s="658"/>
      <c r="AM160" s="658"/>
      <c r="AN160" s="658"/>
      <c r="AO160" s="658"/>
      <c r="AP160" s="658"/>
      <c r="AQ160" s="658"/>
      <c r="AR160" s="658"/>
      <c r="AS160" s="658"/>
      <c r="AT160" s="658"/>
      <c r="AU160" s="658"/>
      <c r="AV160" s="658"/>
      <c r="AW160" s="658"/>
      <c r="AX160" s="658"/>
      <c r="AY160" s="658"/>
      <c r="AZ160" s="658"/>
      <c r="BA160" s="658"/>
      <c r="BB160" s="658"/>
      <c r="BC160" s="658"/>
      <c r="BD160" s="658"/>
      <c r="BE160" s="658"/>
      <c r="BF160" s="658"/>
      <c r="BG160" s="658"/>
      <c r="BH160" s="658"/>
      <c r="BI160" s="658"/>
      <c r="BJ160" s="658"/>
      <c r="BK160" s="658"/>
      <c r="BL160" s="658"/>
      <c r="BM160" s="658"/>
      <c r="BN160" s="658"/>
      <c r="BO160" s="658"/>
      <c r="BP160" s="658"/>
      <c r="BQ160" s="658"/>
      <c r="BR160" s="658"/>
      <c r="BS160" s="658"/>
      <c r="BT160" s="658"/>
      <c r="BU160" s="658"/>
      <c r="BV160" s="658"/>
      <c r="BW160" s="658"/>
      <c r="BX160" s="658"/>
      <c r="BY160" s="658"/>
      <c r="BZ160" s="658"/>
      <c r="CA160" s="658"/>
      <c r="CB160" s="658"/>
      <c r="CC160" s="658"/>
      <c r="CD160" s="658"/>
      <c r="CE160" s="658"/>
      <c r="CF160" s="658"/>
      <c r="CG160" s="658"/>
      <c r="CH160" s="658"/>
      <c r="CI160" s="658"/>
      <c r="CJ160" s="658"/>
      <c r="CK160" s="658"/>
      <c r="CL160" s="658"/>
      <c r="CM160" s="658"/>
      <c r="CN160" s="658"/>
      <c r="CO160" s="658"/>
      <c r="CP160" s="658"/>
      <c r="CQ160" s="658"/>
      <c r="CR160" s="658"/>
      <c r="CS160" s="658"/>
      <c r="CT160" s="658"/>
      <c r="CU160" s="658"/>
      <c r="CV160" s="658"/>
      <c r="CW160" s="658"/>
      <c r="CX160" s="658"/>
      <c r="CY160" s="658"/>
      <c r="CZ160" s="658"/>
      <c r="DA160" s="658"/>
      <c r="DB160" s="658"/>
      <c r="DC160" s="658"/>
      <c r="DD160" s="658"/>
      <c r="DE160" s="658"/>
      <c r="DF160" s="658"/>
      <c r="DG160" s="658"/>
      <c r="DH160" s="658"/>
      <c r="DI160" s="658"/>
      <c r="DJ160" s="658"/>
      <c r="DK160" s="658"/>
      <c r="DL160" s="658"/>
      <c r="DM160" s="658"/>
      <c r="DN160" s="658"/>
      <c r="DO160" s="177">
        <f>IF(M160="",0,-XNPV(DP160,S160,S$159)*(1+DP160)^YEARFRAC($S$159,$DO$159,3))</f>
        <v>0</v>
      </c>
      <c r="DP160" s="612" t="e">
        <f>IF(HLOOKUP(L160,$C$167:$E$168,2,0)=0,1E-24%,HLOOKUP(L160,$C$167:$E$168,2,FALSE))</f>
        <v>#N/A</v>
      </c>
      <c r="DQ160" s="612" t="e">
        <f t="shared" ref="DQ160:DQ168" si="731">XIRR(S160:DO160,$S$159:$DO$159)</f>
        <v>#NUM!</v>
      </c>
      <c r="DR160" s="177"/>
      <c r="DS160" s="177"/>
      <c r="DT160" s="177"/>
      <c r="DU160" s="177"/>
      <c r="DV160" s="177"/>
      <c r="DW160" s="177"/>
      <c r="DX160" s="177"/>
      <c r="DY160" s="177"/>
      <c r="DZ160" s="177"/>
      <c r="EA160" s="613"/>
    </row>
    <row r="161" spans="1:131" ht="13.5" customHeight="1">
      <c r="A161" s="652" t="str">
        <f t="shared" si="727"/>
        <v>출자잔액</v>
      </c>
      <c r="B161" s="653" t="s">
        <v>352</v>
      </c>
      <c r="C161" s="782"/>
      <c r="D161" s="782"/>
      <c r="E161" s="782"/>
      <c r="F161" s="230"/>
      <c r="G161" s="230"/>
      <c r="I161" s="657">
        <f t="shared" ref="I161:I167" si="732">SUM(DR161:EA161)</f>
        <v>0</v>
      </c>
      <c r="J161" s="606" t="str">
        <f t="shared" ref="J161:J167" si="733">IFERROR(I161/(Q161/$C$162),"N/A")</f>
        <v>N/A</v>
      </c>
      <c r="K161" s="471"/>
      <c r="L161" s="607"/>
      <c r="M161" s="300"/>
      <c r="N161" s="608"/>
      <c r="O161" s="609">
        <f t="shared" si="728"/>
        <v>0</v>
      </c>
      <c r="P161" s="609">
        <f t="shared" si="729"/>
        <v>0</v>
      </c>
      <c r="Q161" s="609">
        <f t="shared" si="730"/>
        <v>0</v>
      </c>
      <c r="R161" s="610" t="str">
        <f>IFERROR(Q161/Q168,"")</f>
        <v/>
      </c>
      <c r="S161" s="658"/>
      <c r="T161" s="658"/>
      <c r="U161" s="658"/>
      <c r="V161" s="658"/>
      <c r="W161" s="658"/>
      <c r="X161" s="658"/>
      <c r="Y161" s="658"/>
      <c r="Z161" s="658"/>
      <c r="AA161" s="658"/>
      <c r="AB161" s="658"/>
      <c r="AC161" s="658"/>
      <c r="AD161" s="658"/>
      <c r="AE161" s="658"/>
      <c r="AF161" s="658"/>
      <c r="AG161" s="658"/>
      <c r="AH161" s="658"/>
      <c r="AI161" s="658"/>
      <c r="AJ161" s="658"/>
      <c r="AK161" s="658"/>
      <c r="AL161" s="658"/>
      <c r="AM161" s="658"/>
      <c r="AN161" s="658"/>
      <c r="AO161" s="658"/>
      <c r="AP161" s="658"/>
      <c r="AQ161" s="658"/>
      <c r="AR161" s="658"/>
      <c r="AS161" s="658"/>
      <c r="AT161" s="658"/>
      <c r="AU161" s="658"/>
      <c r="AV161" s="658"/>
      <c r="AW161" s="658"/>
      <c r="AX161" s="658"/>
      <c r="AY161" s="658"/>
      <c r="AZ161" s="658"/>
      <c r="BA161" s="658"/>
      <c r="BB161" s="658"/>
      <c r="BC161" s="658"/>
      <c r="BD161" s="658"/>
      <c r="BE161" s="658"/>
      <c r="BF161" s="658"/>
      <c r="BG161" s="658"/>
      <c r="BH161" s="658"/>
      <c r="BI161" s="658"/>
      <c r="BJ161" s="658"/>
      <c r="BK161" s="658"/>
      <c r="BL161" s="658"/>
      <c r="BM161" s="658"/>
      <c r="BN161" s="658"/>
      <c r="BO161" s="658"/>
      <c r="BP161" s="658"/>
      <c r="BQ161" s="658"/>
      <c r="BR161" s="658"/>
      <c r="BS161" s="658"/>
      <c r="BT161" s="658"/>
      <c r="BU161" s="658"/>
      <c r="BV161" s="658"/>
      <c r="BW161" s="658"/>
      <c r="BX161" s="658"/>
      <c r="BY161" s="658"/>
      <c r="BZ161" s="658"/>
      <c r="CA161" s="658"/>
      <c r="CB161" s="658"/>
      <c r="CC161" s="658"/>
      <c r="CD161" s="658"/>
      <c r="CE161" s="658"/>
      <c r="CF161" s="658"/>
      <c r="CG161" s="658"/>
      <c r="CH161" s="658"/>
      <c r="CI161" s="658"/>
      <c r="CJ161" s="658"/>
      <c r="CK161" s="658"/>
      <c r="CL161" s="658"/>
      <c r="CM161" s="658"/>
      <c r="CN161" s="658"/>
      <c r="CO161" s="658"/>
      <c r="CP161" s="658"/>
      <c r="CQ161" s="658"/>
      <c r="CR161" s="658"/>
      <c r="CS161" s="658"/>
      <c r="CT161" s="658"/>
      <c r="CU161" s="658"/>
      <c r="CV161" s="658"/>
      <c r="CW161" s="658"/>
      <c r="CX161" s="658"/>
      <c r="CY161" s="658"/>
      <c r="CZ161" s="658"/>
      <c r="DA161" s="658"/>
      <c r="DB161" s="658"/>
      <c r="DC161" s="658"/>
      <c r="DD161" s="658"/>
      <c r="DE161" s="658"/>
      <c r="DF161" s="658"/>
      <c r="DG161" s="658"/>
      <c r="DH161" s="658"/>
      <c r="DI161" s="658"/>
      <c r="DJ161" s="658"/>
      <c r="DK161" s="658"/>
      <c r="DL161" s="658"/>
      <c r="DM161" s="658"/>
      <c r="DN161" s="658"/>
      <c r="DO161" s="177">
        <f t="shared" ref="DO161:DO167" si="734">IF(M161="",0,-XNPV(DP161,S161,S$159)*(1+DP161)^YEARFRAC($S$159,$DO$159,3))</f>
        <v>0</v>
      </c>
      <c r="DP161" s="612" t="e">
        <f t="shared" ref="DP161:DP167" si="735">IF(HLOOKUP(L161,$C$167:$E$168,2,0)=0,1E-24%,HLOOKUP(L161,$C$167:$E$168,2,FALSE))</f>
        <v>#N/A</v>
      </c>
      <c r="DQ161" s="612" t="e">
        <f t="shared" si="731"/>
        <v>#NUM!</v>
      </c>
      <c r="DR161" s="177"/>
      <c r="DS161" s="177"/>
      <c r="DT161" s="177"/>
      <c r="DU161" s="177"/>
      <c r="DV161" s="177"/>
      <c r="DW161" s="177"/>
      <c r="DX161" s="177"/>
      <c r="DY161" s="177"/>
      <c r="DZ161" s="177"/>
      <c r="EA161" s="613"/>
    </row>
    <row r="162" spans="1:131" ht="13.5" customHeight="1">
      <c r="A162" s="652" t="str">
        <f t="shared" si="727"/>
        <v>1좌당 금액</v>
      </c>
      <c r="B162" s="653" t="s">
        <v>353</v>
      </c>
      <c r="C162" s="783"/>
      <c r="D162" s="783"/>
      <c r="E162" s="783"/>
      <c r="F162" s="230"/>
      <c r="G162" s="230"/>
      <c r="I162" s="657">
        <f t="shared" si="732"/>
        <v>0</v>
      </c>
      <c r="J162" s="606" t="str">
        <f t="shared" si="733"/>
        <v>N/A</v>
      </c>
      <c r="K162" s="471"/>
      <c r="L162" s="607"/>
      <c r="M162" s="300"/>
      <c r="N162" s="608"/>
      <c r="O162" s="609">
        <f t="shared" si="728"/>
        <v>0</v>
      </c>
      <c r="P162" s="609">
        <f t="shared" si="729"/>
        <v>0</v>
      </c>
      <c r="Q162" s="609">
        <f t="shared" si="730"/>
        <v>0</v>
      </c>
      <c r="R162" s="610" t="str">
        <f>IFERROR(Q162/Q168,"")</f>
        <v/>
      </c>
      <c r="S162" s="658"/>
      <c r="T162" s="658"/>
      <c r="U162" s="658"/>
      <c r="V162" s="658"/>
      <c r="W162" s="658"/>
      <c r="X162" s="658"/>
      <c r="Y162" s="658"/>
      <c r="Z162" s="658"/>
      <c r="AA162" s="658"/>
      <c r="AB162" s="658"/>
      <c r="AC162" s="658"/>
      <c r="AD162" s="658"/>
      <c r="AE162" s="658"/>
      <c r="AF162" s="658"/>
      <c r="AG162" s="658"/>
      <c r="AH162" s="658"/>
      <c r="AI162" s="658"/>
      <c r="AJ162" s="658"/>
      <c r="AK162" s="658"/>
      <c r="AL162" s="658"/>
      <c r="AM162" s="658"/>
      <c r="AN162" s="658"/>
      <c r="AO162" s="658"/>
      <c r="AP162" s="658"/>
      <c r="AQ162" s="658"/>
      <c r="AR162" s="658"/>
      <c r="AS162" s="658"/>
      <c r="AT162" s="658"/>
      <c r="AU162" s="658"/>
      <c r="AV162" s="658"/>
      <c r="AW162" s="658"/>
      <c r="AX162" s="658"/>
      <c r="AY162" s="658"/>
      <c r="AZ162" s="658"/>
      <c r="BA162" s="658"/>
      <c r="BB162" s="658"/>
      <c r="BC162" s="658"/>
      <c r="BD162" s="658"/>
      <c r="BE162" s="658"/>
      <c r="BF162" s="658"/>
      <c r="BG162" s="658"/>
      <c r="BH162" s="658"/>
      <c r="BI162" s="658"/>
      <c r="BJ162" s="658"/>
      <c r="BK162" s="658"/>
      <c r="BL162" s="658"/>
      <c r="BM162" s="658"/>
      <c r="BN162" s="658"/>
      <c r="BO162" s="658"/>
      <c r="BP162" s="658"/>
      <c r="BQ162" s="658"/>
      <c r="BR162" s="658"/>
      <c r="BS162" s="658"/>
      <c r="BT162" s="658"/>
      <c r="BU162" s="658"/>
      <c r="BV162" s="658"/>
      <c r="BW162" s="658"/>
      <c r="BX162" s="658"/>
      <c r="BY162" s="658"/>
      <c r="BZ162" s="658"/>
      <c r="CA162" s="658"/>
      <c r="CB162" s="658"/>
      <c r="CC162" s="658"/>
      <c r="CD162" s="658"/>
      <c r="CE162" s="658"/>
      <c r="CF162" s="658"/>
      <c r="CG162" s="658"/>
      <c r="CH162" s="658"/>
      <c r="CI162" s="658"/>
      <c r="CJ162" s="658"/>
      <c r="CK162" s="658"/>
      <c r="CL162" s="658"/>
      <c r="CM162" s="658"/>
      <c r="CN162" s="658"/>
      <c r="CO162" s="658"/>
      <c r="CP162" s="658"/>
      <c r="CQ162" s="658"/>
      <c r="CR162" s="658"/>
      <c r="CS162" s="658"/>
      <c r="CT162" s="658"/>
      <c r="CU162" s="658"/>
      <c r="CV162" s="658"/>
      <c r="CW162" s="658"/>
      <c r="CX162" s="658"/>
      <c r="CY162" s="658"/>
      <c r="CZ162" s="658"/>
      <c r="DA162" s="658"/>
      <c r="DB162" s="658"/>
      <c r="DC162" s="658"/>
      <c r="DD162" s="658"/>
      <c r="DE162" s="658"/>
      <c r="DF162" s="658"/>
      <c r="DG162" s="658"/>
      <c r="DH162" s="658"/>
      <c r="DI162" s="658"/>
      <c r="DJ162" s="658"/>
      <c r="DK162" s="658"/>
      <c r="DL162" s="658"/>
      <c r="DM162" s="658"/>
      <c r="DN162" s="658"/>
      <c r="DO162" s="177">
        <f t="shared" si="734"/>
        <v>0</v>
      </c>
      <c r="DP162" s="612" t="e">
        <f t="shared" si="735"/>
        <v>#N/A</v>
      </c>
      <c r="DQ162" s="612" t="e">
        <f t="shared" si="731"/>
        <v>#NUM!</v>
      </c>
      <c r="DR162" s="177"/>
      <c r="DS162" s="177"/>
      <c r="DT162" s="177"/>
      <c r="DU162" s="177"/>
      <c r="DV162" s="177"/>
      <c r="DW162" s="177"/>
      <c r="DX162" s="177"/>
      <c r="DY162" s="177"/>
      <c r="DZ162" s="177"/>
      <c r="EA162" s="613"/>
    </row>
    <row r="163" spans="1:131" ht="13.5" customHeight="1">
      <c r="A163" s="652" t="str">
        <f t="shared" si="727"/>
        <v>기준수익률</v>
      </c>
      <c r="B163" s="653" t="s">
        <v>354</v>
      </c>
      <c r="C163" s="784"/>
      <c r="D163" s="785"/>
      <c r="E163" s="785"/>
      <c r="F163" s="230"/>
      <c r="G163" s="230"/>
      <c r="I163" s="657">
        <f t="shared" si="732"/>
        <v>0</v>
      </c>
      <c r="J163" s="606" t="str">
        <f t="shared" si="733"/>
        <v>N/A</v>
      </c>
      <c r="K163" s="471"/>
      <c r="L163" s="607"/>
      <c r="M163" s="300"/>
      <c r="N163" s="608"/>
      <c r="O163" s="609">
        <f t="shared" si="728"/>
        <v>0</v>
      </c>
      <c r="P163" s="609">
        <f t="shared" si="729"/>
        <v>0</v>
      </c>
      <c r="Q163" s="609">
        <f t="shared" si="730"/>
        <v>0</v>
      </c>
      <c r="R163" s="610" t="str">
        <f>IFERROR(Q163/Q168,"")</f>
        <v/>
      </c>
      <c r="S163" s="658"/>
      <c r="T163" s="658"/>
      <c r="U163" s="658"/>
      <c r="V163" s="658"/>
      <c r="W163" s="658"/>
      <c r="X163" s="658"/>
      <c r="Y163" s="658"/>
      <c r="Z163" s="658"/>
      <c r="AA163" s="658"/>
      <c r="AB163" s="658"/>
      <c r="AC163" s="658"/>
      <c r="AD163" s="658"/>
      <c r="AE163" s="658"/>
      <c r="AF163" s="658"/>
      <c r="AG163" s="658"/>
      <c r="AH163" s="658"/>
      <c r="AI163" s="658"/>
      <c r="AJ163" s="658"/>
      <c r="AK163" s="658"/>
      <c r="AL163" s="658"/>
      <c r="AM163" s="658"/>
      <c r="AN163" s="658"/>
      <c r="AO163" s="658"/>
      <c r="AP163" s="658"/>
      <c r="AQ163" s="658"/>
      <c r="AR163" s="658"/>
      <c r="AS163" s="658"/>
      <c r="AT163" s="658"/>
      <c r="AU163" s="658"/>
      <c r="AV163" s="658"/>
      <c r="AW163" s="658"/>
      <c r="AX163" s="658"/>
      <c r="AY163" s="658"/>
      <c r="AZ163" s="658"/>
      <c r="BA163" s="658"/>
      <c r="BB163" s="658"/>
      <c r="BC163" s="658"/>
      <c r="BD163" s="658"/>
      <c r="BE163" s="658"/>
      <c r="BF163" s="658"/>
      <c r="BG163" s="658"/>
      <c r="BH163" s="658"/>
      <c r="BI163" s="658"/>
      <c r="BJ163" s="658"/>
      <c r="BK163" s="658"/>
      <c r="BL163" s="658"/>
      <c r="BM163" s="658"/>
      <c r="BN163" s="658"/>
      <c r="BO163" s="658"/>
      <c r="BP163" s="658"/>
      <c r="BQ163" s="658"/>
      <c r="BR163" s="658"/>
      <c r="BS163" s="658"/>
      <c r="BT163" s="658"/>
      <c r="BU163" s="658"/>
      <c r="BV163" s="658"/>
      <c r="BW163" s="658"/>
      <c r="BX163" s="658"/>
      <c r="BY163" s="658"/>
      <c r="BZ163" s="658"/>
      <c r="CA163" s="658"/>
      <c r="CB163" s="658"/>
      <c r="CC163" s="658"/>
      <c r="CD163" s="658"/>
      <c r="CE163" s="658"/>
      <c r="CF163" s="658"/>
      <c r="CG163" s="658"/>
      <c r="CH163" s="658"/>
      <c r="CI163" s="658"/>
      <c r="CJ163" s="658"/>
      <c r="CK163" s="658"/>
      <c r="CL163" s="658"/>
      <c r="CM163" s="658"/>
      <c r="CN163" s="658"/>
      <c r="CO163" s="658"/>
      <c r="CP163" s="658"/>
      <c r="CQ163" s="658"/>
      <c r="CR163" s="658"/>
      <c r="CS163" s="658"/>
      <c r="CT163" s="658"/>
      <c r="CU163" s="658"/>
      <c r="CV163" s="658"/>
      <c r="CW163" s="658"/>
      <c r="CX163" s="658"/>
      <c r="CY163" s="658"/>
      <c r="CZ163" s="658"/>
      <c r="DA163" s="658"/>
      <c r="DB163" s="658"/>
      <c r="DC163" s="658"/>
      <c r="DD163" s="658"/>
      <c r="DE163" s="658"/>
      <c r="DF163" s="658"/>
      <c r="DG163" s="658"/>
      <c r="DH163" s="658"/>
      <c r="DI163" s="658"/>
      <c r="DJ163" s="658"/>
      <c r="DK163" s="658"/>
      <c r="DL163" s="658"/>
      <c r="DM163" s="658"/>
      <c r="DN163" s="658"/>
      <c r="DO163" s="177">
        <f t="shared" si="734"/>
        <v>0</v>
      </c>
      <c r="DP163" s="612" t="e">
        <f t="shared" si="735"/>
        <v>#N/A</v>
      </c>
      <c r="DQ163" s="612" t="e">
        <f t="shared" si="731"/>
        <v>#NUM!</v>
      </c>
      <c r="DR163" s="177"/>
      <c r="DS163" s="177"/>
      <c r="DT163" s="177"/>
      <c r="DU163" s="177"/>
      <c r="DV163" s="177"/>
      <c r="DW163" s="177"/>
      <c r="DX163" s="177"/>
      <c r="DY163" s="177"/>
      <c r="DZ163" s="177"/>
      <c r="EA163" s="613"/>
    </row>
    <row r="164" spans="1:131" ht="13.5" customHeight="1">
      <c r="A164" s="652" t="str">
        <f t="shared" si="727"/>
        <v>평가방법론</v>
      </c>
      <c r="B164" s="653" t="s">
        <v>359</v>
      </c>
      <c r="C164" s="786"/>
      <c r="D164" s="786"/>
      <c r="E164" s="786"/>
      <c r="F164" s="230"/>
      <c r="G164" s="230"/>
      <c r="I164" s="657">
        <f t="shared" si="732"/>
        <v>0</v>
      </c>
      <c r="J164" s="606" t="str">
        <f t="shared" si="733"/>
        <v>N/A</v>
      </c>
      <c r="K164" s="471"/>
      <c r="L164" s="607"/>
      <c r="M164" s="300"/>
      <c r="N164" s="608"/>
      <c r="O164" s="609">
        <f t="shared" si="728"/>
        <v>0</v>
      </c>
      <c r="P164" s="609">
        <f t="shared" si="729"/>
        <v>0</v>
      </c>
      <c r="Q164" s="609">
        <f t="shared" si="730"/>
        <v>0</v>
      </c>
      <c r="R164" s="610" t="str">
        <f>IFERROR(Q164/Q168,"")</f>
        <v/>
      </c>
      <c r="S164" s="658"/>
      <c r="T164" s="658"/>
      <c r="U164" s="658"/>
      <c r="V164" s="658"/>
      <c r="W164" s="658"/>
      <c r="X164" s="658"/>
      <c r="Y164" s="658"/>
      <c r="Z164" s="658"/>
      <c r="AA164" s="658"/>
      <c r="AB164" s="658"/>
      <c r="AC164" s="658"/>
      <c r="AD164" s="658"/>
      <c r="AE164" s="658"/>
      <c r="AF164" s="658"/>
      <c r="AG164" s="658"/>
      <c r="AH164" s="658"/>
      <c r="AI164" s="658"/>
      <c r="AJ164" s="658"/>
      <c r="AK164" s="658"/>
      <c r="AL164" s="658"/>
      <c r="AM164" s="658"/>
      <c r="AN164" s="658"/>
      <c r="AO164" s="658"/>
      <c r="AP164" s="658"/>
      <c r="AQ164" s="658"/>
      <c r="AR164" s="658"/>
      <c r="AS164" s="658"/>
      <c r="AT164" s="658"/>
      <c r="AU164" s="658"/>
      <c r="AV164" s="658"/>
      <c r="AW164" s="658"/>
      <c r="AX164" s="658"/>
      <c r="AY164" s="658"/>
      <c r="AZ164" s="658"/>
      <c r="BA164" s="658"/>
      <c r="BB164" s="658"/>
      <c r="BC164" s="658"/>
      <c r="BD164" s="658"/>
      <c r="BE164" s="658"/>
      <c r="BF164" s="658"/>
      <c r="BG164" s="658"/>
      <c r="BH164" s="658"/>
      <c r="BI164" s="658"/>
      <c r="BJ164" s="658"/>
      <c r="BK164" s="658"/>
      <c r="BL164" s="658"/>
      <c r="BM164" s="658"/>
      <c r="BN164" s="658"/>
      <c r="BO164" s="658"/>
      <c r="BP164" s="658"/>
      <c r="BQ164" s="658"/>
      <c r="BR164" s="658"/>
      <c r="BS164" s="658"/>
      <c r="BT164" s="658"/>
      <c r="BU164" s="658"/>
      <c r="BV164" s="658"/>
      <c r="BW164" s="658"/>
      <c r="BX164" s="658"/>
      <c r="BY164" s="658"/>
      <c r="BZ164" s="658"/>
      <c r="CA164" s="658"/>
      <c r="CB164" s="658"/>
      <c r="CC164" s="658"/>
      <c r="CD164" s="658"/>
      <c r="CE164" s="658"/>
      <c r="CF164" s="658"/>
      <c r="CG164" s="658"/>
      <c r="CH164" s="658"/>
      <c r="CI164" s="658"/>
      <c r="CJ164" s="658"/>
      <c r="CK164" s="658"/>
      <c r="CL164" s="658"/>
      <c r="CM164" s="658"/>
      <c r="CN164" s="658"/>
      <c r="CO164" s="658"/>
      <c r="CP164" s="658"/>
      <c r="CQ164" s="658"/>
      <c r="CR164" s="658"/>
      <c r="CS164" s="658"/>
      <c r="CT164" s="658"/>
      <c r="CU164" s="658"/>
      <c r="CV164" s="658"/>
      <c r="CW164" s="658"/>
      <c r="CX164" s="658"/>
      <c r="CY164" s="658"/>
      <c r="CZ164" s="658"/>
      <c r="DA164" s="658"/>
      <c r="DB164" s="658"/>
      <c r="DC164" s="658"/>
      <c r="DD164" s="658"/>
      <c r="DE164" s="658"/>
      <c r="DF164" s="658"/>
      <c r="DG164" s="658"/>
      <c r="DH164" s="658"/>
      <c r="DI164" s="658"/>
      <c r="DJ164" s="658"/>
      <c r="DK164" s="658"/>
      <c r="DL164" s="658"/>
      <c r="DM164" s="658"/>
      <c r="DN164" s="658"/>
      <c r="DO164" s="177">
        <f t="shared" si="734"/>
        <v>0</v>
      </c>
      <c r="DP164" s="612" t="e">
        <f t="shared" si="735"/>
        <v>#N/A</v>
      </c>
      <c r="DQ164" s="612" t="e">
        <f t="shared" si="731"/>
        <v>#NUM!</v>
      </c>
      <c r="DR164" s="177"/>
      <c r="DS164" s="177"/>
      <c r="DT164" s="177"/>
      <c r="DU164" s="177"/>
      <c r="DV164" s="177"/>
      <c r="DW164" s="177"/>
      <c r="DX164" s="177"/>
      <c r="DY164" s="177"/>
      <c r="DZ164" s="177"/>
      <c r="EA164" s="613"/>
    </row>
    <row r="165" spans="1:131" ht="13.5" customHeight="1">
      <c r="A165" s="652" t="str">
        <f t="shared" si="727"/>
        <v>분배 조항 여부</v>
      </c>
      <c r="B165" s="653" t="s">
        <v>355</v>
      </c>
      <c r="C165" s="786"/>
      <c r="D165" s="786"/>
      <c r="E165" s="786"/>
      <c r="F165" s="230"/>
      <c r="G165" s="230"/>
      <c r="I165" s="657">
        <f t="shared" si="732"/>
        <v>0</v>
      </c>
      <c r="J165" s="606" t="str">
        <f t="shared" si="733"/>
        <v>N/A</v>
      </c>
      <c r="K165" s="471"/>
      <c r="L165" s="607"/>
      <c r="M165" s="300"/>
      <c r="N165" s="608"/>
      <c r="O165" s="609">
        <f t="shared" si="728"/>
        <v>0</v>
      </c>
      <c r="P165" s="609">
        <f t="shared" si="729"/>
        <v>0</v>
      </c>
      <c r="Q165" s="609">
        <f t="shared" si="730"/>
        <v>0</v>
      </c>
      <c r="R165" s="610" t="str">
        <f>IFERROR(Q165/Q168,"")</f>
        <v/>
      </c>
      <c r="S165" s="658"/>
      <c r="T165" s="658"/>
      <c r="U165" s="658"/>
      <c r="V165" s="658"/>
      <c r="W165" s="658"/>
      <c r="X165" s="658"/>
      <c r="Y165" s="658"/>
      <c r="Z165" s="658"/>
      <c r="AA165" s="658"/>
      <c r="AB165" s="658"/>
      <c r="AC165" s="658"/>
      <c r="AD165" s="658"/>
      <c r="AE165" s="658"/>
      <c r="AF165" s="658"/>
      <c r="AG165" s="658"/>
      <c r="AH165" s="658"/>
      <c r="AI165" s="658"/>
      <c r="AJ165" s="658"/>
      <c r="AK165" s="658"/>
      <c r="AL165" s="658"/>
      <c r="AM165" s="658"/>
      <c r="AN165" s="658"/>
      <c r="AO165" s="658"/>
      <c r="AP165" s="658"/>
      <c r="AQ165" s="658"/>
      <c r="AR165" s="658"/>
      <c r="AS165" s="658"/>
      <c r="AT165" s="658"/>
      <c r="AU165" s="658"/>
      <c r="AV165" s="658"/>
      <c r="AW165" s="658"/>
      <c r="AX165" s="658"/>
      <c r="AY165" s="658"/>
      <c r="AZ165" s="658"/>
      <c r="BA165" s="658"/>
      <c r="BB165" s="658"/>
      <c r="BC165" s="658"/>
      <c r="BD165" s="658"/>
      <c r="BE165" s="658"/>
      <c r="BF165" s="658"/>
      <c r="BG165" s="658"/>
      <c r="BH165" s="658"/>
      <c r="BI165" s="658"/>
      <c r="BJ165" s="658"/>
      <c r="BK165" s="658"/>
      <c r="BL165" s="658"/>
      <c r="BM165" s="658"/>
      <c r="BN165" s="658"/>
      <c r="BO165" s="658"/>
      <c r="BP165" s="658"/>
      <c r="BQ165" s="658"/>
      <c r="BR165" s="658"/>
      <c r="BS165" s="658"/>
      <c r="BT165" s="658"/>
      <c r="BU165" s="658"/>
      <c r="BV165" s="658"/>
      <c r="BW165" s="658"/>
      <c r="BX165" s="658"/>
      <c r="BY165" s="658"/>
      <c r="BZ165" s="658"/>
      <c r="CA165" s="658"/>
      <c r="CB165" s="658"/>
      <c r="CC165" s="658"/>
      <c r="CD165" s="658"/>
      <c r="CE165" s="658"/>
      <c r="CF165" s="658"/>
      <c r="CG165" s="658"/>
      <c r="CH165" s="658"/>
      <c r="CI165" s="658"/>
      <c r="CJ165" s="658"/>
      <c r="CK165" s="658"/>
      <c r="CL165" s="658"/>
      <c r="CM165" s="658"/>
      <c r="CN165" s="658"/>
      <c r="CO165" s="658"/>
      <c r="CP165" s="658"/>
      <c r="CQ165" s="658"/>
      <c r="CR165" s="658"/>
      <c r="CS165" s="658"/>
      <c r="CT165" s="658"/>
      <c r="CU165" s="658"/>
      <c r="CV165" s="658"/>
      <c r="CW165" s="658"/>
      <c r="CX165" s="658"/>
      <c r="CY165" s="658"/>
      <c r="CZ165" s="658"/>
      <c r="DA165" s="658"/>
      <c r="DB165" s="658"/>
      <c r="DC165" s="658"/>
      <c r="DD165" s="658"/>
      <c r="DE165" s="658"/>
      <c r="DF165" s="658"/>
      <c r="DG165" s="658"/>
      <c r="DH165" s="658"/>
      <c r="DI165" s="658"/>
      <c r="DJ165" s="658"/>
      <c r="DK165" s="658"/>
      <c r="DL165" s="658"/>
      <c r="DM165" s="658"/>
      <c r="DN165" s="658"/>
      <c r="DO165" s="177">
        <f t="shared" si="734"/>
        <v>0</v>
      </c>
      <c r="DP165" s="612" t="e">
        <f t="shared" si="735"/>
        <v>#N/A</v>
      </c>
      <c r="DQ165" s="612" t="e">
        <f t="shared" si="731"/>
        <v>#NUM!</v>
      </c>
      <c r="DR165" s="177"/>
      <c r="DS165" s="177"/>
      <c r="DT165" s="177"/>
      <c r="DU165" s="177"/>
      <c r="DV165" s="177"/>
      <c r="DW165" s="177"/>
      <c r="DX165" s="177"/>
      <c r="DY165" s="177"/>
      <c r="DZ165" s="177"/>
      <c r="EA165" s="613"/>
    </row>
    <row r="166" spans="1:131" ht="14.25" thickBot="1">
      <c r="A166" s="652" t="str">
        <f t="shared" si="727"/>
        <v>모펀드 출자 지분율</v>
      </c>
      <c r="B166" s="660" t="s">
        <v>356</v>
      </c>
      <c r="C166" s="787"/>
      <c r="D166" s="787"/>
      <c r="E166" s="787"/>
      <c r="F166" s="230"/>
      <c r="G166" s="230"/>
      <c r="I166" s="657">
        <f t="shared" si="732"/>
        <v>0</v>
      </c>
      <c r="J166" s="606" t="str">
        <f t="shared" si="733"/>
        <v>N/A</v>
      </c>
      <c r="K166" s="471"/>
      <c r="L166" s="607"/>
      <c r="M166" s="300"/>
      <c r="N166" s="608"/>
      <c r="O166" s="609">
        <f t="shared" si="728"/>
        <v>0</v>
      </c>
      <c r="P166" s="609">
        <f t="shared" si="729"/>
        <v>0</v>
      </c>
      <c r="Q166" s="609">
        <f t="shared" si="730"/>
        <v>0</v>
      </c>
      <c r="R166" s="610" t="str">
        <f>IFERROR(Q166/Q168,"")</f>
        <v/>
      </c>
      <c r="S166" s="658"/>
      <c r="T166" s="658"/>
      <c r="U166" s="658"/>
      <c r="V166" s="658"/>
      <c r="W166" s="658"/>
      <c r="X166" s="658"/>
      <c r="Y166" s="658"/>
      <c r="Z166" s="658"/>
      <c r="AA166" s="658"/>
      <c r="AB166" s="658"/>
      <c r="AC166" s="658"/>
      <c r="AD166" s="658"/>
      <c r="AE166" s="658"/>
      <c r="AF166" s="658"/>
      <c r="AG166" s="658"/>
      <c r="AH166" s="658"/>
      <c r="AI166" s="658"/>
      <c r="AJ166" s="658"/>
      <c r="AK166" s="658"/>
      <c r="AL166" s="658"/>
      <c r="AM166" s="658"/>
      <c r="AN166" s="658"/>
      <c r="AO166" s="658"/>
      <c r="AP166" s="658"/>
      <c r="AQ166" s="658"/>
      <c r="AR166" s="658"/>
      <c r="AS166" s="658"/>
      <c r="AT166" s="658"/>
      <c r="AU166" s="658"/>
      <c r="AV166" s="658"/>
      <c r="AW166" s="658"/>
      <c r="AX166" s="658"/>
      <c r="AY166" s="658"/>
      <c r="AZ166" s="658"/>
      <c r="BA166" s="658"/>
      <c r="BB166" s="658"/>
      <c r="BC166" s="658"/>
      <c r="BD166" s="658"/>
      <c r="BE166" s="658"/>
      <c r="BF166" s="658"/>
      <c r="BG166" s="658"/>
      <c r="BH166" s="658"/>
      <c r="BI166" s="658"/>
      <c r="BJ166" s="658"/>
      <c r="BK166" s="658"/>
      <c r="BL166" s="658"/>
      <c r="BM166" s="658"/>
      <c r="BN166" s="658"/>
      <c r="BO166" s="658"/>
      <c r="BP166" s="658"/>
      <c r="BQ166" s="658"/>
      <c r="BR166" s="658"/>
      <c r="BS166" s="658"/>
      <c r="BT166" s="658"/>
      <c r="BU166" s="658"/>
      <c r="BV166" s="658"/>
      <c r="BW166" s="658"/>
      <c r="BX166" s="658"/>
      <c r="BY166" s="658"/>
      <c r="BZ166" s="658"/>
      <c r="CA166" s="658"/>
      <c r="CB166" s="658"/>
      <c r="CC166" s="658"/>
      <c r="CD166" s="658"/>
      <c r="CE166" s="658"/>
      <c r="CF166" s="658"/>
      <c r="CG166" s="658"/>
      <c r="CH166" s="658"/>
      <c r="CI166" s="658"/>
      <c r="CJ166" s="658"/>
      <c r="CK166" s="658"/>
      <c r="CL166" s="658"/>
      <c r="CM166" s="658"/>
      <c r="CN166" s="658"/>
      <c r="CO166" s="658"/>
      <c r="CP166" s="658"/>
      <c r="CQ166" s="658"/>
      <c r="CR166" s="658"/>
      <c r="CS166" s="658"/>
      <c r="CT166" s="658"/>
      <c r="CU166" s="658"/>
      <c r="CV166" s="658"/>
      <c r="CW166" s="658"/>
      <c r="CX166" s="658"/>
      <c r="CY166" s="658"/>
      <c r="CZ166" s="658"/>
      <c r="DA166" s="658"/>
      <c r="DB166" s="658"/>
      <c r="DC166" s="658"/>
      <c r="DD166" s="658"/>
      <c r="DE166" s="658"/>
      <c r="DF166" s="658"/>
      <c r="DG166" s="658"/>
      <c r="DH166" s="658"/>
      <c r="DI166" s="658"/>
      <c r="DJ166" s="658"/>
      <c r="DK166" s="658"/>
      <c r="DL166" s="658"/>
      <c r="DM166" s="658"/>
      <c r="DN166" s="658"/>
      <c r="DO166" s="177">
        <f t="shared" si="734"/>
        <v>0</v>
      </c>
      <c r="DP166" s="612" t="e">
        <f t="shared" si="735"/>
        <v>#N/A</v>
      </c>
      <c r="DQ166" s="612" t="e">
        <f t="shared" si="731"/>
        <v>#NUM!</v>
      </c>
      <c r="DR166" s="177"/>
      <c r="DS166" s="177"/>
      <c r="DT166" s="177"/>
      <c r="DU166" s="177"/>
      <c r="DV166" s="177"/>
      <c r="DW166" s="177"/>
      <c r="DX166" s="177"/>
      <c r="DY166" s="177"/>
      <c r="DZ166" s="177"/>
      <c r="EA166" s="613"/>
    </row>
    <row r="167" spans="1:131" ht="14.25" thickBot="1">
      <c r="B167" s="778" t="s">
        <v>3404</v>
      </c>
      <c r="C167" s="616" t="s">
        <v>223</v>
      </c>
      <c r="D167" s="616" t="s">
        <v>224</v>
      </c>
      <c r="E167" s="616" t="s">
        <v>225</v>
      </c>
      <c r="F167" s="230"/>
      <c r="G167" s="230"/>
      <c r="I167" s="657">
        <f t="shared" si="732"/>
        <v>0</v>
      </c>
      <c r="J167" s="606" t="str">
        <f t="shared" si="733"/>
        <v>N/A</v>
      </c>
      <c r="K167" s="471"/>
      <c r="L167" s="607"/>
      <c r="M167" s="300"/>
      <c r="N167" s="608"/>
      <c r="O167" s="609">
        <f t="shared" si="728"/>
        <v>0</v>
      </c>
      <c r="P167" s="609">
        <f t="shared" si="729"/>
        <v>0</v>
      </c>
      <c r="Q167" s="609">
        <f t="shared" si="730"/>
        <v>0</v>
      </c>
      <c r="R167" s="610" t="str">
        <f>IFERROR(Q167/Q168,"")</f>
        <v/>
      </c>
      <c r="S167" s="658"/>
      <c r="T167" s="658"/>
      <c r="U167" s="658"/>
      <c r="V167" s="658"/>
      <c r="W167" s="658"/>
      <c r="X167" s="658"/>
      <c r="Y167" s="658"/>
      <c r="Z167" s="658"/>
      <c r="AA167" s="658"/>
      <c r="AB167" s="658"/>
      <c r="AC167" s="658"/>
      <c r="AD167" s="658"/>
      <c r="AE167" s="658"/>
      <c r="AF167" s="658"/>
      <c r="AG167" s="658"/>
      <c r="AH167" s="658"/>
      <c r="AI167" s="658"/>
      <c r="AJ167" s="658"/>
      <c r="AK167" s="658"/>
      <c r="AL167" s="658"/>
      <c r="AM167" s="658"/>
      <c r="AN167" s="658"/>
      <c r="AO167" s="658"/>
      <c r="AP167" s="658"/>
      <c r="AQ167" s="658"/>
      <c r="AR167" s="658"/>
      <c r="AS167" s="658"/>
      <c r="AT167" s="658"/>
      <c r="AU167" s="658"/>
      <c r="AV167" s="658"/>
      <c r="AW167" s="658"/>
      <c r="AX167" s="658"/>
      <c r="AY167" s="658"/>
      <c r="AZ167" s="658"/>
      <c r="BA167" s="658"/>
      <c r="BB167" s="658"/>
      <c r="BC167" s="658"/>
      <c r="BD167" s="658"/>
      <c r="BE167" s="658"/>
      <c r="BF167" s="658"/>
      <c r="BG167" s="658"/>
      <c r="BH167" s="658"/>
      <c r="BI167" s="658"/>
      <c r="BJ167" s="658"/>
      <c r="BK167" s="658"/>
      <c r="BL167" s="658"/>
      <c r="BM167" s="658"/>
      <c r="BN167" s="658"/>
      <c r="BO167" s="658"/>
      <c r="BP167" s="658"/>
      <c r="BQ167" s="658"/>
      <c r="BR167" s="658"/>
      <c r="BS167" s="658"/>
      <c r="BT167" s="658"/>
      <c r="BU167" s="658"/>
      <c r="BV167" s="658"/>
      <c r="BW167" s="658"/>
      <c r="BX167" s="658"/>
      <c r="BY167" s="658"/>
      <c r="BZ167" s="658"/>
      <c r="CA167" s="658"/>
      <c r="CB167" s="658"/>
      <c r="CC167" s="658"/>
      <c r="CD167" s="658"/>
      <c r="CE167" s="658"/>
      <c r="CF167" s="658"/>
      <c r="CG167" s="658"/>
      <c r="CH167" s="658"/>
      <c r="CI167" s="658"/>
      <c r="CJ167" s="658"/>
      <c r="CK167" s="658"/>
      <c r="CL167" s="658"/>
      <c r="CM167" s="658"/>
      <c r="CN167" s="658"/>
      <c r="CO167" s="658"/>
      <c r="CP167" s="658"/>
      <c r="CQ167" s="658"/>
      <c r="CR167" s="658"/>
      <c r="CS167" s="658"/>
      <c r="CT167" s="658"/>
      <c r="CU167" s="658"/>
      <c r="CV167" s="658"/>
      <c r="CW167" s="658"/>
      <c r="CX167" s="658"/>
      <c r="CY167" s="658"/>
      <c r="CZ167" s="658"/>
      <c r="DA167" s="658"/>
      <c r="DB167" s="658"/>
      <c r="DC167" s="658"/>
      <c r="DD167" s="658"/>
      <c r="DE167" s="658"/>
      <c r="DF167" s="658"/>
      <c r="DG167" s="658"/>
      <c r="DH167" s="658"/>
      <c r="DI167" s="658"/>
      <c r="DJ167" s="658"/>
      <c r="DK167" s="658"/>
      <c r="DL167" s="658"/>
      <c r="DM167" s="658"/>
      <c r="DN167" s="658"/>
      <c r="DO167" s="177">
        <f t="shared" si="734"/>
        <v>0</v>
      </c>
      <c r="DP167" s="612" t="e">
        <f t="shared" si="735"/>
        <v>#N/A</v>
      </c>
      <c r="DQ167" s="612" t="e">
        <f t="shared" si="731"/>
        <v>#NUM!</v>
      </c>
      <c r="DR167" s="177"/>
      <c r="DS167" s="177"/>
      <c r="DT167" s="177"/>
      <c r="DU167" s="177"/>
      <c r="DV167" s="177"/>
      <c r="DW167" s="177"/>
      <c r="DX167" s="177"/>
      <c r="DY167" s="177"/>
      <c r="DZ167" s="177"/>
      <c r="EA167" s="613"/>
    </row>
    <row r="168" spans="1:131" ht="14.25" thickBot="1">
      <c r="A168" s="317"/>
      <c r="B168" s="779"/>
      <c r="C168" s="661"/>
      <c r="D168" s="661"/>
      <c r="E168" s="661"/>
      <c r="F168" s="662"/>
      <c r="G168" s="662"/>
      <c r="H168" s="317"/>
      <c r="I168" s="634">
        <f>SUM(I160:I167)</f>
        <v>0</v>
      </c>
      <c r="J168" s="663"/>
      <c r="K168" s="664"/>
      <c r="L168" s="664"/>
      <c r="M168" s="664"/>
      <c r="N168" s="634">
        <f t="shared" ref="N168:R168" si="736">SUM(N160:N167)</f>
        <v>0</v>
      </c>
      <c r="O168" s="634">
        <f t="shared" si="736"/>
        <v>0</v>
      </c>
      <c r="P168" s="634">
        <f t="shared" si="736"/>
        <v>0</v>
      </c>
      <c r="Q168" s="634">
        <f t="shared" si="736"/>
        <v>0</v>
      </c>
      <c r="R168" s="665">
        <f t="shared" si="736"/>
        <v>0</v>
      </c>
      <c r="S168" s="634">
        <f>SUM(S160:S167)</f>
        <v>0</v>
      </c>
      <c r="T168" s="634">
        <f t="shared" ref="T168" si="737">SUM(T160:T167)</f>
        <v>0</v>
      </c>
      <c r="U168" s="634">
        <f t="shared" ref="U168" si="738">SUM(U160:U167)</f>
        <v>0</v>
      </c>
      <c r="V168" s="634">
        <f t="shared" ref="V168" si="739">SUM(V160:V167)</f>
        <v>0</v>
      </c>
      <c r="W168" s="634">
        <f t="shared" ref="W168" si="740">SUM(W160:W167)</f>
        <v>0</v>
      </c>
      <c r="X168" s="634">
        <f t="shared" ref="X168" si="741">SUM(X160:X167)</f>
        <v>0</v>
      </c>
      <c r="Y168" s="634">
        <f t="shared" ref="Y168" si="742">SUM(Y160:Y167)</f>
        <v>0</v>
      </c>
      <c r="Z168" s="634">
        <f t="shared" ref="Z168" si="743">SUM(Z160:Z167)</f>
        <v>0</v>
      </c>
      <c r="AA168" s="634">
        <f t="shared" ref="AA168" si="744">SUM(AA160:AA167)</f>
        <v>0</v>
      </c>
      <c r="AB168" s="634">
        <f t="shared" ref="AB168" si="745">SUM(AB160:AB167)</f>
        <v>0</v>
      </c>
      <c r="AC168" s="634">
        <f t="shared" ref="AC168" si="746">SUM(AC160:AC167)</f>
        <v>0</v>
      </c>
      <c r="AD168" s="634">
        <f t="shared" ref="AD168" si="747">SUM(AD160:AD167)</f>
        <v>0</v>
      </c>
      <c r="AE168" s="634">
        <f t="shared" ref="AE168" si="748">SUM(AE160:AE167)</f>
        <v>0</v>
      </c>
      <c r="AF168" s="634">
        <f t="shared" ref="AF168" si="749">SUM(AF160:AF167)</f>
        <v>0</v>
      </c>
      <c r="AG168" s="634">
        <f t="shared" ref="AG168" si="750">SUM(AG160:AG167)</f>
        <v>0</v>
      </c>
      <c r="AH168" s="634">
        <f t="shared" ref="AH168" si="751">SUM(AH160:AH167)</f>
        <v>0</v>
      </c>
      <c r="AI168" s="634">
        <f t="shared" ref="AI168" si="752">SUM(AI160:AI167)</f>
        <v>0</v>
      </c>
      <c r="AJ168" s="634">
        <f t="shared" ref="AJ168" si="753">SUM(AJ160:AJ167)</f>
        <v>0</v>
      </c>
      <c r="AK168" s="634">
        <f t="shared" ref="AK168" si="754">SUM(AK160:AK167)</f>
        <v>0</v>
      </c>
      <c r="AL168" s="634">
        <f t="shared" ref="AL168" si="755">SUM(AL160:AL167)</f>
        <v>0</v>
      </c>
      <c r="AM168" s="634">
        <f t="shared" ref="AM168" si="756">SUM(AM160:AM167)</f>
        <v>0</v>
      </c>
      <c r="AN168" s="634">
        <f t="shared" ref="AN168" si="757">SUM(AN160:AN167)</f>
        <v>0</v>
      </c>
      <c r="AO168" s="634">
        <f t="shared" ref="AO168" si="758">SUM(AO160:AO167)</f>
        <v>0</v>
      </c>
      <c r="AP168" s="634">
        <f t="shared" ref="AP168" si="759">SUM(AP160:AP167)</f>
        <v>0</v>
      </c>
      <c r="AQ168" s="634">
        <f t="shared" ref="AQ168" si="760">SUM(AQ160:AQ167)</f>
        <v>0</v>
      </c>
      <c r="AR168" s="634">
        <f t="shared" ref="AR168" si="761">SUM(AR160:AR167)</f>
        <v>0</v>
      </c>
      <c r="AS168" s="634">
        <f t="shared" ref="AS168" si="762">SUM(AS160:AS167)</f>
        <v>0</v>
      </c>
      <c r="AT168" s="634">
        <f t="shared" ref="AT168" si="763">SUM(AT160:AT167)</f>
        <v>0</v>
      </c>
      <c r="AU168" s="634">
        <f t="shared" ref="AU168" si="764">SUM(AU160:AU167)</f>
        <v>0</v>
      </c>
      <c r="AV168" s="634">
        <f t="shared" ref="AV168" si="765">SUM(AV160:AV167)</f>
        <v>0</v>
      </c>
      <c r="AW168" s="634">
        <f t="shared" ref="AW168" si="766">SUM(AW160:AW167)</f>
        <v>0</v>
      </c>
      <c r="AX168" s="634">
        <f t="shared" ref="AX168" si="767">SUM(AX160:AX167)</f>
        <v>0</v>
      </c>
      <c r="AY168" s="634">
        <f t="shared" ref="AY168" si="768">SUM(AY160:AY167)</f>
        <v>0</v>
      </c>
      <c r="AZ168" s="634">
        <f t="shared" ref="AZ168" si="769">SUM(AZ160:AZ167)</f>
        <v>0</v>
      </c>
      <c r="BA168" s="634">
        <f t="shared" ref="BA168" si="770">SUM(BA160:BA167)</f>
        <v>0</v>
      </c>
      <c r="BB168" s="634">
        <f t="shared" ref="BB168" si="771">SUM(BB160:BB167)</f>
        <v>0</v>
      </c>
      <c r="BC168" s="634">
        <f t="shared" ref="BC168" si="772">SUM(BC160:BC167)</f>
        <v>0</v>
      </c>
      <c r="BD168" s="634">
        <f t="shared" ref="BD168" si="773">SUM(BD160:BD167)</f>
        <v>0</v>
      </c>
      <c r="BE168" s="634">
        <f t="shared" ref="BE168" si="774">SUM(BE160:BE167)</f>
        <v>0</v>
      </c>
      <c r="BF168" s="634">
        <f t="shared" ref="BF168" si="775">SUM(BF160:BF167)</f>
        <v>0</v>
      </c>
      <c r="BG168" s="634">
        <f t="shared" ref="BG168" si="776">SUM(BG160:BG167)</f>
        <v>0</v>
      </c>
      <c r="BH168" s="634">
        <f t="shared" ref="BH168" si="777">SUM(BH160:BH167)</f>
        <v>0</v>
      </c>
      <c r="BI168" s="634">
        <f t="shared" ref="BI168" si="778">SUM(BI160:BI167)</f>
        <v>0</v>
      </c>
      <c r="BJ168" s="634">
        <f t="shared" ref="BJ168" si="779">SUM(BJ160:BJ167)</f>
        <v>0</v>
      </c>
      <c r="BK168" s="634">
        <f t="shared" ref="BK168" si="780">SUM(BK160:BK167)</f>
        <v>0</v>
      </c>
      <c r="BL168" s="634">
        <f t="shared" ref="BL168" si="781">SUM(BL160:BL167)</f>
        <v>0</v>
      </c>
      <c r="BM168" s="634">
        <f t="shared" ref="BM168" si="782">SUM(BM160:BM167)</f>
        <v>0</v>
      </c>
      <c r="BN168" s="634">
        <f t="shared" ref="BN168" si="783">SUM(BN160:BN167)</f>
        <v>0</v>
      </c>
      <c r="BO168" s="634">
        <f t="shared" ref="BO168" si="784">SUM(BO160:BO167)</f>
        <v>0</v>
      </c>
      <c r="BP168" s="634">
        <f t="shared" ref="BP168" si="785">SUM(BP160:BP167)</f>
        <v>0</v>
      </c>
      <c r="BQ168" s="634">
        <f t="shared" ref="BQ168" si="786">SUM(BQ160:BQ167)</f>
        <v>0</v>
      </c>
      <c r="BR168" s="634">
        <f t="shared" ref="BR168" si="787">SUM(BR160:BR167)</f>
        <v>0</v>
      </c>
      <c r="BS168" s="634">
        <f t="shared" ref="BS168" si="788">SUM(BS160:BS167)</f>
        <v>0</v>
      </c>
      <c r="BT168" s="634">
        <f t="shared" ref="BT168" si="789">SUM(BT160:BT167)</f>
        <v>0</v>
      </c>
      <c r="BU168" s="634">
        <f t="shared" ref="BU168" si="790">SUM(BU160:BU167)</f>
        <v>0</v>
      </c>
      <c r="BV168" s="634">
        <f t="shared" ref="BV168" si="791">SUM(BV160:BV167)</f>
        <v>0</v>
      </c>
      <c r="BW168" s="634">
        <f t="shared" ref="BW168" si="792">SUM(BW160:BW167)</f>
        <v>0</v>
      </c>
      <c r="BX168" s="634">
        <f t="shared" ref="BX168" si="793">SUM(BX160:BX167)</f>
        <v>0</v>
      </c>
      <c r="BY168" s="634">
        <f t="shared" ref="BY168" si="794">SUM(BY160:BY167)</f>
        <v>0</v>
      </c>
      <c r="BZ168" s="634">
        <f t="shared" ref="BZ168" si="795">SUM(BZ160:BZ167)</f>
        <v>0</v>
      </c>
      <c r="CA168" s="634">
        <f t="shared" ref="CA168" si="796">SUM(CA160:CA167)</f>
        <v>0</v>
      </c>
      <c r="CB168" s="634">
        <f t="shared" ref="CB168" si="797">SUM(CB160:CB167)</f>
        <v>0</v>
      </c>
      <c r="CC168" s="634">
        <f t="shared" ref="CC168" si="798">SUM(CC160:CC167)</f>
        <v>0</v>
      </c>
      <c r="CD168" s="634">
        <f t="shared" ref="CD168" si="799">SUM(CD160:CD167)</f>
        <v>0</v>
      </c>
      <c r="CE168" s="634">
        <f t="shared" ref="CE168" si="800">SUM(CE160:CE167)</f>
        <v>0</v>
      </c>
      <c r="CF168" s="634">
        <f t="shared" ref="CF168" si="801">SUM(CF160:CF167)</f>
        <v>0</v>
      </c>
      <c r="CG168" s="634">
        <f t="shared" ref="CG168" si="802">SUM(CG160:CG167)</f>
        <v>0</v>
      </c>
      <c r="CH168" s="634">
        <f t="shared" ref="CH168" si="803">SUM(CH160:CH167)</f>
        <v>0</v>
      </c>
      <c r="CI168" s="634">
        <f t="shared" ref="CI168" si="804">SUM(CI160:CI167)</f>
        <v>0</v>
      </c>
      <c r="CJ168" s="634">
        <f t="shared" ref="CJ168" si="805">SUM(CJ160:CJ167)</f>
        <v>0</v>
      </c>
      <c r="CK168" s="634">
        <f t="shared" ref="CK168" si="806">SUM(CK160:CK167)</f>
        <v>0</v>
      </c>
      <c r="CL168" s="634">
        <f t="shared" ref="CL168" si="807">SUM(CL160:CL167)</f>
        <v>0</v>
      </c>
      <c r="CM168" s="634">
        <f t="shared" ref="CM168" si="808">SUM(CM160:CM167)</f>
        <v>0</v>
      </c>
      <c r="CN168" s="634">
        <f t="shared" ref="CN168" si="809">SUM(CN160:CN167)</f>
        <v>0</v>
      </c>
      <c r="CO168" s="634">
        <f t="shared" ref="CO168" si="810">SUM(CO160:CO167)</f>
        <v>0</v>
      </c>
      <c r="CP168" s="634">
        <f t="shared" ref="CP168" si="811">SUM(CP160:CP167)</f>
        <v>0</v>
      </c>
      <c r="CQ168" s="634">
        <f t="shared" ref="CQ168" si="812">SUM(CQ160:CQ167)</f>
        <v>0</v>
      </c>
      <c r="CR168" s="634">
        <f t="shared" ref="CR168" si="813">SUM(CR160:CR167)</f>
        <v>0</v>
      </c>
      <c r="CS168" s="634">
        <f t="shared" ref="CS168" si="814">SUM(CS160:CS167)</f>
        <v>0</v>
      </c>
      <c r="CT168" s="634">
        <f t="shared" ref="CT168" si="815">SUM(CT160:CT167)</f>
        <v>0</v>
      </c>
      <c r="CU168" s="634">
        <f t="shared" ref="CU168" si="816">SUM(CU160:CU167)</f>
        <v>0</v>
      </c>
      <c r="CV168" s="634">
        <f t="shared" ref="CV168" si="817">SUM(CV160:CV167)</f>
        <v>0</v>
      </c>
      <c r="CW168" s="634">
        <f t="shared" ref="CW168" si="818">SUM(CW160:CW167)</f>
        <v>0</v>
      </c>
      <c r="CX168" s="634">
        <f t="shared" ref="CX168" si="819">SUM(CX160:CX167)</f>
        <v>0</v>
      </c>
      <c r="CY168" s="634">
        <f t="shared" ref="CY168" si="820">SUM(CY160:CY167)</f>
        <v>0</v>
      </c>
      <c r="CZ168" s="634">
        <f t="shared" ref="CZ168" si="821">SUM(CZ160:CZ167)</f>
        <v>0</v>
      </c>
      <c r="DA168" s="634">
        <f t="shared" ref="DA168" si="822">SUM(DA160:DA167)</f>
        <v>0</v>
      </c>
      <c r="DB168" s="634">
        <f t="shared" ref="DB168" si="823">SUM(DB160:DB167)</f>
        <v>0</v>
      </c>
      <c r="DC168" s="634">
        <f t="shared" ref="DC168" si="824">SUM(DC160:DC167)</f>
        <v>0</v>
      </c>
      <c r="DD168" s="634">
        <f t="shared" ref="DD168" si="825">SUM(DD160:DD167)</f>
        <v>0</v>
      </c>
      <c r="DE168" s="634">
        <f t="shared" ref="DE168" si="826">SUM(DE160:DE167)</f>
        <v>0</v>
      </c>
      <c r="DF168" s="634">
        <f t="shared" ref="DF168" si="827">SUM(DF160:DF167)</f>
        <v>0</v>
      </c>
      <c r="DG168" s="634">
        <f t="shared" ref="DG168" si="828">SUM(DG160:DG167)</f>
        <v>0</v>
      </c>
      <c r="DH168" s="634">
        <f t="shared" ref="DH168" si="829">SUM(DH160:DH167)</f>
        <v>0</v>
      </c>
      <c r="DI168" s="634">
        <f t="shared" ref="DI168" si="830">SUM(DI160:DI167)</f>
        <v>0</v>
      </c>
      <c r="DJ168" s="634">
        <f t="shared" ref="DJ168" si="831">SUM(DJ160:DJ167)</f>
        <v>0</v>
      </c>
      <c r="DK168" s="634">
        <f t="shared" ref="DK168" si="832">SUM(DK160:DK167)</f>
        <v>0</v>
      </c>
      <c r="DL168" s="634">
        <f t="shared" ref="DL168" si="833">SUM(DL160:DL167)</f>
        <v>0</v>
      </c>
      <c r="DM168" s="634">
        <f t="shared" ref="DM168" si="834">SUM(DM160:DM167)</f>
        <v>0</v>
      </c>
      <c r="DN168" s="634">
        <f t="shared" ref="DN168" si="835">SUM(DN160:DN167)</f>
        <v>0</v>
      </c>
      <c r="DO168" s="634">
        <f t="shared" ref="DO168" si="836">SUM(DO160:DO167)</f>
        <v>0</v>
      </c>
      <c r="DP168" s="666"/>
      <c r="DQ168" s="638" t="e">
        <f t="shared" si="731"/>
        <v>#NUM!</v>
      </c>
      <c r="DR168" s="636">
        <f t="shared" ref="DR168:DX168" si="837">SUM(DR160:DR167)</f>
        <v>0</v>
      </c>
      <c r="DS168" s="636">
        <f t="shared" si="837"/>
        <v>0</v>
      </c>
      <c r="DT168" s="636">
        <f t="shared" si="837"/>
        <v>0</v>
      </c>
      <c r="DU168" s="636">
        <f t="shared" si="837"/>
        <v>0</v>
      </c>
      <c r="DV168" s="636">
        <f t="shared" si="837"/>
        <v>0</v>
      </c>
      <c r="DW168" s="636">
        <f t="shared" si="837"/>
        <v>0</v>
      </c>
      <c r="DX168" s="636">
        <f t="shared" si="837"/>
        <v>0</v>
      </c>
      <c r="DY168" s="636">
        <f>SUM(DY160:DY167)</f>
        <v>0</v>
      </c>
      <c r="DZ168" s="636">
        <f>SUM(DZ160:DZ167)</f>
        <v>0</v>
      </c>
      <c r="EA168" s="636">
        <f>SUM(EA160:EA167)</f>
        <v>0</v>
      </c>
    </row>
    <row r="169" spans="1:131" ht="14.25" thickBot="1">
      <c r="A169" s="172"/>
      <c r="B169" s="667"/>
      <c r="C169" s="592" t="s">
        <v>3609</v>
      </c>
      <c r="D169" s="648">
        <f>D157+1</f>
        <v>10</v>
      </c>
      <c r="E169" s="649"/>
      <c r="F169" s="603"/>
      <c r="G169" s="603"/>
      <c r="I169" s="650" t="b">
        <f>I180=DR171</f>
        <v>1</v>
      </c>
      <c r="J169" s="172"/>
      <c r="K169" s="172"/>
      <c r="L169" s="172"/>
      <c r="M169" s="172"/>
      <c r="N169" s="172"/>
      <c r="O169" s="172"/>
      <c r="P169" s="172"/>
      <c r="Q169" s="639" t="str">
        <f>IF(Q180=NAV!E561,"자본금과 일치","자본금과 불일치")</f>
        <v>자본금과 일치</v>
      </c>
      <c r="R169" s="172"/>
      <c r="S169" s="172"/>
      <c r="T169" s="172"/>
      <c r="U169" s="172"/>
      <c r="V169" s="172"/>
      <c r="W169" s="172"/>
      <c r="X169" s="172"/>
      <c r="Y169" s="172"/>
      <c r="Z169" s="172"/>
      <c r="AA169" s="172"/>
      <c r="AB169" s="172"/>
      <c r="AC169" s="172"/>
      <c r="AD169" s="172"/>
      <c r="AE169" s="172"/>
      <c r="AF169" s="172"/>
      <c r="AG169" s="172"/>
      <c r="AH169" s="172"/>
      <c r="AI169" s="172"/>
      <c r="AJ169" s="172"/>
      <c r="AK169" s="172"/>
      <c r="AL169" s="172"/>
      <c r="AM169" s="172"/>
      <c r="AN169" s="172"/>
      <c r="AO169" s="172"/>
      <c r="AP169" s="172"/>
      <c r="AQ169" s="172"/>
      <c r="AR169" s="172"/>
      <c r="AS169" s="172"/>
      <c r="AT169" s="172"/>
      <c r="AU169" s="172"/>
      <c r="AV169" s="172"/>
      <c r="AW169" s="172"/>
      <c r="AX169" s="172"/>
      <c r="AY169" s="172"/>
      <c r="AZ169" s="172"/>
      <c r="BA169" s="172"/>
      <c r="BB169" s="172"/>
      <c r="BC169" s="172"/>
      <c r="BD169" s="172"/>
      <c r="BE169" s="172"/>
      <c r="BF169" s="172"/>
      <c r="BG169" s="172"/>
      <c r="BH169" s="172"/>
      <c r="BI169" s="172"/>
      <c r="BJ169" s="172"/>
      <c r="BK169" s="172"/>
      <c r="BL169" s="172"/>
      <c r="BM169" s="172"/>
      <c r="BN169" s="172"/>
      <c r="BO169" s="172"/>
      <c r="BP169" s="172"/>
      <c r="BQ169" s="172"/>
      <c r="BR169" s="172"/>
      <c r="BS169" s="172"/>
      <c r="BT169" s="172"/>
      <c r="BU169" s="172"/>
      <c r="BV169" s="172"/>
      <c r="BW169" s="172"/>
      <c r="BX169" s="172"/>
      <c r="BY169" s="172"/>
      <c r="BZ169" s="172"/>
      <c r="CA169" s="172"/>
      <c r="CB169" s="172"/>
      <c r="CC169" s="172"/>
      <c r="CD169" s="172"/>
      <c r="CE169" s="172"/>
      <c r="CF169" s="172"/>
      <c r="CG169" s="172"/>
      <c r="CH169" s="172"/>
      <c r="CI169" s="172"/>
      <c r="CJ169" s="172"/>
      <c r="CK169" s="172"/>
      <c r="CL169" s="172"/>
      <c r="CM169" s="172"/>
      <c r="CN169" s="172"/>
      <c r="CO169" s="172"/>
      <c r="CP169" s="172"/>
      <c r="CQ169" s="172"/>
      <c r="CR169" s="172"/>
      <c r="CS169" s="172"/>
      <c r="CT169" s="172"/>
      <c r="CU169" s="172"/>
      <c r="CV169" s="172"/>
      <c r="CW169" s="172"/>
      <c r="CX169" s="172"/>
      <c r="CY169" s="172"/>
      <c r="CZ169" s="172"/>
      <c r="DA169" s="172"/>
      <c r="DB169" s="172"/>
      <c r="DC169" s="172"/>
      <c r="DD169" s="172"/>
      <c r="DE169" s="172"/>
      <c r="DF169" s="172"/>
      <c r="DG169" s="172"/>
      <c r="DH169" s="172"/>
      <c r="DI169" s="172"/>
      <c r="DJ169" s="172"/>
      <c r="DK169" s="172"/>
      <c r="DL169" s="172"/>
      <c r="DM169" s="172"/>
      <c r="DN169" s="172"/>
      <c r="DO169" s="588" t="s">
        <v>219</v>
      </c>
      <c r="DP169" s="588" t="str">
        <f>IF(ROUND(_xlfn.AGGREGATE(9,6,DP172:DP179),5)=ROUND(_xlfn.AGGREGATE(9,6,DQ172:DQ179),5),"이상없음","기준수익률확인")</f>
        <v>이상없음</v>
      </c>
      <c r="DQ169" s="172"/>
      <c r="DR169" s="651" t="s">
        <v>3406</v>
      </c>
      <c r="DS169" s="172"/>
      <c r="DT169" s="615"/>
      <c r="DU169" s="615"/>
      <c r="DV169" s="172"/>
      <c r="DW169" s="172"/>
      <c r="DX169" s="615"/>
      <c r="DY169" s="172"/>
      <c r="DZ169" s="172"/>
      <c r="EA169" s="172"/>
    </row>
    <row r="170" spans="1:131" ht="13.5">
      <c r="A170" s="652" t="str">
        <f t="shared" ref="A170:A178" si="838">$B$169&amp;B170</f>
        <v>SPC명</v>
      </c>
      <c r="B170" s="653" t="s">
        <v>357</v>
      </c>
      <c r="C170" s="780"/>
      <c r="D170" s="780"/>
      <c r="E170" s="780"/>
      <c r="F170" s="230"/>
      <c r="G170" s="230"/>
      <c r="I170" s="776" t="s">
        <v>3393</v>
      </c>
      <c r="J170" s="776" t="s">
        <v>3394</v>
      </c>
      <c r="K170" s="774" t="s">
        <v>3395</v>
      </c>
      <c r="L170" s="774" t="s">
        <v>3396</v>
      </c>
      <c r="M170" s="774" t="s">
        <v>203</v>
      </c>
      <c r="N170" s="774" t="s">
        <v>211</v>
      </c>
      <c r="O170" s="774" t="s">
        <v>3399</v>
      </c>
      <c r="P170" s="776" t="s">
        <v>239</v>
      </c>
      <c r="Q170" s="774" t="s">
        <v>3401</v>
      </c>
      <c r="R170" s="774" t="s">
        <v>3402</v>
      </c>
      <c r="S170" s="593"/>
      <c r="T170" s="593"/>
      <c r="U170" s="593"/>
      <c r="V170" s="593"/>
      <c r="W170" s="593"/>
      <c r="X170" s="593"/>
      <c r="Y170" s="593"/>
      <c r="Z170" s="593"/>
      <c r="AA170" s="593"/>
      <c r="AB170" s="593"/>
      <c r="AC170" s="593"/>
      <c r="AD170" s="593"/>
      <c r="AE170" s="593"/>
      <c r="AF170" s="593"/>
      <c r="AG170" s="593"/>
      <c r="AH170" s="593"/>
      <c r="AI170" s="593"/>
      <c r="AJ170" s="593"/>
      <c r="AK170" s="593"/>
      <c r="AL170" s="593"/>
      <c r="AM170" s="593"/>
      <c r="AN170" s="593"/>
      <c r="AO170" s="593"/>
      <c r="AP170" s="593"/>
      <c r="AQ170" s="593"/>
      <c r="AR170" s="593"/>
      <c r="AS170" s="593"/>
      <c r="AT170" s="593"/>
      <c r="AU170" s="593"/>
      <c r="AV170" s="593"/>
      <c r="AW170" s="593"/>
      <c r="AX170" s="593"/>
      <c r="AY170" s="593"/>
      <c r="AZ170" s="593"/>
      <c r="BA170" s="593"/>
      <c r="BB170" s="593"/>
      <c r="BC170" s="593"/>
      <c r="BD170" s="593"/>
      <c r="BE170" s="593"/>
      <c r="BF170" s="593"/>
      <c r="BG170" s="593"/>
      <c r="BH170" s="593"/>
      <c r="BI170" s="593"/>
      <c r="BJ170" s="593"/>
      <c r="BK170" s="593"/>
      <c r="BL170" s="593"/>
      <c r="BM170" s="593"/>
      <c r="BN170" s="593"/>
      <c r="BO170" s="593"/>
      <c r="BP170" s="593"/>
      <c r="BQ170" s="593"/>
      <c r="BR170" s="593"/>
      <c r="BS170" s="593"/>
      <c r="BT170" s="593"/>
      <c r="BU170" s="593"/>
      <c r="BV170" s="593"/>
      <c r="BW170" s="593"/>
      <c r="BX170" s="593"/>
      <c r="BY170" s="593"/>
      <c r="BZ170" s="593"/>
      <c r="CA170" s="593"/>
      <c r="CB170" s="593"/>
      <c r="CC170" s="593"/>
      <c r="CD170" s="593"/>
      <c r="CE170" s="593"/>
      <c r="CF170" s="593"/>
      <c r="CG170" s="593"/>
      <c r="CH170" s="593"/>
      <c r="CI170" s="593"/>
      <c r="CJ170" s="593"/>
      <c r="CK170" s="593"/>
      <c r="CL170" s="593"/>
      <c r="CM170" s="593"/>
      <c r="CN170" s="593"/>
      <c r="CO170" s="593"/>
      <c r="CP170" s="593"/>
      <c r="CQ170" s="593"/>
      <c r="CR170" s="593"/>
      <c r="CS170" s="593"/>
      <c r="CT170" s="593"/>
      <c r="CU170" s="593"/>
      <c r="CV170" s="593"/>
      <c r="CW170" s="593"/>
      <c r="CX170" s="593"/>
      <c r="CY170" s="593"/>
      <c r="CZ170" s="593"/>
      <c r="DA170" s="593"/>
      <c r="DB170" s="593"/>
      <c r="DC170" s="593"/>
      <c r="DD170" s="593"/>
      <c r="DE170" s="593"/>
      <c r="DF170" s="593"/>
      <c r="DG170" s="593"/>
      <c r="DH170" s="593"/>
      <c r="DI170" s="593"/>
      <c r="DJ170" s="593"/>
      <c r="DK170" s="593"/>
      <c r="DL170" s="593"/>
      <c r="DM170" s="593"/>
      <c r="DN170" s="593"/>
      <c r="DO170" s="594" t="s">
        <v>220</v>
      </c>
      <c r="DP170" s="774" t="s">
        <v>218</v>
      </c>
      <c r="DQ170" s="774" t="s">
        <v>222</v>
      </c>
      <c r="DR170" s="594"/>
      <c r="DS170" s="594"/>
      <c r="DT170" s="594"/>
      <c r="DU170" s="594"/>
      <c r="DV170" s="594"/>
      <c r="DW170" s="594"/>
      <c r="DX170" s="594"/>
      <c r="DY170" s="594"/>
      <c r="DZ170" s="594"/>
      <c r="EA170" s="602"/>
    </row>
    <row r="171" spans="1:131" ht="14.25" thickBot="1">
      <c r="A171" s="652" t="str">
        <f t="shared" si="838"/>
        <v>유형</v>
      </c>
      <c r="B171" s="653" t="s">
        <v>350</v>
      </c>
      <c r="C171" s="780"/>
      <c r="D171" s="780"/>
      <c r="E171" s="780"/>
      <c r="F171" s="230"/>
      <c r="G171" s="230"/>
      <c r="I171" s="777"/>
      <c r="J171" s="777"/>
      <c r="K171" s="775"/>
      <c r="L171" s="775"/>
      <c r="M171" s="775"/>
      <c r="N171" s="775"/>
      <c r="O171" s="775"/>
      <c r="P171" s="777"/>
      <c r="Q171" s="775"/>
      <c r="R171" s="775"/>
      <c r="S171" s="601"/>
      <c r="T171" s="601"/>
      <c r="U171" s="601"/>
      <c r="V171" s="601"/>
      <c r="W171" s="601"/>
      <c r="X171" s="601"/>
      <c r="Y171" s="601"/>
      <c r="Z171" s="601"/>
      <c r="AA171" s="601"/>
      <c r="AB171" s="601"/>
      <c r="AC171" s="601"/>
      <c r="AD171" s="601"/>
      <c r="AE171" s="601"/>
      <c r="AF171" s="601"/>
      <c r="AG171" s="601"/>
      <c r="AH171" s="601"/>
      <c r="AI171" s="601"/>
      <c r="AJ171" s="601"/>
      <c r="AK171" s="601"/>
      <c r="AL171" s="601"/>
      <c r="AM171" s="601"/>
      <c r="AN171" s="601"/>
      <c r="AO171" s="601"/>
      <c r="AP171" s="601"/>
      <c r="AQ171" s="601"/>
      <c r="AR171" s="601"/>
      <c r="AS171" s="601"/>
      <c r="AT171" s="601"/>
      <c r="AU171" s="601"/>
      <c r="AV171" s="601"/>
      <c r="AW171" s="601"/>
      <c r="AX171" s="601"/>
      <c r="AY171" s="601"/>
      <c r="AZ171" s="601"/>
      <c r="BA171" s="601"/>
      <c r="BB171" s="601"/>
      <c r="BC171" s="601"/>
      <c r="BD171" s="601"/>
      <c r="BE171" s="601"/>
      <c r="BF171" s="601"/>
      <c r="BG171" s="601"/>
      <c r="BH171" s="601"/>
      <c r="BI171" s="601"/>
      <c r="BJ171" s="601"/>
      <c r="BK171" s="601"/>
      <c r="BL171" s="601"/>
      <c r="BM171" s="601"/>
      <c r="BN171" s="601"/>
      <c r="BO171" s="601"/>
      <c r="BP171" s="601"/>
      <c r="BQ171" s="601"/>
      <c r="BR171" s="601"/>
      <c r="BS171" s="601"/>
      <c r="BT171" s="601"/>
      <c r="BU171" s="601"/>
      <c r="BV171" s="601"/>
      <c r="BW171" s="601"/>
      <c r="BX171" s="601"/>
      <c r="BY171" s="601"/>
      <c r="BZ171" s="601"/>
      <c r="CA171" s="601"/>
      <c r="CB171" s="601"/>
      <c r="CC171" s="601"/>
      <c r="CD171" s="601"/>
      <c r="CE171" s="601"/>
      <c r="CF171" s="601"/>
      <c r="CG171" s="601"/>
      <c r="CH171" s="601"/>
      <c r="CI171" s="601"/>
      <c r="CJ171" s="601"/>
      <c r="CK171" s="601"/>
      <c r="CL171" s="601"/>
      <c r="CM171" s="601"/>
      <c r="CN171" s="601"/>
      <c r="CO171" s="601"/>
      <c r="CP171" s="601"/>
      <c r="CQ171" s="601"/>
      <c r="CR171" s="601"/>
      <c r="CS171" s="601"/>
      <c r="CT171" s="601"/>
      <c r="CU171" s="601"/>
      <c r="CV171" s="601"/>
      <c r="CW171" s="601"/>
      <c r="CX171" s="601"/>
      <c r="CY171" s="601"/>
      <c r="CZ171" s="601"/>
      <c r="DA171" s="601"/>
      <c r="DB171" s="601"/>
      <c r="DC171" s="601"/>
      <c r="DD171" s="601"/>
      <c r="DE171" s="601"/>
      <c r="DF171" s="601"/>
      <c r="DG171" s="601"/>
      <c r="DH171" s="601"/>
      <c r="DI171" s="601"/>
      <c r="DJ171" s="601"/>
      <c r="DK171" s="601"/>
      <c r="DL171" s="601"/>
      <c r="DM171" s="601"/>
      <c r="DN171" s="601"/>
      <c r="DO171" s="654">
        <f>$DO$7</f>
        <v>45473</v>
      </c>
      <c r="DP171" s="775"/>
      <c r="DQ171" s="775"/>
      <c r="DR171" s="595">
        <f>NAV!E567</f>
        <v>0</v>
      </c>
      <c r="DS171" s="596">
        <f>DR171-DR180</f>
        <v>0</v>
      </c>
      <c r="DT171" s="596"/>
      <c r="DU171" s="596"/>
      <c r="DV171" s="597"/>
      <c r="DW171" s="596"/>
      <c r="DX171" s="596"/>
      <c r="DY171" s="596"/>
      <c r="DZ171" s="655"/>
      <c r="EA171" s="656"/>
    </row>
    <row r="172" spans="1:131" ht="13.5">
      <c r="A172" s="652" t="str">
        <f t="shared" si="838"/>
        <v>설정일</v>
      </c>
      <c r="B172" s="653" t="s">
        <v>351</v>
      </c>
      <c r="C172" s="781"/>
      <c r="D172" s="780"/>
      <c r="E172" s="780"/>
      <c r="F172" s="230"/>
      <c r="G172" s="230"/>
      <c r="I172" s="657">
        <f>SUM(DR172:EA172)</f>
        <v>0</v>
      </c>
      <c r="J172" s="606" t="str">
        <f>IFERROR(I172/(Q172/$C$174),"N/A")</f>
        <v>N/A</v>
      </c>
      <c r="K172" s="471"/>
      <c r="L172" s="607"/>
      <c r="M172" s="300"/>
      <c r="N172" s="608"/>
      <c r="O172" s="609">
        <f t="shared" ref="O172:O179" si="839">-(SUMIF($S$170:$DN$170,"최초출자",S172:DN172)+SUMIF($S$170:$DN$170,"추가출자",S172:DN172))</f>
        <v>0</v>
      </c>
      <c r="P172" s="609">
        <f t="shared" ref="P172:P179" si="840">SUMIF($S$170:$DN$170,"이익분배",S172:DN172)+SUMIF($S$170:$DN$170,"원본분배",S172:DN172)</f>
        <v>0</v>
      </c>
      <c r="Q172" s="609">
        <f t="shared" ref="Q172:Q179" si="841">-(SUMIF($S$170:$DN$170,"최초출자",S172:DN172)+SUMIF($S$170:$DN$170,"추가출자",S172:DN172)+SUMIF($S$170:$DN$170,"원본분배",S172:DN172))</f>
        <v>0</v>
      </c>
      <c r="R172" s="610" t="str">
        <f>IFERROR(Q172/Q180,"")</f>
        <v/>
      </c>
      <c r="S172" s="658"/>
      <c r="T172" s="658"/>
      <c r="U172" s="658"/>
      <c r="V172" s="658"/>
      <c r="W172" s="658"/>
      <c r="X172" s="658"/>
      <c r="Y172" s="658"/>
      <c r="Z172" s="658"/>
      <c r="AA172" s="658"/>
      <c r="AB172" s="658"/>
      <c r="AC172" s="658"/>
      <c r="AD172" s="658"/>
      <c r="AE172" s="658"/>
      <c r="AF172" s="658"/>
      <c r="AG172" s="658"/>
      <c r="AH172" s="658"/>
      <c r="AI172" s="658"/>
      <c r="AJ172" s="658"/>
      <c r="AK172" s="658"/>
      <c r="AL172" s="658"/>
      <c r="AM172" s="658"/>
      <c r="AN172" s="658"/>
      <c r="AO172" s="658"/>
      <c r="AP172" s="658"/>
      <c r="AQ172" s="658"/>
      <c r="AR172" s="658"/>
      <c r="AS172" s="658"/>
      <c r="AT172" s="658"/>
      <c r="AU172" s="658"/>
      <c r="AV172" s="658"/>
      <c r="AW172" s="658"/>
      <c r="AX172" s="658"/>
      <c r="AY172" s="658"/>
      <c r="AZ172" s="658"/>
      <c r="BA172" s="658"/>
      <c r="BB172" s="658"/>
      <c r="BC172" s="658"/>
      <c r="BD172" s="658"/>
      <c r="BE172" s="658"/>
      <c r="BF172" s="658"/>
      <c r="BG172" s="658"/>
      <c r="BH172" s="658"/>
      <c r="BI172" s="658"/>
      <c r="BJ172" s="658"/>
      <c r="BK172" s="658"/>
      <c r="BL172" s="658"/>
      <c r="BM172" s="658"/>
      <c r="BN172" s="658"/>
      <c r="BO172" s="658"/>
      <c r="BP172" s="658"/>
      <c r="BQ172" s="658"/>
      <c r="BR172" s="658"/>
      <c r="BS172" s="658"/>
      <c r="BT172" s="658"/>
      <c r="BU172" s="658"/>
      <c r="BV172" s="658"/>
      <c r="BW172" s="658"/>
      <c r="BX172" s="658"/>
      <c r="BY172" s="658"/>
      <c r="BZ172" s="658"/>
      <c r="CA172" s="658"/>
      <c r="CB172" s="658"/>
      <c r="CC172" s="658"/>
      <c r="CD172" s="658"/>
      <c r="CE172" s="658"/>
      <c r="CF172" s="658"/>
      <c r="CG172" s="658"/>
      <c r="CH172" s="658"/>
      <c r="CI172" s="658"/>
      <c r="CJ172" s="658"/>
      <c r="CK172" s="658"/>
      <c r="CL172" s="658"/>
      <c r="CM172" s="658"/>
      <c r="CN172" s="658"/>
      <c r="CO172" s="658"/>
      <c r="CP172" s="658"/>
      <c r="CQ172" s="658"/>
      <c r="CR172" s="658"/>
      <c r="CS172" s="658"/>
      <c r="CT172" s="658"/>
      <c r="CU172" s="658"/>
      <c r="CV172" s="658"/>
      <c r="CW172" s="658"/>
      <c r="CX172" s="658"/>
      <c r="CY172" s="658"/>
      <c r="CZ172" s="658"/>
      <c r="DA172" s="658"/>
      <c r="DB172" s="658"/>
      <c r="DC172" s="658"/>
      <c r="DD172" s="658"/>
      <c r="DE172" s="658"/>
      <c r="DF172" s="658"/>
      <c r="DG172" s="658"/>
      <c r="DH172" s="658"/>
      <c r="DI172" s="658"/>
      <c r="DJ172" s="658"/>
      <c r="DK172" s="658"/>
      <c r="DL172" s="658"/>
      <c r="DM172" s="658"/>
      <c r="DN172" s="658"/>
      <c r="DO172" s="177">
        <f>IF(M172="",0,-XNPV(DP172,S172,S$171)*(1+DP172)^YEARFRAC($S$171,$DO$171,3))</f>
        <v>0</v>
      </c>
      <c r="DP172" s="612" t="e">
        <f>IF(HLOOKUP(L172,$C$179:$E$180,2,0)=0,1E-24%,HLOOKUP(L172,$C$179:$E$180,2,FALSE))</f>
        <v>#N/A</v>
      </c>
      <c r="DQ172" s="612" t="e">
        <f t="shared" ref="DQ172:DQ179" si="842">XIRR(S172:DO172,$S$171:$DO$171)</f>
        <v>#NUM!</v>
      </c>
      <c r="DR172" s="177"/>
      <c r="DS172" s="177"/>
      <c r="DT172" s="177"/>
      <c r="DU172" s="177"/>
      <c r="DV172" s="177"/>
      <c r="DW172" s="177"/>
      <c r="DX172" s="177"/>
      <c r="DY172" s="177"/>
      <c r="DZ172" s="177"/>
      <c r="EA172" s="613"/>
    </row>
    <row r="173" spans="1:131" ht="13.5">
      <c r="A173" s="652" t="str">
        <f t="shared" si="838"/>
        <v>출자잔액</v>
      </c>
      <c r="B173" s="653" t="s">
        <v>352</v>
      </c>
      <c r="C173" s="782"/>
      <c r="D173" s="782"/>
      <c r="E173" s="782"/>
      <c r="F173" s="230"/>
      <c r="G173" s="230"/>
      <c r="I173" s="657">
        <f t="shared" ref="I173:I179" si="843">SUM(DR173:EA173)</f>
        <v>0</v>
      </c>
      <c r="J173" s="606" t="str">
        <f t="shared" ref="J173:J179" si="844">IFERROR(I173/(Q173/$C$174),"N/A")</f>
        <v>N/A</v>
      </c>
      <c r="K173" s="471"/>
      <c r="L173" s="607"/>
      <c r="M173" s="300"/>
      <c r="N173" s="608"/>
      <c r="O173" s="609">
        <f t="shared" si="839"/>
        <v>0</v>
      </c>
      <c r="P173" s="609">
        <f t="shared" si="840"/>
        <v>0</v>
      </c>
      <c r="Q173" s="609">
        <f t="shared" si="841"/>
        <v>0</v>
      </c>
      <c r="R173" s="610" t="str">
        <f>IFERROR(Q173/Q180,"")</f>
        <v/>
      </c>
      <c r="S173" s="658"/>
      <c r="T173" s="658"/>
      <c r="U173" s="658"/>
      <c r="V173" s="658"/>
      <c r="W173" s="658"/>
      <c r="X173" s="658"/>
      <c r="Y173" s="658"/>
      <c r="Z173" s="658"/>
      <c r="AA173" s="658"/>
      <c r="AB173" s="658"/>
      <c r="AC173" s="658"/>
      <c r="AD173" s="658"/>
      <c r="AE173" s="658"/>
      <c r="AF173" s="658"/>
      <c r="AG173" s="658"/>
      <c r="AH173" s="658"/>
      <c r="AI173" s="658"/>
      <c r="AJ173" s="658"/>
      <c r="AK173" s="658"/>
      <c r="AL173" s="658"/>
      <c r="AM173" s="658"/>
      <c r="AN173" s="658"/>
      <c r="AO173" s="658"/>
      <c r="AP173" s="658"/>
      <c r="AQ173" s="658"/>
      <c r="AR173" s="658"/>
      <c r="AS173" s="658"/>
      <c r="AT173" s="658"/>
      <c r="AU173" s="658"/>
      <c r="AV173" s="658"/>
      <c r="AW173" s="658"/>
      <c r="AX173" s="658"/>
      <c r="AY173" s="658"/>
      <c r="AZ173" s="658"/>
      <c r="BA173" s="658"/>
      <c r="BB173" s="658"/>
      <c r="BC173" s="658"/>
      <c r="BD173" s="658"/>
      <c r="BE173" s="658"/>
      <c r="BF173" s="658"/>
      <c r="BG173" s="658"/>
      <c r="BH173" s="658"/>
      <c r="BI173" s="658"/>
      <c r="BJ173" s="658"/>
      <c r="BK173" s="658"/>
      <c r="BL173" s="658"/>
      <c r="BM173" s="658"/>
      <c r="BN173" s="658"/>
      <c r="BO173" s="658"/>
      <c r="BP173" s="658"/>
      <c r="BQ173" s="658"/>
      <c r="BR173" s="658"/>
      <c r="BS173" s="658"/>
      <c r="BT173" s="658"/>
      <c r="BU173" s="658"/>
      <c r="BV173" s="658"/>
      <c r="BW173" s="658"/>
      <c r="BX173" s="658"/>
      <c r="BY173" s="658"/>
      <c r="BZ173" s="658"/>
      <c r="CA173" s="658"/>
      <c r="CB173" s="658"/>
      <c r="CC173" s="658"/>
      <c r="CD173" s="658"/>
      <c r="CE173" s="658"/>
      <c r="CF173" s="658"/>
      <c r="CG173" s="658"/>
      <c r="CH173" s="658"/>
      <c r="CI173" s="658"/>
      <c r="CJ173" s="658"/>
      <c r="CK173" s="658"/>
      <c r="CL173" s="658"/>
      <c r="CM173" s="658"/>
      <c r="CN173" s="658"/>
      <c r="CO173" s="658"/>
      <c r="CP173" s="658"/>
      <c r="CQ173" s="658"/>
      <c r="CR173" s="658"/>
      <c r="CS173" s="658"/>
      <c r="CT173" s="658"/>
      <c r="CU173" s="658"/>
      <c r="CV173" s="658"/>
      <c r="CW173" s="658"/>
      <c r="CX173" s="658"/>
      <c r="CY173" s="658"/>
      <c r="CZ173" s="658"/>
      <c r="DA173" s="658"/>
      <c r="DB173" s="658"/>
      <c r="DC173" s="658"/>
      <c r="DD173" s="658"/>
      <c r="DE173" s="658"/>
      <c r="DF173" s="658"/>
      <c r="DG173" s="658"/>
      <c r="DH173" s="658"/>
      <c r="DI173" s="658"/>
      <c r="DJ173" s="658"/>
      <c r="DK173" s="658"/>
      <c r="DL173" s="658"/>
      <c r="DM173" s="658"/>
      <c r="DN173" s="658"/>
      <c r="DO173" s="177">
        <f t="shared" ref="DO173:DO179" si="845">IF(M173="",0,-XNPV(DP173,S173,S$171)*(1+DP173)^YEARFRAC($S$171,$DO$171,3))</f>
        <v>0</v>
      </c>
      <c r="DP173" s="612" t="e">
        <f t="shared" ref="DP173:DP179" si="846">IF(HLOOKUP(L173,$C$179:$E$180,2,0)=0,1E-24%,HLOOKUP(L173,$C$179:$E$180,2,FALSE))</f>
        <v>#N/A</v>
      </c>
      <c r="DQ173" s="612" t="e">
        <f t="shared" si="842"/>
        <v>#NUM!</v>
      </c>
      <c r="DR173" s="177"/>
      <c r="DS173" s="177"/>
      <c r="DT173" s="177"/>
      <c r="DU173" s="177"/>
      <c r="DV173" s="177"/>
      <c r="DW173" s="177"/>
      <c r="DX173" s="177"/>
      <c r="DY173" s="177"/>
      <c r="DZ173" s="177"/>
      <c r="EA173" s="613"/>
    </row>
    <row r="174" spans="1:131" ht="13.5">
      <c r="A174" s="652" t="str">
        <f t="shared" si="838"/>
        <v>1좌당 금액</v>
      </c>
      <c r="B174" s="653" t="s">
        <v>358</v>
      </c>
      <c r="C174" s="783"/>
      <c r="D174" s="783"/>
      <c r="E174" s="783"/>
      <c r="F174" s="230"/>
      <c r="G174" s="230"/>
      <c r="I174" s="657">
        <f t="shared" si="843"/>
        <v>0</v>
      </c>
      <c r="J174" s="606" t="str">
        <f t="shared" si="844"/>
        <v>N/A</v>
      </c>
      <c r="K174" s="471"/>
      <c r="L174" s="607"/>
      <c r="M174" s="300"/>
      <c r="N174" s="608"/>
      <c r="O174" s="609">
        <f t="shared" si="839"/>
        <v>0</v>
      </c>
      <c r="P174" s="609">
        <f t="shared" si="840"/>
        <v>0</v>
      </c>
      <c r="Q174" s="609">
        <f t="shared" si="841"/>
        <v>0</v>
      </c>
      <c r="R174" s="610" t="str">
        <f>IFERROR(Q174/Q180,"")</f>
        <v/>
      </c>
      <c r="S174" s="658"/>
      <c r="T174" s="658"/>
      <c r="U174" s="658"/>
      <c r="V174" s="658"/>
      <c r="W174" s="658"/>
      <c r="X174" s="658"/>
      <c r="Y174" s="658"/>
      <c r="Z174" s="658"/>
      <c r="AA174" s="658"/>
      <c r="AB174" s="658"/>
      <c r="AC174" s="658"/>
      <c r="AD174" s="658"/>
      <c r="AE174" s="658"/>
      <c r="AF174" s="658"/>
      <c r="AG174" s="658"/>
      <c r="AH174" s="658"/>
      <c r="AI174" s="658"/>
      <c r="AJ174" s="658"/>
      <c r="AK174" s="658"/>
      <c r="AL174" s="658"/>
      <c r="AM174" s="658"/>
      <c r="AN174" s="658"/>
      <c r="AO174" s="658"/>
      <c r="AP174" s="658"/>
      <c r="AQ174" s="658"/>
      <c r="AR174" s="658"/>
      <c r="AS174" s="658"/>
      <c r="AT174" s="658"/>
      <c r="AU174" s="658"/>
      <c r="AV174" s="658"/>
      <c r="AW174" s="658"/>
      <c r="AX174" s="658"/>
      <c r="AY174" s="658"/>
      <c r="AZ174" s="658"/>
      <c r="BA174" s="658"/>
      <c r="BB174" s="658"/>
      <c r="BC174" s="658"/>
      <c r="BD174" s="658"/>
      <c r="BE174" s="658"/>
      <c r="BF174" s="658"/>
      <c r="BG174" s="658"/>
      <c r="BH174" s="658"/>
      <c r="BI174" s="658"/>
      <c r="BJ174" s="658"/>
      <c r="BK174" s="658"/>
      <c r="BL174" s="658"/>
      <c r="BM174" s="658"/>
      <c r="BN174" s="658"/>
      <c r="BO174" s="658"/>
      <c r="BP174" s="658"/>
      <c r="BQ174" s="658"/>
      <c r="BR174" s="658"/>
      <c r="BS174" s="658"/>
      <c r="BT174" s="658"/>
      <c r="BU174" s="658"/>
      <c r="BV174" s="658"/>
      <c r="BW174" s="658"/>
      <c r="BX174" s="658"/>
      <c r="BY174" s="658"/>
      <c r="BZ174" s="658"/>
      <c r="CA174" s="658"/>
      <c r="CB174" s="658"/>
      <c r="CC174" s="658"/>
      <c r="CD174" s="658"/>
      <c r="CE174" s="658"/>
      <c r="CF174" s="658"/>
      <c r="CG174" s="658"/>
      <c r="CH174" s="658"/>
      <c r="CI174" s="658"/>
      <c r="CJ174" s="658"/>
      <c r="CK174" s="658"/>
      <c r="CL174" s="658"/>
      <c r="CM174" s="658"/>
      <c r="CN174" s="658"/>
      <c r="CO174" s="658"/>
      <c r="CP174" s="658"/>
      <c r="CQ174" s="658"/>
      <c r="CR174" s="658"/>
      <c r="CS174" s="658"/>
      <c r="CT174" s="658"/>
      <c r="CU174" s="658"/>
      <c r="CV174" s="658"/>
      <c r="CW174" s="658"/>
      <c r="CX174" s="658"/>
      <c r="CY174" s="658"/>
      <c r="CZ174" s="658"/>
      <c r="DA174" s="658"/>
      <c r="DB174" s="658"/>
      <c r="DC174" s="658"/>
      <c r="DD174" s="658"/>
      <c r="DE174" s="658"/>
      <c r="DF174" s="658"/>
      <c r="DG174" s="658"/>
      <c r="DH174" s="658"/>
      <c r="DI174" s="658"/>
      <c r="DJ174" s="658"/>
      <c r="DK174" s="658"/>
      <c r="DL174" s="658"/>
      <c r="DM174" s="658"/>
      <c r="DN174" s="658"/>
      <c r="DO174" s="177">
        <f t="shared" si="845"/>
        <v>0</v>
      </c>
      <c r="DP174" s="612" t="e">
        <f t="shared" si="846"/>
        <v>#N/A</v>
      </c>
      <c r="DQ174" s="612" t="e">
        <f t="shared" si="842"/>
        <v>#NUM!</v>
      </c>
      <c r="DR174" s="177"/>
      <c r="DS174" s="177"/>
      <c r="DT174" s="177"/>
      <c r="DU174" s="177"/>
      <c r="DV174" s="177"/>
      <c r="DW174" s="177"/>
      <c r="DX174" s="177"/>
      <c r="DY174" s="177"/>
      <c r="DZ174" s="177"/>
      <c r="EA174" s="613"/>
    </row>
    <row r="175" spans="1:131" ht="13.5">
      <c r="A175" s="652" t="str">
        <f t="shared" si="838"/>
        <v>기준수익률</v>
      </c>
      <c r="B175" s="653" t="s">
        <v>365</v>
      </c>
      <c r="C175" s="784"/>
      <c r="D175" s="785"/>
      <c r="E175" s="785"/>
      <c r="F175" s="230"/>
      <c r="G175" s="230"/>
      <c r="I175" s="657">
        <f t="shared" si="843"/>
        <v>0</v>
      </c>
      <c r="J175" s="606" t="str">
        <f t="shared" si="844"/>
        <v>N/A</v>
      </c>
      <c r="K175" s="471"/>
      <c r="L175" s="607"/>
      <c r="M175" s="300"/>
      <c r="N175" s="608"/>
      <c r="O175" s="609">
        <f t="shared" si="839"/>
        <v>0</v>
      </c>
      <c r="P175" s="609">
        <f t="shared" si="840"/>
        <v>0</v>
      </c>
      <c r="Q175" s="609">
        <f t="shared" si="841"/>
        <v>0</v>
      </c>
      <c r="R175" s="610" t="str">
        <f>IFERROR(Q175/Q180,"")</f>
        <v/>
      </c>
      <c r="S175" s="658"/>
      <c r="T175" s="658"/>
      <c r="U175" s="658"/>
      <c r="V175" s="658"/>
      <c r="W175" s="658"/>
      <c r="X175" s="658"/>
      <c r="Y175" s="658"/>
      <c r="Z175" s="658"/>
      <c r="AA175" s="658"/>
      <c r="AB175" s="658"/>
      <c r="AC175" s="658"/>
      <c r="AD175" s="658"/>
      <c r="AE175" s="658"/>
      <c r="AF175" s="658"/>
      <c r="AG175" s="658"/>
      <c r="AH175" s="658"/>
      <c r="AI175" s="658"/>
      <c r="AJ175" s="658"/>
      <c r="AK175" s="658"/>
      <c r="AL175" s="658"/>
      <c r="AM175" s="658"/>
      <c r="AN175" s="658"/>
      <c r="AO175" s="658"/>
      <c r="AP175" s="658"/>
      <c r="AQ175" s="658"/>
      <c r="AR175" s="658"/>
      <c r="AS175" s="658"/>
      <c r="AT175" s="658"/>
      <c r="AU175" s="658"/>
      <c r="AV175" s="658"/>
      <c r="AW175" s="658"/>
      <c r="AX175" s="658"/>
      <c r="AY175" s="658"/>
      <c r="AZ175" s="658"/>
      <c r="BA175" s="658"/>
      <c r="BB175" s="658"/>
      <c r="BC175" s="658"/>
      <c r="BD175" s="658"/>
      <c r="BE175" s="658"/>
      <c r="BF175" s="658"/>
      <c r="BG175" s="658"/>
      <c r="BH175" s="658"/>
      <c r="BI175" s="658"/>
      <c r="BJ175" s="658"/>
      <c r="BK175" s="658"/>
      <c r="BL175" s="658"/>
      <c r="BM175" s="658"/>
      <c r="BN175" s="658"/>
      <c r="BO175" s="658"/>
      <c r="BP175" s="658"/>
      <c r="BQ175" s="658"/>
      <c r="BR175" s="658"/>
      <c r="BS175" s="658"/>
      <c r="BT175" s="658"/>
      <c r="BU175" s="658"/>
      <c r="BV175" s="658"/>
      <c r="BW175" s="658"/>
      <c r="BX175" s="658"/>
      <c r="BY175" s="658"/>
      <c r="BZ175" s="658"/>
      <c r="CA175" s="658"/>
      <c r="CB175" s="658"/>
      <c r="CC175" s="658"/>
      <c r="CD175" s="658"/>
      <c r="CE175" s="658"/>
      <c r="CF175" s="658"/>
      <c r="CG175" s="658"/>
      <c r="CH175" s="658"/>
      <c r="CI175" s="658"/>
      <c r="CJ175" s="658"/>
      <c r="CK175" s="658"/>
      <c r="CL175" s="658"/>
      <c r="CM175" s="658"/>
      <c r="CN175" s="658"/>
      <c r="CO175" s="658"/>
      <c r="CP175" s="658"/>
      <c r="CQ175" s="658"/>
      <c r="CR175" s="658"/>
      <c r="CS175" s="658"/>
      <c r="CT175" s="658"/>
      <c r="CU175" s="658"/>
      <c r="CV175" s="658"/>
      <c r="CW175" s="658"/>
      <c r="CX175" s="658"/>
      <c r="CY175" s="658"/>
      <c r="CZ175" s="658"/>
      <c r="DA175" s="658"/>
      <c r="DB175" s="658"/>
      <c r="DC175" s="658"/>
      <c r="DD175" s="658"/>
      <c r="DE175" s="658"/>
      <c r="DF175" s="658"/>
      <c r="DG175" s="658"/>
      <c r="DH175" s="658"/>
      <c r="DI175" s="658"/>
      <c r="DJ175" s="658"/>
      <c r="DK175" s="658"/>
      <c r="DL175" s="658"/>
      <c r="DM175" s="658"/>
      <c r="DN175" s="658"/>
      <c r="DO175" s="177">
        <f t="shared" si="845"/>
        <v>0</v>
      </c>
      <c r="DP175" s="612" t="e">
        <f t="shared" si="846"/>
        <v>#N/A</v>
      </c>
      <c r="DQ175" s="612" t="e">
        <f t="shared" si="842"/>
        <v>#NUM!</v>
      </c>
      <c r="DR175" s="177"/>
      <c r="DS175" s="177"/>
      <c r="DT175" s="177"/>
      <c r="DU175" s="177"/>
      <c r="DV175" s="177"/>
      <c r="DW175" s="177"/>
      <c r="DX175" s="177"/>
      <c r="DY175" s="177"/>
      <c r="DZ175" s="177"/>
      <c r="EA175" s="613"/>
    </row>
    <row r="176" spans="1:131" ht="13.5">
      <c r="A176" s="652" t="str">
        <f t="shared" si="838"/>
        <v>평가방법론</v>
      </c>
      <c r="B176" s="653" t="s">
        <v>7</v>
      </c>
      <c r="C176" s="786"/>
      <c r="D176" s="786"/>
      <c r="E176" s="786"/>
      <c r="F176" s="230"/>
      <c r="G176" s="230"/>
      <c r="I176" s="657">
        <f t="shared" si="843"/>
        <v>0</v>
      </c>
      <c r="J176" s="606" t="str">
        <f t="shared" si="844"/>
        <v>N/A</v>
      </c>
      <c r="K176" s="471"/>
      <c r="L176" s="607"/>
      <c r="M176" s="300"/>
      <c r="N176" s="608"/>
      <c r="O176" s="609">
        <f t="shared" si="839"/>
        <v>0</v>
      </c>
      <c r="P176" s="609">
        <f t="shared" si="840"/>
        <v>0</v>
      </c>
      <c r="Q176" s="609">
        <f t="shared" si="841"/>
        <v>0</v>
      </c>
      <c r="R176" s="610" t="str">
        <f>IFERROR(Q176/Q180,"")</f>
        <v/>
      </c>
      <c r="S176" s="658"/>
      <c r="T176" s="658"/>
      <c r="U176" s="658"/>
      <c r="V176" s="658"/>
      <c r="W176" s="658"/>
      <c r="X176" s="658"/>
      <c r="Y176" s="658"/>
      <c r="Z176" s="658"/>
      <c r="AA176" s="658"/>
      <c r="AB176" s="658"/>
      <c r="AC176" s="658"/>
      <c r="AD176" s="658"/>
      <c r="AE176" s="658"/>
      <c r="AF176" s="658"/>
      <c r="AG176" s="658"/>
      <c r="AH176" s="658"/>
      <c r="AI176" s="658"/>
      <c r="AJ176" s="658"/>
      <c r="AK176" s="658"/>
      <c r="AL176" s="658"/>
      <c r="AM176" s="658"/>
      <c r="AN176" s="658"/>
      <c r="AO176" s="658"/>
      <c r="AP176" s="658"/>
      <c r="AQ176" s="658"/>
      <c r="AR176" s="658"/>
      <c r="AS176" s="658"/>
      <c r="AT176" s="658"/>
      <c r="AU176" s="658"/>
      <c r="AV176" s="658"/>
      <c r="AW176" s="658"/>
      <c r="AX176" s="658"/>
      <c r="AY176" s="658"/>
      <c r="AZ176" s="658"/>
      <c r="BA176" s="658"/>
      <c r="BB176" s="658"/>
      <c r="BC176" s="658"/>
      <c r="BD176" s="658"/>
      <c r="BE176" s="658"/>
      <c r="BF176" s="658"/>
      <c r="BG176" s="658"/>
      <c r="BH176" s="658"/>
      <c r="BI176" s="658"/>
      <c r="BJ176" s="658"/>
      <c r="BK176" s="658"/>
      <c r="BL176" s="658"/>
      <c r="BM176" s="658"/>
      <c r="BN176" s="658"/>
      <c r="BO176" s="658"/>
      <c r="BP176" s="658"/>
      <c r="BQ176" s="658"/>
      <c r="BR176" s="658"/>
      <c r="BS176" s="658"/>
      <c r="BT176" s="658"/>
      <c r="BU176" s="658"/>
      <c r="BV176" s="658"/>
      <c r="BW176" s="658"/>
      <c r="BX176" s="658"/>
      <c r="BY176" s="658"/>
      <c r="BZ176" s="658"/>
      <c r="CA176" s="658"/>
      <c r="CB176" s="658"/>
      <c r="CC176" s="658"/>
      <c r="CD176" s="658"/>
      <c r="CE176" s="658"/>
      <c r="CF176" s="658"/>
      <c r="CG176" s="658"/>
      <c r="CH176" s="658"/>
      <c r="CI176" s="658"/>
      <c r="CJ176" s="658"/>
      <c r="CK176" s="658"/>
      <c r="CL176" s="658"/>
      <c r="CM176" s="658"/>
      <c r="CN176" s="658"/>
      <c r="CO176" s="658"/>
      <c r="CP176" s="658"/>
      <c r="CQ176" s="658"/>
      <c r="CR176" s="658"/>
      <c r="CS176" s="658"/>
      <c r="CT176" s="658"/>
      <c r="CU176" s="658"/>
      <c r="CV176" s="658"/>
      <c r="CW176" s="658"/>
      <c r="CX176" s="658"/>
      <c r="CY176" s="658"/>
      <c r="CZ176" s="658"/>
      <c r="DA176" s="658"/>
      <c r="DB176" s="658"/>
      <c r="DC176" s="658"/>
      <c r="DD176" s="658"/>
      <c r="DE176" s="658"/>
      <c r="DF176" s="658"/>
      <c r="DG176" s="658"/>
      <c r="DH176" s="658"/>
      <c r="DI176" s="658"/>
      <c r="DJ176" s="658"/>
      <c r="DK176" s="658"/>
      <c r="DL176" s="658"/>
      <c r="DM176" s="658"/>
      <c r="DN176" s="658"/>
      <c r="DO176" s="177">
        <f t="shared" si="845"/>
        <v>0</v>
      </c>
      <c r="DP176" s="612" t="e">
        <f t="shared" si="846"/>
        <v>#N/A</v>
      </c>
      <c r="DQ176" s="612" t="e">
        <f t="shared" si="842"/>
        <v>#NUM!</v>
      </c>
      <c r="DR176" s="177"/>
      <c r="DS176" s="177"/>
      <c r="DT176" s="177"/>
      <c r="DU176" s="177"/>
      <c r="DV176" s="177"/>
      <c r="DW176" s="177"/>
      <c r="DX176" s="177"/>
      <c r="DY176" s="177"/>
      <c r="DZ176" s="177"/>
      <c r="EA176" s="613"/>
    </row>
    <row r="177" spans="1:131" ht="13.5">
      <c r="A177" s="652" t="str">
        <f t="shared" si="838"/>
        <v>분배 조항 여부</v>
      </c>
      <c r="B177" s="653" t="s">
        <v>363</v>
      </c>
      <c r="C177" s="786"/>
      <c r="D177" s="786"/>
      <c r="E177" s="786"/>
      <c r="F177" s="230"/>
      <c r="G177" s="230"/>
      <c r="I177" s="657">
        <f t="shared" si="843"/>
        <v>0</v>
      </c>
      <c r="J177" s="606" t="str">
        <f t="shared" si="844"/>
        <v>N/A</v>
      </c>
      <c r="K177" s="471"/>
      <c r="L177" s="607"/>
      <c r="M177" s="300"/>
      <c r="N177" s="608"/>
      <c r="O177" s="609">
        <f t="shared" si="839"/>
        <v>0</v>
      </c>
      <c r="P177" s="609">
        <f t="shared" si="840"/>
        <v>0</v>
      </c>
      <c r="Q177" s="609">
        <f t="shared" si="841"/>
        <v>0</v>
      </c>
      <c r="R177" s="610" t="str">
        <f>IFERROR(Q177/Q180,"")</f>
        <v/>
      </c>
      <c r="S177" s="658"/>
      <c r="T177" s="658"/>
      <c r="U177" s="658"/>
      <c r="V177" s="658"/>
      <c r="W177" s="658"/>
      <c r="X177" s="658"/>
      <c r="Y177" s="658"/>
      <c r="Z177" s="658"/>
      <c r="AA177" s="658"/>
      <c r="AB177" s="658"/>
      <c r="AC177" s="658"/>
      <c r="AD177" s="658"/>
      <c r="AE177" s="658"/>
      <c r="AF177" s="658"/>
      <c r="AG177" s="658"/>
      <c r="AH177" s="658"/>
      <c r="AI177" s="658"/>
      <c r="AJ177" s="658"/>
      <c r="AK177" s="658"/>
      <c r="AL177" s="658"/>
      <c r="AM177" s="658"/>
      <c r="AN177" s="658"/>
      <c r="AO177" s="658"/>
      <c r="AP177" s="658"/>
      <c r="AQ177" s="658"/>
      <c r="AR177" s="658"/>
      <c r="AS177" s="658"/>
      <c r="AT177" s="658"/>
      <c r="AU177" s="658"/>
      <c r="AV177" s="658"/>
      <c r="AW177" s="658"/>
      <c r="AX177" s="658"/>
      <c r="AY177" s="658"/>
      <c r="AZ177" s="658"/>
      <c r="BA177" s="658"/>
      <c r="BB177" s="658"/>
      <c r="BC177" s="658"/>
      <c r="BD177" s="658"/>
      <c r="BE177" s="658"/>
      <c r="BF177" s="658"/>
      <c r="BG177" s="658"/>
      <c r="BH177" s="658"/>
      <c r="BI177" s="658"/>
      <c r="BJ177" s="658"/>
      <c r="BK177" s="658"/>
      <c r="BL177" s="658"/>
      <c r="BM177" s="658"/>
      <c r="BN177" s="658"/>
      <c r="BO177" s="658"/>
      <c r="BP177" s="658"/>
      <c r="BQ177" s="658"/>
      <c r="BR177" s="658"/>
      <c r="BS177" s="658"/>
      <c r="BT177" s="658"/>
      <c r="BU177" s="658"/>
      <c r="BV177" s="658"/>
      <c r="BW177" s="658"/>
      <c r="BX177" s="658"/>
      <c r="BY177" s="658"/>
      <c r="BZ177" s="658"/>
      <c r="CA177" s="658"/>
      <c r="CB177" s="658"/>
      <c r="CC177" s="658"/>
      <c r="CD177" s="658"/>
      <c r="CE177" s="658"/>
      <c r="CF177" s="658"/>
      <c r="CG177" s="658"/>
      <c r="CH177" s="658"/>
      <c r="CI177" s="658"/>
      <c r="CJ177" s="658"/>
      <c r="CK177" s="658"/>
      <c r="CL177" s="658"/>
      <c r="CM177" s="658"/>
      <c r="CN177" s="658"/>
      <c r="CO177" s="658"/>
      <c r="CP177" s="658"/>
      <c r="CQ177" s="658"/>
      <c r="CR177" s="658"/>
      <c r="CS177" s="658"/>
      <c r="CT177" s="658"/>
      <c r="CU177" s="658"/>
      <c r="CV177" s="658"/>
      <c r="CW177" s="658"/>
      <c r="CX177" s="658"/>
      <c r="CY177" s="658"/>
      <c r="CZ177" s="658"/>
      <c r="DA177" s="658"/>
      <c r="DB177" s="658"/>
      <c r="DC177" s="658"/>
      <c r="DD177" s="658"/>
      <c r="DE177" s="658"/>
      <c r="DF177" s="658"/>
      <c r="DG177" s="658"/>
      <c r="DH177" s="658"/>
      <c r="DI177" s="658"/>
      <c r="DJ177" s="658"/>
      <c r="DK177" s="658"/>
      <c r="DL177" s="658"/>
      <c r="DM177" s="658"/>
      <c r="DN177" s="658"/>
      <c r="DO177" s="177">
        <f t="shared" si="845"/>
        <v>0</v>
      </c>
      <c r="DP177" s="612" t="e">
        <f t="shared" si="846"/>
        <v>#N/A</v>
      </c>
      <c r="DQ177" s="612" t="e">
        <f t="shared" si="842"/>
        <v>#NUM!</v>
      </c>
      <c r="DR177" s="177"/>
      <c r="DS177" s="177"/>
      <c r="DT177" s="177"/>
      <c r="DU177" s="177"/>
      <c r="DV177" s="177"/>
      <c r="DW177" s="177"/>
      <c r="DX177" s="177"/>
      <c r="DY177" s="177"/>
      <c r="DZ177" s="177"/>
      <c r="EA177" s="613"/>
    </row>
    <row r="178" spans="1:131" ht="14.25" thickBot="1">
      <c r="A178" s="652" t="str">
        <f t="shared" si="838"/>
        <v>모펀드 출자 지분율</v>
      </c>
      <c r="B178" s="660" t="s">
        <v>356</v>
      </c>
      <c r="C178" s="787"/>
      <c r="D178" s="787"/>
      <c r="E178" s="787"/>
      <c r="F178" s="230"/>
      <c r="G178" s="230"/>
      <c r="I178" s="657">
        <f t="shared" si="843"/>
        <v>0</v>
      </c>
      <c r="J178" s="606" t="str">
        <f t="shared" si="844"/>
        <v>N/A</v>
      </c>
      <c r="K178" s="471"/>
      <c r="L178" s="607"/>
      <c r="M178" s="300"/>
      <c r="N178" s="608"/>
      <c r="O178" s="609">
        <f t="shared" si="839"/>
        <v>0</v>
      </c>
      <c r="P178" s="609">
        <f t="shared" si="840"/>
        <v>0</v>
      </c>
      <c r="Q178" s="609">
        <f t="shared" si="841"/>
        <v>0</v>
      </c>
      <c r="R178" s="610" t="str">
        <f>IFERROR(Q178/Q180,"")</f>
        <v/>
      </c>
      <c r="S178" s="658"/>
      <c r="T178" s="658"/>
      <c r="U178" s="658"/>
      <c r="V178" s="658"/>
      <c r="W178" s="658"/>
      <c r="X178" s="658"/>
      <c r="Y178" s="658"/>
      <c r="Z178" s="658"/>
      <c r="AA178" s="658"/>
      <c r="AB178" s="658"/>
      <c r="AC178" s="658"/>
      <c r="AD178" s="658"/>
      <c r="AE178" s="658"/>
      <c r="AF178" s="658"/>
      <c r="AG178" s="658"/>
      <c r="AH178" s="658"/>
      <c r="AI178" s="658"/>
      <c r="AJ178" s="658"/>
      <c r="AK178" s="658"/>
      <c r="AL178" s="658"/>
      <c r="AM178" s="658"/>
      <c r="AN178" s="658"/>
      <c r="AO178" s="658"/>
      <c r="AP178" s="658"/>
      <c r="AQ178" s="658"/>
      <c r="AR178" s="658"/>
      <c r="AS178" s="658"/>
      <c r="AT178" s="658"/>
      <c r="AU178" s="658"/>
      <c r="AV178" s="658"/>
      <c r="AW178" s="658"/>
      <c r="AX178" s="658"/>
      <c r="AY178" s="658"/>
      <c r="AZ178" s="658"/>
      <c r="BA178" s="658"/>
      <c r="BB178" s="658"/>
      <c r="BC178" s="658"/>
      <c r="BD178" s="658"/>
      <c r="BE178" s="658"/>
      <c r="BF178" s="658"/>
      <c r="BG178" s="658"/>
      <c r="BH178" s="658"/>
      <c r="BI178" s="658"/>
      <c r="BJ178" s="658"/>
      <c r="BK178" s="658"/>
      <c r="BL178" s="658"/>
      <c r="BM178" s="658"/>
      <c r="BN178" s="658"/>
      <c r="BO178" s="658"/>
      <c r="BP178" s="658"/>
      <c r="BQ178" s="658"/>
      <c r="BR178" s="658"/>
      <c r="BS178" s="658"/>
      <c r="BT178" s="658"/>
      <c r="BU178" s="658"/>
      <c r="BV178" s="658"/>
      <c r="BW178" s="658"/>
      <c r="BX178" s="658"/>
      <c r="BY178" s="658"/>
      <c r="BZ178" s="658"/>
      <c r="CA178" s="658"/>
      <c r="CB178" s="658"/>
      <c r="CC178" s="658"/>
      <c r="CD178" s="658"/>
      <c r="CE178" s="658"/>
      <c r="CF178" s="658"/>
      <c r="CG178" s="658"/>
      <c r="CH178" s="658"/>
      <c r="CI178" s="658"/>
      <c r="CJ178" s="658"/>
      <c r="CK178" s="658"/>
      <c r="CL178" s="658"/>
      <c r="CM178" s="658"/>
      <c r="CN178" s="658"/>
      <c r="CO178" s="658"/>
      <c r="CP178" s="658"/>
      <c r="CQ178" s="658"/>
      <c r="CR178" s="658"/>
      <c r="CS178" s="658"/>
      <c r="CT178" s="658"/>
      <c r="CU178" s="658"/>
      <c r="CV178" s="658"/>
      <c r="CW178" s="658"/>
      <c r="CX178" s="658"/>
      <c r="CY178" s="658"/>
      <c r="CZ178" s="658"/>
      <c r="DA178" s="658"/>
      <c r="DB178" s="658"/>
      <c r="DC178" s="658"/>
      <c r="DD178" s="658"/>
      <c r="DE178" s="658"/>
      <c r="DF178" s="658"/>
      <c r="DG178" s="658"/>
      <c r="DH178" s="658"/>
      <c r="DI178" s="658"/>
      <c r="DJ178" s="658"/>
      <c r="DK178" s="658"/>
      <c r="DL178" s="658"/>
      <c r="DM178" s="658"/>
      <c r="DN178" s="658"/>
      <c r="DO178" s="177">
        <f t="shared" si="845"/>
        <v>0</v>
      </c>
      <c r="DP178" s="612" t="e">
        <f t="shared" si="846"/>
        <v>#N/A</v>
      </c>
      <c r="DQ178" s="612" t="e">
        <f t="shared" si="842"/>
        <v>#NUM!</v>
      </c>
      <c r="DR178" s="177"/>
      <c r="DS178" s="177"/>
      <c r="DT178" s="177"/>
      <c r="DU178" s="177"/>
      <c r="DV178" s="177"/>
      <c r="DW178" s="177"/>
      <c r="DX178" s="177"/>
      <c r="DY178" s="177"/>
      <c r="DZ178" s="177"/>
      <c r="EA178" s="613"/>
    </row>
    <row r="179" spans="1:131" ht="14.25" thickBot="1">
      <c r="B179" s="778" t="s">
        <v>3404</v>
      </c>
      <c r="C179" s="616" t="s">
        <v>223</v>
      </c>
      <c r="D179" s="616" t="s">
        <v>224</v>
      </c>
      <c r="E179" s="616" t="s">
        <v>225</v>
      </c>
      <c r="F179" s="230"/>
      <c r="G179" s="230"/>
      <c r="I179" s="657">
        <f t="shared" si="843"/>
        <v>0</v>
      </c>
      <c r="J179" s="606" t="str">
        <f t="shared" si="844"/>
        <v>N/A</v>
      </c>
      <c r="K179" s="471"/>
      <c r="L179" s="607"/>
      <c r="M179" s="300"/>
      <c r="N179" s="608"/>
      <c r="O179" s="609">
        <f t="shared" si="839"/>
        <v>0</v>
      </c>
      <c r="P179" s="609">
        <f t="shared" si="840"/>
        <v>0</v>
      </c>
      <c r="Q179" s="609">
        <f t="shared" si="841"/>
        <v>0</v>
      </c>
      <c r="R179" s="610" t="str">
        <f>IFERROR(Q179/Q180,"")</f>
        <v/>
      </c>
      <c r="S179" s="658"/>
      <c r="T179" s="658"/>
      <c r="U179" s="658"/>
      <c r="V179" s="658"/>
      <c r="W179" s="658"/>
      <c r="X179" s="658"/>
      <c r="Y179" s="658"/>
      <c r="Z179" s="658"/>
      <c r="AA179" s="658"/>
      <c r="AB179" s="658"/>
      <c r="AC179" s="658"/>
      <c r="AD179" s="658"/>
      <c r="AE179" s="658"/>
      <c r="AF179" s="658"/>
      <c r="AG179" s="658"/>
      <c r="AH179" s="658"/>
      <c r="AI179" s="658"/>
      <c r="AJ179" s="658"/>
      <c r="AK179" s="658"/>
      <c r="AL179" s="658"/>
      <c r="AM179" s="658"/>
      <c r="AN179" s="658"/>
      <c r="AO179" s="658"/>
      <c r="AP179" s="658"/>
      <c r="AQ179" s="658"/>
      <c r="AR179" s="658"/>
      <c r="AS179" s="658"/>
      <c r="AT179" s="658"/>
      <c r="AU179" s="658"/>
      <c r="AV179" s="658"/>
      <c r="AW179" s="658"/>
      <c r="AX179" s="658"/>
      <c r="AY179" s="658"/>
      <c r="AZ179" s="658"/>
      <c r="BA179" s="658"/>
      <c r="BB179" s="658"/>
      <c r="BC179" s="658"/>
      <c r="BD179" s="658"/>
      <c r="BE179" s="658"/>
      <c r="BF179" s="658"/>
      <c r="BG179" s="658"/>
      <c r="BH179" s="658"/>
      <c r="BI179" s="658"/>
      <c r="BJ179" s="658"/>
      <c r="BK179" s="658"/>
      <c r="BL179" s="658"/>
      <c r="BM179" s="658"/>
      <c r="BN179" s="658"/>
      <c r="BO179" s="658"/>
      <c r="BP179" s="658"/>
      <c r="BQ179" s="658"/>
      <c r="BR179" s="658"/>
      <c r="BS179" s="658"/>
      <c r="BT179" s="658"/>
      <c r="BU179" s="658"/>
      <c r="BV179" s="658"/>
      <c r="BW179" s="658"/>
      <c r="BX179" s="658"/>
      <c r="BY179" s="658"/>
      <c r="BZ179" s="658"/>
      <c r="CA179" s="658"/>
      <c r="CB179" s="658"/>
      <c r="CC179" s="658"/>
      <c r="CD179" s="658"/>
      <c r="CE179" s="658"/>
      <c r="CF179" s="658"/>
      <c r="CG179" s="658"/>
      <c r="CH179" s="658"/>
      <c r="CI179" s="658"/>
      <c r="CJ179" s="658"/>
      <c r="CK179" s="658"/>
      <c r="CL179" s="658"/>
      <c r="CM179" s="658"/>
      <c r="CN179" s="658"/>
      <c r="CO179" s="658"/>
      <c r="CP179" s="658"/>
      <c r="CQ179" s="658"/>
      <c r="CR179" s="658"/>
      <c r="CS179" s="658"/>
      <c r="CT179" s="658"/>
      <c r="CU179" s="658"/>
      <c r="CV179" s="658"/>
      <c r="CW179" s="658"/>
      <c r="CX179" s="658"/>
      <c r="CY179" s="658"/>
      <c r="CZ179" s="658"/>
      <c r="DA179" s="658"/>
      <c r="DB179" s="658"/>
      <c r="DC179" s="658"/>
      <c r="DD179" s="658"/>
      <c r="DE179" s="658"/>
      <c r="DF179" s="658"/>
      <c r="DG179" s="658"/>
      <c r="DH179" s="658"/>
      <c r="DI179" s="658"/>
      <c r="DJ179" s="658"/>
      <c r="DK179" s="658"/>
      <c r="DL179" s="658"/>
      <c r="DM179" s="658"/>
      <c r="DN179" s="658"/>
      <c r="DO179" s="177">
        <f t="shared" si="845"/>
        <v>0</v>
      </c>
      <c r="DP179" s="612" t="e">
        <f t="shared" si="846"/>
        <v>#N/A</v>
      </c>
      <c r="DQ179" s="612" t="e">
        <f t="shared" si="842"/>
        <v>#NUM!</v>
      </c>
      <c r="DR179" s="177"/>
      <c r="DS179" s="177"/>
      <c r="DT179" s="177"/>
      <c r="DU179" s="177"/>
      <c r="DV179" s="177"/>
      <c r="DW179" s="177"/>
      <c r="DX179" s="177"/>
      <c r="DY179" s="177"/>
      <c r="DZ179" s="177"/>
      <c r="EA179" s="613"/>
    </row>
    <row r="180" spans="1:131" ht="14.25" thickBot="1">
      <c r="A180" s="317"/>
      <c r="B180" s="779"/>
      <c r="C180" s="661"/>
      <c r="D180" s="661"/>
      <c r="E180" s="661"/>
      <c r="F180" s="662"/>
      <c r="G180" s="662"/>
      <c r="H180" s="317"/>
      <c r="I180" s="634">
        <f>SUM(I172:I179)</f>
        <v>0</v>
      </c>
      <c r="J180" s="663"/>
      <c r="K180" s="664"/>
      <c r="L180" s="664"/>
      <c r="M180" s="664"/>
      <c r="N180" s="634">
        <f t="shared" ref="N180:R180" si="847">SUM(N172:N179)</f>
        <v>0</v>
      </c>
      <c r="O180" s="634">
        <f t="shared" si="847"/>
        <v>0</v>
      </c>
      <c r="P180" s="634">
        <f t="shared" si="847"/>
        <v>0</v>
      </c>
      <c r="Q180" s="634">
        <f t="shared" si="847"/>
        <v>0</v>
      </c>
      <c r="R180" s="665">
        <f t="shared" si="847"/>
        <v>0</v>
      </c>
      <c r="S180" s="634">
        <f>SUM(S172:S179)</f>
        <v>0</v>
      </c>
      <c r="T180" s="634">
        <f t="shared" ref="T180" si="848">SUM(T172:T179)</f>
        <v>0</v>
      </c>
      <c r="U180" s="634">
        <f t="shared" ref="U180" si="849">SUM(U172:U179)</f>
        <v>0</v>
      </c>
      <c r="V180" s="634">
        <f t="shared" ref="V180" si="850">SUM(V172:V179)</f>
        <v>0</v>
      </c>
      <c r="W180" s="634">
        <f t="shared" ref="W180" si="851">SUM(W172:W179)</f>
        <v>0</v>
      </c>
      <c r="X180" s="634">
        <f t="shared" ref="X180" si="852">SUM(X172:X179)</f>
        <v>0</v>
      </c>
      <c r="Y180" s="634">
        <f t="shared" ref="Y180" si="853">SUM(Y172:Y179)</f>
        <v>0</v>
      </c>
      <c r="Z180" s="634">
        <f t="shared" ref="Z180" si="854">SUM(Z172:Z179)</f>
        <v>0</v>
      </c>
      <c r="AA180" s="634">
        <f t="shared" ref="AA180" si="855">SUM(AA172:AA179)</f>
        <v>0</v>
      </c>
      <c r="AB180" s="634">
        <f t="shared" ref="AB180" si="856">SUM(AB172:AB179)</f>
        <v>0</v>
      </c>
      <c r="AC180" s="634">
        <f t="shared" ref="AC180" si="857">SUM(AC172:AC179)</f>
        <v>0</v>
      </c>
      <c r="AD180" s="634">
        <f t="shared" ref="AD180" si="858">SUM(AD172:AD179)</f>
        <v>0</v>
      </c>
      <c r="AE180" s="634">
        <f t="shared" ref="AE180" si="859">SUM(AE172:AE179)</f>
        <v>0</v>
      </c>
      <c r="AF180" s="634">
        <f t="shared" ref="AF180" si="860">SUM(AF172:AF179)</f>
        <v>0</v>
      </c>
      <c r="AG180" s="634">
        <f t="shared" ref="AG180" si="861">SUM(AG172:AG179)</f>
        <v>0</v>
      </c>
      <c r="AH180" s="634">
        <f t="shared" ref="AH180" si="862">SUM(AH172:AH179)</f>
        <v>0</v>
      </c>
      <c r="AI180" s="634">
        <f t="shared" ref="AI180" si="863">SUM(AI172:AI179)</f>
        <v>0</v>
      </c>
      <c r="AJ180" s="634">
        <f t="shared" ref="AJ180" si="864">SUM(AJ172:AJ179)</f>
        <v>0</v>
      </c>
      <c r="AK180" s="634">
        <f t="shared" ref="AK180" si="865">SUM(AK172:AK179)</f>
        <v>0</v>
      </c>
      <c r="AL180" s="634">
        <f t="shared" ref="AL180" si="866">SUM(AL172:AL179)</f>
        <v>0</v>
      </c>
      <c r="AM180" s="634">
        <f t="shared" ref="AM180" si="867">SUM(AM172:AM179)</f>
        <v>0</v>
      </c>
      <c r="AN180" s="634">
        <f t="shared" ref="AN180" si="868">SUM(AN172:AN179)</f>
        <v>0</v>
      </c>
      <c r="AO180" s="634">
        <f t="shared" ref="AO180" si="869">SUM(AO172:AO179)</f>
        <v>0</v>
      </c>
      <c r="AP180" s="634">
        <f t="shared" ref="AP180" si="870">SUM(AP172:AP179)</f>
        <v>0</v>
      </c>
      <c r="AQ180" s="634">
        <f t="shared" ref="AQ180" si="871">SUM(AQ172:AQ179)</f>
        <v>0</v>
      </c>
      <c r="AR180" s="634">
        <f t="shared" ref="AR180" si="872">SUM(AR172:AR179)</f>
        <v>0</v>
      </c>
      <c r="AS180" s="634">
        <f t="shared" ref="AS180" si="873">SUM(AS172:AS179)</f>
        <v>0</v>
      </c>
      <c r="AT180" s="634">
        <f t="shared" ref="AT180" si="874">SUM(AT172:AT179)</f>
        <v>0</v>
      </c>
      <c r="AU180" s="634">
        <f t="shared" ref="AU180" si="875">SUM(AU172:AU179)</f>
        <v>0</v>
      </c>
      <c r="AV180" s="634">
        <f t="shared" ref="AV180" si="876">SUM(AV172:AV179)</f>
        <v>0</v>
      </c>
      <c r="AW180" s="634">
        <f t="shared" ref="AW180" si="877">SUM(AW172:AW179)</f>
        <v>0</v>
      </c>
      <c r="AX180" s="634">
        <f t="shared" ref="AX180" si="878">SUM(AX172:AX179)</f>
        <v>0</v>
      </c>
      <c r="AY180" s="634">
        <f t="shared" ref="AY180" si="879">SUM(AY172:AY179)</f>
        <v>0</v>
      </c>
      <c r="AZ180" s="634">
        <f t="shared" ref="AZ180" si="880">SUM(AZ172:AZ179)</f>
        <v>0</v>
      </c>
      <c r="BA180" s="634">
        <f t="shared" ref="BA180" si="881">SUM(BA172:BA179)</f>
        <v>0</v>
      </c>
      <c r="BB180" s="634">
        <f t="shared" ref="BB180" si="882">SUM(BB172:BB179)</f>
        <v>0</v>
      </c>
      <c r="BC180" s="634">
        <f t="shared" ref="BC180" si="883">SUM(BC172:BC179)</f>
        <v>0</v>
      </c>
      <c r="BD180" s="634">
        <f t="shared" ref="BD180" si="884">SUM(BD172:BD179)</f>
        <v>0</v>
      </c>
      <c r="BE180" s="634">
        <f t="shared" ref="BE180" si="885">SUM(BE172:BE179)</f>
        <v>0</v>
      </c>
      <c r="BF180" s="634">
        <f t="shared" ref="BF180" si="886">SUM(BF172:BF179)</f>
        <v>0</v>
      </c>
      <c r="BG180" s="634">
        <f t="shared" ref="BG180" si="887">SUM(BG172:BG179)</f>
        <v>0</v>
      </c>
      <c r="BH180" s="634">
        <f t="shared" ref="BH180" si="888">SUM(BH172:BH179)</f>
        <v>0</v>
      </c>
      <c r="BI180" s="634">
        <f t="shared" ref="BI180" si="889">SUM(BI172:BI179)</f>
        <v>0</v>
      </c>
      <c r="BJ180" s="634">
        <f t="shared" ref="BJ180" si="890">SUM(BJ172:BJ179)</f>
        <v>0</v>
      </c>
      <c r="BK180" s="634">
        <f t="shared" ref="BK180" si="891">SUM(BK172:BK179)</f>
        <v>0</v>
      </c>
      <c r="BL180" s="634">
        <f t="shared" ref="BL180" si="892">SUM(BL172:BL179)</f>
        <v>0</v>
      </c>
      <c r="BM180" s="634">
        <f t="shared" ref="BM180" si="893">SUM(BM172:BM179)</f>
        <v>0</v>
      </c>
      <c r="BN180" s="634">
        <f t="shared" ref="BN180" si="894">SUM(BN172:BN179)</f>
        <v>0</v>
      </c>
      <c r="BO180" s="634">
        <f t="shared" ref="BO180" si="895">SUM(BO172:BO179)</f>
        <v>0</v>
      </c>
      <c r="BP180" s="634">
        <f t="shared" ref="BP180" si="896">SUM(BP172:BP179)</f>
        <v>0</v>
      </c>
      <c r="BQ180" s="634">
        <f t="shared" ref="BQ180" si="897">SUM(BQ172:BQ179)</f>
        <v>0</v>
      </c>
      <c r="BR180" s="634">
        <f t="shared" ref="BR180" si="898">SUM(BR172:BR179)</f>
        <v>0</v>
      </c>
      <c r="BS180" s="634">
        <f t="shared" ref="BS180" si="899">SUM(BS172:BS179)</f>
        <v>0</v>
      </c>
      <c r="BT180" s="634">
        <f t="shared" ref="BT180" si="900">SUM(BT172:BT179)</f>
        <v>0</v>
      </c>
      <c r="BU180" s="634">
        <f t="shared" ref="BU180" si="901">SUM(BU172:BU179)</f>
        <v>0</v>
      </c>
      <c r="BV180" s="634">
        <f t="shared" ref="BV180" si="902">SUM(BV172:BV179)</f>
        <v>0</v>
      </c>
      <c r="BW180" s="634">
        <f t="shared" ref="BW180" si="903">SUM(BW172:BW179)</f>
        <v>0</v>
      </c>
      <c r="BX180" s="634">
        <f t="shared" ref="BX180" si="904">SUM(BX172:BX179)</f>
        <v>0</v>
      </c>
      <c r="BY180" s="634">
        <f t="shared" ref="BY180" si="905">SUM(BY172:BY179)</f>
        <v>0</v>
      </c>
      <c r="BZ180" s="634">
        <f t="shared" ref="BZ180" si="906">SUM(BZ172:BZ179)</f>
        <v>0</v>
      </c>
      <c r="CA180" s="634">
        <f t="shared" ref="CA180" si="907">SUM(CA172:CA179)</f>
        <v>0</v>
      </c>
      <c r="CB180" s="634">
        <f t="shared" ref="CB180" si="908">SUM(CB172:CB179)</f>
        <v>0</v>
      </c>
      <c r="CC180" s="634">
        <f t="shared" ref="CC180" si="909">SUM(CC172:CC179)</f>
        <v>0</v>
      </c>
      <c r="CD180" s="634">
        <f t="shared" ref="CD180" si="910">SUM(CD172:CD179)</f>
        <v>0</v>
      </c>
      <c r="CE180" s="634">
        <f t="shared" ref="CE180" si="911">SUM(CE172:CE179)</f>
        <v>0</v>
      </c>
      <c r="CF180" s="634">
        <f t="shared" ref="CF180" si="912">SUM(CF172:CF179)</f>
        <v>0</v>
      </c>
      <c r="CG180" s="634">
        <f t="shared" ref="CG180" si="913">SUM(CG172:CG179)</f>
        <v>0</v>
      </c>
      <c r="CH180" s="634">
        <f t="shared" ref="CH180" si="914">SUM(CH172:CH179)</f>
        <v>0</v>
      </c>
      <c r="CI180" s="634">
        <f t="shared" ref="CI180" si="915">SUM(CI172:CI179)</f>
        <v>0</v>
      </c>
      <c r="CJ180" s="634">
        <f t="shared" ref="CJ180" si="916">SUM(CJ172:CJ179)</f>
        <v>0</v>
      </c>
      <c r="CK180" s="634">
        <f t="shared" ref="CK180" si="917">SUM(CK172:CK179)</f>
        <v>0</v>
      </c>
      <c r="CL180" s="634">
        <f t="shared" ref="CL180" si="918">SUM(CL172:CL179)</f>
        <v>0</v>
      </c>
      <c r="CM180" s="634">
        <f t="shared" ref="CM180" si="919">SUM(CM172:CM179)</f>
        <v>0</v>
      </c>
      <c r="CN180" s="634">
        <f t="shared" ref="CN180" si="920">SUM(CN172:CN179)</f>
        <v>0</v>
      </c>
      <c r="CO180" s="634">
        <f t="shared" ref="CO180" si="921">SUM(CO172:CO179)</f>
        <v>0</v>
      </c>
      <c r="CP180" s="634">
        <f t="shared" ref="CP180" si="922">SUM(CP172:CP179)</f>
        <v>0</v>
      </c>
      <c r="CQ180" s="634">
        <f t="shared" ref="CQ180" si="923">SUM(CQ172:CQ179)</f>
        <v>0</v>
      </c>
      <c r="CR180" s="634">
        <f t="shared" ref="CR180" si="924">SUM(CR172:CR179)</f>
        <v>0</v>
      </c>
      <c r="CS180" s="634">
        <f t="shared" ref="CS180" si="925">SUM(CS172:CS179)</f>
        <v>0</v>
      </c>
      <c r="CT180" s="634">
        <f t="shared" ref="CT180" si="926">SUM(CT172:CT179)</f>
        <v>0</v>
      </c>
      <c r="CU180" s="634">
        <f t="shared" ref="CU180" si="927">SUM(CU172:CU179)</f>
        <v>0</v>
      </c>
      <c r="CV180" s="634">
        <f t="shared" ref="CV180" si="928">SUM(CV172:CV179)</f>
        <v>0</v>
      </c>
      <c r="CW180" s="634">
        <f t="shared" ref="CW180" si="929">SUM(CW172:CW179)</f>
        <v>0</v>
      </c>
      <c r="CX180" s="634">
        <f t="shared" ref="CX180" si="930">SUM(CX172:CX179)</f>
        <v>0</v>
      </c>
      <c r="CY180" s="634">
        <f t="shared" ref="CY180" si="931">SUM(CY172:CY179)</f>
        <v>0</v>
      </c>
      <c r="CZ180" s="634">
        <f t="shared" ref="CZ180" si="932">SUM(CZ172:CZ179)</f>
        <v>0</v>
      </c>
      <c r="DA180" s="634">
        <f t="shared" ref="DA180" si="933">SUM(DA172:DA179)</f>
        <v>0</v>
      </c>
      <c r="DB180" s="634">
        <f t="shared" ref="DB180" si="934">SUM(DB172:DB179)</f>
        <v>0</v>
      </c>
      <c r="DC180" s="634">
        <f t="shared" ref="DC180" si="935">SUM(DC172:DC179)</f>
        <v>0</v>
      </c>
      <c r="DD180" s="634">
        <f t="shared" ref="DD180" si="936">SUM(DD172:DD179)</f>
        <v>0</v>
      </c>
      <c r="DE180" s="634">
        <f t="shared" ref="DE180" si="937">SUM(DE172:DE179)</f>
        <v>0</v>
      </c>
      <c r="DF180" s="634">
        <f t="shared" ref="DF180" si="938">SUM(DF172:DF179)</f>
        <v>0</v>
      </c>
      <c r="DG180" s="634">
        <f t="shared" ref="DG180" si="939">SUM(DG172:DG179)</f>
        <v>0</v>
      </c>
      <c r="DH180" s="634">
        <f t="shared" ref="DH180" si="940">SUM(DH172:DH179)</f>
        <v>0</v>
      </c>
      <c r="DI180" s="634">
        <f t="shared" ref="DI180" si="941">SUM(DI172:DI179)</f>
        <v>0</v>
      </c>
      <c r="DJ180" s="634">
        <f t="shared" ref="DJ180" si="942">SUM(DJ172:DJ179)</f>
        <v>0</v>
      </c>
      <c r="DK180" s="634">
        <f t="shared" ref="DK180" si="943">SUM(DK172:DK179)</f>
        <v>0</v>
      </c>
      <c r="DL180" s="634">
        <f t="shared" ref="DL180" si="944">SUM(DL172:DL179)</f>
        <v>0</v>
      </c>
      <c r="DM180" s="634">
        <f t="shared" ref="DM180" si="945">SUM(DM172:DM179)</f>
        <v>0</v>
      </c>
      <c r="DN180" s="634">
        <f t="shared" ref="DN180" si="946">SUM(DN172:DN179)</f>
        <v>0</v>
      </c>
      <c r="DO180" s="634">
        <f t="shared" ref="DO180" si="947">SUM(DO172:DO179)</f>
        <v>0</v>
      </c>
      <c r="DP180" s="666"/>
      <c r="DQ180" s="638" t="e">
        <f>XIRR(S180:DO180,$S$171:$DO$171)</f>
        <v>#NUM!</v>
      </c>
      <c r="DR180" s="636">
        <f t="shared" ref="DR180:DX180" si="948">SUM(DR172:DR179)</f>
        <v>0</v>
      </c>
      <c r="DS180" s="636">
        <f t="shared" si="948"/>
        <v>0</v>
      </c>
      <c r="DT180" s="636">
        <f t="shared" si="948"/>
        <v>0</v>
      </c>
      <c r="DU180" s="636">
        <f t="shared" si="948"/>
        <v>0</v>
      </c>
      <c r="DV180" s="636">
        <f t="shared" si="948"/>
        <v>0</v>
      </c>
      <c r="DW180" s="636">
        <f t="shared" si="948"/>
        <v>0</v>
      </c>
      <c r="DX180" s="636">
        <f t="shared" si="948"/>
        <v>0</v>
      </c>
      <c r="DY180" s="636">
        <f>SUM(DY172:DY179)</f>
        <v>0</v>
      </c>
      <c r="DZ180" s="636">
        <f>SUM(DZ172:DZ179)</f>
        <v>0</v>
      </c>
      <c r="EA180" s="636">
        <f>SUM(EA172:EA179)</f>
        <v>0</v>
      </c>
    </row>
    <row r="181" spans="1:131" ht="14.25" thickBot="1">
      <c r="A181" s="172"/>
      <c r="B181" s="667"/>
      <c r="C181" s="592" t="s">
        <v>3607</v>
      </c>
      <c r="D181" s="648">
        <f>D169+1</f>
        <v>11</v>
      </c>
      <c r="E181" s="649"/>
      <c r="F181" s="603"/>
      <c r="G181" s="603"/>
      <c r="I181" s="650" t="b">
        <f>I192=DR183</f>
        <v>1</v>
      </c>
      <c r="J181" s="172"/>
      <c r="K181" s="172"/>
      <c r="L181" s="172"/>
      <c r="M181" s="172"/>
      <c r="N181" s="172"/>
      <c r="O181" s="172"/>
      <c r="P181" s="172"/>
      <c r="Q181" s="639" t="str">
        <f>IF(Q192=NAV!E599,"자본금과 일치","자본금과 불일치")</f>
        <v>자본금과 일치</v>
      </c>
      <c r="R181" s="172"/>
      <c r="S181" s="172"/>
      <c r="T181" s="172"/>
      <c r="U181" s="172"/>
      <c r="V181" s="172"/>
      <c r="W181" s="172"/>
      <c r="X181" s="172"/>
      <c r="Y181" s="172"/>
      <c r="Z181" s="172"/>
      <c r="AA181" s="172"/>
      <c r="AB181" s="172"/>
      <c r="AC181" s="172"/>
      <c r="AD181" s="172"/>
      <c r="AE181" s="172"/>
      <c r="AF181" s="172"/>
      <c r="AG181" s="172"/>
      <c r="AH181" s="172"/>
      <c r="AI181" s="172"/>
      <c r="AJ181" s="172"/>
      <c r="AK181" s="172"/>
      <c r="AL181" s="172"/>
      <c r="AM181" s="172"/>
      <c r="AN181" s="172"/>
      <c r="AO181" s="172"/>
      <c r="AP181" s="172"/>
      <c r="AQ181" s="172"/>
      <c r="AR181" s="172"/>
      <c r="AS181" s="172"/>
      <c r="AT181" s="172"/>
      <c r="AU181" s="172"/>
      <c r="AV181" s="172"/>
      <c r="AW181" s="172"/>
      <c r="AX181" s="172"/>
      <c r="AY181" s="172"/>
      <c r="AZ181" s="172"/>
      <c r="BA181" s="172"/>
      <c r="BB181" s="172"/>
      <c r="BC181" s="172"/>
      <c r="BD181" s="172"/>
      <c r="BE181" s="172"/>
      <c r="BF181" s="172"/>
      <c r="BG181" s="172"/>
      <c r="BH181" s="172"/>
      <c r="BI181" s="172"/>
      <c r="BJ181" s="172"/>
      <c r="BK181" s="172"/>
      <c r="BL181" s="172"/>
      <c r="BM181" s="172"/>
      <c r="BN181" s="172"/>
      <c r="BO181" s="172"/>
      <c r="BP181" s="172"/>
      <c r="BQ181" s="172"/>
      <c r="BR181" s="172"/>
      <c r="BS181" s="172"/>
      <c r="BT181" s="172"/>
      <c r="BU181" s="172"/>
      <c r="BV181" s="172"/>
      <c r="BW181" s="172"/>
      <c r="BX181" s="172"/>
      <c r="BY181" s="172"/>
      <c r="BZ181" s="172"/>
      <c r="CA181" s="172"/>
      <c r="CB181" s="172"/>
      <c r="CC181" s="172"/>
      <c r="CD181" s="172"/>
      <c r="CE181" s="172"/>
      <c r="CF181" s="172"/>
      <c r="CG181" s="172"/>
      <c r="CH181" s="172"/>
      <c r="CI181" s="172"/>
      <c r="CJ181" s="172"/>
      <c r="CK181" s="172"/>
      <c r="CL181" s="172"/>
      <c r="CM181" s="172"/>
      <c r="CN181" s="172"/>
      <c r="CO181" s="172"/>
      <c r="CP181" s="172"/>
      <c r="CQ181" s="172"/>
      <c r="CR181" s="172"/>
      <c r="CS181" s="172"/>
      <c r="CT181" s="172"/>
      <c r="CU181" s="172"/>
      <c r="CV181" s="172"/>
      <c r="CW181" s="172"/>
      <c r="CX181" s="172"/>
      <c r="CY181" s="172"/>
      <c r="CZ181" s="172"/>
      <c r="DA181" s="172"/>
      <c r="DB181" s="172"/>
      <c r="DC181" s="172"/>
      <c r="DD181" s="172"/>
      <c r="DE181" s="172"/>
      <c r="DF181" s="172"/>
      <c r="DG181" s="172"/>
      <c r="DH181" s="172"/>
      <c r="DI181" s="172"/>
      <c r="DJ181" s="172"/>
      <c r="DK181" s="172"/>
      <c r="DL181" s="172"/>
      <c r="DM181" s="172"/>
      <c r="DN181" s="172"/>
      <c r="DO181" s="588" t="s">
        <v>219</v>
      </c>
      <c r="DP181" s="588" t="str">
        <f>IF(ROUND(_xlfn.AGGREGATE(9,6,DP184:DP191),5)=ROUND(_xlfn.AGGREGATE(9,6,DQ184:DQ191),5),"이상없음","기준수익률확인")</f>
        <v>이상없음</v>
      </c>
      <c r="DQ181" s="172"/>
      <c r="DR181" s="651" t="s">
        <v>3406</v>
      </c>
      <c r="DS181" s="172"/>
      <c r="DT181" s="615"/>
      <c r="DU181" s="615"/>
      <c r="DV181" s="172"/>
      <c r="DW181" s="172"/>
      <c r="DX181" s="615"/>
      <c r="DY181" s="172"/>
      <c r="DZ181" s="172"/>
      <c r="EA181" s="172"/>
    </row>
    <row r="182" spans="1:131" ht="13.5">
      <c r="A182" s="652" t="str">
        <f t="shared" ref="A182:A190" si="949">$B$181&amp;B182</f>
        <v>SPC명</v>
      </c>
      <c r="B182" s="653" t="s">
        <v>357</v>
      </c>
      <c r="C182" s="780"/>
      <c r="D182" s="780"/>
      <c r="E182" s="780"/>
      <c r="F182" s="230"/>
      <c r="G182" s="230"/>
      <c r="I182" s="776" t="s">
        <v>3393</v>
      </c>
      <c r="J182" s="776" t="s">
        <v>3394</v>
      </c>
      <c r="K182" s="774" t="s">
        <v>3395</v>
      </c>
      <c r="L182" s="774" t="s">
        <v>3396</v>
      </c>
      <c r="M182" s="774" t="s">
        <v>203</v>
      </c>
      <c r="N182" s="774" t="s">
        <v>211</v>
      </c>
      <c r="O182" s="774" t="s">
        <v>3399</v>
      </c>
      <c r="P182" s="776" t="s">
        <v>239</v>
      </c>
      <c r="Q182" s="774" t="s">
        <v>3401</v>
      </c>
      <c r="R182" s="774" t="s">
        <v>3402</v>
      </c>
      <c r="S182" s="593"/>
      <c r="T182" s="593"/>
      <c r="U182" s="593"/>
      <c r="V182" s="593"/>
      <c r="W182" s="593"/>
      <c r="X182" s="593"/>
      <c r="Y182" s="593"/>
      <c r="Z182" s="593"/>
      <c r="AA182" s="593"/>
      <c r="AB182" s="593"/>
      <c r="AC182" s="593"/>
      <c r="AD182" s="593"/>
      <c r="AE182" s="593"/>
      <c r="AF182" s="593"/>
      <c r="AG182" s="593"/>
      <c r="AH182" s="593"/>
      <c r="AI182" s="593"/>
      <c r="AJ182" s="593"/>
      <c r="AK182" s="593"/>
      <c r="AL182" s="593"/>
      <c r="AM182" s="593"/>
      <c r="AN182" s="593"/>
      <c r="AO182" s="593"/>
      <c r="AP182" s="593"/>
      <c r="AQ182" s="593"/>
      <c r="AR182" s="593"/>
      <c r="AS182" s="593"/>
      <c r="AT182" s="593"/>
      <c r="AU182" s="593"/>
      <c r="AV182" s="593"/>
      <c r="AW182" s="593"/>
      <c r="AX182" s="593"/>
      <c r="AY182" s="593"/>
      <c r="AZ182" s="593"/>
      <c r="BA182" s="593"/>
      <c r="BB182" s="593"/>
      <c r="BC182" s="593"/>
      <c r="BD182" s="593"/>
      <c r="BE182" s="593"/>
      <c r="BF182" s="593"/>
      <c r="BG182" s="593"/>
      <c r="BH182" s="593"/>
      <c r="BI182" s="593"/>
      <c r="BJ182" s="593"/>
      <c r="BK182" s="593"/>
      <c r="BL182" s="593"/>
      <c r="BM182" s="593"/>
      <c r="BN182" s="593"/>
      <c r="BO182" s="593"/>
      <c r="BP182" s="593"/>
      <c r="BQ182" s="593"/>
      <c r="BR182" s="593"/>
      <c r="BS182" s="593"/>
      <c r="BT182" s="593"/>
      <c r="BU182" s="593"/>
      <c r="BV182" s="593"/>
      <c r="BW182" s="593"/>
      <c r="BX182" s="593"/>
      <c r="BY182" s="593"/>
      <c r="BZ182" s="593"/>
      <c r="CA182" s="593"/>
      <c r="CB182" s="593"/>
      <c r="CC182" s="593"/>
      <c r="CD182" s="593"/>
      <c r="CE182" s="593"/>
      <c r="CF182" s="593"/>
      <c r="CG182" s="593"/>
      <c r="CH182" s="593"/>
      <c r="CI182" s="593"/>
      <c r="CJ182" s="593"/>
      <c r="CK182" s="593"/>
      <c r="CL182" s="593"/>
      <c r="CM182" s="593"/>
      <c r="CN182" s="593"/>
      <c r="CO182" s="593"/>
      <c r="CP182" s="593"/>
      <c r="CQ182" s="593"/>
      <c r="CR182" s="593"/>
      <c r="CS182" s="593"/>
      <c r="CT182" s="593"/>
      <c r="CU182" s="593"/>
      <c r="CV182" s="593"/>
      <c r="CW182" s="593"/>
      <c r="CX182" s="593"/>
      <c r="CY182" s="593"/>
      <c r="CZ182" s="593"/>
      <c r="DA182" s="593"/>
      <c r="DB182" s="593"/>
      <c r="DC182" s="593"/>
      <c r="DD182" s="593"/>
      <c r="DE182" s="593"/>
      <c r="DF182" s="593"/>
      <c r="DG182" s="593"/>
      <c r="DH182" s="593"/>
      <c r="DI182" s="593"/>
      <c r="DJ182" s="593"/>
      <c r="DK182" s="593"/>
      <c r="DL182" s="593"/>
      <c r="DM182" s="593"/>
      <c r="DN182" s="593"/>
      <c r="DO182" s="594" t="s">
        <v>220</v>
      </c>
      <c r="DP182" s="774" t="s">
        <v>218</v>
      </c>
      <c r="DQ182" s="774" t="s">
        <v>222</v>
      </c>
      <c r="DR182" s="594"/>
      <c r="DS182" s="594"/>
      <c r="DT182" s="594"/>
      <c r="DU182" s="594"/>
      <c r="DV182" s="594"/>
      <c r="DW182" s="594"/>
      <c r="DX182" s="594"/>
      <c r="DY182" s="594"/>
      <c r="DZ182" s="594"/>
      <c r="EA182" s="602"/>
    </row>
    <row r="183" spans="1:131" ht="14.25" thickBot="1">
      <c r="A183" s="652" t="str">
        <f t="shared" si="949"/>
        <v>유형</v>
      </c>
      <c r="B183" s="653" t="s">
        <v>360</v>
      </c>
      <c r="C183" s="780"/>
      <c r="D183" s="780"/>
      <c r="E183" s="780"/>
      <c r="F183" s="230"/>
      <c r="G183" s="230"/>
      <c r="I183" s="777"/>
      <c r="J183" s="777"/>
      <c r="K183" s="775"/>
      <c r="L183" s="775"/>
      <c r="M183" s="775"/>
      <c r="N183" s="775"/>
      <c r="O183" s="775"/>
      <c r="P183" s="777"/>
      <c r="Q183" s="775"/>
      <c r="R183" s="775"/>
      <c r="S183" s="601"/>
      <c r="T183" s="601"/>
      <c r="U183" s="601"/>
      <c r="V183" s="601"/>
      <c r="W183" s="601"/>
      <c r="X183" s="601"/>
      <c r="Y183" s="601"/>
      <c r="Z183" s="601"/>
      <c r="AA183" s="601"/>
      <c r="AB183" s="601"/>
      <c r="AC183" s="601"/>
      <c r="AD183" s="601"/>
      <c r="AE183" s="601"/>
      <c r="AF183" s="601"/>
      <c r="AG183" s="601"/>
      <c r="AH183" s="601"/>
      <c r="AI183" s="601"/>
      <c r="AJ183" s="601"/>
      <c r="AK183" s="601"/>
      <c r="AL183" s="601"/>
      <c r="AM183" s="601"/>
      <c r="AN183" s="601"/>
      <c r="AO183" s="601"/>
      <c r="AP183" s="601"/>
      <c r="AQ183" s="601"/>
      <c r="AR183" s="601"/>
      <c r="AS183" s="601"/>
      <c r="AT183" s="601"/>
      <c r="AU183" s="601"/>
      <c r="AV183" s="601"/>
      <c r="AW183" s="601"/>
      <c r="AX183" s="601"/>
      <c r="AY183" s="601"/>
      <c r="AZ183" s="601"/>
      <c r="BA183" s="601"/>
      <c r="BB183" s="601"/>
      <c r="BC183" s="601"/>
      <c r="BD183" s="601"/>
      <c r="BE183" s="601"/>
      <c r="BF183" s="601"/>
      <c r="BG183" s="601"/>
      <c r="BH183" s="601"/>
      <c r="BI183" s="601"/>
      <c r="BJ183" s="601"/>
      <c r="BK183" s="601"/>
      <c r="BL183" s="601"/>
      <c r="BM183" s="601"/>
      <c r="BN183" s="601"/>
      <c r="BO183" s="601"/>
      <c r="BP183" s="601"/>
      <c r="BQ183" s="601"/>
      <c r="BR183" s="601"/>
      <c r="BS183" s="601"/>
      <c r="BT183" s="601"/>
      <c r="BU183" s="601"/>
      <c r="BV183" s="601"/>
      <c r="BW183" s="601"/>
      <c r="BX183" s="601"/>
      <c r="BY183" s="601"/>
      <c r="BZ183" s="601"/>
      <c r="CA183" s="601"/>
      <c r="CB183" s="601"/>
      <c r="CC183" s="601"/>
      <c r="CD183" s="601"/>
      <c r="CE183" s="601"/>
      <c r="CF183" s="601"/>
      <c r="CG183" s="601"/>
      <c r="CH183" s="601"/>
      <c r="CI183" s="601"/>
      <c r="CJ183" s="601"/>
      <c r="CK183" s="601"/>
      <c r="CL183" s="601"/>
      <c r="CM183" s="601"/>
      <c r="CN183" s="601"/>
      <c r="CO183" s="601"/>
      <c r="CP183" s="601"/>
      <c r="CQ183" s="601"/>
      <c r="CR183" s="601"/>
      <c r="CS183" s="601"/>
      <c r="CT183" s="601"/>
      <c r="CU183" s="601"/>
      <c r="CV183" s="601"/>
      <c r="CW183" s="601"/>
      <c r="CX183" s="601"/>
      <c r="CY183" s="601"/>
      <c r="CZ183" s="601"/>
      <c r="DA183" s="601"/>
      <c r="DB183" s="601"/>
      <c r="DC183" s="601"/>
      <c r="DD183" s="601"/>
      <c r="DE183" s="601"/>
      <c r="DF183" s="601"/>
      <c r="DG183" s="601"/>
      <c r="DH183" s="601"/>
      <c r="DI183" s="601"/>
      <c r="DJ183" s="601"/>
      <c r="DK183" s="601"/>
      <c r="DL183" s="601"/>
      <c r="DM183" s="601"/>
      <c r="DN183" s="601"/>
      <c r="DO183" s="654">
        <f>$DO$7</f>
        <v>45473</v>
      </c>
      <c r="DP183" s="775"/>
      <c r="DQ183" s="775"/>
      <c r="DR183" s="595">
        <f>NAV!E605</f>
        <v>0</v>
      </c>
      <c r="DS183" s="596">
        <f>DR183-DR192</f>
        <v>0</v>
      </c>
      <c r="DT183" s="596"/>
      <c r="DU183" s="596"/>
      <c r="DV183" s="597"/>
      <c r="DW183" s="596"/>
      <c r="DX183" s="596"/>
      <c r="DY183" s="596"/>
      <c r="DZ183" s="655"/>
      <c r="EA183" s="656"/>
    </row>
    <row r="184" spans="1:131" ht="13.5">
      <c r="A184" s="652" t="str">
        <f t="shared" si="949"/>
        <v>설정일</v>
      </c>
      <c r="B184" s="653" t="s">
        <v>367</v>
      </c>
      <c r="C184" s="781"/>
      <c r="D184" s="780"/>
      <c r="E184" s="780"/>
      <c r="F184" s="230"/>
      <c r="G184" s="230"/>
      <c r="I184" s="657">
        <f>SUM(DR184:EA184)</f>
        <v>0</v>
      </c>
      <c r="J184" s="606" t="str">
        <f>IFERROR(I184/(Q184/$C$186),"N/A")</f>
        <v>N/A</v>
      </c>
      <c r="K184" s="471"/>
      <c r="L184" s="607"/>
      <c r="M184" s="300"/>
      <c r="N184" s="608"/>
      <c r="O184" s="609">
        <f t="shared" ref="O184:O191" si="950">-(SUMIF($S$182:$DN$182,"최초출자",S184:DN184)+SUMIF($S$182:$DN$182,"추가출자",S184:DN184))</f>
        <v>0</v>
      </c>
      <c r="P184" s="609">
        <f t="shared" ref="P184:P191" si="951">SUMIF($S$182:$DN$182,"이익분배",S184:DN184)+SUMIF($S$182:$DN$182,"원본분배",S184:DN184)</f>
        <v>0</v>
      </c>
      <c r="Q184" s="609">
        <f t="shared" ref="Q184:Q191" si="952">-(SUMIF($S$182:$DN$182,"최초출자",S184:DN184)+SUMIF($S$182:$DN$182,"추가출자",S184:DN184)+SUMIF($S$182:$DN$182,"원본분배",S184:DN184))</f>
        <v>0</v>
      </c>
      <c r="R184" s="610" t="str">
        <f>IFERROR(Q184/Q192,"")</f>
        <v/>
      </c>
      <c r="S184" s="658"/>
      <c r="T184" s="658"/>
      <c r="U184" s="658"/>
      <c r="V184" s="658"/>
      <c r="W184" s="658"/>
      <c r="X184" s="658"/>
      <c r="Y184" s="658"/>
      <c r="Z184" s="658"/>
      <c r="AA184" s="658"/>
      <c r="AB184" s="658"/>
      <c r="AC184" s="658"/>
      <c r="AD184" s="658"/>
      <c r="AE184" s="658"/>
      <c r="AF184" s="658"/>
      <c r="AG184" s="658"/>
      <c r="AH184" s="658"/>
      <c r="AI184" s="658"/>
      <c r="AJ184" s="658"/>
      <c r="AK184" s="658"/>
      <c r="AL184" s="658"/>
      <c r="AM184" s="658"/>
      <c r="AN184" s="658"/>
      <c r="AO184" s="658"/>
      <c r="AP184" s="658"/>
      <c r="AQ184" s="658"/>
      <c r="AR184" s="658"/>
      <c r="AS184" s="658"/>
      <c r="AT184" s="658"/>
      <c r="AU184" s="658"/>
      <c r="AV184" s="658"/>
      <c r="AW184" s="658"/>
      <c r="AX184" s="658"/>
      <c r="AY184" s="658"/>
      <c r="AZ184" s="658"/>
      <c r="BA184" s="658"/>
      <c r="BB184" s="658"/>
      <c r="BC184" s="658"/>
      <c r="BD184" s="658"/>
      <c r="BE184" s="658"/>
      <c r="BF184" s="658"/>
      <c r="BG184" s="658"/>
      <c r="BH184" s="658"/>
      <c r="BI184" s="658"/>
      <c r="BJ184" s="658"/>
      <c r="BK184" s="658"/>
      <c r="BL184" s="658"/>
      <c r="BM184" s="658"/>
      <c r="BN184" s="658"/>
      <c r="BO184" s="658"/>
      <c r="BP184" s="658"/>
      <c r="BQ184" s="658"/>
      <c r="BR184" s="658"/>
      <c r="BS184" s="658"/>
      <c r="BT184" s="658"/>
      <c r="BU184" s="658"/>
      <c r="BV184" s="658"/>
      <c r="BW184" s="658"/>
      <c r="BX184" s="658"/>
      <c r="BY184" s="658"/>
      <c r="BZ184" s="658"/>
      <c r="CA184" s="658"/>
      <c r="CB184" s="658"/>
      <c r="CC184" s="658"/>
      <c r="CD184" s="658"/>
      <c r="CE184" s="658"/>
      <c r="CF184" s="658"/>
      <c r="CG184" s="658"/>
      <c r="CH184" s="658"/>
      <c r="CI184" s="658"/>
      <c r="CJ184" s="658"/>
      <c r="CK184" s="658"/>
      <c r="CL184" s="658"/>
      <c r="CM184" s="658"/>
      <c r="CN184" s="658"/>
      <c r="CO184" s="658"/>
      <c r="CP184" s="658"/>
      <c r="CQ184" s="658"/>
      <c r="CR184" s="658"/>
      <c r="CS184" s="658"/>
      <c r="CT184" s="658"/>
      <c r="CU184" s="658"/>
      <c r="CV184" s="658"/>
      <c r="CW184" s="658"/>
      <c r="CX184" s="658"/>
      <c r="CY184" s="658"/>
      <c r="CZ184" s="658"/>
      <c r="DA184" s="658"/>
      <c r="DB184" s="658"/>
      <c r="DC184" s="658"/>
      <c r="DD184" s="658"/>
      <c r="DE184" s="658"/>
      <c r="DF184" s="658"/>
      <c r="DG184" s="658"/>
      <c r="DH184" s="658"/>
      <c r="DI184" s="658"/>
      <c r="DJ184" s="658"/>
      <c r="DK184" s="658"/>
      <c r="DL184" s="658"/>
      <c r="DM184" s="658"/>
      <c r="DN184" s="658"/>
      <c r="DO184" s="177">
        <f>IF(M184="",0,-XNPV(DP184,S184,S$183)*(1+DP184)^YEARFRAC($S$183,$DO$183,3))</f>
        <v>0</v>
      </c>
      <c r="DP184" s="612" t="e">
        <f>IF(HLOOKUP(L184,$C$191:$E$192,2,0)=0,1E-24%,HLOOKUP(L184,$C$191:$E$192,2,FALSE))</f>
        <v>#N/A</v>
      </c>
      <c r="DQ184" s="612" t="e">
        <f t="shared" ref="DQ184:DQ191" si="953">XIRR(S184:DO184,$S$183:$DO$183)</f>
        <v>#NUM!</v>
      </c>
      <c r="DR184" s="177"/>
      <c r="DS184" s="177"/>
      <c r="DT184" s="177"/>
      <c r="DU184" s="177"/>
      <c r="DV184" s="177"/>
      <c r="DW184" s="177"/>
      <c r="DX184" s="177"/>
      <c r="DY184" s="177"/>
      <c r="DZ184" s="177"/>
      <c r="EA184" s="613"/>
    </row>
    <row r="185" spans="1:131" ht="13.5">
      <c r="A185" s="652" t="str">
        <f t="shared" si="949"/>
        <v>출자잔액</v>
      </c>
      <c r="B185" s="653" t="s">
        <v>352</v>
      </c>
      <c r="C185" s="782"/>
      <c r="D185" s="782"/>
      <c r="E185" s="782"/>
      <c r="F185" s="230"/>
      <c r="G185" s="230"/>
      <c r="I185" s="657">
        <f t="shared" ref="I185:I191" si="954">SUM(DR185:EA185)</f>
        <v>0</v>
      </c>
      <c r="J185" s="606" t="str">
        <f t="shared" ref="J185:J191" si="955">IFERROR(I185/(Q185/$C$186),"N/A")</f>
        <v>N/A</v>
      </c>
      <c r="K185" s="471"/>
      <c r="L185" s="607"/>
      <c r="M185" s="300"/>
      <c r="N185" s="608"/>
      <c r="O185" s="609">
        <f t="shared" si="950"/>
        <v>0</v>
      </c>
      <c r="P185" s="609">
        <f t="shared" si="951"/>
        <v>0</v>
      </c>
      <c r="Q185" s="609">
        <f t="shared" si="952"/>
        <v>0</v>
      </c>
      <c r="R185" s="610" t="str">
        <f>IFERROR(Q185/Q192,"")</f>
        <v/>
      </c>
      <c r="S185" s="658"/>
      <c r="T185" s="658"/>
      <c r="U185" s="658"/>
      <c r="V185" s="658"/>
      <c r="W185" s="658"/>
      <c r="X185" s="658"/>
      <c r="Y185" s="658"/>
      <c r="Z185" s="658"/>
      <c r="AA185" s="658"/>
      <c r="AB185" s="658"/>
      <c r="AC185" s="658"/>
      <c r="AD185" s="658"/>
      <c r="AE185" s="658"/>
      <c r="AF185" s="658"/>
      <c r="AG185" s="658"/>
      <c r="AH185" s="658"/>
      <c r="AI185" s="658"/>
      <c r="AJ185" s="658"/>
      <c r="AK185" s="658"/>
      <c r="AL185" s="658"/>
      <c r="AM185" s="658"/>
      <c r="AN185" s="658"/>
      <c r="AO185" s="658"/>
      <c r="AP185" s="658"/>
      <c r="AQ185" s="658"/>
      <c r="AR185" s="658"/>
      <c r="AS185" s="658"/>
      <c r="AT185" s="658"/>
      <c r="AU185" s="658"/>
      <c r="AV185" s="658"/>
      <c r="AW185" s="658"/>
      <c r="AX185" s="658"/>
      <c r="AY185" s="658"/>
      <c r="AZ185" s="658"/>
      <c r="BA185" s="658"/>
      <c r="BB185" s="658"/>
      <c r="BC185" s="658"/>
      <c r="BD185" s="658"/>
      <c r="BE185" s="658"/>
      <c r="BF185" s="658"/>
      <c r="BG185" s="658"/>
      <c r="BH185" s="658"/>
      <c r="BI185" s="658"/>
      <c r="BJ185" s="658"/>
      <c r="BK185" s="658"/>
      <c r="BL185" s="658"/>
      <c r="BM185" s="658"/>
      <c r="BN185" s="658"/>
      <c r="BO185" s="658"/>
      <c r="BP185" s="658"/>
      <c r="BQ185" s="658"/>
      <c r="BR185" s="658"/>
      <c r="BS185" s="658"/>
      <c r="BT185" s="658"/>
      <c r="BU185" s="658"/>
      <c r="BV185" s="658"/>
      <c r="BW185" s="658"/>
      <c r="BX185" s="658"/>
      <c r="BY185" s="658"/>
      <c r="BZ185" s="658"/>
      <c r="CA185" s="658"/>
      <c r="CB185" s="658"/>
      <c r="CC185" s="658"/>
      <c r="CD185" s="658"/>
      <c r="CE185" s="658"/>
      <c r="CF185" s="658"/>
      <c r="CG185" s="658"/>
      <c r="CH185" s="658"/>
      <c r="CI185" s="658"/>
      <c r="CJ185" s="658"/>
      <c r="CK185" s="658"/>
      <c r="CL185" s="658"/>
      <c r="CM185" s="658"/>
      <c r="CN185" s="658"/>
      <c r="CO185" s="658"/>
      <c r="CP185" s="658"/>
      <c r="CQ185" s="658"/>
      <c r="CR185" s="658"/>
      <c r="CS185" s="658"/>
      <c r="CT185" s="658"/>
      <c r="CU185" s="658"/>
      <c r="CV185" s="658"/>
      <c r="CW185" s="658"/>
      <c r="CX185" s="658"/>
      <c r="CY185" s="658"/>
      <c r="CZ185" s="658"/>
      <c r="DA185" s="658"/>
      <c r="DB185" s="658"/>
      <c r="DC185" s="658"/>
      <c r="DD185" s="658"/>
      <c r="DE185" s="658"/>
      <c r="DF185" s="658"/>
      <c r="DG185" s="658"/>
      <c r="DH185" s="658"/>
      <c r="DI185" s="658"/>
      <c r="DJ185" s="658"/>
      <c r="DK185" s="658"/>
      <c r="DL185" s="658"/>
      <c r="DM185" s="658"/>
      <c r="DN185" s="658"/>
      <c r="DO185" s="177">
        <f t="shared" ref="DO185:DO191" si="956">IF(M185="",0,-XNPV(DP185,S185,S$183)*(1+DP185)^YEARFRAC($S$183,$DO$183,3))</f>
        <v>0</v>
      </c>
      <c r="DP185" s="612" t="e">
        <f t="shared" ref="DP185:DP191" si="957">IF(HLOOKUP(L185,$C$191:$E$192,2,0)=0,1E-24%,HLOOKUP(L185,$C$191:$E$192,2,FALSE))</f>
        <v>#N/A</v>
      </c>
      <c r="DQ185" s="612" t="e">
        <f t="shared" si="953"/>
        <v>#NUM!</v>
      </c>
      <c r="DR185" s="177"/>
      <c r="DS185" s="177"/>
      <c r="DT185" s="177"/>
      <c r="DU185" s="177"/>
      <c r="DV185" s="177"/>
      <c r="DW185" s="177"/>
      <c r="DX185" s="177"/>
      <c r="DY185" s="177"/>
      <c r="DZ185" s="177"/>
      <c r="EA185" s="613"/>
    </row>
    <row r="186" spans="1:131" ht="13.5">
      <c r="A186" s="652" t="str">
        <f t="shared" si="949"/>
        <v>1좌당 금액</v>
      </c>
      <c r="B186" s="653" t="s">
        <v>353</v>
      </c>
      <c r="C186" s="783"/>
      <c r="D186" s="783"/>
      <c r="E186" s="783"/>
      <c r="F186" s="230"/>
      <c r="G186" s="230"/>
      <c r="I186" s="657">
        <f t="shared" si="954"/>
        <v>0</v>
      </c>
      <c r="J186" s="606" t="str">
        <f t="shared" si="955"/>
        <v>N/A</v>
      </c>
      <c r="K186" s="471"/>
      <c r="L186" s="607"/>
      <c r="M186" s="300"/>
      <c r="N186" s="608"/>
      <c r="O186" s="609">
        <f t="shared" si="950"/>
        <v>0</v>
      </c>
      <c r="P186" s="609">
        <f t="shared" si="951"/>
        <v>0</v>
      </c>
      <c r="Q186" s="609">
        <f t="shared" si="952"/>
        <v>0</v>
      </c>
      <c r="R186" s="610" t="str">
        <f>IFERROR(Q186/Q192,"")</f>
        <v/>
      </c>
      <c r="S186" s="658"/>
      <c r="T186" s="658"/>
      <c r="U186" s="658"/>
      <c r="V186" s="658"/>
      <c r="W186" s="658"/>
      <c r="X186" s="658"/>
      <c r="Y186" s="658"/>
      <c r="Z186" s="658"/>
      <c r="AA186" s="658"/>
      <c r="AB186" s="658"/>
      <c r="AC186" s="658"/>
      <c r="AD186" s="658"/>
      <c r="AE186" s="658"/>
      <c r="AF186" s="658"/>
      <c r="AG186" s="658"/>
      <c r="AH186" s="658"/>
      <c r="AI186" s="658"/>
      <c r="AJ186" s="658"/>
      <c r="AK186" s="658"/>
      <c r="AL186" s="658"/>
      <c r="AM186" s="658"/>
      <c r="AN186" s="658"/>
      <c r="AO186" s="658"/>
      <c r="AP186" s="658"/>
      <c r="AQ186" s="658"/>
      <c r="AR186" s="658"/>
      <c r="AS186" s="658"/>
      <c r="AT186" s="658"/>
      <c r="AU186" s="658"/>
      <c r="AV186" s="658"/>
      <c r="AW186" s="658"/>
      <c r="AX186" s="658"/>
      <c r="AY186" s="658"/>
      <c r="AZ186" s="658"/>
      <c r="BA186" s="658"/>
      <c r="BB186" s="658"/>
      <c r="BC186" s="658"/>
      <c r="BD186" s="658"/>
      <c r="BE186" s="658"/>
      <c r="BF186" s="658"/>
      <c r="BG186" s="658"/>
      <c r="BH186" s="658"/>
      <c r="BI186" s="658"/>
      <c r="BJ186" s="658"/>
      <c r="BK186" s="658"/>
      <c r="BL186" s="658"/>
      <c r="BM186" s="658"/>
      <c r="BN186" s="658"/>
      <c r="BO186" s="658"/>
      <c r="BP186" s="658"/>
      <c r="BQ186" s="658"/>
      <c r="BR186" s="658"/>
      <c r="BS186" s="658"/>
      <c r="BT186" s="658"/>
      <c r="BU186" s="658"/>
      <c r="BV186" s="658"/>
      <c r="BW186" s="658"/>
      <c r="BX186" s="658"/>
      <c r="BY186" s="658"/>
      <c r="BZ186" s="658"/>
      <c r="CA186" s="658"/>
      <c r="CB186" s="658"/>
      <c r="CC186" s="658"/>
      <c r="CD186" s="658"/>
      <c r="CE186" s="658"/>
      <c r="CF186" s="658"/>
      <c r="CG186" s="658"/>
      <c r="CH186" s="658"/>
      <c r="CI186" s="658"/>
      <c r="CJ186" s="658"/>
      <c r="CK186" s="658"/>
      <c r="CL186" s="658"/>
      <c r="CM186" s="658"/>
      <c r="CN186" s="658"/>
      <c r="CO186" s="658"/>
      <c r="CP186" s="658"/>
      <c r="CQ186" s="658"/>
      <c r="CR186" s="658"/>
      <c r="CS186" s="658"/>
      <c r="CT186" s="658"/>
      <c r="CU186" s="658"/>
      <c r="CV186" s="658"/>
      <c r="CW186" s="658"/>
      <c r="CX186" s="658"/>
      <c r="CY186" s="658"/>
      <c r="CZ186" s="658"/>
      <c r="DA186" s="658"/>
      <c r="DB186" s="658"/>
      <c r="DC186" s="658"/>
      <c r="DD186" s="658"/>
      <c r="DE186" s="658"/>
      <c r="DF186" s="658"/>
      <c r="DG186" s="658"/>
      <c r="DH186" s="658"/>
      <c r="DI186" s="658"/>
      <c r="DJ186" s="658"/>
      <c r="DK186" s="658"/>
      <c r="DL186" s="658"/>
      <c r="DM186" s="658"/>
      <c r="DN186" s="658"/>
      <c r="DO186" s="177">
        <f t="shared" si="956"/>
        <v>0</v>
      </c>
      <c r="DP186" s="612" t="e">
        <f t="shared" si="957"/>
        <v>#N/A</v>
      </c>
      <c r="DQ186" s="612" t="e">
        <f t="shared" si="953"/>
        <v>#NUM!</v>
      </c>
      <c r="DR186" s="177"/>
      <c r="DS186" s="177"/>
      <c r="DT186" s="177"/>
      <c r="DU186" s="177"/>
      <c r="DV186" s="177"/>
      <c r="DW186" s="177"/>
      <c r="DX186" s="177"/>
      <c r="DY186" s="177"/>
      <c r="DZ186" s="177"/>
      <c r="EA186" s="613"/>
    </row>
    <row r="187" spans="1:131" ht="13.5">
      <c r="A187" s="652" t="str">
        <f t="shared" si="949"/>
        <v>기준수익률</v>
      </c>
      <c r="B187" s="653" t="s">
        <v>354</v>
      </c>
      <c r="C187" s="784"/>
      <c r="D187" s="785"/>
      <c r="E187" s="785"/>
      <c r="F187" s="230"/>
      <c r="G187" s="230"/>
      <c r="I187" s="657">
        <f t="shared" si="954"/>
        <v>0</v>
      </c>
      <c r="J187" s="606" t="str">
        <f t="shared" si="955"/>
        <v>N/A</v>
      </c>
      <c r="K187" s="471"/>
      <c r="L187" s="607"/>
      <c r="M187" s="300"/>
      <c r="N187" s="608"/>
      <c r="O187" s="609">
        <f t="shared" si="950"/>
        <v>0</v>
      </c>
      <c r="P187" s="609">
        <f t="shared" si="951"/>
        <v>0</v>
      </c>
      <c r="Q187" s="609">
        <f t="shared" si="952"/>
        <v>0</v>
      </c>
      <c r="R187" s="610" t="str">
        <f>IFERROR(Q187/Q192,"")</f>
        <v/>
      </c>
      <c r="S187" s="658"/>
      <c r="T187" s="658"/>
      <c r="U187" s="658"/>
      <c r="V187" s="658"/>
      <c r="W187" s="658"/>
      <c r="X187" s="658"/>
      <c r="Y187" s="658"/>
      <c r="Z187" s="658"/>
      <c r="AA187" s="658"/>
      <c r="AB187" s="658"/>
      <c r="AC187" s="658"/>
      <c r="AD187" s="658"/>
      <c r="AE187" s="658"/>
      <c r="AF187" s="658"/>
      <c r="AG187" s="658"/>
      <c r="AH187" s="658"/>
      <c r="AI187" s="658"/>
      <c r="AJ187" s="658"/>
      <c r="AK187" s="658"/>
      <c r="AL187" s="658"/>
      <c r="AM187" s="658"/>
      <c r="AN187" s="658"/>
      <c r="AO187" s="658"/>
      <c r="AP187" s="658"/>
      <c r="AQ187" s="658"/>
      <c r="AR187" s="658"/>
      <c r="AS187" s="658"/>
      <c r="AT187" s="658"/>
      <c r="AU187" s="658"/>
      <c r="AV187" s="658"/>
      <c r="AW187" s="658"/>
      <c r="AX187" s="658"/>
      <c r="AY187" s="658"/>
      <c r="AZ187" s="658"/>
      <c r="BA187" s="658"/>
      <c r="BB187" s="658"/>
      <c r="BC187" s="658"/>
      <c r="BD187" s="658"/>
      <c r="BE187" s="658"/>
      <c r="BF187" s="658"/>
      <c r="BG187" s="658"/>
      <c r="BH187" s="658"/>
      <c r="BI187" s="658"/>
      <c r="BJ187" s="658"/>
      <c r="BK187" s="658"/>
      <c r="BL187" s="658"/>
      <c r="BM187" s="658"/>
      <c r="BN187" s="658"/>
      <c r="BO187" s="658"/>
      <c r="BP187" s="658"/>
      <c r="BQ187" s="658"/>
      <c r="BR187" s="658"/>
      <c r="BS187" s="658"/>
      <c r="BT187" s="658"/>
      <c r="BU187" s="658"/>
      <c r="BV187" s="658"/>
      <c r="BW187" s="658"/>
      <c r="BX187" s="658"/>
      <c r="BY187" s="658"/>
      <c r="BZ187" s="658"/>
      <c r="CA187" s="658"/>
      <c r="CB187" s="658"/>
      <c r="CC187" s="658"/>
      <c r="CD187" s="658"/>
      <c r="CE187" s="658"/>
      <c r="CF187" s="658"/>
      <c r="CG187" s="658"/>
      <c r="CH187" s="658"/>
      <c r="CI187" s="658"/>
      <c r="CJ187" s="658"/>
      <c r="CK187" s="658"/>
      <c r="CL187" s="658"/>
      <c r="CM187" s="658"/>
      <c r="CN187" s="658"/>
      <c r="CO187" s="658"/>
      <c r="CP187" s="658"/>
      <c r="CQ187" s="658"/>
      <c r="CR187" s="658"/>
      <c r="CS187" s="658"/>
      <c r="CT187" s="658"/>
      <c r="CU187" s="658"/>
      <c r="CV187" s="658"/>
      <c r="CW187" s="658"/>
      <c r="CX187" s="658"/>
      <c r="CY187" s="658"/>
      <c r="CZ187" s="658"/>
      <c r="DA187" s="658"/>
      <c r="DB187" s="658"/>
      <c r="DC187" s="658"/>
      <c r="DD187" s="658"/>
      <c r="DE187" s="658"/>
      <c r="DF187" s="658"/>
      <c r="DG187" s="658"/>
      <c r="DH187" s="658"/>
      <c r="DI187" s="658"/>
      <c r="DJ187" s="658"/>
      <c r="DK187" s="658"/>
      <c r="DL187" s="658"/>
      <c r="DM187" s="658"/>
      <c r="DN187" s="658"/>
      <c r="DO187" s="177">
        <f t="shared" si="956"/>
        <v>0</v>
      </c>
      <c r="DP187" s="612" t="e">
        <f t="shared" si="957"/>
        <v>#N/A</v>
      </c>
      <c r="DQ187" s="612" t="e">
        <f t="shared" si="953"/>
        <v>#NUM!</v>
      </c>
      <c r="DR187" s="177"/>
      <c r="DS187" s="177"/>
      <c r="DT187" s="177"/>
      <c r="DU187" s="177"/>
      <c r="DV187" s="177"/>
      <c r="DW187" s="177"/>
      <c r="DX187" s="177"/>
      <c r="DY187" s="177"/>
      <c r="DZ187" s="177"/>
      <c r="EA187" s="613"/>
    </row>
    <row r="188" spans="1:131" ht="13.5">
      <c r="A188" s="652" t="str">
        <f t="shared" si="949"/>
        <v>평가방법론</v>
      </c>
      <c r="B188" s="653" t="s">
        <v>7</v>
      </c>
      <c r="C188" s="786"/>
      <c r="D188" s="786"/>
      <c r="E188" s="786"/>
      <c r="F188" s="230"/>
      <c r="G188" s="230"/>
      <c r="I188" s="657">
        <f t="shared" si="954"/>
        <v>0</v>
      </c>
      <c r="J188" s="606" t="str">
        <f t="shared" si="955"/>
        <v>N/A</v>
      </c>
      <c r="K188" s="471"/>
      <c r="L188" s="607"/>
      <c r="M188" s="300"/>
      <c r="N188" s="608"/>
      <c r="O188" s="609">
        <f t="shared" si="950"/>
        <v>0</v>
      </c>
      <c r="P188" s="609">
        <f t="shared" si="951"/>
        <v>0</v>
      </c>
      <c r="Q188" s="609">
        <f t="shared" si="952"/>
        <v>0</v>
      </c>
      <c r="R188" s="610" t="str">
        <f>IFERROR(Q188/Q192,"")</f>
        <v/>
      </c>
      <c r="S188" s="658"/>
      <c r="T188" s="658"/>
      <c r="U188" s="658"/>
      <c r="V188" s="658"/>
      <c r="W188" s="658"/>
      <c r="X188" s="658"/>
      <c r="Y188" s="658"/>
      <c r="Z188" s="658"/>
      <c r="AA188" s="658"/>
      <c r="AB188" s="658"/>
      <c r="AC188" s="658"/>
      <c r="AD188" s="658"/>
      <c r="AE188" s="658"/>
      <c r="AF188" s="658"/>
      <c r="AG188" s="658"/>
      <c r="AH188" s="658"/>
      <c r="AI188" s="658"/>
      <c r="AJ188" s="658"/>
      <c r="AK188" s="658"/>
      <c r="AL188" s="658"/>
      <c r="AM188" s="658"/>
      <c r="AN188" s="658"/>
      <c r="AO188" s="658"/>
      <c r="AP188" s="658"/>
      <c r="AQ188" s="658"/>
      <c r="AR188" s="658"/>
      <c r="AS188" s="658"/>
      <c r="AT188" s="658"/>
      <c r="AU188" s="658"/>
      <c r="AV188" s="658"/>
      <c r="AW188" s="658"/>
      <c r="AX188" s="658"/>
      <c r="AY188" s="658"/>
      <c r="AZ188" s="658"/>
      <c r="BA188" s="658"/>
      <c r="BB188" s="658"/>
      <c r="BC188" s="658"/>
      <c r="BD188" s="658"/>
      <c r="BE188" s="658"/>
      <c r="BF188" s="658"/>
      <c r="BG188" s="658"/>
      <c r="BH188" s="658"/>
      <c r="BI188" s="658"/>
      <c r="BJ188" s="658"/>
      <c r="BK188" s="658"/>
      <c r="BL188" s="658"/>
      <c r="BM188" s="658"/>
      <c r="BN188" s="658"/>
      <c r="BO188" s="658"/>
      <c r="BP188" s="658"/>
      <c r="BQ188" s="658"/>
      <c r="BR188" s="658"/>
      <c r="BS188" s="658"/>
      <c r="BT188" s="658"/>
      <c r="BU188" s="658"/>
      <c r="BV188" s="658"/>
      <c r="BW188" s="658"/>
      <c r="BX188" s="658"/>
      <c r="BY188" s="658"/>
      <c r="BZ188" s="658"/>
      <c r="CA188" s="658"/>
      <c r="CB188" s="658"/>
      <c r="CC188" s="658"/>
      <c r="CD188" s="658"/>
      <c r="CE188" s="658"/>
      <c r="CF188" s="658"/>
      <c r="CG188" s="658"/>
      <c r="CH188" s="658"/>
      <c r="CI188" s="658"/>
      <c r="CJ188" s="658"/>
      <c r="CK188" s="658"/>
      <c r="CL188" s="658"/>
      <c r="CM188" s="658"/>
      <c r="CN188" s="658"/>
      <c r="CO188" s="658"/>
      <c r="CP188" s="658"/>
      <c r="CQ188" s="658"/>
      <c r="CR188" s="658"/>
      <c r="CS188" s="658"/>
      <c r="CT188" s="658"/>
      <c r="CU188" s="658"/>
      <c r="CV188" s="658"/>
      <c r="CW188" s="658"/>
      <c r="CX188" s="658"/>
      <c r="CY188" s="658"/>
      <c r="CZ188" s="658"/>
      <c r="DA188" s="658"/>
      <c r="DB188" s="658"/>
      <c r="DC188" s="658"/>
      <c r="DD188" s="658"/>
      <c r="DE188" s="658"/>
      <c r="DF188" s="658"/>
      <c r="DG188" s="658"/>
      <c r="DH188" s="658"/>
      <c r="DI188" s="658"/>
      <c r="DJ188" s="658"/>
      <c r="DK188" s="658"/>
      <c r="DL188" s="658"/>
      <c r="DM188" s="658"/>
      <c r="DN188" s="658"/>
      <c r="DO188" s="177">
        <f t="shared" si="956"/>
        <v>0</v>
      </c>
      <c r="DP188" s="612" t="e">
        <f t="shared" si="957"/>
        <v>#N/A</v>
      </c>
      <c r="DQ188" s="612" t="e">
        <f t="shared" si="953"/>
        <v>#NUM!</v>
      </c>
      <c r="DR188" s="177"/>
      <c r="DS188" s="177"/>
      <c r="DT188" s="177"/>
      <c r="DU188" s="177"/>
      <c r="DV188" s="177"/>
      <c r="DW188" s="177"/>
      <c r="DX188" s="177"/>
      <c r="DY188" s="177"/>
      <c r="DZ188" s="177"/>
      <c r="EA188" s="613"/>
    </row>
    <row r="189" spans="1:131" ht="13.5">
      <c r="A189" s="652" t="str">
        <f t="shared" si="949"/>
        <v>분배 조항 여부</v>
      </c>
      <c r="B189" s="653" t="s">
        <v>363</v>
      </c>
      <c r="C189" s="786"/>
      <c r="D189" s="786"/>
      <c r="E189" s="786"/>
      <c r="F189" s="230"/>
      <c r="G189" s="230"/>
      <c r="I189" s="657">
        <f t="shared" si="954"/>
        <v>0</v>
      </c>
      <c r="J189" s="606" t="str">
        <f t="shared" si="955"/>
        <v>N/A</v>
      </c>
      <c r="K189" s="471"/>
      <c r="L189" s="607"/>
      <c r="M189" s="300"/>
      <c r="N189" s="608"/>
      <c r="O189" s="609">
        <f t="shared" si="950"/>
        <v>0</v>
      </c>
      <c r="P189" s="609">
        <f t="shared" si="951"/>
        <v>0</v>
      </c>
      <c r="Q189" s="609">
        <f t="shared" si="952"/>
        <v>0</v>
      </c>
      <c r="R189" s="610" t="str">
        <f>IFERROR(Q189/Q192,"")</f>
        <v/>
      </c>
      <c r="S189" s="658"/>
      <c r="T189" s="658"/>
      <c r="U189" s="658"/>
      <c r="V189" s="658"/>
      <c r="W189" s="658"/>
      <c r="X189" s="658"/>
      <c r="Y189" s="658"/>
      <c r="Z189" s="658"/>
      <c r="AA189" s="658"/>
      <c r="AB189" s="658"/>
      <c r="AC189" s="658"/>
      <c r="AD189" s="658"/>
      <c r="AE189" s="658"/>
      <c r="AF189" s="658"/>
      <c r="AG189" s="658"/>
      <c r="AH189" s="658"/>
      <c r="AI189" s="658"/>
      <c r="AJ189" s="658"/>
      <c r="AK189" s="658"/>
      <c r="AL189" s="658"/>
      <c r="AM189" s="658"/>
      <c r="AN189" s="658"/>
      <c r="AO189" s="658"/>
      <c r="AP189" s="658"/>
      <c r="AQ189" s="658"/>
      <c r="AR189" s="658"/>
      <c r="AS189" s="658"/>
      <c r="AT189" s="658"/>
      <c r="AU189" s="658"/>
      <c r="AV189" s="658"/>
      <c r="AW189" s="658"/>
      <c r="AX189" s="658"/>
      <c r="AY189" s="658"/>
      <c r="AZ189" s="658"/>
      <c r="BA189" s="658"/>
      <c r="BB189" s="658"/>
      <c r="BC189" s="658"/>
      <c r="BD189" s="658"/>
      <c r="BE189" s="658"/>
      <c r="BF189" s="658"/>
      <c r="BG189" s="658"/>
      <c r="BH189" s="658"/>
      <c r="BI189" s="658"/>
      <c r="BJ189" s="658"/>
      <c r="BK189" s="658"/>
      <c r="BL189" s="658"/>
      <c r="BM189" s="658"/>
      <c r="BN189" s="658"/>
      <c r="BO189" s="658"/>
      <c r="BP189" s="658"/>
      <c r="BQ189" s="658"/>
      <c r="BR189" s="658"/>
      <c r="BS189" s="658"/>
      <c r="BT189" s="658"/>
      <c r="BU189" s="658"/>
      <c r="BV189" s="658"/>
      <c r="BW189" s="658"/>
      <c r="BX189" s="658"/>
      <c r="BY189" s="658"/>
      <c r="BZ189" s="658"/>
      <c r="CA189" s="658"/>
      <c r="CB189" s="658"/>
      <c r="CC189" s="658"/>
      <c r="CD189" s="658"/>
      <c r="CE189" s="658"/>
      <c r="CF189" s="658"/>
      <c r="CG189" s="658"/>
      <c r="CH189" s="658"/>
      <c r="CI189" s="658"/>
      <c r="CJ189" s="658"/>
      <c r="CK189" s="658"/>
      <c r="CL189" s="658"/>
      <c r="CM189" s="658"/>
      <c r="CN189" s="658"/>
      <c r="CO189" s="658"/>
      <c r="CP189" s="658"/>
      <c r="CQ189" s="658"/>
      <c r="CR189" s="658"/>
      <c r="CS189" s="658"/>
      <c r="CT189" s="658"/>
      <c r="CU189" s="658"/>
      <c r="CV189" s="658"/>
      <c r="CW189" s="658"/>
      <c r="CX189" s="658"/>
      <c r="CY189" s="658"/>
      <c r="CZ189" s="658"/>
      <c r="DA189" s="658"/>
      <c r="DB189" s="658"/>
      <c r="DC189" s="658"/>
      <c r="DD189" s="658"/>
      <c r="DE189" s="658"/>
      <c r="DF189" s="658"/>
      <c r="DG189" s="658"/>
      <c r="DH189" s="658"/>
      <c r="DI189" s="658"/>
      <c r="DJ189" s="658"/>
      <c r="DK189" s="658"/>
      <c r="DL189" s="658"/>
      <c r="DM189" s="658"/>
      <c r="DN189" s="658"/>
      <c r="DO189" s="177">
        <f t="shared" si="956"/>
        <v>0</v>
      </c>
      <c r="DP189" s="612" t="e">
        <f t="shared" si="957"/>
        <v>#N/A</v>
      </c>
      <c r="DQ189" s="612" t="e">
        <f t="shared" si="953"/>
        <v>#NUM!</v>
      </c>
      <c r="DR189" s="177"/>
      <c r="DS189" s="177"/>
      <c r="DT189" s="177"/>
      <c r="DU189" s="177"/>
      <c r="DV189" s="177"/>
      <c r="DW189" s="177"/>
      <c r="DX189" s="177"/>
      <c r="DY189" s="177"/>
      <c r="DZ189" s="177"/>
      <c r="EA189" s="613"/>
    </row>
    <row r="190" spans="1:131" ht="14.25" thickBot="1">
      <c r="A190" s="668" t="str">
        <f t="shared" si="949"/>
        <v>모펀드 출자 지분율</v>
      </c>
      <c r="B190" s="660" t="s">
        <v>364</v>
      </c>
      <c r="C190" s="787"/>
      <c r="D190" s="787"/>
      <c r="E190" s="787"/>
      <c r="F190" s="230"/>
      <c r="G190" s="230"/>
      <c r="I190" s="669">
        <f t="shared" si="954"/>
        <v>0</v>
      </c>
      <c r="J190" s="606" t="str">
        <f t="shared" si="955"/>
        <v>N/A</v>
      </c>
      <c r="K190" s="476"/>
      <c r="L190" s="607"/>
      <c r="M190" s="670"/>
      <c r="N190" s="671"/>
      <c r="O190" s="609">
        <f t="shared" si="950"/>
        <v>0</v>
      </c>
      <c r="P190" s="609">
        <f t="shared" si="951"/>
        <v>0</v>
      </c>
      <c r="Q190" s="609">
        <f t="shared" si="952"/>
        <v>0</v>
      </c>
      <c r="R190" s="610" t="str">
        <f>IFERROR(Q190/Q192,"")</f>
        <v/>
      </c>
      <c r="S190" s="672"/>
      <c r="T190" s="672"/>
      <c r="U190" s="672"/>
      <c r="V190" s="672"/>
      <c r="W190" s="672"/>
      <c r="X190" s="672"/>
      <c r="Y190" s="672"/>
      <c r="Z190" s="672"/>
      <c r="AA190" s="672"/>
      <c r="AB190" s="672"/>
      <c r="AC190" s="672"/>
      <c r="AD190" s="672"/>
      <c r="AE190" s="672"/>
      <c r="AF190" s="672"/>
      <c r="AG190" s="672"/>
      <c r="AH190" s="672"/>
      <c r="AI190" s="672"/>
      <c r="AJ190" s="672"/>
      <c r="AK190" s="672"/>
      <c r="AL190" s="672"/>
      <c r="AM190" s="672"/>
      <c r="AN190" s="672"/>
      <c r="AO190" s="672"/>
      <c r="AP190" s="672"/>
      <c r="AQ190" s="672"/>
      <c r="AR190" s="672"/>
      <c r="AS190" s="672"/>
      <c r="AT190" s="672"/>
      <c r="AU190" s="672"/>
      <c r="AV190" s="672"/>
      <c r="AW190" s="672"/>
      <c r="AX190" s="672"/>
      <c r="AY190" s="672"/>
      <c r="AZ190" s="672"/>
      <c r="BA190" s="672"/>
      <c r="BB190" s="672"/>
      <c r="BC190" s="672"/>
      <c r="BD190" s="672"/>
      <c r="BE190" s="672"/>
      <c r="BF190" s="672"/>
      <c r="BG190" s="672"/>
      <c r="BH190" s="672"/>
      <c r="BI190" s="672"/>
      <c r="BJ190" s="672"/>
      <c r="BK190" s="672"/>
      <c r="BL190" s="672"/>
      <c r="BM190" s="672"/>
      <c r="BN190" s="672"/>
      <c r="BO190" s="672"/>
      <c r="BP190" s="672"/>
      <c r="BQ190" s="672"/>
      <c r="BR190" s="672"/>
      <c r="BS190" s="672"/>
      <c r="BT190" s="672"/>
      <c r="BU190" s="672"/>
      <c r="BV190" s="672"/>
      <c r="BW190" s="672"/>
      <c r="BX190" s="672"/>
      <c r="BY190" s="672"/>
      <c r="BZ190" s="672"/>
      <c r="CA190" s="672"/>
      <c r="CB190" s="672"/>
      <c r="CC190" s="672"/>
      <c r="CD190" s="672"/>
      <c r="CE190" s="672"/>
      <c r="CF190" s="672"/>
      <c r="CG190" s="672"/>
      <c r="CH190" s="672"/>
      <c r="CI190" s="672"/>
      <c r="CJ190" s="672"/>
      <c r="CK190" s="672"/>
      <c r="CL190" s="672"/>
      <c r="CM190" s="672"/>
      <c r="CN190" s="672"/>
      <c r="CO190" s="672"/>
      <c r="CP190" s="672"/>
      <c r="CQ190" s="672"/>
      <c r="CR190" s="672"/>
      <c r="CS190" s="672"/>
      <c r="CT190" s="672"/>
      <c r="CU190" s="672"/>
      <c r="CV190" s="672"/>
      <c r="CW190" s="672"/>
      <c r="CX190" s="672"/>
      <c r="CY190" s="672"/>
      <c r="CZ190" s="672"/>
      <c r="DA190" s="672"/>
      <c r="DB190" s="672"/>
      <c r="DC190" s="672"/>
      <c r="DD190" s="672"/>
      <c r="DE190" s="672"/>
      <c r="DF190" s="672"/>
      <c r="DG190" s="672"/>
      <c r="DH190" s="672"/>
      <c r="DI190" s="672"/>
      <c r="DJ190" s="672"/>
      <c r="DK190" s="672"/>
      <c r="DL190" s="672"/>
      <c r="DM190" s="672"/>
      <c r="DN190" s="672"/>
      <c r="DO190" s="177">
        <f t="shared" si="956"/>
        <v>0</v>
      </c>
      <c r="DP190" s="612" t="e">
        <f t="shared" si="957"/>
        <v>#N/A</v>
      </c>
      <c r="DQ190" s="674" t="e">
        <f t="shared" si="953"/>
        <v>#NUM!</v>
      </c>
      <c r="DR190" s="673"/>
      <c r="DS190" s="673"/>
      <c r="DT190" s="673"/>
      <c r="DU190" s="673"/>
      <c r="DV190" s="673"/>
      <c r="DW190" s="673"/>
      <c r="DX190" s="673"/>
      <c r="DY190" s="673"/>
      <c r="DZ190" s="673"/>
      <c r="EA190" s="675"/>
    </row>
    <row r="191" spans="1:131" ht="14.25" thickBot="1">
      <c r="B191" s="778" t="s">
        <v>3404</v>
      </c>
      <c r="C191" s="618" t="s">
        <v>223</v>
      </c>
      <c r="D191" s="618" t="s">
        <v>224</v>
      </c>
      <c r="E191" s="618" t="s">
        <v>225</v>
      </c>
      <c r="F191" s="230"/>
      <c r="G191" s="230"/>
      <c r="I191" s="669">
        <f t="shared" si="954"/>
        <v>0</v>
      </c>
      <c r="J191" s="606" t="str">
        <f t="shared" si="955"/>
        <v>N/A</v>
      </c>
      <c r="K191" s="476"/>
      <c r="L191" s="607"/>
      <c r="M191" s="670"/>
      <c r="N191" s="671"/>
      <c r="O191" s="609">
        <f t="shared" si="950"/>
        <v>0</v>
      </c>
      <c r="P191" s="609">
        <f t="shared" si="951"/>
        <v>0</v>
      </c>
      <c r="Q191" s="609">
        <f t="shared" si="952"/>
        <v>0</v>
      </c>
      <c r="R191" s="610" t="str">
        <f>IFERROR(Q191/Q192,"")</f>
        <v/>
      </c>
      <c r="S191" s="672"/>
      <c r="T191" s="672"/>
      <c r="U191" s="672"/>
      <c r="V191" s="672"/>
      <c r="W191" s="672"/>
      <c r="X191" s="672"/>
      <c r="Y191" s="672"/>
      <c r="Z191" s="672"/>
      <c r="AA191" s="672"/>
      <c r="AB191" s="672"/>
      <c r="AC191" s="672"/>
      <c r="AD191" s="672"/>
      <c r="AE191" s="672"/>
      <c r="AF191" s="672"/>
      <c r="AG191" s="672"/>
      <c r="AH191" s="672"/>
      <c r="AI191" s="672"/>
      <c r="AJ191" s="672"/>
      <c r="AK191" s="672"/>
      <c r="AL191" s="672"/>
      <c r="AM191" s="672"/>
      <c r="AN191" s="672"/>
      <c r="AO191" s="672"/>
      <c r="AP191" s="672"/>
      <c r="AQ191" s="672"/>
      <c r="AR191" s="672"/>
      <c r="AS191" s="672"/>
      <c r="AT191" s="672"/>
      <c r="AU191" s="672"/>
      <c r="AV191" s="672"/>
      <c r="AW191" s="672"/>
      <c r="AX191" s="672"/>
      <c r="AY191" s="672"/>
      <c r="AZ191" s="672"/>
      <c r="BA191" s="672"/>
      <c r="BB191" s="672"/>
      <c r="BC191" s="672"/>
      <c r="BD191" s="672"/>
      <c r="BE191" s="672"/>
      <c r="BF191" s="672"/>
      <c r="BG191" s="672"/>
      <c r="BH191" s="672"/>
      <c r="BI191" s="672"/>
      <c r="BJ191" s="672"/>
      <c r="BK191" s="672"/>
      <c r="BL191" s="672"/>
      <c r="BM191" s="672"/>
      <c r="BN191" s="672"/>
      <c r="BO191" s="672"/>
      <c r="BP191" s="672"/>
      <c r="BQ191" s="672"/>
      <c r="BR191" s="672"/>
      <c r="BS191" s="672"/>
      <c r="BT191" s="672"/>
      <c r="BU191" s="672"/>
      <c r="BV191" s="672"/>
      <c r="BW191" s="672"/>
      <c r="BX191" s="672"/>
      <c r="BY191" s="672"/>
      <c r="BZ191" s="672"/>
      <c r="CA191" s="672"/>
      <c r="CB191" s="672"/>
      <c r="CC191" s="672"/>
      <c r="CD191" s="672"/>
      <c r="CE191" s="672"/>
      <c r="CF191" s="672"/>
      <c r="CG191" s="672"/>
      <c r="CH191" s="672"/>
      <c r="CI191" s="672"/>
      <c r="CJ191" s="672"/>
      <c r="CK191" s="672"/>
      <c r="CL191" s="672"/>
      <c r="CM191" s="672"/>
      <c r="CN191" s="672"/>
      <c r="CO191" s="672"/>
      <c r="CP191" s="672"/>
      <c r="CQ191" s="672"/>
      <c r="CR191" s="672"/>
      <c r="CS191" s="672"/>
      <c r="CT191" s="672"/>
      <c r="CU191" s="672"/>
      <c r="CV191" s="672"/>
      <c r="CW191" s="672"/>
      <c r="CX191" s="672"/>
      <c r="CY191" s="672"/>
      <c r="CZ191" s="672"/>
      <c r="DA191" s="672"/>
      <c r="DB191" s="672"/>
      <c r="DC191" s="672"/>
      <c r="DD191" s="672"/>
      <c r="DE191" s="672"/>
      <c r="DF191" s="672"/>
      <c r="DG191" s="672"/>
      <c r="DH191" s="672"/>
      <c r="DI191" s="672"/>
      <c r="DJ191" s="672"/>
      <c r="DK191" s="672"/>
      <c r="DL191" s="672"/>
      <c r="DM191" s="672"/>
      <c r="DN191" s="672"/>
      <c r="DO191" s="177">
        <f t="shared" si="956"/>
        <v>0</v>
      </c>
      <c r="DP191" s="612" t="e">
        <f t="shared" si="957"/>
        <v>#N/A</v>
      </c>
      <c r="DQ191" s="674" t="e">
        <f t="shared" si="953"/>
        <v>#NUM!</v>
      </c>
      <c r="DR191" s="673"/>
      <c r="DS191" s="673"/>
      <c r="DT191" s="673"/>
      <c r="DU191" s="673"/>
      <c r="DV191" s="673"/>
      <c r="DW191" s="673"/>
      <c r="DX191" s="673"/>
      <c r="DY191" s="673"/>
      <c r="DZ191" s="673"/>
      <c r="EA191" s="675"/>
    </row>
    <row r="192" spans="1:131" ht="14.25" thickBot="1">
      <c r="B192" s="779"/>
      <c r="C192" s="661"/>
      <c r="D192" s="661"/>
      <c r="E192" s="661"/>
      <c r="F192" s="662"/>
      <c r="G192" s="662"/>
      <c r="H192" s="317"/>
      <c r="I192" s="634">
        <f>SUM(I184:I191)</f>
        <v>0</v>
      </c>
      <c r="J192" s="663"/>
      <c r="K192" s="664"/>
      <c r="L192" s="664"/>
      <c r="M192" s="664"/>
      <c r="N192" s="634">
        <f t="shared" ref="N192:R192" si="958">SUM(N184:N191)</f>
        <v>0</v>
      </c>
      <c r="O192" s="634">
        <f t="shared" si="958"/>
        <v>0</v>
      </c>
      <c r="P192" s="634">
        <f t="shared" si="958"/>
        <v>0</v>
      </c>
      <c r="Q192" s="634">
        <f t="shared" si="958"/>
        <v>0</v>
      </c>
      <c r="R192" s="665">
        <f t="shared" si="958"/>
        <v>0</v>
      </c>
      <c r="S192" s="634">
        <f>SUM(S184:S191)</f>
        <v>0</v>
      </c>
      <c r="T192" s="634">
        <f t="shared" ref="T192" si="959">SUM(T184:T191)</f>
        <v>0</v>
      </c>
      <c r="U192" s="634">
        <f t="shared" ref="U192" si="960">SUM(U184:U191)</f>
        <v>0</v>
      </c>
      <c r="V192" s="634">
        <f t="shared" ref="V192" si="961">SUM(V184:V191)</f>
        <v>0</v>
      </c>
      <c r="W192" s="634">
        <f t="shared" ref="W192" si="962">SUM(W184:W191)</f>
        <v>0</v>
      </c>
      <c r="X192" s="634">
        <f t="shared" ref="X192" si="963">SUM(X184:X191)</f>
        <v>0</v>
      </c>
      <c r="Y192" s="634">
        <f t="shared" ref="Y192" si="964">SUM(Y184:Y191)</f>
        <v>0</v>
      </c>
      <c r="Z192" s="634">
        <f t="shared" ref="Z192" si="965">SUM(Z184:Z191)</f>
        <v>0</v>
      </c>
      <c r="AA192" s="634">
        <f t="shared" ref="AA192" si="966">SUM(AA184:AA191)</f>
        <v>0</v>
      </c>
      <c r="AB192" s="634">
        <f t="shared" ref="AB192" si="967">SUM(AB184:AB191)</f>
        <v>0</v>
      </c>
      <c r="AC192" s="634">
        <f t="shared" ref="AC192" si="968">SUM(AC184:AC191)</f>
        <v>0</v>
      </c>
      <c r="AD192" s="634">
        <f t="shared" ref="AD192" si="969">SUM(AD184:AD191)</f>
        <v>0</v>
      </c>
      <c r="AE192" s="634">
        <f t="shared" ref="AE192" si="970">SUM(AE184:AE191)</f>
        <v>0</v>
      </c>
      <c r="AF192" s="634">
        <f t="shared" ref="AF192" si="971">SUM(AF184:AF191)</f>
        <v>0</v>
      </c>
      <c r="AG192" s="634">
        <f t="shared" ref="AG192" si="972">SUM(AG184:AG191)</f>
        <v>0</v>
      </c>
      <c r="AH192" s="634">
        <f t="shared" ref="AH192" si="973">SUM(AH184:AH191)</f>
        <v>0</v>
      </c>
      <c r="AI192" s="634">
        <f t="shared" ref="AI192" si="974">SUM(AI184:AI191)</f>
        <v>0</v>
      </c>
      <c r="AJ192" s="634">
        <f t="shared" ref="AJ192" si="975">SUM(AJ184:AJ191)</f>
        <v>0</v>
      </c>
      <c r="AK192" s="634">
        <f t="shared" ref="AK192" si="976">SUM(AK184:AK191)</f>
        <v>0</v>
      </c>
      <c r="AL192" s="634">
        <f t="shared" ref="AL192" si="977">SUM(AL184:AL191)</f>
        <v>0</v>
      </c>
      <c r="AM192" s="634">
        <f t="shared" ref="AM192" si="978">SUM(AM184:AM191)</f>
        <v>0</v>
      </c>
      <c r="AN192" s="634">
        <f t="shared" ref="AN192" si="979">SUM(AN184:AN191)</f>
        <v>0</v>
      </c>
      <c r="AO192" s="634">
        <f t="shared" ref="AO192" si="980">SUM(AO184:AO191)</f>
        <v>0</v>
      </c>
      <c r="AP192" s="634">
        <f t="shared" ref="AP192" si="981">SUM(AP184:AP191)</f>
        <v>0</v>
      </c>
      <c r="AQ192" s="634">
        <f t="shared" ref="AQ192" si="982">SUM(AQ184:AQ191)</f>
        <v>0</v>
      </c>
      <c r="AR192" s="634">
        <f t="shared" ref="AR192" si="983">SUM(AR184:AR191)</f>
        <v>0</v>
      </c>
      <c r="AS192" s="634">
        <f t="shared" ref="AS192" si="984">SUM(AS184:AS191)</f>
        <v>0</v>
      </c>
      <c r="AT192" s="634">
        <f t="shared" ref="AT192" si="985">SUM(AT184:AT191)</f>
        <v>0</v>
      </c>
      <c r="AU192" s="634">
        <f t="shared" ref="AU192" si="986">SUM(AU184:AU191)</f>
        <v>0</v>
      </c>
      <c r="AV192" s="634">
        <f t="shared" ref="AV192" si="987">SUM(AV184:AV191)</f>
        <v>0</v>
      </c>
      <c r="AW192" s="634">
        <f t="shared" ref="AW192" si="988">SUM(AW184:AW191)</f>
        <v>0</v>
      </c>
      <c r="AX192" s="634">
        <f t="shared" ref="AX192" si="989">SUM(AX184:AX191)</f>
        <v>0</v>
      </c>
      <c r="AY192" s="634">
        <f t="shared" ref="AY192" si="990">SUM(AY184:AY191)</f>
        <v>0</v>
      </c>
      <c r="AZ192" s="634">
        <f t="shared" ref="AZ192" si="991">SUM(AZ184:AZ191)</f>
        <v>0</v>
      </c>
      <c r="BA192" s="634">
        <f t="shared" ref="BA192" si="992">SUM(BA184:BA191)</f>
        <v>0</v>
      </c>
      <c r="BB192" s="634">
        <f t="shared" ref="BB192" si="993">SUM(BB184:BB191)</f>
        <v>0</v>
      </c>
      <c r="BC192" s="634">
        <f t="shared" ref="BC192" si="994">SUM(BC184:BC191)</f>
        <v>0</v>
      </c>
      <c r="BD192" s="634">
        <f t="shared" ref="BD192" si="995">SUM(BD184:BD191)</f>
        <v>0</v>
      </c>
      <c r="BE192" s="634">
        <f t="shared" ref="BE192" si="996">SUM(BE184:BE191)</f>
        <v>0</v>
      </c>
      <c r="BF192" s="634">
        <f t="shared" ref="BF192" si="997">SUM(BF184:BF191)</f>
        <v>0</v>
      </c>
      <c r="BG192" s="634">
        <f t="shared" ref="BG192" si="998">SUM(BG184:BG191)</f>
        <v>0</v>
      </c>
      <c r="BH192" s="634">
        <f t="shared" ref="BH192" si="999">SUM(BH184:BH191)</f>
        <v>0</v>
      </c>
      <c r="BI192" s="634">
        <f t="shared" ref="BI192" si="1000">SUM(BI184:BI191)</f>
        <v>0</v>
      </c>
      <c r="BJ192" s="634">
        <f t="shared" ref="BJ192" si="1001">SUM(BJ184:BJ191)</f>
        <v>0</v>
      </c>
      <c r="BK192" s="634">
        <f t="shared" ref="BK192" si="1002">SUM(BK184:BK191)</f>
        <v>0</v>
      </c>
      <c r="BL192" s="634">
        <f t="shared" ref="BL192" si="1003">SUM(BL184:BL191)</f>
        <v>0</v>
      </c>
      <c r="BM192" s="634">
        <f t="shared" ref="BM192" si="1004">SUM(BM184:BM191)</f>
        <v>0</v>
      </c>
      <c r="BN192" s="634">
        <f t="shared" ref="BN192" si="1005">SUM(BN184:BN191)</f>
        <v>0</v>
      </c>
      <c r="BO192" s="634">
        <f t="shared" ref="BO192" si="1006">SUM(BO184:BO191)</f>
        <v>0</v>
      </c>
      <c r="BP192" s="634">
        <f t="shared" ref="BP192" si="1007">SUM(BP184:BP191)</f>
        <v>0</v>
      </c>
      <c r="BQ192" s="634">
        <f t="shared" ref="BQ192" si="1008">SUM(BQ184:BQ191)</f>
        <v>0</v>
      </c>
      <c r="BR192" s="634">
        <f t="shared" ref="BR192" si="1009">SUM(BR184:BR191)</f>
        <v>0</v>
      </c>
      <c r="BS192" s="634">
        <f t="shared" ref="BS192" si="1010">SUM(BS184:BS191)</f>
        <v>0</v>
      </c>
      <c r="BT192" s="634">
        <f t="shared" ref="BT192" si="1011">SUM(BT184:BT191)</f>
        <v>0</v>
      </c>
      <c r="BU192" s="634">
        <f t="shared" ref="BU192" si="1012">SUM(BU184:BU191)</f>
        <v>0</v>
      </c>
      <c r="BV192" s="634">
        <f t="shared" ref="BV192" si="1013">SUM(BV184:BV191)</f>
        <v>0</v>
      </c>
      <c r="BW192" s="634">
        <f t="shared" ref="BW192" si="1014">SUM(BW184:BW191)</f>
        <v>0</v>
      </c>
      <c r="BX192" s="634">
        <f t="shared" ref="BX192" si="1015">SUM(BX184:BX191)</f>
        <v>0</v>
      </c>
      <c r="BY192" s="634">
        <f t="shared" ref="BY192" si="1016">SUM(BY184:BY191)</f>
        <v>0</v>
      </c>
      <c r="BZ192" s="634">
        <f t="shared" ref="BZ192" si="1017">SUM(BZ184:BZ191)</f>
        <v>0</v>
      </c>
      <c r="CA192" s="634">
        <f t="shared" ref="CA192" si="1018">SUM(CA184:CA191)</f>
        <v>0</v>
      </c>
      <c r="CB192" s="634">
        <f t="shared" ref="CB192" si="1019">SUM(CB184:CB191)</f>
        <v>0</v>
      </c>
      <c r="CC192" s="634">
        <f t="shared" ref="CC192" si="1020">SUM(CC184:CC191)</f>
        <v>0</v>
      </c>
      <c r="CD192" s="634">
        <f t="shared" ref="CD192" si="1021">SUM(CD184:CD191)</f>
        <v>0</v>
      </c>
      <c r="CE192" s="634">
        <f t="shared" ref="CE192" si="1022">SUM(CE184:CE191)</f>
        <v>0</v>
      </c>
      <c r="CF192" s="634">
        <f t="shared" ref="CF192" si="1023">SUM(CF184:CF191)</f>
        <v>0</v>
      </c>
      <c r="CG192" s="634">
        <f t="shared" ref="CG192" si="1024">SUM(CG184:CG191)</f>
        <v>0</v>
      </c>
      <c r="CH192" s="634">
        <f t="shared" ref="CH192" si="1025">SUM(CH184:CH191)</f>
        <v>0</v>
      </c>
      <c r="CI192" s="634">
        <f t="shared" ref="CI192" si="1026">SUM(CI184:CI191)</f>
        <v>0</v>
      </c>
      <c r="CJ192" s="634">
        <f t="shared" ref="CJ192" si="1027">SUM(CJ184:CJ191)</f>
        <v>0</v>
      </c>
      <c r="CK192" s="634">
        <f t="shared" ref="CK192" si="1028">SUM(CK184:CK191)</f>
        <v>0</v>
      </c>
      <c r="CL192" s="634">
        <f t="shared" ref="CL192" si="1029">SUM(CL184:CL191)</f>
        <v>0</v>
      </c>
      <c r="CM192" s="634">
        <f t="shared" ref="CM192" si="1030">SUM(CM184:CM191)</f>
        <v>0</v>
      </c>
      <c r="CN192" s="634">
        <f t="shared" ref="CN192" si="1031">SUM(CN184:CN191)</f>
        <v>0</v>
      </c>
      <c r="CO192" s="634">
        <f t="shared" ref="CO192" si="1032">SUM(CO184:CO191)</f>
        <v>0</v>
      </c>
      <c r="CP192" s="634">
        <f t="shared" ref="CP192" si="1033">SUM(CP184:CP191)</f>
        <v>0</v>
      </c>
      <c r="CQ192" s="634">
        <f t="shared" ref="CQ192" si="1034">SUM(CQ184:CQ191)</f>
        <v>0</v>
      </c>
      <c r="CR192" s="634">
        <f t="shared" ref="CR192" si="1035">SUM(CR184:CR191)</f>
        <v>0</v>
      </c>
      <c r="CS192" s="634">
        <f t="shared" ref="CS192" si="1036">SUM(CS184:CS191)</f>
        <v>0</v>
      </c>
      <c r="CT192" s="634">
        <f t="shared" ref="CT192" si="1037">SUM(CT184:CT191)</f>
        <v>0</v>
      </c>
      <c r="CU192" s="634">
        <f t="shared" ref="CU192" si="1038">SUM(CU184:CU191)</f>
        <v>0</v>
      </c>
      <c r="CV192" s="634">
        <f t="shared" ref="CV192" si="1039">SUM(CV184:CV191)</f>
        <v>0</v>
      </c>
      <c r="CW192" s="634">
        <f t="shared" ref="CW192" si="1040">SUM(CW184:CW191)</f>
        <v>0</v>
      </c>
      <c r="CX192" s="634">
        <f t="shared" ref="CX192" si="1041">SUM(CX184:CX191)</f>
        <v>0</v>
      </c>
      <c r="CY192" s="634">
        <f t="shared" ref="CY192" si="1042">SUM(CY184:CY191)</f>
        <v>0</v>
      </c>
      <c r="CZ192" s="634">
        <f t="shared" ref="CZ192" si="1043">SUM(CZ184:CZ191)</f>
        <v>0</v>
      </c>
      <c r="DA192" s="634">
        <f t="shared" ref="DA192" si="1044">SUM(DA184:DA191)</f>
        <v>0</v>
      </c>
      <c r="DB192" s="634">
        <f t="shared" ref="DB192" si="1045">SUM(DB184:DB191)</f>
        <v>0</v>
      </c>
      <c r="DC192" s="634">
        <f t="shared" ref="DC192" si="1046">SUM(DC184:DC191)</f>
        <v>0</v>
      </c>
      <c r="DD192" s="634">
        <f t="shared" ref="DD192" si="1047">SUM(DD184:DD191)</f>
        <v>0</v>
      </c>
      <c r="DE192" s="634">
        <f t="shared" ref="DE192" si="1048">SUM(DE184:DE191)</f>
        <v>0</v>
      </c>
      <c r="DF192" s="634">
        <f t="shared" ref="DF192" si="1049">SUM(DF184:DF191)</f>
        <v>0</v>
      </c>
      <c r="DG192" s="634">
        <f t="shared" ref="DG192" si="1050">SUM(DG184:DG191)</f>
        <v>0</v>
      </c>
      <c r="DH192" s="634">
        <f t="shared" ref="DH192" si="1051">SUM(DH184:DH191)</f>
        <v>0</v>
      </c>
      <c r="DI192" s="634">
        <f t="shared" ref="DI192" si="1052">SUM(DI184:DI191)</f>
        <v>0</v>
      </c>
      <c r="DJ192" s="634">
        <f t="shared" ref="DJ192" si="1053">SUM(DJ184:DJ191)</f>
        <v>0</v>
      </c>
      <c r="DK192" s="634">
        <f t="shared" ref="DK192" si="1054">SUM(DK184:DK191)</f>
        <v>0</v>
      </c>
      <c r="DL192" s="634">
        <f t="shared" ref="DL192" si="1055">SUM(DL184:DL191)</f>
        <v>0</v>
      </c>
      <c r="DM192" s="634">
        <f t="shared" ref="DM192" si="1056">SUM(DM184:DM191)</f>
        <v>0</v>
      </c>
      <c r="DN192" s="634">
        <f t="shared" ref="DN192" si="1057">SUM(DN184:DN191)</f>
        <v>0</v>
      </c>
      <c r="DO192" s="634">
        <f t="shared" ref="DO192" si="1058">SUM(DO184:DO191)</f>
        <v>0</v>
      </c>
      <c r="DP192" s="666"/>
      <c r="DQ192" s="638" t="e">
        <f>XIRR(S192:DO192,$S$183:$DO$183)</f>
        <v>#NUM!</v>
      </c>
      <c r="DR192" s="636">
        <f t="shared" ref="DR192:DX192" si="1059">SUM(DR184:DR191)</f>
        <v>0</v>
      </c>
      <c r="DS192" s="636">
        <f t="shared" si="1059"/>
        <v>0</v>
      </c>
      <c r="DT192" s="636">
        <f t="shared" si="1059"/>
        <v>0</v>
      </c>
      <c r="DU192" s="636">
        <f t="shared" si="1059"/>
        <v>0</v>
      </c>
      <c r="DV192" s="636">
        <f t="shared" si="1059"/>
        <v>0</v>
      </c>
      <c r="DW192" s="636">
        <f t="shared" si="1059"/>
        <v>0</v>
      </c>
      <c r="DX192" s="636">
        <f t="shared" si="1059"/>
        <v>0</v>
      </c>
      <c r="DY192" s="636">
        <f>SUM(DY184:DY191)</f>
        <v>0</v>
      </c>
      <c r="DZ192" s="636">
        <f>SUM(DZ184:DZ191)</f>
        <v>0</v>
      </c>
      <c r="EA192" s="636">
        <f>SUM(EA184:EA191)</f>
        <v>0</v>
      </c>
    </row>
    <row r="193" spans="1:131" ht="14.25" thickBot="1">
      <c r="A193" s="172"/>
      <c r="B193" s="647"/>
      <c r="C193" s="592" t="s">
        <v>3609</v>
      </c>
      <c r="D193" s="648">
        <f>D181+1</f>
        <v>12</v>
      </c>
      <c r="E193" s="649"/>
      <c r="F193" s="603"/>
      <c r="G193" s="603"/>
      <c r="I193" s="650" t="b">
        <f>I204=DR195</f>
        <v>1</v>
      </c>
      <c r="J193" s="172"/>
      <c r="K193" s="172"/>
      <c r="L193" s="172"/>
      <c r="M193" s="172"/>
      <c r="N193" s="172"/>
      <c r="O193" s="172"/>
      <c r="P193" s="172"/>
      <c r="Q193" s="639" t="str">
        <f>IF(Q204=NAV!E637,"자본금과 일치","자본금과 불일치")</f>
        <v>자본금과 일치</v>
      </c>
      <c r="R193" s="172"/>
      <c r="S193" s="172"/>
      <c r="T193" s="172"/>
      <c r="U193" s="172"/>
      <c r="V193" s="172"/>
      <c r="W193" s="172"/>
      <c r="X193" s="172"/>
      <c r="Y193" s="172"/>
      <c r="Z193" s="172"/>
      <c r="AA193" s="172"/>
      <c r="AB193" s="172"/>
      <c r="AC193" s="172"/>
      <c r="AD193" s="172"/>
      <c r="AE193" s="172"/>
      <c r="AF193" s="172"/>
      <c r="AG193" s="172"/>
      <c r="AH193" s="172"/>
      <c r="AI193" s="172"/>
      <c r="AJ193" s="172"/>
      <c r="AK193" s="172"/>
      <c r="AL193" s="172"/>
      <c r="AM193" s="172"/>
      <c r="AN193" s="172"/>
      <c r="AO193" s="172"/>
      <c r="AP193" s="172"/>
      <c r="AQ193" s="172"/>
      <c r="AR193" s="172"/>
      <c r="AS193" s="172"/>
      <c r="AT193" s="172"/>
      <c r="AU193" s="172"/>
      <c r="AV193" s="172"/>
      <c r="AW193" s="172"/>
      <c r="AX193" s="172"/>
      <c r="AY193" s="172"/>
      <c r="AZ193" s="172"/>
      <c r="BA193" s="172"/>
      <c r="BB193" s="172"/>
      <c r="BC193" s="172"/>
      <c r="BD193" s="172"/>
      <c r="BE193" s="172"/>
      <c r="BF193" s="172"/>
      <c r="BG193" s="172"/>
      <c r="BH193" s="172"/>
      <c r="BI193" s="172"/>
      <c r="BJ193" s="172"/>
      <c r="BK193" s="172"/>
      <c r="BL193" s="172"/>
      <c r="BM193" s="172"/>
      <c r="BN193" s="172"/>
      <c r="BO193" s="172"/>
      <c r="BP193" s="172"/>
      <c r="BQ193" s="172"/>
      <c r="BR193" s="172"/>
      <c r="BS193" s="172"/>
      <c r="BT193" s="172"/>
      <c r="BU193" s="172"/>
      <c r="BV193" s="172"/>
      <c r="BW193" s="172"/>
      <c r="BX193" s="172"/>
      <c r="BY193" s="172"/>
      <c r="BZ193" s="172"/>
      <c r="CA193" s="172"/>
      <c r="CB193" s="172"/>
      <c r="CC193" s="172"/>
      <c r="CD193" s="172"/>
      <c r="CE193" s="172"/>
      <c r="CF193" s="172"/>
      <c r="CG193" s="172"/>
      <c r="CH193" s="172"/>
      <c r="CI193" s="172"/>
      <c r="CJ193" s="172"/>
      <c r="CK193" s="172"/>
      <c r="CL193" s="172"/>
      <c r="CM193" s="172"/>
      <c r="CN193" s="172"/>
      <c r="CO193" s="172"/>
      <c r="CP193" s="172"/>
      <c r="CQ193" s="172"/>
      <c r="CR193" s="172"/>
      <c r="CS193" s="172"/>
      <c r="CT193" s="172"/>
      <c r="CU193" s="172"/>
      <c r="CV193" s="172"/>
      <c r="CW193" s="172"/>
      <c r="CX193" s="172"/>
      <c r="CY193" s="172"/>
      <c r="CZ193" s="172"/>
      <c r="DA193" s="172"/>
      <c r="DB193" s="172"/>
      <c r="DC193" s="172"/>
      <c r="DD193" s="172"/>
      <c r="DE193" s="172"/>
      <c r="DF193" s="172"/>
      <c r="DG193" s="172"/>
      <c r="DH193" s="172"/>
      <c r="DI193" s="172"/>
      <c r="DJ193" s="172"/>
      <c r="DK193" s="172"/>
      <c r="DL193" s="172"/>
      <c r="DM193" s="172"/>
      <c r="DN193" s="172"/>
      <c r="DO193" s="588" t="s">
        <v>219</v>
      </c>
      <c r="DP193" s="588" t="str">
        <f>IF(ROUND(_xlfn.AGGREGATE(9,6,DP196:DP203),5)=ROUND(_xlfn.AGGREGATE(9,6,DQ196:DQ203),5),"이상없음","기준수익률확인")</f>
        <v>이상없음</v>
      </c>
      <c r="DQ193" s="172"/>
      <c r="DR193" s="651" t="s">
        <v>3406</v>
      </c>
      <c r="DS193" s="172"/>
      <c r="DT193" s="615"/>
      <c r="DU193" s="615"/>
      <c r="DV193" s="172"/>
      <c r="DW193" s="172"/>
      <c r="DX193" s="615"/>
      <c r="DY193" s="172"/>
      <c r="DZ193" s="172"/>
      <c r="EA193" s="172"/>
    </row>
    <row r="194" spans="1:131" ht="13.5">
      <c r="A194" s="652" t="str">
        <f t="shared" ref="A194:A202" si="1060">$B$193&amp;B194</f>
        <v>SPC명</v>
      </c>
      <c r="B194" s="653" t="s">
        <v>349</v>
      </c>
      <c r="C194" s="780"/>
      <c r="D194" s="780"/>
      <c r="E194" s="780"/>
      <c r="F194" s="230"/>
      <c r="G194" s="230"/>
      <c r="I194" s="776" t="s">
        <v>3393</v>
      </c>
      <c r="J194" s="776" t="s">
        <v>3394</v>
      </c>
      <c r="K194" s="774" t="s">
        <v>3395</v>
      </c>
      <c r="L194" s="774" t="s">
        <v>3396</v>
      </c>
      <c r="M194" s="774" t="s">
        <v>203</v>
      </c>
      <c r="N194" s="774" t="s">
        <v>211</v>
      </c>
      <c r="O194" s="774" t="s">
        <v>3399</v>
      </c>
      <c r="P194" s="776" t="s">
        <v>239</v>
      </c>
      <c r="Q194" s="774" t="s">
        <v>3401</v>
      </c>
      <c r="R194" s="774" t="s">
        <v>3402</v>
      </c>
      <c r="S194" s="593"/>
      <c r="T194" s="593"/>
      <c r="U194" s="593"/>
      <c r="V194" s="593"/>
      <c r="W194" s="593"/>
      <c r="X194" s="593"/>
      <c r="Y194" s="593"/>
      <c r="Z194" s="593"/>
      <c r="AA194" s="593"/>
      <c r="AB194" s="593"/>
      <c r="AC194" s="593"/>
      <c r="AD194" s="593"/>
      <c r="AE194" s="593"/>
      <c r="AF194" s="593"/>
      <c r="AG194" s="593"/>
      <c r="AH194" s="593"/>
      <c r="AI194" s="593"/>
      <c r="AJ194" s="593"/>
      <c r="AK194" s="593"/>
      <c r="AL194" s="593"/>
      <c r="AM194" s="593"/>
      <c r="AN194" s="593"/>
      <c r="AO194" s="593"/>
      <c r="AP194" s="593"/>
      <c r="AQ194" s="593"/>
      <c r="AR194" s="593"/>
      <c r="AS194" s="593"/>
      <c r="AT194" s="593"/>
      <c r="AU194" s="593"/>
      <c r="AV194" s="593"/>
      <c r="AW194" s="593"/>
      <c r="AX194" s="593"/>
      <c r="AY194" s="593"/>
      <c r="AZ194" s="593"/>
      <c r="BA194" s="593"/>
      <c r="BB194" s="593"/>
      <c r="BC194" s="593"/>
      <c r="BD194" s="593"/>
      <c r="BE194" s="593"/>
      <c r="BF194" s="593"/>
      <c r="BG194" s="593"/>
      <c r="BH194" s="593"/>
      <c r="BI194" s="593"/>
      <c r="BJ194" s="593"/>
      <c r="BK194" s="593"/>
      <c r="BL194" s="593"/>
      <c r="BM194" s="593"/>
      <c r="BN194" s="593"/>
      <c r="BO194" s="593"/>
      <c r="BP194" s="593"/>
      <c r="BQ194" s="593"/>
      <c r="BR194" s="593"/>
      <c r="BS194" s="593"/>
      <c r="BT194" s="593"/>
      <c r="BU194" s="593"/>
      <c r="BV194" s="593"/>
      <c r="BW194" s="593"/>
      <c r="BX194" s="593"/>
      <c r="BY194" s="593"/>
      <c r="BZ194" s="593"/>
      <c r="CA194" s="593"/>
      <c r="CB194" s="593"/>
      <c r="CC194" s="593"/>
      <c r="CD194" s="593"/>
      <c r="CE194" s="593"/>
      <c r="CF194" s="593"/>
      <c r="CG194" s="593"/>
      <c r="CH194" s="593"/>
      <c r="CI194" s="593"/>
      <c r="CJ194" s="593"/>
      <c r="CK194" s="593"/>
      <c r="CL194" s="593"/>
      <c r="CM194" s="593"/>
      <c r="CN194" s="593"/>
      <c r="CO194" s="593"/>
      <c r="CP194" s="593"/>
      <c r="CQ194" s="593"/>
      <c r="CR194" s="593"/>
      <c r="CS194" s="593"/>
      <c r="CT194" s="593"/>
      <c r="CU194" s="593"/>
      <c r="CV194" s="593"/>
      <c r="CW194" s="593"/>
      <c r="CX194" s="593"/>
      <c r="CY194" s="593"/>
      <c r="CZ194" s="593"/>
      <c r="DA194" s="593"/>
      <c r="DB194" s="593"/>
      <c r="DC194" s="593"/>
      <c r="DD194" s="593"/>
      <c r="DE194" s="593"/>
      <c r="DF194" s="593"/>
      <c r="DG194" s="593"/>
      <c r="DH194" s="593"/>
      <c r="DI194" s="593"/>
      <c r="DJ194" s="593"/>
      <c r="DK194" s="593"/>
      <c r="DL194" s="593"/>
      <c r="DM194" s="593"/>
      <c r="DN194" s="593"/>
      <c r="DO194" s="594" t="s">
        <v>220</v>
      </c>
      <c r="DP194" s="774" t="s">
        <v>218</v>
      </c>
      <c r="DQ194" s="774" t="s">
        <v>222</v>
      </c>
      <c r="DR194" s="594"/>
      <c r="DS194" s="594"/>
      <c r="DT194" s="594"/>
      <c r="DU194" s="594"/>
      <c r="DV194" s="594"/>
      <c r="DW194" s="594"/>
      <c r="DX194" s="594"/>
      <c r="DY194" s="594"/>
      <c r="DZ194" s="594"/>
      <c r="EA194" s="602"/>
    </row>
    <row r="195" spans="1:131" ht="14.25" thickBot="1">
      <c r="A195" s="652" t="str">
        <f t="shared" si="1060"/>
        <v>유형</v>
      </c>
      <c r="B195" s="653" t="s">
        <v>350</v>
      </c>
      <c r="C195" s="780"/>
      <c r="D195" s="780"/>
      <c r="E195" s="780"/>
      <c r="F195" s="230"/>
      <c r="G195" s="230"/>
      <c r="I195" s="777"/>
      <c r="J195" s="777"/>
      <c r="K195" s="775"/>
      <c r="L195" s="775"/>
      <c r="M195" s="775"/>
      <c r="N195" s="775"/>
      <c r="O195" s="775"/>
      <c r="P195" s="777"/>
      <c r="Q195" s="775"/>
      <c r="R195" s="775"/>
      <c r="S195" s="601"/>
      <c r="T195" s="601"/>
      <c r="U195" s="601"/>
      <c r="V195" s="601"/>
      <c r="W195" s="601"/>
      <c r="X195" s="601"/>
      <c r="Y195" s="601"/>
      <c r="Z195" s="601"/>
      <c r="AA195" s="601"/>
      <c r="AB195" s="601"/>
      <c r="AC195" s="601"/>
      <c r="AD195" s="601"/>
      <c r="AE195" s="601"/>
      <c r="AF195" s="601"/>
      <c r="AG195" s="601"/>
      <c r="AH195" s="601"/>
      <c r="AI195" s="601"/>
      <c r="AJ195" s="601"/>
      <c r="AK195" s="601"/>
      <c r="AL195" s="601"/>
      <c r="AM195" s="601"/>
      <c r="AN195" s="601"/>
      <c r="AO195" s="601"/>
      <c r="AP195" s="601"/>
      <c r="AQ195" s="601"/>
      <c r="AR195" s="601"/>
      <c r="AS195" s="601"/>
      <c r="AT195" s="601"/>
      <c r="AU195" s="601"/>
      <c r="AV195" s="601"/>
      <c r="AW195" s="601"/>
      <c r="AX195" s="601"/>
      <c r="AY195" s="601"/>
      <c r="AZ195" s="601"/>
      <c r="BA195" s="601"/>
      <c r="BB195" s="601"/>
      <c r="BC195" s="601"/>
      <c r="BD195" s="601"/>
      <c r="BE195" s="601"/>
      <c r="BF195" s="601"/>
      <c r="BG195" s="601"/>
      <c r="BH195" s="601"/>
      <c r="BI195" s="601"/>
      <c r="BJ195" s="601"/>
      <c r="BK195" s="601"/>
      <c r="BL195" s="601"/>
      <c r="BM195" s="601"/>
      <c r="BN195" s="601"/>
      <c r="BO195" s="601"/>
      <c r="BP195" s="601"/>
      <c r="BQ195" s="601"/>
      <c r="BR195" s="601"/>
      <c r="BS195" s="601"/>
      <c r="BT195" s="601"/>
      <c r="BU195" s="601"/>
      <c r="BV195" s="601"/>
      <c r="BW195" s="601"/>
      <c r="BX195" s="601"/>
      <c r="BY195" s="601"/>
      <c r="BZ195" s="601"/>
      <c r="CA195" s="601"/>
      <c r="CB195" s="601"/>
      <c r="CC195" s="601"/>
      <c r="CD195" s="601"/>
      <c r="CE195" s="601"/>
      <c r="CF195" s="601"/>
      <c r="CG195" s="601"/>
      <c r="CH195" s="601"/>
      <c r="CI195" s="601"/>
      <c r="CJ195" s="601"/>
      <c r="CK195" s="601"/>
      <c r="CL195" s="601"/>
      <c r="CM195" s="601"/>
      <c r="CN195" s="601"/>
      <c r="CO195" s="601"/>
      <c r="CP195" s="601"/>
      <c r="CQ195" s="601"/>
      <c r="CR195" s="601"/>
      <c r="CS195" s="601"/>
      <c r="CT195" s="601"/>
      <c r="CU195" s="601"/>
      <c r="CV195" s="601"/>
      <c r="CW195" s="601"/>
      <c r="CX195" s="601"/>
      <c r="CY195" s="601"/>
      <c r="CZ195" s="601"/>
      <c r="DA195" s="601"/>
      <c r="DB195" s="601"/>
      <c r="DC195" s="601"/>
      <c r="DD195" s="601"/>
      <c r="DE195" s="601"/>
      <c r="DF195" s="601"/>
      <c r="DG195" s="601"/>
      <c r="DH195" s="601"/>
      <c r="DI195" s="601"/>
      <c r="DJ195" s="601"/>
      <c r="DK195" s="601"/>
      <c r="DL195" s="601"/>
      <c r="DM195" s="601"/>
      <c r="DN195" s="601"/>
      <c r="DO195" s="654">
        <f>$DO$7</f>
        <v>45473</v>
      </c>
      <c r="DP195" s="775"/>
      <c r="DQ195" s="775"/>
      <c r="DR195" s="595">
        <f>NAV!E643</f>
        <v>0</v>
      </c>
      <c r="DS195" s="596">
        <f>DR195-DR204</f>
        <v>0</v>
      </c>
      <c r="DT195" s="596"/>
      <c r="DU195" s="596"/>
      <c r="DV195" s="597"/>
      <c r="DW195" s="596"/>
      <c r="DX195" s="596"/>
      <c r="DY195" s="596"/>
      <c r="DZ195" s="655"/>
      <c r="EA195" s="656"/>
    </row>
    <row r="196" spans="1:131" ht="13.5">
      <c r="A196" s="652" t="str">
        <f t="shared" si="1060"/>
        <v>설정일</v>
      </c>
      <c r="B196" s="653" t="s">
        <v>351</v>
      </c>
      <c r="C196" s="781"/>
      <c r="D196" s="780"/>
      <c r="E196" s="780"/>
      <c r="F196" s="230"/>
      <c r="G196" s="230"/>
      <c r="I196" s="657">
        <f>SUM(DR196:EA196)</f>
        <v>0</v>
      </c>
      <c r="J196" s="606" t="str">
        <f>IFERROR(I196/(Q196/$C$198),"N/A")</f>
        <v>N/A</v>
      </c>
      <c r="K196" s="471"/>
      <c r="L196" s="607"/>
      <c r="M196" s="300"/>
      <c r="N196" s="608"/>
      <c r="O196" s="609">
        <f t="shared" ref="O196:O203" si="1061">-(SUMIF($S$194:$DN$194,"최초출자",S196:DN196)+SUMIF($S$194:$DN$194,"추가출자",S196:DN196))</f>
        <v>0</v>
      </c>
      <c r="P196" s="609">
        <f t="shared" ref="P196:P203" si="1062">SUMIF($S$194:$DN$194,"이익분배",S196:DN196)+SUMIF($S$194:$DN$194,"원본분배",S196:DN196)</f>
        <v>0</v>
      </c>
      <c r="Q196" s="609">
        <f t="shared" ref="Q196:Q203" si="1063">-(SUMIF($S$194:$DN$194,"최초출자",S196:DN196)+SUMIF($S$194:$DN$194,"추가출자",S196:DN196)+SUMIF($S$194:$DN$194,"원본분배",S196:DN196))</f>
        <v>0</v>
      </c>
      <c r="R196" s="610" t="str">
        <f>IFERROR(Q196/Q204,"")</f>
        <v/>
      </c>
      <c r="S196" s="658"/>
      <c r="T196" s="658"/>
      <c r="U196" s="658"/>
      <c r="V196" s="658"/>
      <c r="W196" s="658"/>
      <c r="X196" s="658"/>
      <c r="Y196" s="658"/>
      <c r="Z196" s="658"/>
      <c r="AA196" s="658"/>
      <c r="AB196" s="658"/>
      <c r="AC196" s="658"/>
      <c r="AD196" s="658"/>
      <c r="AE196" s="658"/>
      <c r="AF196" s="658"/>
      <c r="AG196" s="658"/>
      <c r="AH196" s="658"/>
      <c r="AI196" s="658"/>
      <c r="AJ196" s="658"/>
      <c r="AK196" s="658"/>
      <c r="AL196" s="658"/>
      <c r="AM196" s="658"/>
      <c r="AN196" s="658"/>
      <c r="AO196" s="658"/>
      <c r="AP196" s="658"/>
      <c r="AQ196" s="658"/>
      <c r="AR196" s="658"/>
      <c r="AS196" s="658"/>
      <c r="AT196" s="658"/>
      <c r="AU196" s="658"/>
      <c r="AV196" s="658"/>
      <c r="AW196" s="658"/>
      <c r="AX196" s="658"/>
      <c r="AY196" s="658"/>
      <c r="AZ196" s="658"/>
      <c r="BA196" s="658"/>
      <c r="BB196" s="658"/>
      <c r="BC196" s="658"/>
      <c r="BD196" s="658"/>
      <c r="BE196" s="658"/>
      <c r="BF196" s="658"/>
      <c r="BG196" s="658"/>
      <c r="BH196" s="658"/>
      <c r="BI196" s="658"/>
      <c r="BJ196" s="658"/>
      <c r="BK196" s="658"/>
      <c r="BL196" s="658"/>
      <c r="BM196" s="658"/>
      <c r="BN196" s="658"/>
      <c r="BO196" s="658"/>
      <c r="BP196" s="658"/>
      <c r="BQ196" s="658"/>
      <c r="BR196" s="658"/>
      <c r="BS196" s="658"/>
      <c r="BT196" s="658"/>
      <c r="BU196" s="658"/>
      <c r="BV196" s="658"/>
      <c r="BW196" s="658"/>
      <c r="BX196" s="658"/>
      <c r="BY196" s="658"/>
      <c r="BZ196" s="658"/>
      <c r="CA196" s="658"/>
      <c r="CB196" s="658"/>
      <c r="CC196" s="658"/>
      <c r="CD196" s="658"/>
      <c r="CE196" s="658"/>
      <c r="CF196" s="658"/>
      <c r="CG196" s="658"/>
      <c r="CH196" s="658"/>
      <c r="CI196" s="658"/>
      <c r="CJ196" s="658"/>
      <c r="CK196" s="658"/>
      <c r="CL196" s="658"/>
      <c r="CM196" s="658"/>
      <c r="CN196" s="658"/>
      <c r="CO196" s="658"/>
      <c r="CP196" s="658"/>
      <c r="CQ196" s="658"/>
      <c r="CR196" s="658"/>
      <c r="CS196" s="658"/>
      <c r="CT196" s="658"/>
      <c r="CU196" s="658"/>
      <c r="CV196" s="658"/>
      <c r="CW196" s="658"/>
      <c r="CX196" s="658"/>
      <c r="CY196" s="658"/>
      <c r="CZ196" s="658"/>
      <c r="DA196" s="658"/>
      <c r="DB196" s="658"/>
      <c r="DC196" s="658"/>
      <c r="DD196" s="658"/>
      <c r="DE196" s="658"/>
      <c r="DF196" s="658"/>
      <c r="DG196" s="658"/>
      <c r="DH196" s="658"/>
      <c r="DI196" s="658"/>
      <c r="DJ196" s="658"/>
      <c r="DK196" s="658"/>
      <c r="DL196" s="658"/>
      <c r="DM196" s="658"/>
      <c r="DN196" s="658"/>
      <c r="DO196" s="177">
        <f>IF(M196="",0,-XNPV(DP196,S196,S$195)*(1+DP196)^YEARFRAC($S$195,$DO$195,3))</f>
        <v>0</v>
      </c>
      <c r="DP196" s="612" t="e">
        <f>IF(HLOOKUP(L196,$C$203:$E$204,2,0)=0,1E-24%,HLOOKUP(L196,$C$203:$E$204,2,FALSE))</f>
        <v>#N/A</v>
      </c>
      <c r="DQ196" s="612" t="e">
        <f t="shared" ref="DQ196:DQ203" si="1064">XIRR(S196:DO196,$S$195:$DO$195)</f>
        <v>#NUM!</v>
      </c>
      <c r="DR196" s="177"/>
      <c r="DS196" s="177"/>
      <c r="DT196" s="177"/>
      <c r="DU196" s="177"/>
      <c r="DV196" s="177"/>
      <c r="DW196" s="177"/>
      <c r="DX196" s="177"/>
      <c r="DY196" s="177"/>
      <c r="DZ196" s="177"/>
      <c r="EA196" s="613"/>
    </row>
    <row r="197" spans="1:131" ht="13.5">
      <c r="A197" s="652" t="str">
        <f t="shared" si="1060"/>
        <v>출자잔액</v>
      </c>
      <c r="B197" s="653" t="s">
        <v>352</v>
      </c>
      <c r="C197" s="782"/>
      <c r="D197" s="782"/>
      <c r="E197" s="782"/>
      <c r="F197" s="230"/>
      <c r="G197" s="230"/>
      <c r="I197" s="657">
        <f t="shared" ref="I197:I203" si="1065">SUM(DR197:EA197)</f>
        <v>0</v>
      </c>
      <c r="J197" s="606" t="str">
        <f t="shared" ref="J197:J203" si="1066">IFERROR(I197/(Q197/$C$198),"N/A")</f>
        <v>N/A</v>
      </c>
      <c r="K197" s="471"/>
      <c r="L197" s="607"/>
      <c r="M197" s="300"/>
      <c r="N197" s="608"/>
      <c r="O197" s="609">
        <f t="shared" si="1061"/>
        <v>0</v>
      </c>
      <c r="P197" s="609">
        <f t="shared" si="1062"/>
        <v>0</v>
      </c>
      <c r="Q197" s="609">
        <f t="shared" si="1063"/>
        <v>0</v>
      </c>
      <c r="R197" s="610" t="str">
        <f>IFERROR(Q197/Q204,"")</f>
        <v/>
      </c>
      <c r="S197" s="658"/>
      <c r="T197" s="658"/>
      <c r="U197" s="658"/>
      <c r="V197" s="658"/>
      <c r="W197" s="658"/>
      <c r="X197" s="658"/>
      <c r="Y197" s="658"/>
      <c r="Z197" s="658"/>
      <c r="AA197" s="658"/>
      <c r="AB197" s="658"/>
      <c r="AC197" s="658"/>
      <c r="AD197" s="658"/>
      <c r="AE197" s="658"/>
      <c r="AF197" s="658"/>
      <c r="AG197" s="658"/>
      <c r="AH197" s="658"/>
      <c r="AI197" s="658"/>
      <c r="AJ197" s="658"/>
      <c r="AK197" s="658"/>
      <c r="AL197" s="658"/>
      <c r="AM197" s="658"/>
      <c r="AN197" s="658"/>
      <c r="AO197" s="658"/>
      <c r="AP197" s="658"/>
      <c r="AQ197" s="658"/>
      <c r="AR197" s="658"/>
      <c r="AS197" s="658"/>
      <c r="AT197" s="658"/>
      <c r="AU197" s="658"/>
      <c r="AV197" s="658"/>
      <c r="AW197" s="658"/>
      <c r="AX197" s="658"/>
      <c r="AY197" s="658"/>
      <c r="AZ197" s="658"/>
      <c r="BA197" s="658"/>
      <c r="BB197" s="658"/>
      <c r="BC197" s="658"/>
      <c r="BD197" s="658"/>
      <c r="BE197" s="658"/>
      <c r="BF197" s="658"/>
      <c r="BG197" s="658"/>
      <c r="BH197" s="658"/>
      <c r="BI197" s="658"/>
      <c r="BJ197" s="658"/>
      <c r="BK197" s="658"/>
      <c r="BL197" s="658"/>
      <c r="BM197" s="658"/>
      <c r="BN197" s="658"/>
      <c r="BO197" s="658"/>
      <c r="BP197" s="658"/>
      <c r="BQ197" s="658"/>
      <c r="BR197" s="658"/>
      <c r="BS197" s="658"/>
      <c r="BT197" s="658"/>
      <c r="BU197" s="658"/>
      <c r="BV197" s="658"/>
      <c r="BW197" s="658"/>
      <c r="BX197" s="658"/>
      <c r="BY197" s="658"/>
      <c r="BZ197" s="658"/>
      <c r="CA197" s="658"/>
      <c r="CB197" s="658"/>
      <c r="CC197" s="658"/>
      <c r="CD197" s="658"/>
      <c r="CE197" s="658"/>
      <c r="CF197" s="658"/>
      <c r="CG197" s="658"/>
      <c r="CH197" s="658"/>
      <c r="CI197" s="658"/>
      <c r="CJ197" s="658"/>
      <c r="CK197" s="658"/>
      <c r="CL197" s="658"/>
      <c r="CM197" s="658"/>
      <c r="CN197" s="658"/>
      <c r="CO197" s="658"/>
      <c r="CP197" s="658"/>
      <c r="CQ197" s="658"/>
      <c r="CR197" s="658"/>
      <c r="CS197" s="658"/>
      <c r="CT197" s="658"/>
      <c r="CU197" s="658"/>
      <c r="CV197" s="658"/>
      <c r="CW197" s="658"/>
      <c r="CX197" s="658"/>
      <c r="CY197" s="658"/>
      <c r="CZ197" s="658"/>
      <c r="DA197" s="658"/>
      <c r="DB197" s="658"/>
      <c r="DC197" s="658"/>
      <c r="DD197" s="658"/>
      <c r="DE197" s="658"/>
      <c r="DF197" s="658"/>
      <c r="DG197" s="658"/>
      <c r="DH197" s="658"/>
      <c r="DI197" s="658"/>
      <c r="DJ197" s="658"/>
      <c r="DK197" s="658"/>
      <c r="DL197" s="658"/>
      <c r="DM197" s="658"/>
      <c r="DN197" s="658"/>
      <c r="DO197" s="177">
        <f t="shared" ref="DO197:DO203" si="1067">IF(M197="",0,-XNPV(DP197,S197,S$195)*(1+DP197)^YEARFRAC($S$195,$DO$195,3))</f>
        <v>0</v>
      </c>
      <c r="DP197" s="612" t="e">
        <f t="shared" ref="DP197:DP203" si="1068">IF(HLOOKUP(L197,$C$203:$E$204,2,0)=0,1E-24%,HLOOKUP(L197,$C$203:$E$204,2,FALSE))</f>
        <v>#N/A</v>
      </c>
      <c r="DQ197" s="612" t="e">
        <f t="shared" si="1064"/>
        <v>#NUM!</v>
      </c>
      <c r="DR197" s="177"/>
      <c r="DS197" s="177"/>
      <c r="DT197" s="177"/>
      <c r="DU197" s="177"/>
      <c r="DV197" s="177"/>
      <c r="DW197" s="177"/>
      <c r="DX197" s="177"/>
      <c r="DY197" s="177"/>
      <c r="DZ197" s="177"/>
      <c r="EA197" s="613"/>
    </row>
    <row r="198" spans="1:131" ht="13.5">
      <c r="A198" s="652" t="str">
        <f t="shared" si="1060"/>
        <v>1좌당 금액</v>
      </c>
      <c r="B198" s="653" t="s">
        <v>353</v>
      </c>
      <c r="C198" s="783"/>
      <c r="D198" s="783"/>
      <c r="E198" s="783"/>
      <c r="F198" s="230"/>
      <c r="G198" s="230"/>
      <c r="I198" s="657">
        <f t="shared" si="1065"/>
        <v>0</v>
      </c>
      <c r="J198" s="606" t="str">
        <f>IFERROR(I198/(Q198/$C$198),"N/A")</f>
        <v>N/A</v>
      </c>
      <c r="K198" s="471"/>
      <c r="L198" s="607"/>
      <c r="M198" s="300"/>
      <c r="N198" s="608"/>
      <c r="O198" s="609">
        <f t="shared" si="1061"/>
        <v>0</v>
      </c>
      <c r="P198" s="609">
        <f t="shared" si="1062"/>
        <v>0</v>
      </c>
      <c r="Q198" s="609">
        <f t="shared" si="1063"/>
        <v>0</v>
      </c>
      <c r="R198" s="610" t="str">
        <f>IFERROR(Q198/Q204,"")</f>
        <v/>
      </c>
      <c r="S198" s="658"/>
      <c r="T198" s="658"/>
      <c r="U198" s="658"/>
      <c r="V198" s="658"/>
      <c r="W198" s="658"/>
      <c r="X198" s="658"/>
      <c r="Y198" s="658"/>
      <c r="Z198" s="658"/>
      <c r="AA198" s="658"/>
      <c r="AB198" s="658"/>
      <c r="AC198" s="658"/>
      <c r="AD198" s="658"/>
      <c r="AE198" s="658"/>
      <c r="AF198" s="658"/>
      <c r="AG198" s="658"/>
      <c r="AH198" s="658"/>
      <c r="AI198" s="658"/>
      <c r="AJ198" s="658"/>
      <c r="AK198" s="658"/>
      <c r="AL198" s="658"/>
      <c r="AM198" s="658"/>
      <c r="AN198" s="658"/>
      <c r="AO198" s="658"/>
      <c r="AP198" s="658"/>
      <c r="AQ198" s="658"/>
      <c r="AR198" s="658"/>
      <c r="AS198" s="658"/>
      <c r="AT198" s="658"/>
      <c r="AU198" s="658"/>
      <c r="AV198" s="658"/>
      <c r="AW198" s="658"/>
      <c r="AX198" s="658"/>
      <c r="AY198" s="658"/>
      <c r="AZ198" s="658"/>
      <c r="BA198" s="658"/>
      <c r="BB198" s="658"/>
      <c r="BC198" s="658"/>
      <c r="BD198" s="658"/>
      <c r="BE198" s="658"/>
      <c r="BF198" s="658"/>
      <c r="BG198" s="658"/>
      <c r="BH198" s="658"/>
      <c r="BI198" s="658"/>
      <c r="BJ198" s="658"/>
      <c r="BK198" s="658"/>
      <c r="BL198" s="658"/>
      <c r="BM198" s="658"/>
      <c r="BN198" s="658"/>
      <c r="BO198" s="658"/>
      <c r="BP198" s="658"/>
      <c r="BQ198" s="658"/>
      <c r="BR198" s="658"/>
      <c r="BS198" s="658"/>
      <c r="BT198" s="658"/>
      <c r="BU198" s="658"/>
      <c r="BV198" s="658"/>
      <c r="BW198" s="658"/>
      <c r="BX198" s="658"/>
      <c r="BY198" s="658"/>
      <c r="BZ198" s="658"/>
      <c r="CA198" s="658"/>
      <c r="CB198" s="658"/>
      <c r="CC198" s="658"/>
      <c r="CD198" s="658"/>
      <c r="CE198" s="658"/>
      <c r="CF198" s="658"/>
      <c r="CG198" s="658"/>
      <c r="CH198" s="658"/>
      <c r="CI198" s="658"/>
      <c r="CJ198" s="658"/>
      <c r="CK198" s="658"/>
      <c r="CL198" s="658"/>
      <c r="CM198" s="658"/>
      <c r="CN198" s="658"/>
      <c r="CO198" s="658"/>
      <c r="CP198" s="658"/>
      <c r="CQ198" s="658"/>
      <c r="CR198" s="658"/>
      <c r="CS198" s="658"/>
      <c r="CT198" s="658"/>
      <c r="CU198" s="658"/>
      <c r="CV198" s="658"/>
      <c r="CW198" s="658"/>
      <c r="CX198" s="658"/>
      <c r="CY198" s="658"/>
      <c r="CZ198" s="658"/>
      <c r="DA198" s="658"/>
      <c r="DB198" s="658"/>
      <c r="DC198" s="658"/>
      <c r="DD198" s="658"/>
      <c r="DE198" s="658"/>
      <c r="DF198" s="658"/>
      <c r="DG198" s="658"/>
      <c r="DH198" s="658"/>
      <c r="DI198" s="658"/>
      <c r="DJ198" s="658"/>
      <c r="DK198" s="658"/>
      <c r="DL198" s="658"/>
      <c r="DM198" s="658"/>
      <c r="DN198" s="658"/>
      <c r="DO198" s="177">
        <f t="shared" si="1067"/>
        <v>0</v>
      </c>
      <c r="DP198" s="612" t="e">
        <f t="shared" si="1068"/>
        <v>#N/A</v>
      </c>
      <c r="DQ198" s="612" t="e">
        <f t="shared" si="1064"/>
        <v>#NUM!</v>
      </c>
      <c r="DR198" s="177"/>
      <c r="DS198" s="177"/>
      <c r="DT198" s="177"/>
      <c r="DU198" s="177"/>
      <c r="DV198" s="177"/>
      <c r="DW198" s="177"/>
      <c r="DX198" s="177"/>
      <c r="DY198" s="177"/>
      <c r="DZ198" s="177"/>
      <c r="EA198" s="613"/>
    </row>
    <row r="199" spans="1:131" ht="13.5">
      <c r="A199" s="652" t="str">
        <f t="shared" si="1060"/>
        <v>기준수익률</v>
      </c>
      <c r="B199" s="653" t="s">
        <v>354</v>
      </c>
      <c r="C199" s="784"/>
      <c r="D199" s="785"/>
      <c r="E199" s="785"/>
      <c r="F199" s="230"/>
      <c r="G199" s="230"/>
      <c r="I199" s="657">
        <f t="shared" si="1065"/>
        <v>0</v>
      </c>
      <c r="J199" s="606" t="str">
        <f t="shared" si="1066"/>
        <v>N/A</v>
      </c>
      <c r="K199" s="471"/>
      <c r="L199" s="607"/>
      <c r="M199" s="300"/>
      <c r="N199" s="608"/>
      <c r="O199" s="609">
        <f t="shared" si="1061"/>
        <v>0</v>
      </c>
      <c r="P199" s="609">
        <f t="shared" si="1062"/>
        <v>0</v>
      </c>
      <c r="Q199" s="609">
        <f t="shared" si="1063"/>
        <v>0</v>
      </c>
      <c r="R199" s="610" t="str">
        <f>IFERROR(Q199/Q204,"")</f>
        <v/>
      </c>
      <c r="S199" s="658"/>
      <c r="T199" s="658"/>
      <c r="U199" s="658"/>
      <c r="V199" s="658"/>
      <c r="W199" s="658"/>
      <c r="X199" s="658"/>
      <c r="Y199" s="658"/>
      <c r="Z199" s="658"/>
      <c r="AA199" s="658"/>
      <c r="AB199" s="658"/>
      <c r="AC199" s="658"/>
      <c r="AD199" s="658"/>
      <c r="AE199" s="658"/>
      <c r="AF199" s="658"/>
      <c r="AG199" s="658"/>
      <c r="AH199" s="658"/>
      <c r="AI199" s="658"/>
      <c r="AJ199" s="658"/>
      <c r="AK199" s="658"/>
      <c r="AL199" s="658"/>
      <c r="AM199" s="658"/>
      <c r="AN199" s="658"/>
      <c r="AO199" s="658"/>
      <c r="AP199" s="658"/>
      <c r="AQ199" s="658"/>
      <c r="AR199" s="658"/>
      <c r="AS199" s="658"/>
      <c r="AT199" s="658"/>
      <c r="AU199" s="658"/>
      <c r="AV199" s="658"/>
      <c r="AW199" s="658"/>
      <c r="AX199" s="658"/>
      <c r="AY199" s="658"/>
      <c r="AZ199" s="658"/>
      <c r="BA199" s="658"/>
      <c r="BB199" s="658"/>
      <c r="BC199" s="658"/>
      <c r="BD199" s="658"/>
      <c r="BE199" s="658"/>
      <c r="BF199" s="658"/>
      <c r="BG199" s="658"/>
      <c r="BH199" s="658"/>
      <c r="BI199" s="658"/>
      <c r="BJ199" s="658"/>
      <c r="BK199" s="658"/>
      <c r="BL199" s="658"/>
      <c r="BM199" s="658"/>
      <c r="BN199" s="658"/>
      <c r="BO199" s="658"/>
      <c r="BP199" s="658"/>
      <c r="BQ199" s="658"/>
      <c r="BR199" s="658"/>
      <c r="BS199" s="658"/>
      <c r="BT199" s="658"/>
      <c r="BU199" s="658"/>
      <c r="BV199" s="658"/>
      <c r="BW199" s="658"/>
      <c r="BX199" s="658"/>
      <c r="BY199" s="658"/>
      <c r="BZ199" s="658"/>
      <c r="CA199" s="658"/>
      <c r="CB199" s="658"/>
      <c r="CC199" s="658"/>
      <c r="CD199" s="658"/>
      <c r="CE199" s="658"/>
      <c r="CF199" s="658"/>
      <c r="CG199" s="658"/>
      <c r="CH199" s="658"/>
      <c r="CI199" s="658"/>
      <c r="CJ199" s="658"/>
      <c r="CK199" s="658"/>
      <c r="CL199" s="658"/>
      <c r="CM199" s="658"/>
      <c r="CN199" s="658"/>
      <c r="CO199" s="658"/>
      <c r="CP199" s="658"/>
      <c r="CQ199" s="658"/>
      <c r="CR199" s="658"/>
      <c r="CS199" s="658"/>
      <c r="CT199" s="658"/>
      <c r="CU199" s="658"/>
      <c r="CV199" s="658"/>
      <c r="CW199" s="658"/>
      <c r="CX199" s="658"/>
      <c r="CY199" s="658"/>
      <c r="CZ199" s="658"/>
      <c r="DA199" s="658"/>
      <c r="DB199" s="658"/>
      <c r="DC199" s="658"/>
      <c r="DD199" s="658"/>
      <c r="DE199" s="658"/>
      <c r="DF199" s="658"/>
      <c r="DG199" s="658"/>
      <c r="DH199" s="658"/>
      <c r="DI199" s="658"/>
      <c r="DJ199" s="658"/>
      <c r="DK199" s="658"/>
      <c r="DL199" s="658"/>
      <c r="DM199" s="658"/>
      <c r="DN199" s="658"/>
      <c r="DO199" s="177">
        <f t="shared" si="1067"/>
        <v>0</v>
      </c>
      <c r="DP199" s="612" t="e">
        <f t="shared" si="1068"/>
        <v>#N/A</v>
      </c>
      <c r="DQ199" s="612" t="e">
        <f t="shared" si="1064"/>
        <v>#NUM!</v>
      </c>
      <c r="DR199" s="177"/>
      <c r="DS199" s="177"/>
      <c r="DT199" s="177"/>
      <c r="DU199" s="177"/>
      <c r="DV199" s="177"/>
      <c r="DW199" s="177"/>
      <c r="DX199" s="177"/>
      <c r="DY199" s="177"/>
      <c r="DZ199" s="177"/>
      <c r="EA199" s="613"/>
    </row>
    <row r="200" spans="1:131" ht="13.5">
      <c r="A200" s="652" t="str">
        <f t="shared" si="1060"/>
        <v>평가방법론</v>
      </c>
      <c r="B200" s="653" t="s">
        <v>7</v>
      </c>
      <c r="C200" s="786"/>
      <c r="D200" s="786"/>
      <c r="E200" s="786"/>
      <c r="F200" s="230"/>
      <c r="G200" s="230"/>
      <c r="I200" s="657">
        <f t="shared" si="1065"/>
        <v>0</v>
      </c>
      <c r="J200" s="606" t="str">
        <f t="shared" si="1066"/>
        <v>N/A</v>
      </c>
      <c r="K200" s="471"/>
      <c r="L200" s="607"/>
      <c r="M200" s="300"/>
      <c r="N200" s="608"/>
      <c r="O200" s="609">
        <f t="shared" si="1061"/>
        <v>0</v>
      </c>
      <c r="P200" s="609">
        <f t="shared" si="1062"/>
        <v>0</v>
      </c>
      <c r="Q200" s="609">
        <f t="shared" si="1063"/>
        <v>0</v>
      </c>
      <c r="R200" s="610" t="str">
        <f>IFERROR(Q200/Q204,"")</f>
        <v/>
      </c>
      <c r="S200" s="658"/>
      <c r="T200" s="658"/>
      <c r="U200" s="658"/>
      <c r="V200" s="658"/>
      <c r="W200" s="658"/>
      <c r="X200" s="658"/>
      <c r="Y200" s="658"/>
      <c r="Z200" s="658"/>
      <c r="AA200" s="658"/>
      <c r="AB200" s="658"/>
      <c r="AC200" s="658"/>
      <c r="AD200" s="658"/>
      <c r="AE200" s="658"/>
      <c r="AF200" s="658"/>
      <c r="AG200" s="658"/>
      <c r="AH200" s="658"/>
      <c r="AI200" s="658"/>
      <c r="AJ200" s="658"/>
      <c r="AK200" s="658"/>
      <c r="AL200" s="658"/>
      <c r="AM200" s="658"/>
      <c r="AN200" s="658"/>
      <c r="AO200" s="658"/>
      <c r="AP200" s="658"/>
      <c r="AQ200" s="658"/>
      <c r="AR200" s="658"/>
      <c r="AS200" s="658"/>
      <c r="AT200" s="658"/>
      <c r="AU200" s="658"/>
      <c r="AV200" s="658"/>
      <c r="AW200" s="658"/>
      <c r="AX200" s="658"/>
      <c r="AY200" s="658"/>
      <c r="AZ200" s="658"/>
      <c r="BA200" s="658"/>
      <c r="BB200" s="658"/>
      <c r="BC200" s="658"/>
      <c r="BD200" s="658"/>
      <c r="BE200" s="658"/>
      <c r="BF200" s="658"/>
      <c r="BG200" s="658"/>
      <c r="BH200" s="658"/>
      <c r="BI200" s="658"/>
      <c r="BJ200" s="658"/>
      <c r="BK200" s="658"/>
      <c r="BL200" s="658"/>
      <c r="BM200" s="658"/>
      <c r="BN200" s="658"/>
      <c r="BO200" s="658"/>
      <c r="BP200" s="658"/>
      <c r="BQ200" s="658"/>
      <c r="BR200" s="658"/>
      <c r="BS200" s="658"/>
      <c r="BT200" s="658"/>
      <c r="BU200" s="658"/>
      <c r="BV200" s="658"/>
      <c r="BW200" s="658"/>
      <c r="BX200" s="658"/>
      <c r="BY200" s="658"/>
      <c r="BZ200" s="658"/>
      <c r="CA200" s="658"/>
      <c r="CB200" s="658"/>
      <c r="CC200" s="658"/>
      <c r="CD200" s="658"/>
      <c r="CE200" s="658"/>
      <c r="CF200" s="658"/>
      <c r="CG200" s="658"/>
      <c r="CH200" s="658"/>
      <c r="CI200" s="658"/>
      <c r="CJ200" s="658"/>
      <c r="CK200" s="658"/>
      <c r="CL200" s="658"/>
      <c r="CM200" s="658"/>
      <c r="CN200" s="658"/>
      <c r="CO200" s="658"/>
      <c r="CP200" s="658"/>
      <c r="CQ200" s="658"/>
      <c r="CR200" s="658"/>
      <c r="CS200" s="658"/>
      <c r="CT200" s="658"/>
      <c r="CU200" s="658"/>
      <c r="CV200" s="658"/>
      <c r="CW200" s="658"/>
      <c r="CX200" s="658"/>
      <c r="CY200" s="658"/>
      <c r="CZ200" s="658"/>
      <c r="DA200" s="658"/>
      <c r="DB200" s="658"/>
      <c r="DC200" s="658"/>
      <c r="DD200" s="658"/>
      <c r="DE200" s="658"/>
      <c r="DF200" s="658"/>
      <c r="DG200" s="658"/>
      <c r="DH200" s="658"/>
      <c r="DI200" s="658"/>
      <c r="DJ200" s="658"/>
      <c r="DK200" s="658"/>
      <c r="DL200" s="658"/>
      <c r="DM200" s="658"/>
      <c r="DN200" s="658"/>
      <c r="DO200" s="177">
        <f t="shared" si="1067"/>
        <v>0</v>
      </c>
      <c r="DP200" s="612" t="e">
        <f t="shared" si="1068"/>
        <v>#N/A</v>
      </c>
      <c r="DQ200" s="612" t="e">
        <f t="shared" si="1064"/>
        <v>#NUM!</v>
      </c>
      <c r="DR200" s="177"/>
      <c r="DS200" s="177"/>
      <c r="DT200" s="177"/>
      <c r="DU200" s="177"/>
      <c r="DV200" s="177"/>
      <c r="DW200" s="177"/>
      <c r="DX200" s="177"/>
      <c r="DY200" s="177"/>
      <c r="DZ200" s="177"/>
      <c r="EA200" s="613"/>
    </row>
    <row r="201" spans="1:131" ht="13.5">
      <c r="A201" s="652" t="str">
        <f t="shared" si="1060"/>
        <v>분배 조항 여부</v>
      </c>
      <c r="B201" s="653" t="s">
        <v>355</v>
      </c>
      <c r="C201" s="786"/>
      <c r="D201" s="786"/>
      <c r="E201" s="786"/>
      <c r="F201" s="230"/>
      <c r="G201" s="230"/>
      <c r="I201" s="657">
        <f t="shared" si="1065"/>
        <v>0</v>
      </c>
      <c r="J201" s="606" t="str">
        <f t="shared" si="1066"/>
        <v>N/A</v>
      </c>
      <c r="K201" s="471"/>
      <c r="L201" s="607"/>
      <c r="M201" s="300"/>
      <c r="N201" s="608"/>
      <c r="O201" s="609">
        <f t="shared" si="1061"/>
        <v>0</v>
      </c>
      <c r="P201" s="609">
        <f t="shared" si="1062"/>
        <v>0</v>
      </c>
      <c r="Q201" s="609">
        <f t="shared" si="1063"/>
        <v>0</v>
      </c>
      <c r="R201" s="610" t="str">
        <f>IFERROR(Q201/Q204,"")</f>
        <v/>
      </c>
      <c r="S201" s="658"/>
      <c r="T201" s="658"/>
      <c r="U201" s="658"/>
      <c r="V201" s="658"/>
      <c r="W201" s="658"/>
      <c r="X201" s="658"/>
      <c r="Y201" s="658"/>
      <c r="Z201" s="658"/>
      <c r="AA201" s="658"/>
      <c r="AB201" s="658"/>
      <c r="AC201" s="658"/>
      <c r="AD201" s="658"/>
      <c r="AE201" s="658"/>
      <c r="AF201" s="658"/>
      <c r="AG201" s="658"/>
      <c r="AH201" s="658"/>
      <c r="AI201" s="658"/>
      <c r="AJ201" s="658"/>
      <c r="AK201" s="658"/>
      <c r="AL201" s="658"/>
      <c r="AM201" s="658"/>
      <c r="AN201" s="658"/>
      <c r="AO201" s="658"/>
      <c r="AP201" s="658"/>
      <c r="AQ201" s="658"/>
      <c r="AR201" s="658"/>
      <c r="AS201" s="658"/>
      <c r="AT201" s="658"/>
      <c r="AU201" s="658"/>
      <c r="AV201" s="658"/>
      <c r="AW201" s="658"/>
      <c r="AX201" s="658"/>
      <c r="AY201" s="658"/>
      <c r="AZ201" s="658"/>
      <c r="BA201" s="658"/>
      <c r="BB201" s="658"/>
      <c r="BC201" s="658"/>
      <c r="BD201" s="658"/>
      <c r="BE201" s="658"/>
      <c r="BF201" s="658"/>
      <c r="BG201" s="658"/>
      <c r="BH201" s="658"/>
      <c r="BI201" s="658"/>
      <c r="BJ201" s="658"/>
      <c r="BK201" s="658"/>
      <c r="BL201" s="658"/>
      <c r="BM201" s="658"/>
      <c r="BN201" s="658"/>
      <c r="BO201" s="658"/>
      <c r="BP201" s="658"/>
      <c r="BQ201" s="658"/>
      <c r="BR201" s="658"/>
      <c r="BS201" s="658"/>
      <c r="BT201" s="658"/>
      <c r="BU201" s="658"/>
      <c r="BV201" s="658"/>
      <c r="BW201" s="658"/>
      <c r="BX201" s="658"/>
      <c r="BY201" s="658"/>
      <c r="BZ201" s="658"/>
      <c r="CA201" s="658"/>
      <c r="CB201" s="658"/>
      <c r="CC201" s="658"/>
      <c r="CD201" s="658"/>
      <c r="CE201" s="658"/>
      <c r="CF201" s="658"/>
      <c r="CG201" s="658"/>
      <c r="CH201" s="658"/>
      <c r="CI201" s="658"/>
      <c r="CJ201" s="658"/>
      <c r="CK201" s="658"/>
      <c r="CL201" s="658"/>
      <c r="CM201" s="658"/>
      <c r="CN201" s="658"/>
      <c r="CO201" s="658"/>
      <c r="CP201" s="658"/>
      <c r="CQ201" s="658"/>
      <c r="CR201" s="658"/>
      <c r="CS201" s="658"/>
      <c r="CT201" s="658"/>
      <c r="CU201" s="658"/>
      <c r="CV201" s="658"/>
      <c r="CW201" s="658"/>
      <c r="CX201" s="658"/>
      <c r="CY201" s="658"/>
      <c r="CZ201" s="658"/>
      <c r="DA201" s="658"/>
      <c r="DB201" s="658"/>
      <c r="DC201" s="658"/>
      <c r="DD201" s="658"/>
      <c r="DE201" s="658"/>
      <c r="DF201" s="658"/>
      <c r="DG201" s="658"/>
      <c r="DH201" s="658"/>
      <c r="DI201" s="658"/>
      <c r="DJ201" s="658"/>
      <c r="DK201" s="658"/>
      <c r="DL201" s="658"/>
      <c r="DM201" s="658"/>
      <c r="DN201" s="658"/>
      <c r="DO201" s="177">
        <f t="shared" si="1067"/>
        <v>0</v>
      </c>
      <c r="DP201" s="612" t="e">
        <f t="shared" si="1068"/>
        <v>#N/A</v>
      </c>
      <c r="DQ201" s="612" t="e">
        <f t="shared" si="1064"/>
        <v>#NUM!</v>
      </c>
      <c r="DR201" s="177"/>
      <c r="DS201" s="177"/>
      <c r="DT201" s="177"/>
      <c r="DU201" s="177"/>
      <c r="DV201" s="177"/>
      <c r="DW201" s="177"/>
      <c r="DX201" s="177"/>
      <c r="DY201" s="177"/>
      <c r="DZ201" s="177"/>
      <c r="EA201" s="613"/>
    </row>
    <row r="202" spans="1:131" ht="14.25" thickBot="1">
      <c r="A202" s="652" t="str">
        <f t="shared" si="1060"/>
        <v>모펀드 출자 지분율</v>
      </c>
      <c r="B202" s="660" t="s">
        <v>364</v>
      </c>
      <c r="C202" s="787"/>
      <c r="D202" s="787"/>
      <c r="E202" s="787"/>
      <c r="F202" s="230"/>
      <c r="G202" s="230"/>
      <c r="I202" s="657">
        <f t="shared" si="1065"/>
        <v>0</v>
      </c>
      <c r="J202" s="606" t="str">
        <f t="shared" si="1066"/>
        <v>N/A</v>
      </c>
      <c r="K202" s="471"/>
      <c r="L202" s="607"/>
      <c r="M202" s="300"/>
      <c r="N202" s="608"/>
      <c r="O202" s="609">
        <f t="shared" si="1061"/>
        <v>0</v>
      </c>
      <c r="P202" s="609">
        <f t="shared" si="1062"/>
        <v>0</v>
      </c>
      <c r="Q202" s="609">
        <f t="shared" si="1063"/>
        <v>0</v>
      </c>
      <c r="R202" s="610" t="str">
        <f>IFERROR(Q202/Q204,"")</f>
        <v/>
      </c>
      <c r="S202" s="658"/>
      <c r="T202" s="658"/>
      <c r="U202" s="658"/>
      <c r="V202" s="658"/>
      <c r="W202" s="658"/>
      <c r="X202" s="658"/>
      <c r="Y202" s="658"/>
      <c r="Z202" s="658"/>
      <c r="AA202" s="658"/>
      <c r="AB202" s="658"/>
      <c r="AC202" s="658"/>
      <c r="AD202" s="658"/>
      <c r="AE202" s="658"/>
      <c r="AF202" s="658"/>
      <c r="AG202" s="658"/>
      <c r="AH202" s="658"/>
      <c r="AI202" s="658"/>
      <c r="AJ202" s="658"/>
      <c r="AK202" s="658"/>
      <c r="AL202" s="658"/>
      <c r="AM202" s="658"/>
      <c r="AN202" s="658"/>
      <c r="AO202" s="658"/>
      <c r="AP202" s="658"/>
      <c r="AQ202" s="658"/>
      <c r="AR202" s="658"/>
      <c r="AS202" s="658"/>
      <c r="AT202" s="658"/>
      <c r="AU202" s="658"/>
      <c r="AV202" s="658"/>
      <c r="AW202" s="658"/>
      <c r="AX202" s="658"/>
      <c r="AY202" s="658"/>
      <c r="AZ202" s="658"/>
      <c r="BA202" s="658"/>
      <c r="BB202" s="658"/>
      <c r="BC202" s="658"/>
      <c r="BD202" s="658"/>
      <c r="BE202" s="658"/>
      <c r="BF202" s="658"/>
      <c r="BG202" s="658"/>
      <c r="BH202" s="658"/>
      <c r="BI202" s="658"/>
      <c r="BJ202" s="658"/>
      <c r="BK202" s="658"/>
      <c r="BL202" s="658"/>
      <c r="BM202" s="658"/>
      <c r="BN202" s="658"/>
      <c r="BO202" s="658"/>
      <c r="BP202" s="658"/>
      <c r="BQ202" s="658"/>
      <c r="BR202" s="658"/>
      <c r="BS202" s="658"/>
      <c r="BT202" s="658"/>
      <c r="BU202" s="658"/>
      <c r="BV202" s="658"/>
      <c r="BW202" s="658"/>
      <c r="BX202" s="658"/>
      <c r="BY202" s="658"/>
      <c r="BZ202" s="658"/>
      <c r="CA202" s="658"/>
      <c r="CB202" s="658"/>
      <c r="CC202" s="658"/>
      <c r="CD202" s="658"/>
      <c r="CE202" s="658"/>
      <c r="CF202" s="658"/>
      <c r="CG202" s="658"/>
      <c r="CH202" s="658"/>
      <c r="CI202" s="658"/>
      <c r="CJ202" s="658"/>
      <c r="CK202" s="658"/>
      <c r="CL202" s="658"/>
      <c r="CM202" s="658"/>
      <c r="CN202" s="658"/>
      <c r="CO202" s="658"/>
      <c r="CP202" s="658"/>
      <c r="CQ202" s="658"/>
      <c r="CR202" s="658"/>
      <c r="CS202" s="658"/>
      <c r="CT202" s="658"/>
      <c r="CU202" s="658"/>
      <c r="CV202" s="658"/>
      <c r="CW202" s="658"/>
      <c r="CX202" s="658"/>
      <c r="CY202" s="658"/>
      <c r="CZ202" s="658"/>
      <c r="DA202" s="658"/>
      <c r="DB202" s="658"/>
      <c r="DC202" s="658"/>
      <c r="DD202" s="658"/>
      <c r="DE202" s="658"/>
      <c r="DF202" s="658"/>
      <c r="DG202" s="658"/>
      <c r="DH202" s="658"/>
      <c r="DI202" s="658"/>
      <c r="DJ202" s="658"/>
      <c r="DK202" s="658"/>
      <c r="DL202" s="658"/>
      <c r="DM202" s="658"/>
      <c r="DN202" s="658"/>
      <c r="DO202" s="177">
        <f t="shared" si="1067"/>
        <v>0</v>
      </c>
      <c r="DP202" s="612" t="e">
        <f t="shared" si="1068"/>
        <v>#N/A</v>
      </c>
      <c r="DQ202" s="612" t="e">
        <f t="shared" si="1064"/>
        <v>#NUM!</v>
      </c>
      <c r="DR202" s="177"/>
      <c r="DS202" s="177"/>
      <c r="DT202" s="177"/>
      <c r="DU202" s="177"/>
      <c r="DV202" s="177"/>
      <c r="DW202" s="177"/>
      <c r="DX202" s="177"/>
      <c r="DY202" s="177"/>
      <c r="DZ202" s="177"/>
      <c r="EA202" s="613"/>
    </row>
    <row r="203" spans="1:131" ht="14.25" thickBot="1">
      <c r="B203" s="778" t="s">
        <v>3404</v>
      </c>
      <c r="C203" s="616" t="s">
        <v>223</v>
      </c>
      <c r="D203" s="616" t="s">
        <v>224</v>
      </c>
      <c r="E203" s="616" t="s">
        <v>225</v>
      </c>
      <c r="F203" s="230"/>
      <c r="G203" s="230"/>
      <c r="I203" s="657">
        <f t="shared" si="1065"/>
        <v>0</v>
      </c>
      <c r="J203" s="606" t="str">
        <f t="shared" si="1066"/>
        <v>N/A</v>
      </c>
      <c r="K203" s="471"/>
      <c r="L203" s="607"/>
      <c r="M203" s="300"/>
      <c r="N203" s="608"/>
      <c r="O203" s="609">
        <f t="shared" si="1061"/>
        <v>0</v>
      </c>
      <c r="P203" s="609">
        <f t="shared" si="1062"/>
        <v>0</v>
      </c>
      <c r="Q203" s="609">
        <f t="shared" si="1063"/>
        <v>0</v>
      </c>
      <c r="R203" s="610" t="str">
        <f>IFERROR(Q203/Q204,"")</f>
        <v/>
      </c>
      <c r="S203" s="658"/>
      <c r="T203" s="658"/>
      <c r="U203" s="658"/>
      <c r="V203" s="658"/>
      <c r="W203" s="658"/>
      <c r="X203" s="658"/>
      <c r="Y203" s="658"/>
      <c r="Z203" s="658"/>
      <c r="AA203" s="658"/>
      <c r="AB203" s="658"/>
      <c r="AC203" s="658"/>
      <c r="AD203" s="658"/>
      <c r="AE203" s="658"/>
      <c r="AF203" s="658"/>
      <c r="AG203" s="658"/>
      <c r="AH203" s="658"/>
      <c r="AI203" s="658"/>
      <c r="AJ203" s="658"/>
      <c r="AK203" s="658"/>
      <c r="AL203" s="658"/>
      <c r="AM203" s="658"/>
      <c r="AN203" s="658"/>
      <c r="AO203" s="658"/>
      <c r="AP203" s="658"/>
      <c r="AQ203" s="658"/>
      <c r="AR203" s="658"/>
      <c r="AS203" s="658"/>
      <c r="AT203" s="658"/>
      <c r="AU203" s="658"/>
      <c r="AV203" s="658"/>
      <c r="AW203" s="658"/>
      <c r="AX203" s="658"/>
      <c r="AY203" s="658"/>
      <c r="AZ203" s="658"/>
      <c r="BA203" s="658"/>
      <c r="BB203" s="658"/>
      <c r="BC203" s="658"/>
      <c r="BD203" s="658"/>
      <c r="BE203" s="658"/>
      <c r="BF203" s="658"/>
      <c r="BG203" s="658"/>
      <c r="BH203" s="658"/>
      <c r="BI203" s="658"/>
      <c r="BJ203" s="658"/>
      <c r="BK203" s="658"/>
      <c r="BL203" s="658"/>
      <c r="BM203" s="658"/>
      <c r="BN203" s="658"/>
      <c r="BO203" s="658"/>
      <c r="BP203" s="658"/>
      <c r="BQ203" s="658"/>
      <c r="BR203" s="658"/>
      <c r="BS203" s="658"/>
      <c r="BT203" s="658"/>
      <c r="BU203" s="658"/>
      <c r="BV203" s="658"/>
      <c r="BW203" s="658"/>
      <c r="BX203" s="658"/>
      <c r="BY203" s="658"/>
      <c r="BZ203" s="658"/>
      <c r="CA203" s="658"/>
      <c r="CB203" s="658"/>
      <c r="CC203" s="658"/>
      <c r="CD203" s="658"/>
      <c r="CE203" s="658"/>
      <c r="CF203" s="658"/>
      <c r="CG203" s="658"/>
      <c r="CH203" s="658"/>
      <c r="CI203" s="658"/>
      <c r="CJ203" s="658"/>
      <c r="CK203" s="658"/>
      <c r="CL203" s="658"/>
      <c r="CM203" s="658"/>
      <c r="CN203" s="658"/>
      <c r="CO203" s="658"/>
      <c r="CP203" s="658"/>
      <c r="CQ203" s="658"/>
      <c r="CR203" s="658"/>
      <c r="CS203" s="658"/>
      <c r="CT203" s="658"/>
      <c r="CU203" s="658"/>
      <c r="CV203" s="658"/>
      <c r="CW203" s="658"/>
      <c r="CX203" s="658"/>
      <c r="CY203" s="658"/>
      <c r="CZ203" s="658"/>
      <c r="DA203" s="658"/>
      <c r="DB203" s="658"/>
      <c r="DC203" s="658"/>
      <c r="DD203" s="658"/>
      <c r="DE203" s="658"/>
      <c r="DF203" s="658"/>
      <c r="DG203" s="658"/>
      <c r="DH203" s="658"/>
      <c r="DI203" s="658"/>
      <c r="DJ203" s="658"/>
      <c r="DK203" s="658"/>
      <c r="DL203" s="658"/>
      <c r="DM203" s="658"/>
      <c r="DN203" s="658"/>
      <c r="DO203" s="177">
        <f t="shared" si="1067"/>
        <v>0</v>
      </c>
      <c r="DP203" s="612" t="e">
        <f t="shared" si="1068"/>
        <v>#N/A</v>
      </c>
      <c r="DQ203" s="612" t="e">
        <f t="shared" si="1064"/>
        <v>#NUM!</v>
      </c>
      <c r="DR203" s="177"/>
      <c r="DS203" s="177"/>
      <c r="DT203" s="177"/>
      <c r="DU203" s="177"/>
      <c r="DV203" s="177"/>
      <c r="DW203" s="177"/>
      <c r="DX203" s="177"/>
      <c r="DY203" s="177"/>
      <c r="DZ203" s="177"/>
      <c r="EA203" s="613"/>
    </row>
    <row r="204" spans="1:131" ht="14.25" thickBot="1">
      <c r="A204" s="317"/>
      <c r="B204" s="779"/>
      <c r="C204" s="661"/>
      <c r="D204" s="661"/>
      <c r="E204" s="661"/>
      <c r="F204" s="662"/>
      <c r="G204" s="662"/>
      <c r="H204" s="317"/>
      <c r="I204" s="634">
        <f>SUM(I196:I203)</f>
        <v>0</v>
      </c>
      <c r="J204" s="663"/>
      <c r="K204" s="664"/>
      <c r="L204" s="664"/>
      <c r="M204" s="664"/>
      <c r="N204" s="634">
        <f t="shared" ref="N204:R204" si="1069">SUM(N196:N203)</f>
        <v>0</v>
      </c>
      <c r="O204" s="634">
        <f t="shared" si="1069"/>
        <v>0</v>
      </c>
      <c r="P204" s="634">
        <f t="shared" si="1069"/>
        <v>0</v>
      </c>
      <c r="Q204" s="634">
        <f t="shared" si="1069"/>
        <v>0</v>
      </c>
      <c r="R204" s="665">
        <f t="shared" si="1069"/>
        <v>0</v>
      </c>
      <c r="S204" s="634">
        <f>SUM(S196:S203)</f>
        <v>0</v>
      </c>
      <c r="T204" s="634">
        <f t="shared" ref="T204" si="1070">SUM(T196:T203)</f>
        <v>0</v>
      </c>
      <c r="U204" s="634">
        <f t="shared" ref="U204" si="1071">SUM(U196:U203)</f>
        <v>0</v>
      </c>
      <c r="V204" s="634">
        <f t="shared" ref="V204" si="1072">SUM(V196:V203)</f>
        <v>0</v>
      </c>
      <c r="W204" s="634">
        <f t="shared" ref="W204" si="1073">SUM(W196:W203)</f>
        <v>0</v>
      </c>
      <c r="X204" s="634">
        <f t="shared" ref="X204" si="1074">SUM(X196:X203)</f>
        <v>0</v>
      </c>
      <c r="Y204" s="634">
        <f t="shared" ref="Y204" si="1075">SUM(Y196:Y203)</f>
        <v>0</v>
      </c>
      <c r="Z204" s="634">
        <f t="shared" ref="Z204" si="1076">SUM(Z196:Z203)</f>
        <v>0</v>
      </c>
      <c r="AA204" s="634">
        <f t="shared" ref="AA204" si="1077">SUM(AA196:AA203)</f>
        <v>0</v>
      </c>
      <c r="AB204" s="634">
        <f t="shared" ref="AB204" si="1078">SUM(AB196:AB203)</f>
        <v>0</v>
      </c>
      <c r="AC204" s="634">
        <f t="shared" ref="AC204" si="1079">SUM(AC196:AC203)</f>
        <v>0</v>
      </c>
      <c r="AD204" s="634">
        <f t="shared" ref="AD204" si="1080">SUM(AD196:AD203)</f>
        <v>0</v>
      </c>
      <c r="AE204" s="634">
        <f t="shared" ref="AE204" si="1081">SUM(AE196:AE203)</f>
        <v>0</v>
      </c>
      <c r="AF204" s="634">
        <f t="shared" ref="AF204" si="1082">SUM(AF196:AF203)</f>
        <v>0</v>
      </c>
      <c r="AG204" s="634">
        <f t="shared" ref="AG204" si="1083">SUM(AG196:AG203)</f>
        <v>0</v>
      </c>
      <c r="AH204" s="634">
        <f t="shared" ref="AH204" si="1084">SUM(AH196:AH203)</f>
        <v>0</v>
      </c>
      <c r="AI204" s="634">
        <f t="shared" ref="AI204" si="1085">SUM(AI196:AI203)</f>
        <v>0</v>
      </c>
      <c r="AJ204" s="634">
        <f t="shared" ref="AJ204" si="1086">SUM(AJ196:AJ203)</f>
        <v>0</v>
      </c>
      <c r="AK204" s="634">
        <f t="shared" ref="AK204" si="1087">SUM(AK196:AK203)</f>
        <v>0</v>
      </c>
      <c r="AL204" s="634">
        <f t="shared" ref="AL204" si="1088">SUM(AL196:AL203)</f>
        <v>0</v>
      </c>
      <c r="AM204" s="634">
        <f t="shared" ref="AM204" si="1089">SUM(AM196:AM203)</f>
        <v>0</v>
      </c>
      <c r="AN204" s="634">
        <f t="shared" ref="AN204" si="1090">SUM(AN196:AN203)</f>
        <v>0</v>
      </c>
      <c r="AO204" s="634">
        <f t="shared" ref="AO204" si="1091">SUM(AO196:AO203)</f>
        <v>0</v>
      </c>
      <c r="AP204" s="634">
        <f t="shared" ref="AP204" si="1092">SUM(AP196:AP203)</f>
        <v>0</v>
      </c>
      <c r="AQ204" s="634">
        <f t="shared" ref="AQ204" si="1093">SUM(AQ196:AQ203)</f>
        <v>0</v>
      </c>
      <c r="AR204" s="634">
        <f t="shared" ref="AR204" si="1094">SUM(AR196:AR203)</f>
        <v>0</v>
      </c>
      <c r="AS204" s="634">
        <f t="shared" ref="AS204" si="1095">SUM(AS196:AS203)</f>
        <v>0</v>
      </c>
      <c r="AT204" s="634">
        <f t="shared" ref="AT204" si="1096">SUM(AT196:AT203)</f>
        <v>0</v>
      </c>
      <c r="AU204" s="634">
        <f t="shared" ref="AU204" si="1097">SUM(AU196:AU203)</f>
        <v>0</v>
      </c>
      <c r="AV204" s="634">
        <f t="shared" ref="AV204" si="1098">SUM(AV196:AV203)</f>
        <v>0</v>
      </c>
      <c r="AW204" s="634">
        <f t="shared" ref="AW204" si="1099">SUM(AW196:AW203)</f>
        <v>0</v>
      </c>
      <c r="AX204" s="634">
        <f t="shared" ref="AX204" si="1100">SUM(AX196:AX203)</f>
        <v>0</v>
      </c>
      <c r="AY204" s="634">
        <f t="shared" ref="AY204" si="1101">SUM(AY196:AY203)</f>
        <v>0</v>
      </c>
      <c r="AZ204" s="634">
        <f t="shared" ref="AZ204" si="1102">SUM(AZ196:AZ203)</f>
        <v>0</v>
      </c>
      <c r="BA204" s="634">
        <f t="shared" ref="BA204" si="1103">SUM(BA196:BA203)</f>
        <v>0</v>
      </c>
      <c r="BB204" s="634">
        <f t="shared" ref="BB204" si="1104">SUM(BB196:BB203)</f>
        <v>0</v>
      </c>
      <c r="BC204" s="634">
        <f t="shared" ref="BC204" si="1105">SUM(BC196:BC203)</f>
        <v>0</v>
      </c>
      <c r="BD204" s="634">
        <f t="shared" ref="BD204" si="1106">SUM(BD196:BD203)</f>
        <v>0</v>
      </c>
      <c r="BE204" s="634">
        <f t="shared" ref="BE204" si="1107">SUM(BE196:BE203)</f>
        <v>0</v>
      </c>
      <c r="BF204" s="634">
        <f t="shared" ref="BF204" si="1108">SUM(BF196:BF203)</f>
        <v>0</v>
      </c>
      <c r="BG204" s="634">
        <f t="shared" ref="BG204" si="1109">SUM(BG196:BG203)</f>
        <v>0</v>
      </c>
      <c r="BH204" s="634">
        <f t="shared" ref="BH204" si="1110">SUM(BH196:BH203)</f>
        <v>0</v>
      </c>
      <c r="BI204" s="634">
        <f t="shared" ref="BI204" si="1111">SUM(BI196:BI203)</f>
        <v>0</v>
      </c>
      <c r="BJ204" s="634">
        <f t="shared" ref="BJ204" si="1112">SUM(BJ196:BJ203)</f>
        <v>0</v>
      </c>
      <c r="BK204" s="634">
        <f t="shared" ref="BK204" si="1113">SUM(BK196:BK203)</f>
        <v>0</v>
      </c>
      <c r="BL204" s="634">
        <f t="shared" ref="BL204" si="1114">SUM(BL196:BL203)</f>
        <v>0</v>
      </c>
      <c r="BM204" s="634">
        <f t="shared" ref="BM204" si="1115">SUM(BM196:BM203)</f>
        <v>0</v>
      </c>
      <c r="BN204" s="634">
        <f t="shared" ref="BN204" si="1116">SUM(BN196:BN203)</f>
        <v>0</v>
      </c>
      <c r="BO204" s="634">
        <f t="shared" ref="BO204" si="1117">SUM(BO196:BO203)</f>
        <v>0</v>
      </c>
      <c r="BP204" s="634">
        <f t="shared" ref="BP204" si="1118">SUM(BP196:BP203)</f>
        <v>0</v>
      </c>
      <c r="BQ204" s="634">
        <f t="shared" ref="BQ204" si="1119">SUM(BQ196:BQ203)</f>
        <v>0</v>
      </c>
      <c r="BR204" s="634">
        <f t="shared" ref="BR204" si="1120">SUM(BR196:BR203)</f>
        <v>0</v>
      </c>
      <c r="BS204" s="634">
        <f t="shared" ref="BS204" si="1121">SUM(BS196:BS203)</f>
        <v>0</v>
      </c>
      <c r="BT204" s="634">
        <f t="shared" ref="BT204" si="1122">SUM(BT196:BT203)</f>
        <v>0</v>
      </c>
      <c r="BU204" s="634">
        <f t="shared" ref="BU204" si="1123">SUM(BU196:BU203)</f>
        <v>0</v>
      </c>
      <c r="BV204" s="634">
        <f t="shared" ref="BV204" si="1124">SUM(BV196:BV203)</f>
        <v>0</v>
      </c>
      <c r="BW204" s="634">
        <f t="shared" ref="BW204" si="1125">SUM(BW196:BW203)</f>
        <v>0</v>
      </c>
      <c r="BX204" s="634">
        <f t="shared" ref="BX204" si="1126">SUM(BX196:BX203)</f>
        <v>0</v>
      </c>
      <c r="BY204" s="634">
        <f t="shared" ref="BY204" si="1127">SUM(BY196:BY203)</f>
        <v>0</v>
      </c>
      <c r="BZ204" s="634">
        <f t="shared" ref="BZ204" si="1128">SUM(BZ196:BZ203)</f>
        <v>0</v>
      </c>
      <c r="CA204" s="634">
        <f t="shared" ref="CA204" si="1129">SUM(CA196:CA203)</f>
        <v>0</v>
      </c>
      <c r="CB204" s="634">
        <f t="shared" ref="CB204" si="1130">SUM(CB196:CB203)</f>
        <v>0</v>
      </c>
      <c r="CC204" s="634">
        <f t="shared" ref="CC204" si="1131">SUM(CC196:CC203)</f>
        <v>0</v>
      </c>
      <c r="CD204" s="634">
        <f t="shared" ref="CD204" si="1132">SUM(CD196:CD203)</f>
        <v>0</v>
      </c>
      <c r="CE204" s="634">
        <f t="shared" ref="CE204" si="1133">SUM(CE196:CE203)</f>
        <v>0</v>
      </c>
      <c r="CF204" s="634">
        <f t="shared" ref="CF204" si="1134">SUM(CF196:CF203)</f>
        <v>0</v>
      </c>
      <c r="CG204" s="634">
        <f t="shared" ref="CG204" si="1135">SUM(CG196:CG203)</f>
        <v>0</v>
      </c>
      <c r="CH204" s="634">
        <f t="shared" ref="CH204" si="1136">SUM(CH196:CH203)</f>
        <v>0</v>
      </c>
      <c r="CI204" s="634">
        <f t="shared" ref="CI204" si="1137">SUM(CI196:CI203)</f>
        <v>0</v>
      </c>
      <c r="CJ204" s="634">
        <f t="shared" ref="CJ204" si="1138">SUM(CJ196:CJ203)</f>
        <v>0</v>
      </c>
      <c r="CK204" s="634">
        <f t="shared" ref="CK204" si="1139">SUM(CK196:CK203)</f>
        <v>0</v>
      </c>
      <c r="CL204" s="634">
        <f t="shared" ref="CL204" si="1140">SUM(CL196:CL203)</f>
        <v>0</v>
      </c>
      <c r="CM204" s="634">
        <f t="shared" ref="CM204" si="1141">SUM(CM196:CM203)</f>
        <v>0</v>
      </c>
      <c r="CN204" s="634">
        <f t="shared" ref="CN204" si="1142">SUM(CN196:CN203)</f>
        <v>0</v>
      </c>
      <c r="CO204" s="634">
        <f t="shared" ref="CO204" si="1143">SUM(CO196:CO203)</f>
        <v>0</v>
      </c>
      <c r="CP204" s="634">
        <f t="shared" ref="CP204" si="1144">SUM(CP196:CP203)</f>
        <v>0</v>
      </c>
      <c r="CQ204" s="634">
        <f t="shared" ref="CQ204" si="1145">SUM(CQ196:CQ203)</f>
        <v>0</v>
      </c>
      <c r="CR204" s="634">
        <f t="shared" ref="CR204" si="1146">SUM(CR196:CR203)</f>
        <v>0</v>
      </c>
      <c r="CS204" s="634">
        <f t="shared" ref="CS204" si="1147">SUM(CS196:CS203)</f>
        <v>0</v>
      </c>
      <c r="CT204" s="634">
        <f t="shared" ref="CT204" si="1148">SUM(CT196:CT203)</f>
        <v>0</v>
      </c>
      <c r="CU204" s="634">
        <f t="shared" ref="CU204" si="1149">SUM(CU196:CU203)</f>
        <v>0</v>
      </c>
      <c r="CV204" s="634">
        <f t="shared" ref="CV204" si="1150">SUM(CV196:CV203)</f>
        <v>0</v>
      </c>
      <c r="CW204" s="634">
        <f t="shared" ref="CW204" si="1151">SUM(CW196:CW203)</f>
        <v>0</v>
      </c>
      <c r="CX204" s="634">
        <f t="shared" ref="CX204" si="1152">SUM(CX196:CX203)</f>
        <v>0</v>
      </c>
      <c r="CY204" s="634">
        <f t="shared" ref="CY204" si="1153">SUM(CY196:CY203)</f>
        <v>0</v>
      </c>
      <c r="CZ204" s="634">
        <f t="shared" ref="CZ204" si="1154">SUM(CZ196:CZ203)</f>
        <v>0</v>
      </c>
      <c r="DA204" s="634">
        <f t="shared" ref="DA204" si="1155">SUM(DA196:DA203)</f>
        <v>0</v>
      </c>
      <c r="DB204" s="634">
        <f t="shared" ref="DB204" si="1156">SUM(DB196:DB203)</f>
        <v>0</v>
      </c>
      <c r="DC204" s="634">
        <f t="shared" ref="DC204" si="1157">SUM(DC196:DC203)</f>
        <v>0</v>
      </c>
      <c r="DD204" s="634">
        <f t="shared" ref="DD204" si="1158">SUM(DD196:DD203)</f>
        <v>0</v>
      </c>
      <c r="DE204" s="634">
        <f t="shared" ref="DE204" si="1159">SUM(DE196:DE203)</f>
        <v>0</v>
      </c>
      <c r="DF204" s="634">
        <f t="shared" ref="DF204" si="1160">SUM(DF196:DF203)</f>
        <v>0</v>
      </c>
      <c r="DG204" s="634">
        <f t="shared" ref="DG204" si="1161">SUM(DG196:DG203)</f>
        <v>0</v>
      </c>
      <c r="DH204" s="634">
        <f t="shared" ref="DH204" si="1162">SUM(DH196:DH203)</f>
        <v>0</v>
      </c>
      <c r="DI204" s="634">
        <f t="shared" ref="DI204" si="1163">SUM(DI196:DI203)</f>
        <v>0</v>
      </c>
      <c r="DJ204" s="634">
        <f t="shared" ref="DJ204" si="1164">SUM(DJ196:DJ203)</f>
        <v>0</v>
      </c>
      <c r="DK204" s="634">
        <f t="shared" ref="DK204" si="1165">SUM(DK196:DK203)</f>
        <v>0</v>
      </c>
      <c r="DL204" s="634">
        <f t="shared" ref="DL204" si="1166">SUM(DL196:DL203)</f>
        <v>0</v>
      </c>
      <c r="DM204" s="634">
        <f t="shared" ref="DM204" si="1167">SUM(DM196:DM203)</f>
        <v>0</v>
      </c>
      <c r="DN204" s="634">
        <f t="shared" ref="DN204" si="1168">SUM(DN196:DN203)</f>
        <v>0</v>
      </c>
      <c r="DO204" s="634">
        <f t="shared" ref="DO204" si="1169">SUM(DO196:DO203)</f>
        <v>0</v>
      </c>
      <c r="DP204" s="666"/>
      <c r="DQ204" s="638" t="e">
        <f>XIRR(S204:DO204,$S$195:$DO$195)</f>
        <v>#NUM!</v>
      </c>
      <c r="DR204" s="636">
        <f t="shared" ref="DR204:DX204" si="1170">SUM(DR196:DR203)</f>
        <v>0</v>
      </c>
      <c r="DS204" s="636">
        <f t="shared" si="1170"/>
        <v>0</v>
      </c>
      <c r="DT204" s="636">
        <f t="shared" si="1170"/>
        <v>0</v>
      </c>
      <c r="DU204" s="636">
        <f t="shared" si="1170"/>
        <v>0</v>
      </c>
      <c r="DV204" s="636">
        <f t="shared" si="1170"/>
        <v>0</v>
      </c>
      <c r="DW204" s="636">
        <f t="shared" si="1170"/>
        <v>0</v>
      </c>
      <c r="DX204" s="636">
        <f t="shared" si="1170"/>
        <v>0</v>
      </c>
      <c r="DY204" s="636">
        <f>SUM(DY196:DY203)</f>
        <v>0</v>
      </c>
      <c r="DZ204" s="636">
        <f>SUM(DZ196:DZ203)</f>
        <v>0</v>
      </c>
      <c r="EA204" s="636">
        <f>SUM(EA196:EA203)</f>
        <v>0</v>
      </c>
    </row>
    <row r="205" spans="1:131" ht="14.25" thickBot="1">
      <c r="A205" s="172"/>
      <c r="B205" s="667"/>
      <c r="C205" s="592" t="s">
        <v>3609</v>
      </c>
      <c r="D205" s="648">
        <f>D193+1</f>
        <v>13</v>
      </c>
      <c r="E205" s="649"/>
      <c r="F205" s="603"/>
      <c r="G205" s="603"/>
      <c r="I205" s="650" t="b">
        <f>I216=DR207</f>
        <v>1</v>
      </c>
      <c r="J205" s="172"/>
      <c r="K205" s="172"/>
      <c r="L205" s="172"/>
      <c r="M205" s="172"/>
      <c r="N205" s="172"/>
      <c r="O205" s="172"/>
      <c r="P205" s="172"/>
      <c r="Q205" s="639" t="str">
        <f>IF(Q216=NAV!E675,"자본금과 일치","자본금과 불일치")</f>
        <v>자본금과 일치</v>
      </c>
      <c r="R205" s="172"/>
      <c r="S205" s="172"/>
      <c r="T205" s="172"/>
      <c r="U205" s="172"/>
      <c r="V205" s="172"/>
      <c r="W205" s="172"/>
      <c r="X205" s="172"/>
      <c r="Y205" s="172"/>
      <c r="Z205" s="172"/>
      <c r="AA205" s="172"/>
      <c r="AB205" s="172"/>
      <c r="AC205" s="172"/>
      <c r="AD205" s="172"/>
      <c r="AE205" s="172"/>
      <c r="AF205" s="172"/>
      <c r="AG205" s="172"/>
      <c r="AH205" s="172"/>
      <c r="AI205" s="172"/>
      <c r="AJ205" s="172"/>
      <c r="AK205" s="172"/>
      <c r="AL205" s="172"/>
      <c r="AM205" s="172"/>
      <c r="AN205" s="172"/>
      <c r="AO205" s="172"/>
      <c r="AP205" s="172"/>
      <c r="AQ205" s="172"/>
      <c r="AR205" s="172"/>
      <c r="AS205" s="172"/>
      <c r="AT205" s="172"/>
      <c r="AU205" s="172"/>
      <c r="AV205" s="172"/>
      <c r="AW205" s="172"/>
      <c r="AX205" s="172"/>
      <c r="AY205" s="172"/>
      <c r="AZ205" s="172"/>
      <c r="BA205" s="172"/>
      <c r="BB205" s="172"/>
      <c r="BC205" s="172"/>
      <c r="BD205" s="172"/>
      <c r="BE205" s="172"/>
      <c r="BF205" s="172"/>
      <c r="BG205" s="172"/>
      <c r="BH205" s="172"/>
      <c r="BI205" s="172"/>
      <c r="BJ205" s="172"/>
      <c r="BK205" s="172"/>
      <c r="BL205" s="172"/>
      <c r="BM205" s="172"/>
      <c r="BN205" s="172"/>
      <c r="BO205" s="172"/>
      <c r="BP205" s="172"/>
      <c r="BQ205" s="172"/>
      <c r="BR205" s="172"/>
      <c r="BS205" s="172"/>
      <c r="BT205" s="172"/>
      <c r="BU205" s="172"/>
      <c r="BV205" s="172"/>
      <c r="BW205" s="172"/>
      <c r="BX205" s="172"/>
      <c r="BY205" s="172"/>
      <c r="BZ205" s="172"/>
      <c r="CA205" s="172"/>
      <c r="CB205" s="172"/>
      <c r="CC205" s="172"/>
      <c r="CD205" s="172"/>
      <c r="CE205" s="172"/>
      <c r="CF205" s="172"/>
      <c r="CG205" s="172"/>
      <c r="CH205" s="172"/>
      <c r="CI205" s="172"/>
      <c r="CJ205" s="172"/>
      <c r="CK205" s="172"/>
      <c r="CL205" s="172"/>
      <c r="CM205" s="172"/>
      <c r="CN205" s="172"/>
      <c r="CO205" s="172"/>
      <c r="CP205" s="172"/>
      <c r="CQ205" s="172"/>
      <c r="CR205" s="172"/>
      <c r="CS205" s="172"/>
      <c r="CT205" s="172"/>
      <c r="CU205" s="172"/>
      <c r="CV205" s="172"/>
      <c r="CW205" s="172"/>
      <c r="CX205" s="172"/>
      <c r="CY205" s="172"/>
      <c r="CZ205" s="172"/>
      <c r="DA205" s="172"/>
      <c r="DB205" s="172"/>
      <c r="DC205" s="172"/>
      <c r="DD205" s="172"/>
      <c r="DE205" s="172"/>
      <c r="DF205" s="172"/>
      <c r="DG205" s="172"/>
      <c r="DH205" s="172"/>
      <c r="DI205" s="172"/>
      <c r="DJ205" s="172"/>
      <c r="DK205" s="172"/>
      <c r="DL205" s="172"/>
      <c r="DM205" s="172"/>
      <c r="DN205" s="172"/>
      <c r="DO205" s="588" t="s">
        <v>219</v>
      </c>
      <c r="DP205" s="588" t="str">
        <f>IF(ROUND(_xlfn.AGGREGATE(9,6,DP208:DP215),5)=ROUND(_xlfn.AGGREGATE(9,6,DQ208:DQ215),5),"이상없음","기준수익률확인")</f>
        <v>이상없음</v>
      </c>
      <c r="DQ205" s="172"/>
      <c r="DR205" s="651" t="s">
        <v>3406</v>
      </c>
      <c r="DS205" s="172"/>
      <c r="DT205" s="615"/>
      <c r="DU205" s="615"/>
      <c r="DV205" s="172"/>
      <c r="DW205" s="172"/>
      <c r="DX205" s="615"/>
      <c r="DY205" s="172"/>
      <c r="DZ205" s="172"/>
      <c r="EA205" s="172"/>
    </row>
    <row r="206" spans="1:131" ht="13.5">
      <c r="A206" s="652" t="str">
        <f t="shared" ref="A206:A214" si="1171">$B$205&amp;B206</f>
        <v>SPC명</v>
      </c>
      <c r="B206" s="653" t="s">
        <v>357</v>
      </c>
      <c r="C206" s="780"/>
      <c r="D206" s="780"/>
      <c r="E206" s="780"/>
      <c r="F206" s="230"/>
      <c r="G206" s="230"/>
      <c r="I206" s="776" t="s">
        <v>3393</v>
      </c>
      <c r="J206" s="776" t="s">
        <v>3394</v>
      </c>
      <c r="K206" s="774" t="s">
        <v>3395</v>
      </c>
      <c r="L206" s="774" t="s">
        <v>3396</v>
      </c>
      <c r="M206" s="774" t="s">
        <v>203</v>
      </c>
      <c r="N206" s="774" t="s">
        <v>211</v>
      </c>
      <c r="O206" s="774" t="s">
        <v>3399</v>
      </c>
      <c r="P206" s="776" t="s">
        <v>239</v>
      </c>
      <c r="Q206" s="774" t="s">
        <v>3401</v>
      </c>
      <c r="R206" s="774" t="s">
        <v>3402</v>
      </c>
      <c r="S206" s="593"/>
      <c r="T206" s="593"/>
      <c r="U206" s="593"/>
      <c r="V206" s="593"/>
      <c r="W206" s="593"/>
      <c r="X206" s="593"/>
      <c r="Y206" s="593"/>
      <c r="Z206" s="593"/>
      <c r="AA206" s="593"/>
      <c r="AB206" s="593"/>
      <c r="AC206" s="593"/>
      <c r="AD206" s="593"/>
      <c r="AE206" s="593"/>
      <c r="AF206" s="593"/>
      <c r="AG206" s="593"/>
      <c r="AH206" s="593"/>
      <c r="AI206" s="593"/>
      <c r="AJ206" s="593"/>
      <c r="AK206" s="593"/>
      <c r="AL206" s="593"/>
      <c r="AM206" s="593"/>
      <c r="AN206" s="593"/>
      <c r="AO206" s="593"/>
      <c r="AP206" s="593"/>
      <c r="AQ206" s="593"/>
      <c r="AR206" s="593"/>
      <c r="AS206" s="593"/>
      <c r="AT206" s="593"/>
      <c r="AU206" s="593"/>
      <c r="AV206" s="593"/>
      <c r="AW206" s="593"/>
      <c r="AX206" s="593"/>
      <c r="AY206" s="593"/>
      <c r="AZ206" s="593"/>
      <c r="BA206" s="593"/>
      <c r="BB206" s="593"/>
      <c r="BC206" s="593"/>
      <c r="BD206" s="593"/>
      <c r="BE206" s="593"/>
      <c r="BF206" s="593"/>
      <c r="BG206" s="593"/>
      <c r="BH206" s="593"/>
      <c r="BI206" s="593"/>
      <c r="BJ206" s="593"/>
      <c r="BK206" s="593"/>
      <c r="BL206" s="593"/>
      <c r="BM206" s="593"/>
      <c r="BN206" s="593"/>
      <c r="BO206" s="593"/>
      <c r="BP206" s="593"/>
      <c r="BQ206" s="593"/>
      <c r="BR206" s="593"/>
      <c r="BS206" s="593"/>
      <c r="BT206" s="593"/>
      <c r="BU206" s="593"/>
      <c r="BV206" s="593"/>
      <c r="BW206" s="593"/>
      <c r="BX206" s="593"/>
      <c r="BY206" s="593"/>
      <c r="BZ206" s="593"/>
      <c r="CA206" s="593"/>
      <c r="CB206" s="593"/>
      <c r="CC206" s="593"/>
      <c r="CD206" s="593"/>
      <c r="CE206" s="593"/>
      <c r="CF206" s="593"/>
      <c r="CG206" s="593"/>
      <c r="CH206" s="593"/>
      <c r="CI206" s="593"/>
      <c r="CJ206" s="593"/>
      <c r="CK206" s="593"/>
      <c r="CL206" s="593"/>
      <c r="CM206" s="593"/>
      <c r="CN206" s="593"/>
      <c r="CO206" s="593"/>
      <c r="CP206" s="593"/>
      <c r="CQ206" s="593"/>
      <c r="CR206" s="593"/>
      <c r="CS206" s="593"/>
      <c r="CT206" s="593"/>
      <c r="CU206" s="593"/>
      <c r="CV206" s="593"/>
      <c r="CW206" s="593"/>
      <c r="CX206" s="593"/>
      <c r="CY206" s="593"/>
      <c r="CZ206" s="593"/>
      <c r="DA206" s="593"/>
      <c r="DB206" s="593"/>
      <c r="DC206" s="593"/>
      <c r="DD206" s="593"/>
      <c r="DE206" s="593"/>
      <c r="DF206" s="593"/>
      <c r="DG206" s="593"/>
      <c r="DH206" s="593"/>
      <c r="DI206" s="593"/>
      <c r="DJ206" s="593"/>
      <c r="DK206" s="593"/>
      <c r="DL206" s="593"/>
      <c r="DM206" s="593"/>
      <c r="DN206" s="593"/>
      <c r="DO206" s="594" t="s">
        <v>220</v>
      </c>
      <c r="DP206" s="774" t="s">
        <v>218</v>
      </c>
      <c r="DQ206" s="774" t="s">
        <v>222</v>
      </c>
      <c r="DR206" s="594"/>
      <c r="DS206" s="594"/>
      <c r="DT206" s="594"/>
      <c r="DU206" s="594"/>
      <c r="DV206" s="594"/>
      <c r="DW206" s="594"/>
      <c r="DX206" s="594"/>
      <c r="DY206" s="594"/>
      <c r="DZ206" s="594"/>
      <c r="EA206" s="602"/>
    </row>
    <row r="207" spans="1:131" ht="14.25" thickBot="1">
      <c r="A207" s="652" t="str">
        <f t="shared" si="1171"/>
        <v>유형</v>
      </c>
      <c r="B207" s="653" t="s">
        <v>360</v>
      </c>
      <c r="C207" s="780"/>
      <c r="D207" s="780"/>
      <c r="E207" s="780"/>
      <c r="F207" s="230"/>
      <c r="G207" s="230"/>
      <c r="I207" s="777"/>
      <c r="J207" s="777"/>
      <c r="K207" s="775"/>
      <c r="L207" s="775"/>
      <c r="M207" s="775"/>
      <c r="N207" s="775"/>
      <c r="O207" s="775"/>
      <c r="P207" s="777"/>
      <c r="Q207" s="775"/>
      <c r="R207" s="775"/>
      <c r="S207" s="601"/>
      <c r="T207" s="601"/>
      <c r="U207" s="601"/>
      <c r="V207" s="601"/>
      <c r="W207" s="601"/>
      <c r="X207" s="601"/>
      <c r="Y207" s="601"/>
      <c r="Z207" s="601"/>
      <c r="AA207" s="601"/>
      <c r="AB207" s="601"/>
      <c r="AC207" s="601"/>
      <c r="AD207" s="601"/>
      <c r="AE207" s="601"/>
      <c r="AF207" s="601"/>
      <c r="AG207" s="601"/>
      <c r="AH207" s="601"/>
      <c r="AI207" s="601"/>
      <c r="AJ207" s="601"/>
      <c r="AK207" s="601"/>
      <c r="AL207" s="601"/>
      <c r="AM207" s="601"/>
      <c r="AN207" s="601"/>
      <c r="AO207" s="601"/>
      <c r="AP207" s="601"/>
      <c r="AQ207" s="601"/>
      <c r="AR207" s="601"/>
      <c r="AS207" s="601"/>
      <c r="AT207" s="601"/>
      <c r="AU207" s="601"/>
      <c r="AV207" s="601"/>
      <c r="AW207" s="601"/>
      <c r="AX207" s="601"/>
      <c r="AY207" s="601"/>
      <c r="AZ207" s="601"/>
      <c r="BA207" s="601"/>
      <c r="BB207" s="601"/>
      <c r="BC207" s="601"/>
      <c r="BD207" s="601"/>
      <c r="BE207" s="601"/>
      <c r="BF207" s="601"/>
      <c r="BG207" s="601"/>
      <c r="BH207" s="601"/>
      <c r="BI207" s="601"/>
      <c r="BJ207" s="601"/>
      <c r="BK207" s="601"/>
      <c r="BL207" s="601"/>
      <c r="BM207" s="601"/>
      <c r="BN207" s="601"/>
      <c r="BO207" s="601"/>
      <c r="BP207" s="601"/>
      <c r="BQ207" s="601"/>
      <c r="BR207" s="601"/>
      <c r="BS207" s="601"/>
      <c r="BT207" s="601"/>
      <c r="BU207" s="601"/>
      <c r="BV207" s="601"/>
      <c r="BW207" s="601"/>
      <c r="BX207" s="601"/>
      <c r="BY207" s="601"/>
      <c r="BZ207" s="601"/>
      <c r="CA207" s="601"/>
      <c r="CB207" s="601"/>
      <c r="CC207" s="601"/>
      <c r="CD207" s="601"/>
      <c r="CE207" s="601"/>
      <c r="CF207" s="601"/>
      <c r="CG207" s="601"/>
      <c r="CH207" s="601"/>
      <c r="CI207" s="601"/>
      <c r="CJ207" s="601"/>
      <c r="CK207" s="601"/>
      <c r="CL207" s="601"/>
      <c r="CM207" s="601"/>
      <c r="CN207" s="601"/>
      <c r="CO207" s="601"/>
      <c r="CP207" s="601"/>
      <c r="CQ207" s="601"/>
      <c r="CR207" s="601"/>
      <c r="CS207" s="601"/>
      <c r="CT207" s="601"/>
      <c r="CU207" s="601"/>
      <c r="CV207" s="601"/>
      <c r="CW207" s="601"/>
      <c r="CX207" s="601"/>
      <c r="CY207" s="601"/>
      <c r="CZ207" s="601"/>
      <c r="DA207" s="601"/>
      <c r="DB207" s="601"/>
      <c r="DC207" s="601"/>
      <c r="DD207" s="601"/>
      <c r="DE207" s="601"/>
      <c r="DF207" s="601"/>
      <c r="DG207" s="601"/>
      <c r="DH207" s="601"/>
      <c r="DI207" s="601"/>
      <c r="DJ207" s="601"/>
      <c r="DK207" s="601"/>
      <c r="DL207" s="601"/>
      <c r="DM207" s="601"/>
      <c r="DN207" s="601"/>
      <c r="DO207" s="654">
        <f>$DO$7</f>
        <v>45473</v>
      </c>
      <c r="DP207" s="775"/>
      <c r="DQ207" s="775"/>
      <c r="DR207" s="595">
        <f>NAV!E681</f>
        <v>0</v>
      </c>
      <c r="DS207" s="596">
        <f>DR207-DR216</f>
        <v>0</v>
      </c>
      <c r="DT207" s="596"/>
      <c r="DU207" s="596"/>
      <c r="DV207" s="597"/>
      <c r="DW207" s="596"/>
      <c r="DX207" s="596"/>
      <c r="DY207" s="596"/>
      <c r="DZ207" s="655"/>
      <c r="EA207" s="656"/>
    </row>
    <row r="208" spans="1:131" ht="13.5">
      <c r="A208" s="652" t="str">
        <f t="shared" si="1171"/>
        <v>설정일</v>
      </c>
      <c r="B208" s="653" t="s">
        <v>351</v>
      </c>
      <c r="C208" s="781"/>
      <c r="D208" s="780"/>
      <c r="E208" s="780"/>
      <c r="F208" s="230"/>
      <c r="G208" s="230"/>
      <c r="I208" s="657">
        <f>SUM(DR208:EA208)</f>
        <v>0</v>
      </c>
      <c r="J208" s="606" t="str">
        <f>IFERROR(I208/(Q208/$C$210),"N/A")</f>
        <v>N/A</v>
      </c>
      <c r="K208" s="471"/>
      <c r="L208" s="607"/>
      <c r="M208" s="300"/>
      <c r="N208" s="608"/>
      <c r="O208" s="609">
        <f t="shared" ref="O208:O215" si="1172">-(SUMIF($S$206:$DN$206,"최초출자",S208:DN208)+SUMIF($S$206:$DN$206,"추가출자",S208:DN208))</f>
        <v>0</v>
      </c>
      <c r="P208" s="609">
        <f t="shared" ref="P208:P215" si="1173">SUMIF($S$206:$DN$206,"이익분배",S208:DN208)+SUMIF($S$206:$DN$206,"원본분배",S208:DN208)</f>
        <v>0</v>
      </c>
      <c r="Q208" s="609">
        <f t="shared" ref="Q208:Q215" si="1174">-(SUMIF($S$206:$DN$206,"최초출자",S208:DN208)+SUMIF($S$206:$DN$206,"추가출자",S208:DN208)+SUMIF($S$206:$DN$206,"원본분배",S208:DN208))</f>
        <v>0</v>
      </c>
      <c r="R208" s="610" t="str">
        <f>IFERROR(Q208/Q216,"")</f>
        <v/>
      </c>
      <c r="S208" s="658"/>
      <c r="T208" s="658"/>
      <c r="U208" s="658"/>
      <c r="V208" s="658"/>
      <c r="W208" s="658"/>
      <c r="X208" s="658"/>
      <c r="Y208" s="658"/>
      <c r="Z208" s="658"/>
      <c r="AA208" s="658"/>
      <c r="AB208" s="658"/>
      <c r="AC208" s="658"/>
      <c r="AD208" s="658"/>
      <c r="AE208" s="658"/>
      <c r="AF208" s="658"/>
      <c r="AG208" s="658"/>
      <c r="AH208" s="658"/>
      <c r="AI208" s="658"/>
      <c r="AJ208" s="658"/>
      <c r="AK208" s="658"/>
      <c r="AL208" s="658"/>
      <c r="AM208" s="658"/>
      <c r="AN208" s="658"/>
      <c r="AO208" s="658"/>
      <c r="AP208" s="658"/>
      <c r="AQ208" s="658"/>
      <c r="AR208" s="658"/>
      <c r="AS208" s="658"/>
      <c r="AT208" s="658"/>
      <c r="AU208" s="658"/>
      <c r="AV208" s="658"/>
      <c r="AW208" s="658"/>
      <c r="AX208" s="658"/>
      <c r="AY208" s="658"/>
      <c r="AZ208" s="658"/>
      <c r="BA208" s="658"/>
      <c r="BB208" s="658"/>
      <c r="BC208" s="658"/>
      <c r="BD208" s="658"/>
      <c r="BE208" s="658"/>
      <c r="BF208" s="658"/>
      <c r="BG208" s="658"/>
      <c r="BH208" s="658"/>
      <c r="BI208" s="658"/>
      <c r="BJ208" s="658"/>
      <c r="BK208" s="658"/>
      <c r="BL208" s="658"/>
      <c r="BM208" s="658"/>
      <c r="BN208" s="658"/>
      <c r="BO208" s="658"/>
      <c r="BP208" s="658"/>
      <c r="BQ208" s="658"/>
      <c r="BR208" s="658"/>
      <c r="BS208" s="658"/>
      <c r="BT208" s="658"/>
      <c r="BU208" s="658"/>
      <c r="BV208" s="658"/>
      <c r="BW208" s="658"/>
      <c r="BX208" s="658"/>
      <c r="BY208" s="658"/>
      <c r="BZ208" s="658"/>
      <c r="CA208" s="658"/>
      <c r="CB208" s="658"/>
      <c r="CC208" s="658"/>
      <c r="CD208" s="658"/>
      <c r="CE208" s="658"/>
      <c r="CF208" s="658"/>
      <c r="CG208" s="658"/>
      <c r="CH208" s="658"/>
      <c r="CI208" s="658"/>
      <c r="CJ208" s="658"/>
      <c r="CK208" s="658"/>
      <c r="CL208" s="658"/>
      <c r="CM208" s="658"/>
      <c r="CN208" s="658"/>
      <c r="CO208" s="658"/>
      <c r="CP208" s="658"/>
      <c r="CQ208" s="658"/>
      <c r="CR208" s="658"/>
      <c r="CS208" s="658"/>
      <c r="CT208" s="658"/>
      <c r="CU208" s="658"/>
      <c r="CV208" s="658"/>
      <c r="CW208" s="658"/>
      <c r="CX208" s="658"/>
      <c r="CY208" s="658"/>
      <c r="CZ208" s="658"/>
      <c r="DA208" s="658"/>
      <c r="DB208" s="658"/>
      <c r="DC208" s="658"/>
      <c r="DD208" s="658"/>
      <c r="DE208" s="658"/>
      <c r="DF208" s="658"/>
      <c r="DG208" s="658"/>
      <c r="DH208" s="658"/>
      <c r="DI208" s="658"/>
      <c r="DJ208" s="658"/>
      <c r="DK208" s="658"/>
      <c r="DL208" s="658"/>
      <c r="DM208" s="658"/>
      <c r="DN208" s="658"/>
      <c r="DO208" s="177">
        <f>IF(M208="",0,-XNPV(DP208,S208,S$207)*(1+DP208)^YEARFRAC($S$207,$DO$207,3))</f>
        <v>0</v>
      </c>
      <c r="DP208" s="612" t="e">
        <f>IF(HLOOKUP(L208,$C$215:$E$216,2,0)=0,1E-24%,HLOOKUP(L208,$C$215:$E$216,2,FALSE))</f>
        <v>#N/A</v>
      </c>
      <c r="DQ208" s="612" t="e">
        <f t="shared" ref="DQ208:DQ215" si="1175">XIRR(S208:DO208,$S$207:$DO$207)</f>
        <v>#NUM!</v>
      </c>
      <c r="DR208" s="177"/>
      <c r="DS208" s="177"/>
      <c r="DT208" s="177"/>
      <c r="DU208" s="177"/>
      <c r="DV208" s="177"/>
      <c r="DW208" s="177"/>
      <c r="DX208" s="177"/>
      <c r="DY208" s="177"/>
      <c r="DZ208" s="177"/>
      <c r="EA208" s="613"/>
    </row>
    <row r="209" spans="1:131" ht="13.5">
      <c r="A209" s="652" t="str">
        <f t="shared" si="1171"/>
        <v>출자잔액</v>
      </c>
      <c r="B209" s="653" t="s">
        <v>362</v>
      </c>
      <c r="C209" s="782"/>
      <c r="D209" s="782"/>
      <c r="E209" s="782"/>
      <c r="F209" s="230"/>
      <c r="G209" s="230"/>
      <c r="I209" s="657">
        <f t="shared" ref="I209:I215" si="1176">SUM(DR209:EA209)</f>
        <v>0</v>
      </c>
      <c r="J209" s="606" t="str">
        <f t="shared" ref="J209:J215" si="1177">IFERROR(I209/(Q209/$C$210),"N/A")</f>
        <v>N/A</v>
      </c>
      <c r="K209" s="471"/>
      <c r="L209" s="607"/>
      <c r="M209" s="300"/>
      <c r="N209" s="608"/>
      <c r="O209" s="609">
        <f t="shared" si="1172"/>
        <v>0</v>
      </c>
      <c r="P209" s="609">
        <f t="shared" si="1173"/>
        <v>0</v>
      </c>
      <c r="Q209" s="609">
        <f t="shared" si="1174"/>
        <v>0</v>
      </c>
      <c r="R209" s="610" t="str">
        <f>IFERROR(Q209/Q216,"")</f>
        <v/>
      </c>
      <c r="S209" s="658"/>
      <c r="T209" s="658"/>
      <c r="U209" s="658"/>
      <c r="V209" s="658"/>
      <c r="W209" s="658"/>
      <c r="X209" s="658"/>
      <c r="Y209" s="658"/>
      <c r="Z209" s="658"/>
      <c r="AA209" s="658"/>
      <c r="AB209" s="658"/>
      <c r="AC209" s="658"/>
      <c r="AD209" s="658"/>
      <c r="AE209" s="658"/>
      <c r="AF209" s="658"/>
      <c r="AG209" s="658"/>
      <c r="AH209" s="658"/>
      <c r="AI209" s="658"/>
      <c r="AJ209" s="658"/>
      <c r="AK209" s="658"/>
      <c r="AL209" s="658"/>
      <c r="AM209" s="658"/>
      <c r="AN209" s="658"/>
      <c r="AO209" s="658"/>
      <c r="AP209" s="658"/>
      <c r="AQ209" s="658"/>
      <c r="AR209" s="658"/>
      <c r="AS209" s="658"/>
      <c r="AT209" s="658"/>
      <c r="AU209" s="658"/>
      <c r="AV209" s="658"/>
      <c r="AW209" s="658"/>
      <c r="AX209" s="658"/>
      <c r="AY209" s="658"/>
      <c r="AZ209" s="658"/>
      <c r="BA209" s="658"/>
      <c r="BB209" s="658"/>
      <c r="BC209" s="658"/>
      <c r="BD209" s="658"/>
      <c r="BE209" s="658"/>
      <c r="BF209" s="658"/>
      <c r="BG209" s="658"/>
      <c r="BH209" s="658"/>
      <c r="BI209" s="658"/>
      <c r="BJ209" s="658"/>
      <c r="BK209" s="658"/>
      <c r="BL209" s="658"/>
      <c r="BM209" s="658"/>
      <c r="BN209" s="658"/>
      <c r="BO209" s="658"/>
      <c r="BP209" s="658"/>
      <c r="BQ209" s="658"/>
      <c r="BR209" s="658"/>
      <c r="BS209" s="658"/>
      <c r="BT209" s="658"/>
      <c r="BU209" s="658"/>
      <c r="BV209" s="658"/>
      <c r="BW209" s="658"/>
      <c r="BX209" s="658"/>
      <c r="BY209" s="658"/>
      <c r="BZ209" s="658"/>
      <c r="CA209" s="658"/>
      <c r="CB209" s="658"/>
      <c r="CC209" s="658"/>
      <c r="CD209" s="658"/>
      <c r="CE209" s="658"/>
      <c r="CF209" s="658"/>
      <c r="CG209" s="658"/>
      <c r="CH209" s="658"/>
      <c r="CI209" s="658"/>
      <c r="CJ209" s="658"/>
      <c r="CK209" s="658"/>
      <c r="CL209" s="658"/>
      <c r="CM209" s="658"/>
      <c r="CN209" s="658"/>
      <c r="CO209" s="658"/>
      <c r="CP209" s="658"/>
      <c r="CQ209" s="658"/>
      <c r="CR209" s="658"/>
      <c r="CS209" s="658"/>
      <c r="CT209" s="658"/>
      <c r="CU209" s="658"/>
      <c r="CV209" s="658"/>
      <c r="CW209" s="658"/>
      <c r="CX209" s="658"/>
      <c r="CY209" s="658"/>
      <c r="CZ209" s="658"/>
      <c r="DA209" s="658"/>
      <c r="DB209" s="658"/>
      <c r="DC209" s="658"/>
      <c r="DD209" s="658"/>
      <c r="DE209" s="658"/>
      <c r="DF209" s="658"/>
      <c r="DG209" s="658"/>
      <c r="DH209" s="658"/>
      <c r="DI209" s="658"/>
      <c r="DJ209" s="658"/>
      <c r="DK209" s="658"/>
      <c r="DL209" s="658"/>
      <c r="DM209" s="658"/>
      <c r="DN209" s="658"/>
      <c r="DO209" s="177">
        <f t="shared" ref="DO209:DO215" si="1178">IF(M209="",0,-XNPV(DP209,S209,S$207)*(1+DP209)^YEARFRAC($S$207,$DO$207,3))</f>
        <v>0</v>
      </c>
      <c r="DP209" s="612" t="e">
        <f t="shared" ref="DP209:DP215" si="1179">IF(HLOOKUP(L209,$C$215:$E$216,2,0)=0,1E-24%,HLOOKUP(L209,$C$215:$E$216,2,FALSE))</f>
        <v>#N/A</v>
      </c>
      <c r="DQ209" s="612" t="e">
        <f t="shared" si="1175"/>
        <v>#NUM!</v>
      </c>
      <c r="DR209" s="177"/>
      <c r="DS209" s="177"/>
      <c r="DT209" s="177"/>
      <c r="DU209" s="177"/>
      <c r="DV209" s="177"/>
      <c r="DW209" s="177"/>
      <c r="DX209" s="177"/>
      <c r="DY209" s="177"/>
      <c r="DZ209" s="177"/>
      <c r="EA209" s="613"/>
    </row>
    <row r="210" spans="1:131" ht="13.5">
      <c r="A210" s="652" t="str">
        <f t="shared" si="1171"/>
        <v>1좌당 금액</v>
      </c>
      <c r="B210" s="653" t="s">
        <v>353</v>
      </c>
      <c r="C210" s="783"/>
      <c r="D210" s="783"/>
      <c r="E210" s="783"/>
      <c r="F210" s="230"/>
      <c r="G210" s="230"/>
      <c r="I210" s="657">
        <f t="shared" si="1176"/>
        <v>0</v>
      </c>
      <c r="J210" s="606" t="str">
        <f t="shared" si="1177"/>
        <v>N/A</v>
      </c>
      <c r="K210" s="471"/>
      <c r="L210" s="607"/>
      <c r="M210" s="300"/>
      <c r="N210" s="608"/>
      <c r="O210" s="609">
        <f t="shared" si="1172"/>
        <v>0</v>
      </c>
      <c r="P210" s="609">
        <f t="shared" si="1173"/>
        <v>0</v>
      </c>
      <c r="Q210" s="609">
        <f t="shared" si="1174"/>
        <v>0</v>
      </c>
      <c r="R210" s="610" t="str">
        <f>IFERROR(Q210/Q216,"")</f>
        <v/>
      </c>
      <c r="S210" s="658"/>
      <c r="T210" s="658"/>
      <c r="U210" s="658"/>
      <c r="V210" s="658"/>
      <c r="W210" s="658"/>
      <c r="X210" s="658"/>
      <c r="Y210" s="658"/>
      <c r="Z210" s="658"/>
      <c r="AA210" s="658"/>
      <c r="AB210" s="658"/>
      <c r="AC210" s="658"/>
      <c r="AD210" s="658"/>
      <c r="AE210" s="658"/>
      <c r="AF210" s="658"/>
      <c r="AG210" s="658"/>
      <c r="AH210" s="658"/>
      <c r="AI210" s="658"/>
      <c r="AJ210" s="658"/>
      <c r="AK210" s="658"/>
      <c r="AL210" s="658"/>
      <c r="AM210" s="658"/>
      <c r="AN210" s="658"/>
      <c r="AO210" s="658"/>
      <c r="AP210" s="658"/>
      <c r="AQ210" s="658"/>
      <c r="AR210" s="658"/>
      <c r="AS210" s="658"/>
      <c r="AT210" s="658"/>
      <c r="AU210" s="658"/>
      <c r="AV210" s="658"/>
      <c r="AW210" s="658"/>
      <c r="AX210" s="658"/>
      <c r="AY210" s="658"/>
      <c r="AZ210" s="658"/>
      <c r="BA210" s="658"/>
      <c r="BB210" s="658"/>
      <c r="BC210" s="658"/>
      <c r="BD210" s="658"/>
      <c r="BE210" s="658"/>
      <c r="BF210" s="658"/>
      <c r="BG210" s="658"/>
      <c r="BH210" s="658"/>
      <c r="BI210" s="658"/>
      <c r="BJ210" s="658"/>
      <c r="BK210" s="658"/>
      <c r="BL210" s="658"/>
      <c r="BM210" s="658"/>
      <c r="BN210" s="658"/>
      <c r="BO210" s="658"/>
      <c r="BP210" s="658"/>
      <c r="BQ210" s="658"/>
      <c r="BR210" s="658"/>
      <c r="BS210" s="658"/>
      <c r="BT210" s="658"/>
      <c r="BU210" s="658"/>
      <c r="BV210" s="658"/>
      <c r="BW210" s="658"/>
      <c r="BX210" s="658"/>
      <c r="BY210" s="658"/>
      <c r="BZ210" s="658"/>
      <c r="CA210" s="658"/>
      <c r="CB210" s="658"/>
      <c r="CC210" s="658"/>
      <c r="CD210" s="658"/>
      <c r="CE210" s="658"/>
      <c r="CF210" s="658"/>
      <c r="CG210" s="658"/>
      <c r="CH210" s="658"/>
      <c r="CI210" s="658"/>
      <c r="CJ210" s="658"/>
      <c r="CK210" s="658"/>
      <c r="CL210" s="658"/>
      <c r="CM210" s="658"/>
      <c r="CN210" s="658"/>
      <c r="CO210" s="658"/>
      <c r="CP210" s="658"/>
      <c r="CQ210" s="658"/>
      <c r="CR210" s="658"/>
      <c r="CS210" s="658"/>
      <c r="CT210" s="658"/>
      <c r="CU210" s="658"/>
      <c r="CV210" s="658"/>
      <c r="CW210" s="658"/>
      <c r="CX210" s="658"/>
      <c r="CY210" s="658"/>
      <c r="CZ210" s="658"/>
      <c r="DA210" s="658"/>
      <c r="DB210" s="658"/>
      <c r="DC210" s="658"/>
      <c r="DD210" s="658"/>
      <c r="DE210" s="658"/>
      <c r="DF210" s="658"/>
      <c r="DG210" s="658"/>
      <c r="DH210" s="658"/>
      <c r="DI210" s="658"/>
      <c r="DJ210" s="658"/>
      <c r="DK210" s="658"/>
      <c r="DL210" s="658"/>
      <c r="DM210" s="658"/>
      <c r="DN210" s="658"/>
      <c r="DO210" s="177">
        <f t="shared" si="1178"/>
        <v>0</v>
      </c>
      <c r="DP210" s="612" t="e">
        <f t="shared" si="1179"/>
        <v>#N/A</v>
      </c>
      <c r="DQ210" s="612" t="e">
        <f t="shared" si="1175"/>
        <v>#NUM!</v>
      </c>
      <c r="DR210" s="177"/>
      <c r="DS210" s="177"/>
      <c r="DT210" s="177"/>
      <c r="DU210" s="177"/>
      <c r="DV210" s="177"/>
      <c r="DW210" s="177"/>
      <c r="DX210" s="177"/>
      <c r="DY210" s="177"/>
      <c r="DZ210" s="177"/>
      <c r="EA210" s="613"/>
    </row>
    <row r="211" spans="1:131" ht="13.5">
      <c r="A211" s="652" t="str">
        <f t="shared" si="1171"/>
        <v>기준수익률</v>
      </c>
      <c r="B211" s="653" t="s">
        <v>365</v>
      </c>
      <c r="C211" s="784"/>
      <c r="D211" s="785"/>
      <c r="E211" s="785"/>
      <c r="F211" s="230"/>
      <c r="G211" s="230"/>
      <c r="I211" s="657">
        <f t="shared" si="1176"/>
        <v>0</v>
      </c>
      <c r="J211" s="606" t="str">
        <f t="shared" si="1177"/>
        <v>N/A</v>
      </c>
      <c r="K211" s="471"/>
      <c r="L211" s="607"/>
      <c r="M211" s="300"/>
      <c r="N211" s="608"/>
      <c r="O211" s="609">
        <f t="shared" si="1172"/>
        <v>0</v>
      </c>
      <c r="P211" s="609">
        <f t="shared" si="1173"/>
        <v>0</v>
      </c>
      <c r="Q211" s="609">
        <f t="shared" si="1174"/>
        <v>0</v>
      </c>
      <c r="R211" s="610" t="str">
        <f>IFERROR(Q211/Q216,"")</f>
        <v/>
      </c>
      <c r="S211" s="658"/>
      <c r="T211" s="658"/>
      <c r="U211" s="658"/>
      <c r="V211" s="658"/>
      <c r="W211" s="658"/>
      <c r="X211" s="658"/>
      <c r="Y211" s="658"/>
      <c r="Z211" s="658"/>
      <c r="AA211" s="658"/>
      <c r="AB211" s="658"/>
      <c r="AC211" s="658"/>
      <c r="AD211" s="658"/>
      <c r="AE211" s="658"/>
      <c r="AF211" s="658"/>
      <c r="AG211" s="658"/>
      <c r="AH211" s="658"/>
      <c r="AI211" s="658"/>
      <c r="AJ211" s="658"/>
      <c r="AK211" s="658"/>
      <c r="AL211" s="658"/>
      <c r="AM211" s="658"/>
      <c r="AN211" s="658"/>
      <c r="AO211" s="658"/>
      <c r="AP211" s="658"/>
      <c r="AQ211" s="658"/>
      <c r="AR211" s="658"/>
      <c r="AS211" s="658"/>
      <c r="AT211" s="658"/>
      <c r="AU211" s="658"/>
      <c r="AV211" s="658"/>
      <c r="AW211" s="658"/>
      <c r="AX211" s="658"/>
      <c r="AY211" s="658"/>
      <c r="AZ211" s="658"/>
      <c r="BA211" s="658"/>
      <c r="BB211" s="658"/>
      <c r="BC211" s="658"/>
      <c r="BD211" s="658"/>
      <c r="BE211" s="658"/>
      <c r="BF211" s="658"/>
      <c r="BG211" s="658"/>
      <c r="BH211" s="658"/>
      <c r="BI211" s="658"/>
      <c r="BJ211" s="658"/>
      <c r="BK211" s="658"/>
      <c r="BL211" s="658"/>
      <c r="BM211" s="658"/>
      <c r="BN211" s="658"/>
      <c r="BO211" s="658"/>
      <c r="BP211" s="658"/>
      <c r="BQ211" s="658"/>
      <c r="BR211" s="658"/>
      <c r="BS211" s="658"/>
      <c r="BT211" s="658"/>
      <c r="BU211" s="658"/>
      <c r="BV211" s="658"/>
      <c r="BW211" s="658"/>
      <c r="BX211" s="658"/>
      <c r="BY211" s="658"/>
      <c r="BZ211" s="658"/>
      <c r="CA211" s="658"/>
      <c r="CB211" s="658"/>
      <c r="CC211" s="658"/>
      <c r="CD211" s="658"/>
      <c r="CE211" s="658"/>
      <c r="CF211" s="658"/>
      <c r="CG211" s="658"/>
      <c r="CH211" s="658"/>
      <c r="CI211" s="658"/>
      <c r="CJ211" s="658"/>
      <c r="CK211" s="658"/>
      <c r="CL211" s="658"/>
      <c r="CM211" s="658"/>
      <c r="CN211" s="658"/>
      <c r="CO211" s="658"/>
      <c r="CP211" s="658"/>
      <c r="CQ211" s="658"/>
      <c r="CR211" s="658"/>
      <c r="CS211" s="658"/>
      <c r="CT211" s="658"/>
      <c r="CU211" s="658"/>
      <c r="CV211" s="658"/>
      <c r="CW211" s="658"/>
      <c r="CX211" s="658"/>
      <c r="CY211" s="658"/>
      <c r="CZ211" s="658"/>
      <c r="DA211" s="658"/>
      <c r="DB211" s="658"/>
      <c r="DC211" s="658"/>
      <c r="DD211" s="658"/>
      <c r="DE211" s="658"/>
      <c r="DF211" s="658"/>
      <c r="DG211" s="658"/>
      <c r="DH211" s="658"/>
      <c r="DI211" s="658"/>
      <c r="DJ211" s="658"/>
      <c r="DK211" s="658"/>
      <c r="DL211" s="658"/>
      <c r="DM211" s="658"/>
      <c r="DN211" s="658"/>
      <c r="DO211" s="177">
        <f t="shared" si="1178"/>
        <v>0</v>
      </c>
      <c r="DP211" s="612" t="e">
        <f t="shared" si="1179"/>
        <v>#N/A</v>
      </c>
      <c r="DQ211" s="612" t="e">
        <f t="shared" si="1175"/>
        <v>#NUM!</v>
      </c>
      <c r="DR211" s="177"/>
      <c r="DS211" s="177"/>
      <c r="DT211" s="177"/>
      <c r="DU211" s="177"/>
      <c r="DV211" s="177"/>
      <c r="DW211" s="177"/>
      <c r="DX211" s="177"/>
      <c r="DY211" s="177"/>
      <c r="DZ211" s="177"/>
      <c r="EA211" s="613"/>
    </row>
    <row r="212" spans="1:131" ht="13.5">
      <c r="A212" s="652" t="str">
        <f t="shared" si="1171"/>
        <v>평가방법론</v>
      </c>
      <c r="B212" s="653" t="s">
        <v>359</v>
      </c>
      <c r="C212" s="786"/>
      <c r="D212" s="786"/>
      <c r="E212" s="786"/>
      <c r="F212" s="230"/>
      <c r="G212" s="230"/>
      <c r="I212" s="657">
        <f t="shared" si="1176"/>
        <v>0</v>
      </c>
      <c r="J212" s="606" t="str">
        <f t="shared" si="1177"/>
        <v>N/A</v>
      </c>
      <c r="K212" s="471"/>
      <c r="L212" s="607"/>
      <c r="M212" s="300"/>
      <c r="N212" s="608"/>
      <c r="O212" s="609">
        <f t="shared" si="1172"/>
        <v>0</v>
      </c>
      <c r="P212" s="609">
        <f t="shared" si="1173"/>
        <v>0</v>
      </c>
      <c r="Q212" s="609">
        <f t="shared" si="1174"/>
        <v>0</v>
      </c>
      <c r="R212" s="610" t="str">
        <f>IFERROR(Q212/Q216,"")</f>
        <v/>
      </c>
      <c r="S212" s="658"/>
      <c r="T212" s="658"/>
      <c r="U212" s="658"/>
      <c r="V212" s="658"/>
      <c r="W212" s="658"/>
      <c r="X212" s="658"/>
      <c r="Y212" s="658"/>
      <c r="Z212" s="658"/>
      <c r="AA212" s="658"/>
      <c r="AB212" s="658"/>
      <c r="AC212" s="658"/>
      <c r="AD212" s="658"/>
      <c r="AE212" s="658"/>
      <c r="AF212" s="658"/>
      <c r="AG212" s="658"/>
      <c r="AH212" s="658"/>
      <c r="AI212" s="658"/>
      <c r="AJ212" s="658"/>
      <c r="AK212" s="658"/>
      <c r="AL212" s="658"/>
      <c r="AM212" s="658"/>
      <c r="AN212" s="658"/>
      <c r="AO212" s="658"/>
      <c r="AP212" s="658"/>
      <c r="AQ212" s="658"/>
      <c r="AR212" s="658"/>
      <c r="AS212" s="658"/>
      <c r="AT212" s="658"/>
      <c r="AU212" s="658"/>
      <c r="AV212" s="658"/>
      <c r="AW212" s="658"/>
      <c r="AX212" s="658"/>
      <c r="AY212" s="658"/>
      <c r="AZ212" s="658"/>
      <c r="BA212" s="658"/>
      <c r="BB212" s="658"/>
      <c r="BC212" s="658"/>
      <c r="BD212" s="658"/>
      <c r="BE212" s="658"/>
      <c r="BF212" s="658"/>
      <c r="BG212" s="658"/>
      <c r="BH212" s="658"/>
      <c r="BI212" s="658"/>
      <c r="BJ212" s="658"/>
      <c r="BK212" s="658"/>
      <c r="BL212" s="658"/>
      <c r="BM212" s="658"/>
      <c r="BN212" s="658"/>
      <c r="BO212" s="658"/>
      <c r="BP212" s="658"/>
      <c r="BQ212" s="658"/>
      <c r="BR212" s="658"/>
      <c r="BS212" s="658"/>
      <c r="BT212" s="658"/>
      <c r="BU212" s="658"/>
      <c r="BV212" s="658"/>
      <c r="BW212" s="658"/>
      <c r="BX212" s="658"/>
      <c r="BY212" s="658"/>
      <c r="BZ212" s="658"/>
      <c r="CA212" s="658"/>
      <c r="CB212" s="658"/>
      <c r="CC212" s="658"/>
      <c r="CD212" s="658"/>
      <c r="CE212" s="658"/>
      <c r="CF212" s="658"/>
      <c r="CG212" s="658"/>
      <c r="CH212" s="658"/>
      <c r="CI212" s="658"/>
      <c r="CJ212" s="658"/>
      <c r="CK212" s="658"/>
      <c r="CL212" s="658"/>
      <c r="CM212" s="658"/>
      <c r="CN212" s="658"/>
      <c r="CO212" s="658"/>
      <c r="CP212" s="658"/>
      <c r="CQ212" s="658"/>
      <c r="CR212" s="658"/>
      <c r="CS212" s="658"/>
      <c r="CT212" s="658"/>
      <c r="CU212" s="658"/>
      <c r="CV212" s="658"/>
      <c r="CW212" s="658"/>
      <c r="CX212" s="658"/>
      <c r="CY212" s="658"/>
      <c r="CZ212" s="658"/>
      <c r="DA212" s="658"/>
      <c r="DB212" s="658"/>
      <c r="DC212" s="658"/>
      <c r="DD212" s="658"/>
      <c r="DE212" s="658"/>
      <c r="DF212" s="658"/>
      <c r="DG212" s="658"/>
      <c r="DH212" s="658"/>
      <c r="DI212" s="658"/>
      <c r="DJ212" s="658"/>
      <c r="DK212" s="658"/>
      <c r="DL212" s="658"/>
      <c r="DM212" s="658"/>
      <c r="DN212" s="658"/>
      <c r="DO212" s="177">
        <f t="shared" si="1178"/>
        <v>0</v>
      </c>
      <c r="DP212" s="612" t="e">
        <f t="shared" si="1179"/>
        <v>#N/A</v>
      </c>
      <c r="DQ212" s="612" t="e">
        <f t="shared" si="1175"/>
        <v>#NUM!</v>
      </c>
      <c r="DR212" s="177"/>
      <c r="DS212" s="177"/>
      <c r="DT212" s="177"/>
      <c r="DU212" s="177"/>
      <c r="DV212" s="177"/>
      <c r="DW212" s="177"/>
      <c r="DX212" s="177"/>
      <c r="DY212" s="177"/>
      <c r="DZ212" s="177"/>
      <c r="EA212" s="613"/>
    </row>
    <row r="213" spans="1:131" ht="13.5">
      <c r="A213" s="652" t="str">
        <f t="shared" si="1171"/>
        <v>분배 조항 여부</v>
      </c>
      <c r="B213" s="653" t="s">
        <v>363</v>
      </c>
      <c r="C213" s="786"/>
      <c r="D213" s="786"/>
      <c r="E213" s="786"/>
      <c r="F213" s="230"/>
      <c r="G213" s="230"/>
      <c r="I213" s="657">
        <f t="shared" si="1176"/>
        <v>0</v>
      </c>
      <c r="J213" s="606" t="str">
        <f t="shared" si="1177"/>
        <v>N/A</v>
      </c>
      <c r="K213" s="471"/>
      <c r="L213" s="607"/>
      <c r="M213" s="300"/>
      <c r="N213" s="608"/>
      <c r="O213" s="609">
        <f t="shared" si="1172"/>
        <v>0</v>
      </c>
      <c r="P213" s="609">
        <f t="shared" si="1173"/>
        <v>0</v>
      </c>
      <c r="Q213" s="609">
        <f t="shared" si="1174"/>
        <v>0</v>
      </c>
      <c r="R213" s="610" t="str">
        <f>IFERROR(Q213/Q216,"")</f>
        <v/>
      </c>
      <c r="S213" s="658"/>
      <c r="T213" s="658"/>
      <c r="U213" s="658"/>
      <c r="V213" s="658"/>
      <c r="W213" s="658"/>
      <c r="X213" s="658"/>
      <c r="Y213" s="658"/>
      <c r="Z213" s="658"/>
      <c r="AA213" s="658"/>
      <c r="AB213" s="658"/>
      <c r="AC213" s="658"/>
      <c r="AD213" s="658"/>
      <c r="AE213" s="658"/>
      <c r="AF213" s="658"/>
      <c r="AG213" s="658"/>
      <c r="AH213" s="658"/>
      <c r="AI213" s="658"/>
      <c r="AJ213" s="658"/>
      <c r="AK213" s="658"/>
      <c r="AL213" s="658"/>
      <c r="AM213" s="658"/>
      <c r="AN213" s="658"/>
      <c r="AO213" s="658"/>
      <c r="AP213" s="658"/>
      <c r="AQ213" s="658"/>
      <c r="AR213" s="658"/>
      <c r="AS213" s="658"/>
      <c r="AT213" s="658"/>
      <c r="AU213" s="658"/>
      <c r="AV213" s="658"/>
      <c r="AW213" s="658"/>
      <c r="AX213" s="658"/>
      <c r="AY213" s="658"/>
      <c r="AZ213" s="658"/>
      <c r="BA213" s="658"/>
      <c r="BB213" s="658"/>
      <c r="BC213" s="658"/>
      <c r="BD213" s="658"/>
      <c r="BE213" s="658"/>
      <c r="BF213" s="658"/>
      <c r="BG213" s="658"/>
      <c r="BH213" s="658"/>
      <c r="BI213" s="658"/>
      <c r="BJ213" s="658"/>
      <c r="BK213" s="658"/>
      <c r="BL213" s="658"/>
      <c r="BM213" s="658"/>
      <c r="BN213" s="658"/>
      <c r="BO213" s="658"/>
      <c r="BP213" s="658"/>
      <c r="BQ213" s="658"/>
      <c r="BR213" s="658"/>
      <c r="BS213" s="658"/>
      <c r="BT213" s="658"/>
      <c r="BU213" s="658"/>
      <c r="BV213" s="658"/>
      <c r="BW213" s="658"/>
      <c r="BX213" s="658"/>
      <c r="BY213" s="658"/>
      <c r="BZ213" s="658"/>
      <c r="CA213" s="658"/>
      <c r="CB213" s="658"/>
      <c r="CC213" s="658"/>
      <c r="CD213" s="658"/>
      <c r="CE213" s="658"/>
      <c r="CF213" s="658"/>
      <c r="CG213" s="658"/>
      <c r="CH213" s="658"/>
      <c r="CI213" s="658"/>
      <c r="CJ213" s="658"/>
      <c r="CK213" s="658"/>
      <c r="CL213" s="658"/>
      <c r="CM213" s="658"/>
      <c r="CN213" s="658"/>
      <c r="CO213" s="658"/>
      <c r="CP213" s="658"/>
      <c r="CQ213" s="658"/>
      <c r="CR213" s="658"/>
      <c r="CS213" s="658"/>
      <c r="CT213" s="658"/>
      <c r="CU213" s="658"/>
      <c r="CV213" s="658"/>
      <c r="CW213" s="658"/>
      <c r="CX213" s="658"/>
      <c r="CY213" s="658"/>
      <c r="CZ213" s="658"/>
      <c r="DA213" s="658"/>
      <c r="DB213" s="658"/>
      <c r="DC213" s="658"/>
      <c r="DD213" s="658"/>
      <c r="DE213" s="658"/>
      <c r="DF213" s="658"/>
      <c r="DG213" s="658"/>
      <c r="DH213" s="658"/>
      <c r="DI213" s="658"/>
      <c r="DJ213" s="658"/>
      <c r="DK213" s="658"/>
      <c r="DL213" s="658"/>
      <c r="DM213" s="658"/>
      <c r="DN213" s="658"/>
      <c r="DO213" s="177">
        <f t="shared" si="1178"/>
        <v>0</v>
      </c>
      <c r="DP213" s="612" t="e">
        <f t="shared" si="1179"/>
        <v>#N/A</v>
      </c>
      <c r="DQ213" s="612" t="e">
        <f t="shared" si="1175"/>
        <v>#NUM!</v>
      </c>
      <c r="DR213" s="177"/>
      <c r="DS213" s="177"/>
      <c r="DT213" s="177"/>
      <c r="DU213" s="177"/>
      <c r="DV213" s="177"/>
      <c r="DW213" s="177"/>
      <c r="DX213" s="177"/>
      <c r="DY213" s="177"/>
      <c r="DZ213" s="177"/>
      <c r="EA213" s="613"/>
    </row>
    <row r="214" spans="1:131" ht="14.25" thickBot="1">
      <c r="A214" s="652" t="str">
        <f t="shared" si="1171"/>
        <v>모펀드 출자 지분율</v>
      </c>
      <c r="B214" s="660" t="s">
        <v>356</v>
      </c>
      <c r="C214" s="787"/>
      <c r="D214" s="787"/>
      <c r="E214" s="787"/>
      <c r="F214" s="230"/>
      <c r="G214" s="230"/>
      <c r="I214" s="657">
        <f t="shared" si="1176"/>
        <v>0</v>
      </c>
      <c r="J214" s="606" t="str">
        <f t="shared" si="1177"/>
        <v>N/A</v>
      </c>
      <c r="K214" s="471"/>
      <c r="L214" s="607"/>
      <c r="M214" s="300"/>
      <c r="N214" s="608"/>
      <c r="O214" s="609">
        <f t="shared" si="1172"/>
        <v>0</v>
      </c>
      <c r="P214" s="609">
        <f t="shared" si="1173"/>
        <v>0</v>
      </c>
      <c r="Q214" s="609">
        <f t="shared" si="1174"/>
        <v>0</v>
      </c>
      <c r="R214" s="610" t="str">
        <f>IFERROR(Q214/Q216,"")</f>
        <v/>
      </c>
      <c r="S214" s="658"/>
      <c r="T214" s="658"/>
      <c r="U214" s="658"/>
      <c r="V214" s="658"/>
      <c r="W214" s="658"/>
      <c r="X214" s="658"/>
      <c r="Y214" s="658"/>
      <c r="Z214" s="658"/>
      <c r="AA214" s="658"/>
      <c r="AB214" s="658"/>
      <c r="AC214" s="658"/>
      <c r="AD214" s="658"/>
      <c r="AE214" s="658"/>
      <c r="AF214" s="658"/>
      <c r="AG214" s="658"/>
      <c r="AH214" s="658"/>
      <c r="AI214" s="658"/>
      <c r="AJ214" s="658"/>
      <c r="AK214" s="658"/>
      <c r="AL214" s="658"/>
      <c r="AM214" s="658"/>
      <c r="AN214" s="658"/>
      <c r="AO214" s="658"/>
      <c r="AP214" s="658"/>
      <c r="AQ214" s="658"/>
      <c r="AR214" s="658"/>
      <c r="AS214" s="658"/>
      <c r="AT214" s="658"/>
      <c r="AU214" s="658"/>
      <c r="AV214" s="658"/>
      <c r="AW214" s="658"/>
      <c r="AX214" s="658"/>
      <c r="AY214" s="658"/>
      <c r="AZ214" s="658"/>
      <c r="BA214" s="658"/>
      <c r="BB214" s="658"/>
      <c r="BC214" s="658"/>
      <c r="BD214" s="658"/>
      <c r="BE214" s="658"/>
      <c r="BF214" s="658"/>
      <c r="BG214" s="658"/>
      <c r="BH214" s="658"/>
      <c r="BI214" s="658"/>
      <c r="BJ214" s="658"/>
      <c r="BK214" s="658"/>
      <c r="BL214" s="658"/>
      <c r="BM214" s="658"/>
      <c r="BN214" s="658"/>
      <c r="BO214" s="658"/>
      <c r="BP214" s="658"/>
      <c r="BQ214" s="658"/>
      <c r="BR214" s="658"/>
      <c r="BS214" s="658"/>
      <c r="BT214" s="658"/>
      <c r="BU214" s="658"/>
      <c r="BV214" s="658"/>
      <c r="BW214" s="658"/>
      <c r="BX214" s="658"/>
      <c r="BY214" s="658"/>
      <c r="BZ214" s="658"/>
      <c r="CA214" s="658"/>
      <c r="CB214" s="658"/>
      <c r="CC214" s="658"/>
      <c r="CD214" s="658"/>
      <c r="CE214" s="658"/>
      <c r="CF214" s="658"/>
      <c r="CG214" s="658"/>
      <c r="CH214" s="658"/>
      <c r="CI214" s="658"/>
      <c r="CJ214" s="658"/>
      <c r="CK214" s="658"/>
      <c r="CL214" s="658"/>
      <c r="CM214" s="658"/>
      <c r="CN214" s="658"/>
      <c r="CO214" s="658"/>
      <c r="CP214" s="658"/>
      <c r="CQ214" s="658"/>
      <c r="CR214" s="658"/>
      <c r="CS214" s="658"/>
      <c r="CT214" s="658"/>
      <c r="CU214" s="658"/>
      <c r="CV214" s="658"/>
      <c r="CW214" s="658"/>
      <c r="CX214" s="658"/>
      <c r="CY214" s="658"/>
      <c r="CZ214" s="658"/>
      <c r="DA214" s="658"/>
      <c r="DB214" s="658"/>
      <c r="DC214" s="658"/>
      <c r="DD214" s="658"/>
      <c r="DE214" s="658"/>
      <c r="DF214" s="658"/>
      <c r="DG214" s="658"/>
      <c r="DH214" s="658"/>
      <c r="DI214" s="658"/>
      <c r="DJ214" s="658"/>
      <c r="DK214" s="658"/>
      <c r="DL214" s="658"/>
      <c r="DM214" s="658"/>
      <c r="DN214" s="658"/>
      <c r="DO214" s="177">
        <f t="shared" si="1178"/>
        <v>0</v>
      </c>
      <c r="DP214" s="612" t="e">
        <f t="shared" si="1179"/>
        <v>#N/A</v>
      </c>
      <c r="DQ214" s="612" t="e">
        <f t="shared" si="1175"/>
        <v>#NUM!</v>
      </c>
      <c r="DR214" s="177"/>
      <c r="DS214" s="177"/>
      <c r="DT214" s="177"/>
      <c r="DU214" s="177"/>
      <c r="DV214" s="177"/>
      <c r="DW214" s="177"/>
      <c r="DX214" s="177"/>
      <c r="DY214" s="177"/>
      <c r="DZ214" s="177"/>
      <c r="EA214" s="613"/>
    </row>
    <row r="215" spans="1:131" ht="14.25" thickBot="1">
      <c r="B215" s="778" t="s">
        <v>3404</v>
      </c>
      <c r="C215" s="616" t="s">
        <v>223</v>
      </c>
      <c r="D215" s="616" t="s">
        <v>224</v>
      </c>
      <c r="E215" s="616" t="s">
        <v>225</v>
      </c>
      <c r="F215" s="230"/>
      <c r="G215" s="230"/>
      <c r="I215" s="657">
        <f t="shared" si="1176"/>
        <v>0</v>
      </c>
      <c r="J215" s="606" t="str">
        <f t="shared" si="1177"/>
        <v>N/A</v>
      </c>
      <c r="K215" s="471"/>
      <c r="L215" s="607"/>
      <c r="M215" s="300"/>
      <c r="N215" s="608"/>
      <c r="O215" s="609">
        <f t="shared" si="1172"/>
        <v>0</v>
      </c>
      <c r="P215" s="609">
        <f t="shared" si="1173"/>
        <v>0</v>
      </c>
      <c r="Q215" s="609">
        <f t="shared" si="1174"/>
        <v>0</v>
      </c>
      <c r="R215" s="610" t="str">
        <f>IFERROR(Q215/Q216,"")</f>
        <v/>
      </c>
      <c r="S215" s="658"/>
      <c r="T215" s="658"/>
      <c r="U215" s="658"/>
      <c r="V215" s="658"/>
      <c r="W215" s="658"/>
      <c r="X215" s="658"/>
      <c r="Y215" s="658"/>
      <c r="Z215" s="658"/>
      <c r="AA215" s="658"/>
      <c r="AB215" s="658"/>
      <c r="AC215" s="658"/>
      <c r="AD215" s="658"/>
      <c r="AE215" s="658"/>
      <c r="AF215" s="658"/>
      <c r="AG215" s="658"/>
      <c r="AH215" s="658"/>
      <c r="AI215" s="658"/>
      <c r="AJ215" s="658"/>
      <c r="AK215" s="658"/>
      <c r="AL215" s="658"/>
      <c r="AM215" s="658"/>
      <c r="AN215" s="658"/>
      <c r="AO215" s="658"/>
      <c r="AP215" s="658"/>
      <c r="AQ215" s="658"/>
      <c r="AR215" s="658"/>
      <c r="AS215" s="658"/>
      <c r="AT215" s="658"/>
      <c r="AU215" s="658"/>
      <c r="AV215" s="658"/>
      <c r="AW215" s="658"/>
      <c r="AX215" s="658"/>
      <c r="AY215" s="658"/>
      <c r="AZ215" s="658"/>
      <c r="BA215" s="658"/>
      <c r="BB215" s="658"/>
      <c r="BC215" s="658"/>
      <c r="BD215" s="658"/>
      <c r="BE215" s="658"/>
      <c r="BF215" s="658"/>
      <c r="BG215" s="658"/>
      <c r="BH215" s="658"/>
      <c r="BI215" s="658"/>
      <c r="BJ215" s="658"/>
      <c r="BK215" s="658"/>
      <c r="BL215" s="658"/>
      <c r="BM215" s="658"/>
      <c r="BN215" s="658"/>
      <c r="BO215" s="658"/>
      <c r="BP215" s="658"/>
      <c r="BQ215" s="658"/>
      <c r="BR215" s="658"/>
      <c r="BS215" s="658"/>
      <c r="BT215" s="658"/>
      <c r="BU215" s="658"/>
      <c r="BV215" s="658"/>
      <c r="BW215" s="658"/>
      <c r="BX215" s="658"/>
      <c r="BY215" s="658"/>
      <c r="BZ215" s="658"/>
      <c r="CA215" s="658"/>
      <c r="CB215" s="658"/>
      <c r="CC215" s="658"/>
      <c r="CD215" s="658"/>
      <c r="CE215" s="658"/>
      <c r="CF215" s="658"/>
      <c r="CG215" s="658"/>
      <c r="CH215" s="658"/>
      <c r="CI215" s="658"/>
      <c r="CJ215" s="658"/>
      <c r="CK215" s="658"/>
      <c r="CL215" s="658"/>
      <c r="CM215" s="658"/>
      <c r="CN215" s="658"/>
      <c r="CO215" s="658"/>
      <c r="CP215" s="658"/>
      <c r="CQ215" s="658"/>
      <c r="CR215" s="658"/>
      <c r="CS215" s="658"/>
      <c r="CT215" s="658"/>
      <c r="CU215" s="658"/>
      <c r="CV215" s="658"/>
      <c r="CW215" s="658"/>
      <c r="CX215" s="658"/>
      <c r="CY215" s="658"/>
      <c r="CZ215" s="658"/>
      <c r="DA215" s="658"/>
      <c r="DB215" s="658"/>
      <c r="DC215" s="658"/>
      <c r="DD215" s="658"/>
      <c r="DE215" s="658"/>
      <c r="DF215" s="658"/>
      <c r="DG215" s="658"/>
      <c r="DH215" s="658"/>
      <c r="DI215" s="658"/>
      <c r="DJ215" s="658"/>
      <c r="DK215" s="658"/>
      <c r="DL215" s="658"/>
      <c r="DM215" s="658"/>
      <c r="DN215" s="658"/>
      <c r="DO215" s="177">
        <f t="shared" si="1178"/>
        <v>0</v>
      </c>
      <c r="DP215" s="612" t="e">
        <f t="shared" si="1179"/>
        <v>#N/A</v>
      </c>
      <c r="DQ215" s="612" t="e">
        <f t="shared" si="1175"/>
        <v>#NUM!</v>
      </c>
      <c r="DR215" s="177"/>
      <c r="DS215" s="177"/>
      <c r="DT215" s="177"/>
      <c r="DU215" s="177"/>
      <c r="DV215" s="177"/>
      <c r="DW215" s="177"/>
      <c r="DX215" s="177"/>
      <c r="DY215" s="177"/>
      <c r="DZ215" s="177"/>
      <c r="EA215" s="613"/>
    </row>
    <row r="216" spans="1:131" ht="14.25" thickBot="1">
      <c r="A216" s="317"/>
      <c r="B216" s="779"/>
      <c r="C216" s="661"/>
      <c r="D216" s="661"/>
      <c r="E216" s="661"/>
      <c r="F216" s="662"/>
      <c r="G216" s="662"/>
      <c r="H216" s="317"/>
      <c r="I216" s="634">
        <f>SUM(I208:I215)</f>
        <v>0</v>
      </c>
      <c r="J216" s="663"/>
      <c r="K216" s="664"/>
      <c r="L216" s="664"/>
      <c r="M216" s="664"/>
      <c r="N216" s="634">
        <f t="shared" ref="N216:R216" si="1180">SUM(N208:N215)</f>
        <v>0</v>
      </c>
      <c r="O216" s="634">
        <f t="shared" si="1180"/>
        <v>0</v>
      </c>
      <c r="P216" s="634">
        <f t="shared" si="1180"/>
        <v>0</v>
      </c>
      <c r="Q216" s="634">
        <f t="shared" si="1180"/>
        <v>0</v>
      </c>
      <c r="R216" s="665">
        <f t="shared" si="1180"/>
        <v>0</v>
      </c>
      <c r="S216" s="634">
        <f>SUM(S208:S215)</f>
        <v>0</v>
      </c>
      <c r="T216" s="634">
        <f t="shared" ref="T216" si="1181">SUM(T208:T215)</f>
        <v>0</v>
      </c>
      <c r="U216" s="634">
        <f t="shared" ref="U216" si="1182">SUM(U208:U215)</f>
        <v>0</v>
      </c>
      <c r="V216" s="634">
        <f t="shared" ref="V216" si="1183">SUM(V208:V215)</f>
        <v>0</v>
      </c>
      <c r="W216" s="634">
        <f t="shared" ref="W216" si="1184">SUM(W208:W215)</f>
        <v>0</v>
      </c>
      <c r="X216" s="634">
        <f t="shared" ref="X216" si="1185">SUM(X208:X215)</f>
        <v>0</v>
      </c>
      <c r="Y216" s="634">
        <f t="shared" ref="Y216" si="1186">SUM(Y208:Y215)</f>
        <v>0</v>
      </c>
      <c r="Z216" s="634">
        <f t="shared" ref="Z216" si="1187">SUM(Z208:Z215)</f>
        <v>0</v>
      </c>
      <c r="AA216" s="634">
        <f t="shared" ref="AA216" si="1188">SUM(AA208:AA215)</f>
        <v>0</v>
      </c>
      <c r="AB216" s="634">
        <f t="shared" ref="AB216" si="1189">SUM(AB208:AB215)</f>
        <v>0</v>
      </c>
      <c r="AC216" s="634">
        <f t="shared" ref="AC216" si="1190">SUM(AC208:AC215)</f>
        <v>0</v>
      </c>
      <c r="AD216" s="634">
        <f t="shared" ref="AD216" si="1191">SUM(AD208:AD215)</f>
        <v>0</v>
      </c>
      <c r="AE216" s="634">
        <f t="shared" ref="AE216" si="1192">SUM(AE208:AE215)</f>
        <v>0</v>
      </c>
      <c r="AF216" s="634">
        <f t="shared" ref="AF216" si="1193">SUM(AF208:AF215)</f>
        <v>0</v>
      </c>
      <c r="AG216" s="634">
        <f t="shared" ref="AG216" si="1194">SUM(AG208:AG215)</f>
        <v>0</v>
      </c>
      <c r="AH216" s="634">
        <f t="shared" ref="AH216" si="1195">SUM(AH208:AH215)</f>
        <v>0</v>
      </c>
      <c r="AI216" s="634">
        <f t="shared" ref="AI216" si="1196">SUM(AI208:AI215)</f>
        <v>0</v>
      </c>
      <c r="AJ216" s="634">
        <f t="shared" ref="AJ216" si="1197">SUM(AJ208:AJ215)</f>
        <v>0</v>
      </c>
      <c r="AK216" s="634">
        <f t="shared" ref="AK216" si="1198">SUM(AK208:AK215)</f>
        <v>0</v>
      </c>
      <c r="AL216" s="634">
        <f t="shared" ref="AL216" si="1199">SUM(AL208:AL215)</f>
        <v>0</v>
      </c>
      <c r="AM216" s="634">
        <f t="shared" ref="AM216" si="1200">SUM(AM208:AM215)</f>
        <v>0</v>
      </c>
      <c r="AN216" s="634">
        <f t="shared" ref="AN216" si="1201">SUM(AN208:AN215)</f>
        <v>0</v>
      </c>
      <c r="AO216" s="634">
        <f t="shared" ref="AO216" si="1202">SUM(AO208:AO215)</f>
        <v>0</v>
      </c>
      <c r="AP216" s="634">
        <f t="shared" ref="AP216" si="1203">SUM(AP208:AP215)</f>
        <v>0</v>
      </c>
      <c r="AQ216" s="634">
        <f t="shared" ref="AQ216" si="1204">SUM(AQ208:AQ215)</f>
        <v>0</v>
      </c>
      <c r="AR216" s="634">
        <f t="shared" ref="AR216" si="1205">SUM(AR208:AR215)</f>
        <v>0</v>
      </c>
      <c r="AS216" s="634">
        <f t="shared" ref="AS216" si="1206">SUM(AS208:AS215)</f>
        <v>0</v>
      </c>
      <c r="AT216" s="634">
        <f t="shared" ref="AT216" si="1207">SUM(AT208:AT215)</f>
        <v>0</v>
      </c>
      <c r="AU216" s="634">
        <f t="shared" ref="AU216" si="1208">SUM(AU208:AU215)</f>
        <v>0</v>
      </c>
      <c r="AV216" s="634">
        <f t="shared" ref="AV216" si="1209">SUM(AV208:AV215)</f>
        <v>0</v>
      </c>
      <c r="AW216" s="634">
        <f t="shared" ref="AW216" si="1210">SUM(AW208:AW215)</f>
        <v>0</v>
      </c>
      <c r="AX216" s="634">
        <f t="shared" ref="AX216" si="1211">SUM(AX208:AX215)</f>
        <v>0</v>
      </c>
      <c r="AY216" s="634">
        <f t="shared" ref="AY216" si="1212">SUM(AY208:AY215)</f>
        <v>0</v>
      </c>
      <c r="AZ216" s="634">
        <f t="shared" ref="AZ216" si="1213">SUM(AZ208:AZ215)</f>
        <v>0</v>
      </c>
      <c r="BA216" s="634">
        <f t="shared" ref="BA216" si="1214">SUM(BA208:BA215)</f>
        <v>0</v>
      </c>
      <c r="BB216" s="634">
        <f t="shared" ref="BB216" si="1215">SUM(BB208:BB215)</f>
        <v>0</v>
      </c>
      <c r="BC216" s="634">
        <f t="shared" ref="BC216" si="1216">SUM(BC208:BC215)</f>
        <v>0</v>
      </c>
      <c r="BD216" s="634">
        <f t="shared" ref="BD216" si="1217">SUM(BD208:BD215)</f>
        <v>0</v>
      </c>
      <c r="BE216" s="634">
        <f t="shared" ref="BE216" si="1218">SUM(BE208:BE215)</f>
        <v>0</v>
      </c>
      <c r="BF216" s="634">
        <f t="shared" ref="BF216" si="1219">SUM(BF208:BF215)</f>
        <v>0</v>
      </c>
      <c r="BG216" s="634">
        <f t="shared" ref="BG216" si="1220">SUM(BG208:BG215)</f>
        <v>0</v>
      </c>
      <c r="BH216" s="634">
        <f t="shared" ref="BH216" si="1221">SUM(BH208:BH215)</f>
        <v>0</v>
      </c>
      <c r="BI216" s="634">
        <f t="shared" ref="BI216" si="1222">SUM(BI208:BI215)</f>
        <v>0</v>
      </c>
      <c r="BJ216" s="634">
        <f t="shared" ref="BJ216" si="1223">SUM(BJ208:BJ215)</f>
        <v>0</v>
      </c>
      <c r="BK216" s="634">
        <f t="shared" ref="BK216" si="1224">SUM(BK208:BK215)</f>
        <v>0</v>
      </c>
      <c r="BL216" s="634">
        <f t="shared" ref="BL216" si="1225">SUM(BL208:BL215)</f>
        <v>0</v>
      </c>
      <c r="BM216" s="634">
        <f t="shared" ref="BM216" si="1226">SUM(BM208:BM215)</f>
        <v>0</v>
      </c>
      <c r="BN216" s="634">
        <f t="shared" ref="BN216" si="1227">SUM(BN208:BN215)</f>
        <v>0</v>
      </c>
      <c r="BO216" s="634">
        <f t="shared" ref="BO216" si="1228">SUM(BO208:BO215)</f>
        <v>0</v>
      </c>
      <c r="BP216" s="634">
        <f t="shared" ref="BP216" si="1229">SUM(BP208:BP215)</f>
        <v>0</v>
      </c>
      <c r="BQ216" s="634">
        <f t="shared" ref="BQ216" si="1230">SUM(BQ208:BQ215)</f>
        <v>0</v>
      </c>
      <c r="BR216" s="634">
        <f t="shared" ref="BR216" si="1231">SUM(BR208:BR215)</f>
        <v>0</v>
      </c>
      <c r="BS216" s="634">
        <f t="shared" ref="BS216" si="1232">SUM(BS208:BS215)</f>
        <v>0</v>
      </c>
      <c r="BT216" s="634">
        <f t="shared" ref="BT216" si="1233">SUM(BT208:BT215)</f>
        <v>0</v>
      </c>
      <c r="BU216" s="634">
        <f t="shared" ref="BU216" si="1234">SUM(BU208:BU215)</f>
        <v>0</v>
      </c>
      <c r="BV216" s="634">
        <f t="shared" ref="BV216" si="1235">SUM(BV208:BV215)</f>
        <v>0</v>
      </c>
      <c r="BW216" s="634">
        <f t="shared" ref="BW216" si="1236">SUM(BW208:BW215)</f>
        <v>0</v>
      </c>
      <c r="BX216" s="634">
        <f t="shared" ref="BX216" si="1237">SUM(BX208:BX215)</f>
        <v>0</v>
      </c>
      <c r="BY216" s="634">
        <f t="shared" ref="BY216" si="1238">SUM(BY208:BY215)</f>
        <v>0</v>
      </c>
      <c r="BZ216" s="634">
        <f t="shared" ref="BZ216" si="1239">SUM(BZ208:BZ215)</f>
        <v>0</v>
      </c>
      <c r="CA216" s="634">
        <f t="shared" ref="CA216" si="1240">SUM(CA208:CA215)</f>
        <v>0</v>
      </c>
      <c r="CB216" s="634">
        <f t="shared" ref="CB216" si="1241">SUM(CB208:CB215)</f>
        <v>0</v>
      </c>
      <c r="CC216" s="634">
        <f t="shared" ref="CC216" si="1242">SUM(CC208:CC215)</f>
        <v>0</v>
      </c>
      <c r="CD216" s="634">
        <f t="shared" ref="CD216" si="1243">SUM(CD208:CD215)</f>
        <v>0</v>
      </c>
      <c r="CE216" s="634">
        <f t="shared" ref="CE216" si="1244">SUM(CE208:CE215)</f>
        <v>0</v>
      </c>
      <c r="CF216" s="634">
        <f t="shared" ref="CF216" si="1245">SUM(CF208:CF215)</f>
        <v>0</v>
      </c>
      <c r="CG216" s="634">
        <f t="shared" ref="CG216" si="1246">SUM(CG208:CG215)</f>
        <v>0</v>
      </c>
      <c r="CH216" s="634">
        <f t="shared" ref="CH216" si="1247">SUM(CH208:CH215)</f>
        <v>0</v>
      </c>
      <c r="CI216" s="634">
        <f t="shared" ref="CI216" si="1248">SUM(CI208:CI215)</f>
        <v>0</v>
      </c>
      <c r="CJ216" s="634">
        <f t="shared" ref="CJ216" si="1249">SUM(CJ208:CJ215)</f>
        <v>0</v>
      </c>
      <c r="CK216" s="634">
        <f t="shared" ref="CK216" si="1250">SUM(CK208:CK215)</f>
        <v>0</v>
      </c>
      <c r="CL216" s="634">
        <f t="shared" ref="CL216" si="1251">SUM(CL208:CL215)</f>
        <v>0</v>
      </c>
      <c r="CM216" s="634">
        <f t="shared" ref="CM216" si="1252">SUM(CM208:CM215)</f>
        <v>0</v>
      </c>
      <c r="CN216" s="634">
        <f t="shared" ref="CN216" si="1253">SUM(CN208:CN215)</f>
        <v>0</v>
      </c>
      <c r="CO216" s="634">
        <f t="shared" ref="CO216" si="1254">SUM(CO208:CO215)</f>
        <v>0</v>
      </c>
      <c r="CP216" s="634">
        <f t="shared" ref="CP216" si="1255">SUM(CP208:CP215)</f>
        <v>0</v>
      </c>
      <c r="CQ216" s="634">
        <f t="shared" ref="CQ216" si="1256">SUM(CQ208:CQ215)</f>
        <v>0</v>
      </c>
      <c r="CR216" s="634">
        <f t="shared" ref="CR216" si="1257">SUM(CR208:CR215)</f>
        <v>0</v>
      </c>
      <c r="CS216" s="634">
        <f t="shared" ref="CS216" si="1258">SUM(CS208:CS215)</f>
        <v>0</v>
      </c>
      <c r="CT216" s="634">
        <f t="shared" ref="CT216" si="1259">SUM(CT208:CT215)</f>
        <v>0</v>
      </c>
      <c r="CU216" s="634">
        <f t="shared" ref="CU216" si="1260">SUM(CU208:CU215)</f>
        <v>0</v>
      </c>
      <c r="CV216" s="634">
        <f t="shared" ref="CV216" si="1261">SUM(CV208:CV215)</f>
        <v>0</v>
      </c>
      <c r="CW216" s="634">
        <f t="shared" ref="CW216" si="1262">SUM(CW208:CW215)</f>
        <v>0</v>
      </c>
      <c r="CX216" s="634">
        <f t="shared" ref="CX216" si="1263">SUM(CX208:CX215)</f>
        <v>0</v>
      </c>
      <c r="CY216" s="634">
        <f t="shared" ref="CY216" si="1264">SUM(CY208:CY215)</f>
        <v>0</v>
      </c>
      <c r="CZ216" s="634">
        <f t="shared" ref="CZ216" si="1265">SUM(CZ208:CZ215)</f>
        <v>0</v>
      </c>
      <c r="DA216" s="634">
        <f t="shared" ref="DA216" si="1266">SUM(DA208:DA215)</f>
        <v>0</v>
      </c>
      <c r="DB216" s="634">
        <f t="shared" ref="DB216" si="1267">SUM(DB208:DB215)</f>
        <v>0</v>
      </c>
      <c r="DC216" s="634">
        <f t="shared" ref="DC216" si="1268">SUM(DC208:DC215)</f>
        <v>0</v>
      </c>
      <c r="DD216" s="634">
        <f t="shared" ref="DD216" si="1269">SUM(DD208:DD215)</f>
        <v>0</v>
      </c>
      <c r="DE216" s="634">
        <f t="shared" ref="DE216" si="1270">SUM(DE208:DE215)</f>
        <v>0</v>
      </c>
      <c r="DF216" s="634">
        <f t="shared" ref="DF216" si="1271">SUM(DF208:DF215)</f>
        <v>0</v>
      </c>
      <c r="DG216" s="634">
        <f t="shared" ref="DG216" si="1272">SUM(DG208:DG215)</f>
        <v>0</v>
      </c>
      <c r="DH216" s="634">
        <f t="shared" ref="DH216" si="1273">SUM(DH208:DH215)</f>
        <v>0</v>
      </c>
      <c r="DI216" s="634">
        <f t="shared" ref="DI216" si="1274">SUM(DI208:DI215)</f>
        <v>0</v>
      </c>
      <c r="DJ216" s="634">
        <f t="shared" ref="DJ216" si="1275">SUM(DJ208:DJ215)</f>
        <v>0</v>
      </c>
      <c r="DK216" s="634">
        <f t="shared" ref="DK216" si="1276">SUM(DK208:DK215)</f>
        <v>0</v>
      </c>
      <c r="DL216" s="634">
        <f t="shared" ref="DL216" si="1277">SUM(DL208:DL215)</f>
        <v>0</v>
      </c>
      <c r="DM216" s="634">
        <f t="shared" ref="DM216" si="1278">SUM(DM208:DM215)</f>
        <v>0</v>
      </c>
      <c r="DN216" s="634">
        <f t="shared" ref="DN216" si="1279">SUM(DN208:DN215)</f>
        <v>0</v>
      </c>
      <c r="DO216" s="634">
        <f t="shared" ref="DO216" si="1280">SUM(DO208:DO215)</f>
        <v>0</v>
      </c>
      <c r="DP216" s="666"/>
      <c r="DQ216" s="638" t="e">
        <f>XIRR(S216:DO216,$S$207:$DO$207)</f>
        <v>#NUM!</v>
      </c>
      <c r="DR216" s="636">
        <f t="shared" ref="DR216:DX216" si="1281">SUM(DR208:DR215)</f>
        <v>0</v>
      </c>
      <c r="DS216" s="636">
        <f t="shared" si="1281"/>
        <v>0</v>
      </c>
      <c r="DT216" s="636">
        <f t="shared" si="1281"/>
        <v>0</v>
      </c>
      <c r="DU216" s="636">
        <f t="shared" si="1281"/>
        <v>0</v>
      </c>
      <c r="DV216" s="636">
        <f t="shared" si="1281"/>
        <v>0</v>
      </c>
      <c r="DW216" s="636">
        <f t="shared" si="1281"/>
        <v>0</v>
      </c>
      <c r="DX216" s="636">
        <f t="shared" si="1281"/>
        <v>0</v>
      </c>
      <c r="DY216" s="636">
        <f>SUM(DY208:DY215)</f>
        <v>0</v>
      </c>
      <c r="DZ216" s="636">
        <f>SUM(DZ208:DZ215)</f>
        <v>0</v>
      </c>
      <c r="EA216" s="636">
        <f>SUM(EA208:EA215)</f>
        <v>0</v>
      </c>
    </row>
    <row r="217" spans="1:131" ht="14.25" thickBot="1">
      <c r="A217" s="172"/>
      <c r="B217" s="667"/>
      <c r="C217" s="592" t="s">
        <v>3609</v>
      </c>
      <c r="D217" s="648">
        <f>D205+1</f>
        <v>14</v>
      </c>
      <c r="E217" s="649"/>
      <c r="F217" s="603"/>
      <c r="G217" s="603"/>
      <c r="I217" s="650" t="b">
        <f>I228=DR219</f>
        <v>1</v>
      </c>
      <c r="J217" s="172"/>
      <c r="K217" s="172"/>
      <c r="L217" s="172"/>
      <c r="M217" s="172"/>
      <c r="N217" s="172"/>
      <c r="O217" s="172"/>
      <c r="P217" s="172"/>
      <c r="Q217" s="639" t="str">
        <f>IF(Q228=NAV!E713,"자본금과 일치","자본금과 불일치")</f>
        <v>자본금과 일치</v>
      </c>
      <c r="R217" s="172"/>
      <c r="S217" s="172"/>
      <c r="T217" s="172"/>
      <c r="U217" s="172"/>
      <c r="V217" s="172"/>
      <c r="W217" s="172"/>
      <c r="X217" s="172"/>
      <c r="Y217" s="172"/>
      <c r="Z217" s="172"/>
      <c r="AA217" s="172"/>
      <c r="AB217" s="172"/>
      <c r="AC217" s="172"/>
      <c r="AD217" s="172"/>
      <c r="AE217" s="172"/>
      <c r="AF217" s="172"/>
      <c r="AG217" s="172"/>
      <c r="AH217" s="172"/>
      <c r="AI217" s="172"/>
      <c r="AJ217" s="172"/>
      <c r="AK217" s="172"/>
      <c r="AL217" s="172"/>
      <c r="AM217" s="172"/>
      <c r="AN217" s="172"/>
      <c r="AO217" s="172"/>
      <c r="AP217" s="172"/>
      <c r="AQ217" s="172"/>
      <c r="AR217" s="172"/>
      <c r="AS217" s="172"/>
      <c r="AT217" s="172"/>
      <c r="AU217" s="172"/>
      <c r="AV217" s="172"/>
      <c r="AW217" s="172"/>
      <c r="AX217" s="172"/>
      <c r="AY217" s="172"/>
      <c r="AZ217" s="172"/>
      <c r="BA217" s="172"/>
      <c r="BB217" s="172"/>
      <c r="BC217" s="172"/>
      <c r="BD217" s="172"/>
      <c r="BE217" s="172"/>
      <c r="BF217" s="172"/>
      <c r="BG217" s="172"/>
      <c r="BH217" s="172"/>
      <c r="BI217" s="172"/>
      <c r="BJ217" s="172"/>
      <c r="BK217" s="172"/>
      <c r="BL217" s="172"/>
      <c r="BM217" s="172"/>
      <c r="BN217" s="172"/>
      <c r="BO217" s="172"/>
      <c r="BP217" s="172"/>
      <c r="BQ217" s="172"/>
      <c r="BR217" s="172"/>
      <c r="BS217" s="172"/>
      <c r="BT217" s="172"/>
      <c r="BU217" s="172"/>
      <c r="BV217" s="172"/>
      <c r="BW217" s="172"/>
      <c r="BX217" s="172"/>
      <c r="BY217" s="172"/>
      <c r="BZ217" s="172"/>
      <c r="CA217" s="172"/>
      <c r="CB217" s="172"/>
      <c r="CC217" s="172"/>
      <c r="CD217" s="172"/>
      <c r="CE217" s="172"/>
      <c r="CF217" s="172"/>
      <c r="CG217" s="172"/>
      <c r="CH217" s="172"/>
      <c r="CI217" s="172"/>
      <c r="CJ217" s="172"/>
      <c r="CK217" s="172"/>
      <c r="CL217" s="172"/>
      <c r="CM217" s="172"/>
      <c r="CN217" s="172"/>
      <c r="CO217" s="172"/>
      <c r="CP217" s="172"/>
      <c r="CQ217" s="172"/>
      <c r="CR217" s="172"/>
      <c r="CS217" s="172"/>
      <c r="CT217" s="172"/>
      <c r="CU217" s="172"/>
      <c r="CV217" s="172"/>
      <c r="CW217" s="172"/>
      <c r="CX217" s="172"/>
      <c r="CY217" s="172"/>
      <c r="CZ217" s="172"/>
      <c r="DA217" s="172"/>
      <c r="DB217" s="172"/>
      <c r="DC217" s="172"/>
      <c r="DD217" s="172"/>
      <c r="DE217" s="172"/>
      <c r="DF217" s="172"/>
      <c r="DG217" s="172"/>
      <c r="DH217" s="172"/>
      <c r="DI217" s="172"/>
      <c r="DJ217" s="172"/>
      <c r="DK217" s="172"/>
      <c r="DL217" s="172"/>
      <c r="DM217" s="172"/>
      <c r="DN217" s="172"/>
      <c r="DO217" s="588" t="s">
        <v>219</v>
      </c>
      <c r="DP217" s="588" t="str">
        <f>IF(ROUND(_xlfn.AGGREGATE(9,6,DP220:DP227),5)=ROUND(_xlfn.AGGREGATE(9,6,DQ220:DQ227),5),"이상없음","기준수익률확인")</f>
        <v>이상없음</v>
      </c>
      <c r="DQ217" s="172"/>
      <c r="DR217" s="651" t="s">
        <v>3406</v>
      </c>
      <c r="DS217" s="172"/>
      <c r="DT217" s="615"/>
      <c r="DU217" s="615"/>
      <c r="DV217" s="172"/>
      <c r="DW217" s="172"/>
      <c r="DX217" s="615"/>
      <c r="DY217" s="172"/>
      <c r="DZ217" s="172"/>
      <c r="EA217" s="172"/>
    </row>
    <row r="218" spans="1:131" ht="13.5">
      <c r="A218" s="652" t="str">
        <f t="shared" ref="A218:A226" si="1282">$B$217&amp;B218</f>
        <v>SPC명</v>
      </c>
      <c r="B218" s="653" t="s">
        <v>349</v>
      </c>
      <c r="C218" s="780"/>
      <c r="D218" s="780"/>
      <c r="E218" s="780"/>
      <c r="F218" s="230"/>
      <c r="G218" s="230"/>
      <c r="I218" s="776" t="s">
        <v>3393</v>
      </c>
      <c r="J218" s="776" t="s">
        <v>3394</v>
      </c>
      <c r="K218" s="774" t="s">
        <v>3395</v>
      </c>
      <c r="L218" s="774" t="s">
        <v>3396</v>
      </c>
      <c r="M218" s="774" t="s">
        <v>203</v>
      </c>
      <c r="N218" s="774" t="s">
        <v>211</v>
      </c>
      <c r="O218" s="774" t="s">
        <v>3399</v>
      </c>
      <c r="P218" s="776" t="s">
        <v>239</v>
      </c>
      <c r="Q218" s="774" t="s">
        <v>3401</v>
      </c>
      <c r="R218" s="774" t="s">
        <v>3402</v>
      </c>
      <c r="S218" s="593"/>
      <c r="T218" s="593"/>
      <c r="U218" s="593"/>
      <c r="V218" s="593"/>
      <c r="W218" s="593"/>
      <c r="X218" s="593"/>
      <c r="Y218" s="593"/>
      <c r="Z218" s="593"/>
      <c r="AA218" s="593"/>
      <c r="AB218" s="593"/>
      <c r="AC218" s="593"/>
      <c r="AD218" s="593"/>
      <c r="AE218" s="593"/>
      <c r="AF218" s="593"/>
      <c r="AG218" s="593"/>
      <c r="AH218" s="593"/>
      <c r="AI218" s="593"/>
      <c r="AJ218" s="593"/>
      <c r="AK218" s="593"/>
      <c r="AL218" s="593"/>
      <c r="AM218" s="593"/>
      <c r="AN218" s="593"/>
      <c r="AO218" s="593"/>
      <c r="AP218" s="593"/>
      <c r="AQ218" s="593"/>
      <c r="AR218" s="593"/>
      <c r="AS218" s="593"/>
      <c r="AT218" s="593"/>
      <c r="AU218" s="593"/>
      <c r="AV218" s="593"/>
      <c r="AW218" s="593"/>
      <c r="AX218" s="593"/>
      <c r="AY218" s="593"/>
      <c r="AZ218" s="593"/>
      <c r="BA218" s="593"/>
      <c r="BB218" s="593"/>
      <c r="BC218" s="593"/>
      <c r="BD218" s="593"/>
      <c r="BE218" s="593"/>
      <c r="BF218" s="593"/>
      <c r="BG218" s="593"/>
      <c r="BH218" s="593"/>
      <c r="BI218" s="593"/>
      <c r="BJ218" s="593"/>
      <c r="BK218" s="593"/>
      <c r="BL218" s="593"/>
      <c r="BM218" s="593"/>
      <c r="BN218" s="593"/>
      <c r="BO218" s="593"/>
      <c r="BP218" s="593"/>
      <c r="BQ218" s="593"/>
      <c r="BR218" s="593"/>
      <c r="BS218" s="593"/>
      <c r="BT218" s="593"/>
      <c r="BU218" s="593"/>
      <c r="BV218" s="593"/>
      <c r="BW218" s="593"/>
      <c r="BX218" s="593"/>
      <c r="BY218" s="593"/>
      <c r="BZ218" s="593"/>
      <c r="CA218" s="593"/>
      <c r="CB218" s="593"/>
      <c r="CC218" s="593"/>
      <c r="CD218" s="593"/>
      <c r="CE218" s="593"/>
      <c r="CF218" s="593"/>
      <c r="CG218" s="593"/>
      <c r="CH218" s="593"/>
      <c r="CI218" s="593"/>
      <c r="CJ218" s="593"/>
      <c r="CK218" s="593"/>
      <c r="CL218" s="593"/>
      <c r="CM218" s="593"/>
      <c r="CN218" s="593"/>
      <c r="CO218" s="593"/>
      <c r="CP218" s="593"/>
      <c r="CQ218" s="593"/>
      <c r="CR218" s="593"/>
      <c r="CS218" s="593"/>
      <c r="CT218" s="593"/>
      <c r="CU218" s="593"/>
      <c r="CV218" s="593"/>
      <c r="CW218" s="593"/>
      <c r="CX218" s="593"/>
      <c r="CY218" s="593"/>
      <c r="CZ218" s="593"/>
      <c r="DA218" s="593"/>
      <c r="DB218" s="593"/>
      <c r="DC218" s="593"/>
      <c r="DD218" s="593"/>
      <c r="DE218" s="593"/>
      <c r="DF218" s="593"/>
      <c r="DG218" s="593"/>
      <c r="DH218" s="593"/>
      <c r="DI218" s="593"/>
      <c r="DJ218" s="593"/>
      <c r="DK218" s="593"/>
      <c r="DL218" s="593"/>
      <c r="DM218" s="593"/>
      <c r="DN218" s="593"/>
      <c r="DO218" s="594" t="s">
        <v>220</v>
      </c>
      <c r="DP218" s="774" t="s">
        <v>218</v>
      </c>
      <c r="DQ218" s="774" t="s">
        <v>222</v>
      </c>
      <c r="DR218" s="594"/>
      <c r="DS218" s="594"/>
      <c r="DT218" s="594"/>
      <c r="DU218" s="594"/>
      <c r="DV218" s="594"/>
      <c r="DW218" s="594"/>
      <c r="DX218" s="594"/>
      <c r="DY218" s="594"/>
      <c r="DZ218" s="594"/>
      <c r="EA218" s="602"/>
    </row>
    <row r="219" spans="1:131" ht="14.25" thickBot="1">
      <c r="A219" s="652" t="str">
        <f t="shared" si="1282"/>
        <v>유형</v>
      </c>
      <c r="B219" s="653" t="s">
        <v>350</v>
      </c>
      <c r="C219" s="780"/>
      <c r="D219" s="780"/>
      <c r="E219" s="780"/>
      <c r="F219" s="230"/>
      <c r="G219" s="230"/>
      <c r="I219" s="777"/>
      <c r="J219" s="777"/>
      <c r="K219" s="775"/>
      <c r="L219" s="775"/>
      <c r="M219" s="775"/>
      <c r="N219" s="775"/>
      <c r="O219" s="775"/>
      <c r="P219" s="777"/>
      <c r="Q219" s="775"/>
      <c r="R219" s="775"/>
      <c r="S219" s="601"/>
      <c r="T219" s="601"/>
      <c r="U219" s="601"/>
      <c r="V219" s="601"/>
      <c r="W219" s="601"/>
      <c r="X219" s="601"/>
      <c r="Y219" s="601"/>
      <c r="Z219" s="601"/>
      <c r="AA219" s="601"/>
      <c r="AB219" s="601"/>
      <c r="AC219" s="601"/>
      <c r="AD219" s="601"/>
      <c r="AE219" s="601"/>
      <c r="AF219" s="601"/>
      <c r="AG219" s="601"/>
      <c r="AH219" s="601"/>
      <c r="AI219" s="601"/>
      <c r="AJ219" s="601"/>
      <c r="AK219" s="601"/>
      <c r="AL219" s="601"/>
      <c r="AM219" s="601"/>
      <c r="AN219" s="601"/>
      <c r="AO219" s="601"/>
      <c r="AP219" s="601"/>
      <c r="AQ219" s="601"/>
      <c r="AR219" s="601"/>
      <c r="AS219" s="601"/>
      <c r="AT219" s="601"/>
      <c r="AU219" s="601"/>
      <c r="AV219" s="601"/>
      <c r="AW219" s="601"/>
      <c r="AX219" s="601"/>
      <c r="AY219" s="601"/>
      <c r="AZ219" s="601"/>
      <c r="BA219" s="601"/>
      <c r="BB219" s="601"/>
      <c r="BC219" s="601"/>
      <c r="BD219" s="601"/>
      <c r="BE219" s="601"/>
      <c r="BF219" s="601"/>
      <c r="BG219" s="601"/>
      <c r="BH219" s="601"/>
      <c r="BI219" s="601"/>
      <c r="BJ219" s="601"/>
      <c r="BK219" s="601"/>
      <c r="BL219" s="601"/>
      <c r="BM219" s="601"/>
      <c r="BN219" s="601"/>
      <c r="BO219" s="601"/>
      <c r="BP219" s="601"/>
      <c r="BQ219" s="601"/>
      <c r="BR219" s="601"/>
      <c r="BS219" s="601"/>
      <c r="BT219" s="601"/>
      <c r="BU219" s="601"/>
      <c r="BV219" s="601"/>
      <c r="BW219" s="601"/>
      <c r="BX219" s="601"/>
      <c r="BY219" s="601"/>
      <c r="BZ219" s="601"/>
      <c r="CA219" s="601"/>
      <c r="CB219" s="601"/>
      <c r="CC219" s="601"/>
      <c r="CD219" s="601"/>
      <c r="CE219" s="601"/>
      <c r="CF219" s="601"/>
      <c r="CG219" s="601"/>
      <c r="CH219" s="601"/>
      <c r="CI219" s="601"/>
      <c r="CJ219" s="601"/>
      <c r="CK219" s="601"/>
      <c r="CL219" s="601"/>
      <c r="CM219" s="601"/>
      <c r="CN219" s="601"/>
      <c r="CO219" s="601"/>
      <c r="CP219" s="601"/>
      <c r="CQ219" s="601"/>
      <c r="CR219" s="601"/>
      <c r="CS219" s="601"/>
      <c r="CT219" s="601"/>
      <c r="CU219" s="601"/>
      <c r="CV219" s="601"/>
      <c r="CW219" s="601"/>
      <c r="CX219" s="601"/>
      <c r="CY219" s="601"/>
      <c r="CZ219" s="601"/>
      <c r="DA219" s="601"/>
      <c r="DB219" s="601"/>
      <c r="DC219" s="601"/>
      <c r="DD219" s="601"/>
      <c r="DE219" s="601"/>
      <c r="DF219" s="601"/>
      <c r="DG219" s="601"/>
      <c r="DH219" s="601"/>
      <c r="DI219" s="601"/>
      <c r="DJ219" s="601"/>
      <c r="DK219" s="601"/>
      <c r="DL219" s="601"/>
      <c r="DM219" s="601"/>
      <c r="DN219" s="601"/>
      <c r="DO219" s="654">
        <f>$DO$7</f>
        <v>45473</v>
      </c>
      <c r="DP219" s="775"/>
      <c r="DQ219" s="775"/>
      <c r="DR219" s="595">
        <f>NAV!E719</f>
        <v>0</v>
      </c>
      <c r="DS219" s="596">
        <f>DR219-DR228</f>
        <v>0</v>
      </c>
      <c r="DT219" s="596"/>
      <c r="DU219" s="596"/>
      <c r="DV219" s="597"/>
      <c r="DW219" s="596"/>
      <c r="DX219" s="596"/>
      <c r="DY219" s="596"/>
      <c r="DZ219" s="655"/>
      <c r="EA219" s="656"/>
    </row>
    <row r="220" spans="1:131" ht="13.5">
      <c r="A220" s="652" t="str">
        <f t="shared" si="1282"/>
        <v>설정일</v>
      </c>
      <c r="B220" s="653" t="s">
        <v>351</v>
      </c>
      <c r="C220" s="781"/>
      <c r="D220" s="780"/>
      <c r="E220" s="780"/>
      <c r="F220" s="230"/>
      <c r="G220" s="230"/>
      <c r="I220" s="657">
        <f>SUM(DR220:EA220)</f>
        <v>0</v>
      </c>
      <c r="J220" s="606" t="str">
        <f>IFERROR(I220/(Q220/$C$222),"N/A")</f>
        <v>N/A</v>
      </c>
      <c r="K220" s="471"/>
      <c r="L220" s="607"/>
      <c r="M220" s="300"/>
      <c r="N220" s="608"/>
      <c r="O220" s="609">
        <f t="shared" ref="O220:O227" si="1283">-(SUMIF($S$218:$DN$218,"최초출자",S220:DN220)+SUMIF($S$218:$DN$218,"추가출자",S220:DN220))</f>
        <v>0</v>
      </c>
      <c r="P220" s="609">
        <f t="shared" ref="P220:P227" si="1284">SUMIF($S$218:$DN$218,"이익분배",S220:DN220)+SUMIF($S$218:$DN$218,"원본분배",S220:DN220)</f>
        <v>0</v>
      </c>
      <c r="Q220" s="609">
        <f t="shared" ref="Q220:Q227" si="1285">-(SUMIF($S$218:$DN$218,"최초출자",S220:DN220)+SUMIF($S$218:$DN$218,"추가출자",S220:DN220)+SUMIF($S$218:$DN$218,"원본분배",S220:DN220))</f>
        <v>0</v>
      </c>
      <c r="R220" s="610" t="str">
        <f>IFERROR(Q220/Q228,"")</f>
        <v/>
      </c>
      <c r="S220" s="658"/>
      <c r="T220" s="658"/>
      <c r="U220" s="658"/>
      <c r="V220" s="658"/>
      <c r="W220" s="658"/>
      <c r="X220" s="658"/>
      <c r="Y220" s="658"/>
      <c r="Z220" s="658"/>
      <c r="AA220" s="658"/>
      <c r="AB220" s="658"/>
      <c r="AC220" s="658"/>
      <c r="AD220" s="658"/>
      <c r="AE220" s="658"/>
      <c r="AF220" s="658"/>
      <c r="AG220" s="658"/>
      <c r="AH220" s="658"/>
      <c r="AI220" s="658"/>
      <c r="AJ220" s="658"/>
      <c r="AK220" s="658"/>
      <c r="AL220" s="658"/>
      <c r="AM220" s="658"/>
      <c r="AN220" s="658"/>
      <c r="AO220" s="658"/>
      <c r="AP220" s="658"/>
      <c r="AQ220" s="658"/>
      <c r="AR220" s="658"/>
      <c r="AS220" s="658"/>
      <c r="AT220" s="658"/>
      <c r="AU220" s="658"/>
      <c r="AV220" s="658"/>
      <c r="AW220" s="658"/>
      <c r="AX220" s="658"/>
      <c r="AY220" s="658"/>
      <c r="AZ220" s="658"/>
      <c r="BA220" s="658"/>
      <c r="BB220" s="658"/>
      <c r="BC220" s="658"/>
      <c r="BD220" s="658"/>
      <c r="BE220" s="658"/>
      <c r="BF220" s="658"/>
      <c r="BG220" s="658"/>
      <c r="BH220" s="658"/>
      <c r="BI220" s="658"/>
      <c r="BJ220" s="658"/>
      <c r="BK220" s="658"/>
      <c r="BL220" s="658"/>
      <c r="BM220" s="658"/>
      <c r="BN220" s="658"/>
      <c r="BO220" s="658"/>
      <c r="BP220" s="658"/>
      <c r="BQ220" s="658"/>
      <c r="BR220" s="658"/>
      <c r="BS220" s="658"/>
      <c r="BT220" s="658"/>
      <c r="BU220" s="658"/>
      <c r="BV220" s="658"/>
      <c r="BW220" s="658"/>
      <c r="BX220" s="658"/>
      <c r="BY220" s="658"/>
      <c r="BZ220" s="658"/>
      <c r="CA220" s="658"/>
      <c r="CB220" s="658"/>
      <c r="CC220" s="658"/>
      <c r="CD220" s="658"/>
      <c r="CE220" s="658"/>
      <c r="CF220" s="658"/>
      <c r="CG220" s="658"/>
      <c r="CH220" s="658"/>
      <c r="CI220" s="658"/>
      <c r="CJ220" s="658"/>
      <c r="CK220" s="658"/>
      <c r="CL220" s="658"/>
      <c r="CM220" s="658"/>
      <c r="CN220" s="658"/>
      <c r="CO220" s="658"/>
      <c r="CP220" s="658"/>
      <c r="CQ220" s="658"/>
      <c r="CR220" s="658"/>
      <c r="CS220" s="658"/>
      <c r="CT220" s="658"/>
      <c r="CU220" s="658"/>
      <c r="CV220" s="658"/>
      <c r="CW220" s="658"/>
      <c r="CX220" s="658"/>
      <c r="CY220" s="658"/>
      <c r="CZ220" s="658"/>
      <c r="DA220" s="658"/>
      <c r="DB220" s="658"/>
      <c r="DC220" s="658"/>
      <c r="DD220" s="658"/>
      <c r="DE220" s="658"/>
      <c r="DF220" s="658"/>
      <c r="DG220" s="658"/>
      <c r="DH220" s="658"/>
      <c r="DI220" s="658"/>
      <c r="DJ220" s="658"/>
      <c r="DK220" s="658"/>
      <c r="DL220" s="658"/>
      <c r="DM220" s="658"/>
      <c r="DN220" s="658"/>
      <c r="DO220" s="177">
        <f>IF(M220="",0,-XNPV(DP220,S220,S$219)*(1+DP220)^YEARFRAC($S$219,$DO$219,3))</f>
        <v>0</v>
      </c>
      <c r="DP220" s="612" t="e">
        <f>IF(HLOOKUP(L220,$C$227:$E$228,2,0)=0,1E-24%,HLOOKUP(L220,$C$227:$E$228,2,FALSE))</f>
        <v>#N/A</v>
      </c>
      <c r="DQ220" s="612" t="e">
        <f t="shared" ref="DQ220:DQ227" si="1286">XIRR(S220:DO220,$S$219:$DO$219)</f>
        <v>#NUM!</v>
      </c>
      <c r="DR220" s="177"/>
      <c r="DS220" s="177"/>
      <c r="DT220" s="177"/>
      <c r="DU220" s="177"/>
      <c r="DV220" s="177"/>
      <c r="DW220" s="177"/>
      <c r="DX220" s="177"/>
      <c r="DY220" s="177"/>
      <c r="DZ220" s="177"/>
      <c r="EA220" s="613"/>
    </row>
    <row r="221" spans="1:131" ht="13.5">
      <c r="A221" s="652" t="str">
        <f t="shared" si="1282"/>
        <v>출자잔액</v>
      </c>
      <c r="B221" s="653" t="s">
        <v>352</v>
      </c>
      <c r="C221" s="782"/>
      <c r="D221" s="782"/>
      <c r="E221" s="782"/>
      <c r="F221" s="230"/>
      <c r="G221" s="230"/>
      <c r="I221" s="657">
        <f t="shared" ref="I221:I227" si="1287">SUM(DR221:EA221)</f>
        <v>0</v>
      </c>
      <c r="J221" s="606" t="str">
        <f t="shared" ref="J221:J227" si="1288">IFERROR(I221/(Q221/$C$222),"N/A")</f>
        <v>N/A</v>
      </c>
      <c r="K221" s="471"/>
      <c r="L221" s="607"/>
      <c r="M221" s="300"/>
      <c r="N221" s="608"/>
      <c r="O221" s="609">
        <f t="shared" si="1283"/>
        <v>0</v>
      </c>
      <c r="P221" s="609">
        <f t="shared" si="1284"/>
        <v>0</v>
      </c>
      <c r="Q221" s="609">
        <f t="shared" si="1285"/>
        <v>0</v>
      </c>
      <c r="R221" s="610" t="str">
        <f>IFERROR(Q221/Q228,"")</f>
        <v/>
      </c>
      <c r="S221" s="658"/>
      <c r="T221" s="658"/>
      <c r="U221" s="658"/>
      <c r="V221" s="658"/>
      <c r="W221" s="658"/>
      <c r="X221" s="658"/>
      <c r="Y221" s="658"/>
      <c r="Z221" s="658"/>
      <c r="AA221" s="658"/>
      <c r="AB221" s="658"/>
      <c r="AC221" s="658"/>
      <c r="AD221" s="658"/>
      <c r="AE221" s="658"/>
      <c r="AF221" s="658"/>
      <c r="AG221" s="658"/>
      <c r="AH221" s="658"/>
      <c r="AI221" s="658"/>
      <c r="AJ221" s="658"/>
      <c r="AK221" s="658"/>
      <c r="AL221" s="658"/>
      <c r="AM221" s="658"/>
      <c r="AN221" s="658"/>
      <c r="AO221" s="658"/>
      <c r="AP221" s="658"/>
      <c r="AQ221" s="658"/>
      <c r="AR221" s="658"/>
      <c r="AS221" s="658"/>
      <c r="AT221" s="658"/>
      <c r="AU221" s="658"/>
      <c r="AV221" s="658"/>
      <c r="AW221" s="658"/>
      <c r="AX221" s="658"/>
      <c r="AY221" s="658"/>
      <c r="AZ221" s="658"/>
      <c r="BA221" s="658"/>
      <c r="BB221" s="658"/>
      <c r="BC221" s="658"/>
      <c r="BD221" s="658"/>
      <c r="BE221" s="658"/>
      <c r="BF221" s="658"/>
      <c r="BG221" s="658"/>
      <c r="BH221" s="658"/>
      <c r="BI221" s="658"/>
      <c r="BJ221" s="658"/>
      <c r="BK221" s="658"/>
      <c r="BL221" s="658"/>
      <c r="BM221" s="658"/>
      <c r="BN221" s="658"/>
      <c r="BO221" s="658"/>
      <c r="BP221" s="658"/>
      <c r="BQ221" s="658"/>
      <c r="BR221" s="658"/>
      <c r="BS221" s="658"/>
      <c r="BT221" s="658"/>
      <c r="BU221" s="658"/>
      <c r="BV221" s="658"/>
      <c r="BW221" s="658"/>
      <c r="BX221" s="658"/>
      <c r="BY221" s="658"/>
      <c r="BZ221" s="658"/>
      <c r="CA221" s="658"/>
      <c r="CB221" s="658"/>
      <c r="CC221" s="658"/>
      <c r="CD221" s="658"/>
      <c r="CE221" s="658"/>
      <c r="CF221" s="658"/>
      <c r="CG221" s="658"/>
      <c r="CH221" s="658"/>
      <c r="CI221" s="658"/>
      <c r="CJ221" s="658"/>
      <c r="CK221" s="658"/>
      <c r="CL221" s="658"/>
      <c r="CM221" s="658"/>
      <c r="CN221" s="658"/>
      <c r="CO221" s="658"/>
      <c r="CP221" s="658"/>
      <c r="CQ221" s="658"/>
      <c r="CR221" s="658"/>
      <c r="CS221" s="658"/>
      <c r="CT221" s="658"/>
      <c r="CU221" s="658"/>
      <c r="CV221" s="658"/>
      <c r="CW221" s="658"/>
      <c r="CX221" s="658"/>
      <c r="CY221" s="658"/>
      <c r="CZ221" s="658"/>
      <c r="DA221" s="658"/>
      <c r="DB221" s="658"/>
      <c r="DC221" s="658"/>
      <c r="DD221" s="658"/>
      <c r="DE221" s="658"/>
      <c r="DF221" s="658"/>
      <c r="DG221" s="658"/>
      <c r="DH221" s="658"/>
      <c r="DI221" s="658"/>
      <c r="DJ221" s="658"/>
      <c r="DK221" s="658"/>
      <c r="DL221" s="658"/>
      <c r="DM221" s="658"/>
      <c r="DN221" s="658"/>
      <c r="DO221" s="177">
        <f t="shared" ref="DO221:DO227" si="1289">IF(M221="",0,-XNPV(DP221,S221,S$219)*(1+DP221)^YEARFRAC($S$219,$DO$219,3))</f>
        <v>0</v>
      </c>
      <c r="DP221" s="612" t="e">
        <f t="shared" ref="DP221:DP227" si="1290">IF(HLOOKUP(L221,$C$227:$E$228,2,0)=0,1E-24%,HLOOKUP(L221,$C$227:$E$228,2,FALSE))</f>
        <v>#N/A</v>
      </c>
      <c r="DQ221" s="612" t="e">
        <f t="shared" si="1286"/>
        <v>#NUM!</v>
      </c>
      <c r="DR221" s="177"/>
      <c r="DS221" s="177"/>
      <c r="DT221" s="177"/>
      <c r="DU221" s="177"/>
      <c r="DV221" s="177"/>
      <c r="DW221" s="177"/>
      <c r="DX221" s="177"/>
      <c r="DY221" s="177"/>
      <c r="DZ221" s="177"/>
      <c r="EA221" s="613"/>
    </row>
    <row r="222" spans="1:131" ht="13.5">
      <c r="A222" s="652" t="str">
        <f t="shared" si="1282"/>
        <v>1좌당 금액</v>
      </c>
      <c r="B222" s="653" t="s">
        <v>353</v>
      </c>
      <c r="C222" s="783"/>
      <c r="D222" s="783"/>
      <c r="E222" s="783"/>
      <c r="F222" s="230"/>
      <c r="G222" s="230"/>
      <c r="I222" s="657">
        <f t="shared" si="1287"/>
        <v>0</v>
      </c>
      <c r="J222" s="606" t="str">
        <f t="shared" si="1288"/>
        <v>N/A</v>
      </c>
      <c r="K222" s="471"/>
      <c r="L222" s="607"/>
      <c r="M222" s="300"/>
      <c r="N222" s="608"/>
      <c r="O222" s="609">
        <f t="shared" si="1283"/>
        <v>0</v>
      </c>
      <c r="P222" s="609">
        <f t="shared" si="1284"/>
        <v>0</v>
      </c>
      <c r="Q222" s="609">
        <f t="shared" si="1285"/>
        <v>0</v>
      </c>
      <c r="R222" s="610" t="str">
        <f>IFERROR(Q222/Q228,"")</f>
        <v/>
      </c>
      <c r="S222" s="658"/>
      <c r="T222" s="658"/>
      <c r="U222" s="658"/>
      <c r="V222" s="658"/>
      <c r="W222" s="658"/>
      <c r="X222" s="658"/>
      <c r="Y222" s="658"/>
      <c r="Z222" s="658"/>
      <c r="AA222" s="658"/>
      <c r="AB222" s="658"/>
      <c r="AC222" s="658"/>
      <c r="AD222" s="658"/>
      <c r="AE222" s="658"/>
      <c r="AF222" s="658"/>
      <c r="AG222" s="658"/>
      <c r="AH222" s="658"/>
      <c r="AI222" s="658"/>
      <c r="AJ222" s="658"/>
      <c r="AK222" s="658"/>
      <c r="AL222" s="658"/>
      <c r="AM222" s="658"/>
      <c r="AN222" s="658"/>
      <c r="AO222" s="658"/>
      <c r="AP222" s="658"/>
      <c r="AQ222" s="658"/>
      <c r="AR222" s="658"/>
      <c r="AS222" s="658"/>
      <c r="AT222" s="658"/>
      <c r="AU222" s="658"/>
      <c r="AV222" s="658"/>
      <c r="AW222" s="658"/>
      <c r="AX222" s="658"/>
      <c r="AY222" s="658"/>
      <c r="AZ222" s="658"/>
      <c r="BA222" s="658"/>
      <c r="BB222" s="658"/>
      <c r="BC222" s="658"/>
      <c r="BD222" s="658"/>
      <c r="BE222" s="658"/>
      <c r="BF222" s="658"/>
      <c r="BG222" s="658"/>
      <c r="BH222" s="658"/>
      <c r="BI222" s="658"/>
      <c r="BJ222" s="658"/>
      <c r="BK222" s="658"/>
      <c r="BL222" s="658"/>
      <c r="BM222" s="658"/>
      <c r="BN222" s="658"/>
      <c r="BO222" s="658"/>
      <c r="BP222" s="658"/>
      <c r="BQ222" s="658"/>
      <c r="BR222" s="658"/>
      <c r="BS222" s="658"/>
      <c r="BT222" s="658"/>
      <c r="BU222" s="658"/>
      <c r="BV222" s="658"/>
      <c r="BW222" s="658"/>
      <c r="BX222" s="658"/>
      <c r="BY222" s="658"/>
      <c r="BZ222" s="658"/>
      <c r="CA222" s="658"/>
      <c r="CB222" s="658"/>
      <c r="CC222" s="658"/>
      <c r="CD222" s="658"/>
      <c r="CE222" s="658"/>
      <c r="CF222" s="658"/>
      <c r="CG222" s="658"/>
      <c r="CH222" s="658"/>
      <c r="CI222" s="658"/>
      <c r="CJ222" s="658"/>
      <c r="CK222" s="658"/>
      <c r="CL222" s="658"/>
      <c r="CM222" s="658"/>
      <c r="CN222" s="658"/>
      <c r="CO222" s="658"/>
      <c r="CP222" s="658"/>
      <c r="CQ222" s="658"/>
      <c r="CR222" s="658"/>
      <c r="CS222" s="658"/>
      <c r="CT222" s="658"/>
      <c r="CU222" s="658"/>
      <c r="CV222" s="658"/>
      <c r="CW222" s="658"/>
      <c r="CX222" s="658"/>
      <c r="CY222" s="658"/>
      <c r="CZ222" s="658"/>
      <c r="DA222" s="658"/>
      <c r="DB222" s="658"/>
      <c r="DC222" s="658"/>
      <c r="DD222" s="658"/>
      <c r="DE222" s="658"/>
      <c r="DF222" s="658"/>
      <c r="DG222" s="658"/>
      <c r="DH222" s="658"/>
      <c r="DI222" s="658"/>
      <c r="DJ222" s="658"/>
      <c r="DK222" s="658"/>
      <c r="DL222" s="658"/>
      <c r="DM222" s="658"/>
      <c r="DN222" s="658"/>
      <c r="DO222" s="177">
        <f t="shared" si="1289"/>
        <v>0</v>
      </c>
      <c r="DP222" s="612" t="e">
        <f t="shared" si="1290"/>
        <v>#N/A</v>
      </c>
      <c r="DQ222" s="612" t="e">
        <f t="shared" si="1286"/>
        <v>#NUM!</v>
      </c>
      <c r="DR222" s="177"/>
      <c r="DS222" s="177"/>
      <c r="DT222" s="177"/>
      <c r="DU222" s="177"/>
      <c r="DV222" s="177"/>
      <c r="DW222" s="177"/>
      <c r="DX222" s="177"/>
      <c r="DY222" s="177"/>
      <c r="DZ222" s="177"/>
      <c r="EA222" s="613"/>
    </row>
    <row r="223" spans="1:131" ht="13.5">
      <c r="A223" s="652" t="str">
        <f t="shared" si="1282"/>
        <v>기준수익률</v>
      </c>
      <c r="B223" s="653" t="s">
        <v>354</v>
      </c>
      <c r="C223" s="784"/>
      <c r="D223" s="785"/>
      <c r="E223" s="785"/>
      <c r="F223" s="230"/>
      <c r="G223" s="230"/>
      <c r="I223" s="657">
        <f t="shared" si="1287"/>
        <v>0</v>
      </c>
      <c r="J223" s="606" t="str">
        <f t="shared" si="1288"/>
        <v>N/A</v>
      </c>
      <c r="K223" s="471"/>
      <c r="L223" s="607"/>
      <c r="M223" s="300"/>
      <c r="N223" s="608"/>
      <c r="O223" s="609">
        <f t="shared" si="1283"/>
        <v>0</v>
      </c>
      <c r="P223" s="609">
        <f t="shared" si="1284"/>
        <v>0</v>
      </c>
      <c r="Q223" s="609">
        <f t="shared" si="1285"/>
        <v>0</v>
      </c>
      <c r="R223" s="610" t="str">
        <f>IFERROR(Q223/Q228,"")</f>
        <v/>
      </c>
      <c r="S223" s="658"/>
      <c r="T223" s="658"/>
      <c r="U223" s="658"/>
      <c r="V223" s="658"/>
      <c r="W223" s="658"/>
      <c r="X223" s="658"/>
      <c r="Y223" s="658"/>
      <c r="Z223" s="658"/>
      <c r="AA223" s="658"/>
      <c r="AB223" s="658"/>
      <c r="AC223" s="658"/>
      <c r="AD223" s="658"/>
      <c r="AE223" s="658"/>
      <c r="AF223" s="658"/>
      <c r="AG223" s="658"/>
      <c r="AH223" s="658"/>
      <c r="AI223" s="658"/>
      <c r="AJ223" s="658"/>
      <c r="AK223" s="658"/>
      <c r="AL223" s="658"/>
      <c r="AM223" s="658"/>
      <c r="AN223" s="658"/>
      <c r="AO223" s="658"/>
      <c r="AP223" s="658"/>
      <c r="AQ223" s="658"/>
      <c r="AR223" s="658"/>
      <c r="AS223" s="658"/>
      <c r="AT223" s="658"/>
      <c r="AU223" s="658"/>
      <c r="AV223" s="658"/>
      <c r="AW223" s="658"/>
      <c r="AX223" s="658"/>
      <c r="AY223" s="658"/>
      <c r="AZ223" s="658"/>
      <c r="BA223" s="658"/>
      <c r="BB223" s="658"/>
      <c r="BC223" s="658"/>
      <c r="BD223" s="658"/>
      <c r="BE223" s="658"/>
      <c r="BF223" s="658"/>
      <c r="BG223" s="658"/>
      <c r="BH223" s="658"/>
      <c r="BI223" s="658"/>
      <c r="BJ223" s="658"/>
      <c r="BK223" s="658"/>
      <c r="BL223" s="658"/>
      <c r="BM223" s="658"/>
      <c r="BN223" s="658"/>
      <c r="BO223" s="658"/>
      <c r="BP223" s="658"/>
      <c r="BQ223" s="658"/>
      <c r="BR223" s="658"/>
      <c r="BS223" s="658"/>
      <c r="BT223" s="658"/>
      <c r="BU223" s="658"/>
      <c r="BV223" s="658"/>
      <c r="BW223" s="658"/>
      <c r="BX223" s="658"/>
      <c r="BY223" s="658"/>
      <c r="BZ223" s="658"/>
      <c r="CA223" s="658"/>
      <c r="CB223" s="658"/>
      <c r="CC223" s="658"/>
      <c r="CD223" s="658"/>
      <c r="CE223" s="658"/>
      <c r="CF223" s="658"/>
      <c r="CG223" s="658"/>
      <c r="CH223" s="658"/>
      <c r="CI223" s="658"/>
      <c r="CJ223" s="658"/>
      <c r="CK223" s="658"/>
      <c r="CL223" s="658"/>
      <c r="CM223" s="658"/>
      <c r="CN223" s="658"/>
      <c r="CO223" s="658"/>
      <c r="CP223" s="658"/>
      <c r="CQ223" s="658"/>
      <c r="CR223" s="658"/>
      <c r="CS223" s="658"/>
      <c r="CT223" s="658"/>
      <c r="CU223" s="658"/>
      <c r="CV223" s="658"/>
      <c r="CW223" s="658"/>
      <c r="CX223" s="658"/>
      <c r="CY223" s="658"/>
      <c r="CZ223" s="658"/>
      <c r="DA223" s="658"/>
      <c r="DB223" s="658"/>
      <c r="DC223" s="658"/>
      <c r="DD223" s="658"/>
      <c r="DE223" s="658"/>
      <c r="DF223" s="658"/>
      <c r="DG223" s="658"/>
      <c r="DH223" s="658"/>
      <c r="DI223" s="658"/>
      <c r="DJ223" s="658"/>
      <c r="DK223" s="658"/>
      <c r="DL223" s="658"/>
      <c r="DM223" s="658"/>
      <c r="DN223" s="658"/>
      <c r="DO223" s="177">
        <f t="shared" si="1289"/>
        <v>0</v>
      </c>
      <c r="DP223" s="612" t="e">
        <f t="shared" si="1290"/>
        <v>#N/A</v>
      </c>
      <c r="DQ223" s="612" t="e">
        <f t="shared" si="1286"/>
        <v>#NUM!</v>
      </c>
      <c r="DR223" s="177"/>
      <c r="DS223" s="177"/>
      <c r="DT223" s="177"/>
      <c r="DU223" s="177"/>
      <c r="DV223" s="177"/>
      <c r="DW223" s="177"/>
      <c r="DX223" s="177"/>
      <c r="DY223" s="177"/>
      <c r="DZ223" s="177"/>
      <c r="EA223" s="613"/>
    </row>
    <row r="224" spans="1:131" ht="13.5">
      <c r="A224" s="652" t="str">
        <f t="shared" si="1282"/>
        <v>평가방법론</v>
      </c>
      <c r="B224" s="653" t="s">
        <v>7</v>
      </c>
      <c r="C224" s="786"/>
      <c r="D224" s="786"/>
      <c r="E224" s="786"/>
      <c r="F224" s="230"/>
      <c r="G224" s="230"/>
      <c r="I224" s="657">
        <f t="shared" si="1287"/>
        <v>0</v>
      </c>
      <c r="J224" s="606" t="str">
        <f t="shared" si="1288"/>
        <v>N/A</v>
      </c>
      <c r="K224" s="471"/>
      <c r="L224" s="607"/>
      <c r="M224" s="300"/>
      <c r="N224" s="608"/>
      <c r="O224" s="609">
        <f t="shared" si="1283"/>
        <v>0</v>
      </c>
      <c r="P224" s="609">
        <f t="shared" si="1284"/>
        <v>0</v>
      </c>
      <c r="Q224" s="609">
        <f t="shared" si="1285"/>
        <v>0</v>
      </c>
      <c r="R224" s="610" t="str">
        <f>IFERROR(Q224/Q228,"")</f>
        <v/>
      </c>
      <c r="S224" s="658"/>
      <c r="T224" s="658"/>
      <c r="U224" s="658"/>
      <c r="V224" s="658"/>
      <c r="W224" s="658"/>
      <c r="X224" s="658"/>
      <c r="Y224" s="658"/>
      <c r="Z224" s="658"/>
      <c r="AA224" s="658"/>
      <c r="AB224" s="658"/>
      <c r="AC224" s="658"/>
      <c r="AD224" s="658"/>
      <c r="AE224" s="658"/>
      <c r="AF224" s="658"/>
      <c r="AG224" s="658"/>
      <c r="AH224" s="658"/>
      <c r="AI224" s="658"/>
      <c r="AJ224" s="658"/>
      <c r="AK224" s="658"/>
      <c r="AL224" s="658"/>
      <c r="AM224" s="658"/>
      <c r="AN224" s="658"/>
      <c r="AO224" s="658"/>
      <c r="AP224" s="658"/>
      <c r="AQ224" s="658"/>
      <c r="AR224" s="658"/>
      <c r="AS224" s="658"/>
      <c r="AT224" s="658"/>
      <c r="AU224" s="658"/>
      <c r="AV224" s="658"/>
      <c r="AW224" s="658"/>
      <c r="AX224" s="658"/>
      <c r="AY224" s="658"/>
      <c r="AZ224" s="658"/>
      <c r="BA224" s="658"/>
      <c r="BB224" s="658"/>
      <c r="BC224" s="658"/>
      <c r="BD224" s="658"/>
      <c r="BE224" s="658"/>
      <c r="BF224" s="658"/>
      <c r="BG224" s="658"/>
      <c r="BH224" s="658"/>
      <c r="BI224" s="658"/>
      <c r="BJ224" s="658"/>
      <c r="BK224" s="658"/>
      <c r="BL224" s="658"/>
      <c r="BM224" s="658"/>
      <c r="BN224" s="658"/>
      <c r="BO224" s="658"/>
      <c r="BP224" s="658"/>
      <c r="BQ224" s="658"/>
      <c r="BR224" s="658"/>
      <c r="BS224" s="658"/>
      <c r="BT224" s="658"/>
      <c r="BU224" s="658"/>
      <c r="BV224" s="658"/>
      <c r="BW224" s="658"/>
      <c r="BX224" s="658"/>
      <c r="BY224" s="658"/>
      <c r="BZ224" s="658"/>
      <c r="CA224" s="658"/>
      <c r="CB224" s="658"/>
      <c r="CC224" s="658"/>
      <c r="CD224" s="658"/>
      <c r="CE224" s="658"/>
      <c r="CF224" s="658"/>
      <c r="CG224" s="658"/>
      <c r="CH224" s="658"/>
      <c r="CI224" s="658"/>
      <c r="CJ224" s="658"/>
      <c r="CK224" s="658"/>
      <c r="CL224" s="658"/>
      <c r="CM224" s="658"/>
      <c r="CN224" s="658"/>
      <c r="CO224" s="658"/>
      <c r="CP224" s="658"/>
      <c r="CQ224" s="658"/>
      <c r="CR224" s="658"/>
      <c r="CS224" s="658"/>
      <c r="CT224" s="658"/>
      <c r="CU224" s="658"/>
      <c r="CV224" s="658"/>
      <c r="CW224" s="658"/>
      <c r="CX224" s="658"/>
      <c r="CY224" s="658"/>
      <c r="CZ224" s="658"/>
      <c r="DA224" s="658"/>
      <c r="DB224" s="658"/>
      <c r="DC224" s="658"/>
      <c r="DD224" s="658"/>
      <c r="DE224" s="658"/>
      <c r="DF224" s="658"/>
      <c r="DG224" s="658"/>
      <c r="DH224" s="658"/>
      <c r="DI224" s="658"/>
      <c r="DJ224" s="658"/>
      <c r="DK224" s="658"/>
      <c r="DL224" s="658"/>
      <c r="DM224" s="658"/>
      <c r="DN224" s="658"/>
      <c r="DO224" s="177">
        <f t="shared" si="1289"/>
        <v>0</v>
      </c>
      <c r="DP224" s="612" t="e">
        <f t="shared" si="1290"/>
        <v>#N/A</v>
      </c>
      <c r="DQ224" s="612" t="e">
        <f t="shared" si="1286"/>
        <v>#NUM!</v>
      </c>
      <c r="DR224" s="177"/>
      <c r="DS224" s="177"/>
      <c r="DT224" s="177"/>
      <c r="DU224" s="177"/>
      <c r="DV224" s="177"/>
      <c r="DW224" s="177"/>
      <c r="DX224" s="177"/>
      <c r="DY224" s="177"/>
      <c r="DZ224" s="177"/>
      <c r="EA224" s="613"/>
    </row>
    <row r="225" spans="1:131" ht="13.5">
      <c r="A225" s="652" t="str">
        <f t="shared" si="1282"/>
        <v>분배 조항 여부</v>
      </c>
      <c r="B225" s="653" t="s">
        <v>355</v>
      </c>
      <c r="C225" s="786"/>
      <c r="D225" s="786"/>
      <c r="E225" s="786"/>
      <c r="F225" s="230"/>
      <c r="G225" s="230"/>
      <c r="I225" s="657">
        <f t="shared" si="1287"/>
        <v>0</v>
      </c>
      <c r="J225" s="606" t="str">
        <f t="shared" si="1288"/>
        <v>N/A</v>
      </c>
      <c r="K225" s="471"/>
      <c r="L225" s="607"/>
      <c r="M225" s="300"/>
      <c r="N225" s="608"/>
      <c r="O225" s="609">
        <f t="shared" si="1283"/>
        <v>0</v>
      </c>
      <c r="P225" s="609">
        <f t="shared" si="1284"/>
        <v>0</v>
      </c>
      <c r="Q225" s="609">
        <f t="shared" si="1285"/>
        <v>0</v>
      </c>
      <c r="R225" s="610" t="str">
        <f>IFERROR(Q225/Q228,"")</f>
        <v/>
      </c>
      <c r="S225" s="658"/>
      <c r="T225" s="658"/>
      <c r="U225" s="658"/>
      <c r="V225" s="658"/>
      <c r="W225" s="658"/>
      <c r="X225" s="658"/>
      <c r="Y225" s="658"/>
      <c r="Z225" s="658"/>
      <c r="AA225" s="658"/>
      <c r="AB225" s="658"/>
      <c r="AC225" s="658"/>
      <c r="AD225" s="658"/>
      <c r="AE225" s="658"/>
      <c r="AF225" s="658"/>
      <c r="AG225" s="658"/>
      <c r="AH225" s="658"/>
      <c r="AI225" s="658"/>
      <c r="AJ225" s="658"/>
      <c r="AK225" s="658"/>
      <c r="AL225" s="658"/>
      <c r="AM225" s="658"/>
      <c r="AN225" s="658"/>
      <c r="AO225" s="658"/>
      <c r="AP225" s="658"/>
      <c r="AQ225" s="658"/>
      <c r="AR225" s="658"/>
      <c r="AS225" s="658"/>
      <c r="AT225" s="658"/>
      <c r="AU225" s="658"/>
      <c r="AV225" s="658"/>
      <c r="AW225" s="658"/>
      <c r="AX225" s="658"/>
      <c r="AY225" s="658"/>
      <c r="AZ225" s="658"/>
      <c r="BA225" s="658"/>
      <c r="BB225" s="658"/>
      <c r="BC225" s="658"/>
      <c r="BD225" s="658"/>
      <c r="BE225" s="658"/>
      <c r="BF225" s="658"/>
      <c r="BG225" s="658"/>
      <c r="BH225" s="658"/>
      <c r="BI225" s="658"/>
      <c r="BJ225" s="658"/>
      <c r="BK225" s="658"/>
      <c r="BL225" s="658"/>
      <c r="BM225" s="658"/>
      <c r="BN225" s="658"/>
      <c r="BO225" s="658"/>
      <c r="BP225" s="658"/>
      <c r="BQ225" s="658"/>
      <c r="BR225" s="658"/>
      <c r="BS225" s="658"/>
      <c r="BT225" s="658"/>
      <c r="BU225" s="658"/>
      <c r="BV225" s="658"/>
      <c r="BW225" s="658"/>
      <c r="BX225" s="658"/>
      <c r="BY225" s="658"/>
      <c r="BZ225" s="658"/>
      <c r="CA225" s="658"/>
      <c r="CB225" s="658"/>
      <c r="CC225" s="658"/>
      <c r="CD225" s="658"/>
      <c r="CE225" s="658"/>
      <c r="CF225" s="658"/>
      <c r="CG225" s="658"/>
      <c r="CH225" s="658"/>
      <c r="CI225" s="658"/>
      <c r="CJ225" s="658"/>
      <c r="CK225" s="658"/>
      <c r="CL225" s="658"/>
      <c r="CM225" s="658"/>
      <c r="CN225" s="658"/>
      <c r="CO225" s="658"/>
      <c r="CP225" s="658"/>
      <c r="CQ225" s="658"/>
      <c r="CR225" s="658"/>
      <c r="CS225" s="658"/>
      <c r="CT225" s="658"/>
      <c r="CU225" s="658"/>
      <c r="CV225" s="658"/>
      <c r="CW225" s="658"/>
      <c r="CX225" s="658"/>
      <c r="CY225" s="658"/>
      <c r="CZ225" s="658"/>
      <c r="DA225" s="658"/>
      <c r="DB225" s="658"/>
      <c r="DC225" s="658"/>
      <c r="DD225" s="658"/>
      <c r="DE225" s="658"/>
      <c r="DF225" s="658"/>
      <c r="DG225" s="658"/>
      <c r="DH225" s="658"/>
      <c r="DI225" s="658"/>
      <c r="DJ225" s="658"/>
      <c r="DK225" s="658"/>
      <c r="DL225" s="658"/>
      <c r="DM225" s="658"/>
      <c r="DN225" s="658"/>
      <c r="DO225" s="177">
        <f t="shared" si="1289"/>
        <v>0</v>
      </c>
      <c r="DP225" s="612" t="e">
        <f t="shared" si="1290"/>
        <v>#N/A</v>
      </c>
      <c r="DQ225" s="612" t="e">
        <f t="shared" si="1286"/>
        <v>#NUM!</v>
      </c>
      <c r="DR225" s="177"/>
      <c r="DS225" s="177"/>
      <c r="DT225" s="177"/>
      <c r="DU225" s="177"/>
      <c r="DV225" s="177"/>
      <c r="DW225" s="177"/>
      <c r="DX225" s="177"/>
      <c r="DY225" s="177"/>
      <c r="DZ225" s="177"/>
      <c r="EA225" s="613"/>
    </row>
    <row r="226" spans="1:131" ht="14.25" thickBot="1">
      <c r="A226" s="652" t="str">
        <f t="shared" si="1282"/>
        <v>모펀드 출자 지분율</v>
      </c>
      <c r="B226" s="660" t="s">
        <v>356</v>
      </c>
      <c r="C226" s="787"/>
      <c r="D226" s="787"/>
      <c r="E226" s="787"/>
      <c r="F226" s="230"/>
      <c r="G226" s="230"/>
      <c r="I226" s="657">
        <f t="shared" si="1287"/>
        <v>0</v>
      </c>
      <c r="J226" s="606" t="str">
        <f t="shared" si="1288"/>
        <v>N/A</v>
      </c>
      <c r="K226" s="471"/>
      <c r="L226" s="607"/>
      <c r="M226" s="300"/>
      <c r="N226" s="608"/>
      <c r="O226" s="609">
        <f t="shared" si="1283"/>
        <v>0</v>
      </c>
      <c r="P226" s="609">
        <f t="shared" si="1284"/>
        <v>0</v>
      </c>
      <c r="Q226" s="609">
        <f t="shared" si="1285"/>
        <v>0</v>
      </c>
      <c r="R226" s="610" t="str">
        <f>IFERROR(Q226/Q228,"")</f>
        <v/>
      </c>
      <c r="S226" s="658"/>
      <c r="T226" s="658"/>
      <c r="U226" s="658"/>
      <c r="V226" s="658"/>
      <c r="W226" s="658"/>
      <c r="X226" s="658"/>
      <c r="Y226" s="658"/>
      <c r="Z226" s="658"/>
      <c r="AA226" s="658"/>
      <c r="AB226" s="658"/>
      <c r="AC226" s="658"/>
      <c r="AD226" s="658"/>
      <c r="AE226" s="658"/>
      <c r="AF226" s="658"/>
      <c r="AG226" s="658"/>
      <c r="AH226" s="658"/>
      <c r="AI226" s="658"/>
      <c r="AJ226" s="658"/>
      <c r="AK226" s="658"/>
      <c r="AL226" s="658"/>
      <c r="AM226" s="658"/>
      <c r="AN226" s="658"/>
      <c r="AO226" s="658"/>
      <c r="AP226" s="658"/>
      <c r="AQ226" s="658"/>
      <c r="AR226" s="658"/>
      <c r="AS226" s="658"/>
      <c r="AT226" s="658"/>
      <c r="AU226" s="658"/>
      <c r="AV226" s="658"/>
      <c r="AW226" s="658"/>
      <c r="AX226" s="658"/>
      <c r="AY226" s="658"/>
      <c r="AZ226" s="658"/>
      <c r="BA226" s="658"/>
      <c r="BB226" s="658"/>
      <c r="BC226" s="658"/>
      <c r="BD226" s="658"/>
      <c r="BE226" s="658"/>
      <c r="BF226" s="658"/>
      <c r="BG226" s="658"/>
      <c r="BH226" s="658"/>
      <c r="BI226" s="658"/>
      <c r="BJ226" s="658"/>
      <c r="BK226" s="658"/>
      <c r="BL226" s="658"/>
      <c r="BM226" s="658"/>
      <c r="BN226" s="658"/>
      <c r="BO226" s="658"/>
      <c r="BP226" s="658"/>
      <c r="BQ226" s="658"/>
      <c r="BR226" s="658"/>
      <c r="BS226" s="658"/>
      <c r="BT226" s="658"/>
      <c r="BU226" s="658"/>
      <c r="BV226" s="658"/>
      <c r="BW226" s="658"/>
      <c r="BX226" s="658"/>
      <c r="BY226" s="658"/>
      <c r="BZ226" s="658"/>
      <c r="CA226" s="658"/>
      <c r="CB226" s="658"/>
      <c r="CC226" s="658"/>
      <c r="CD226" s="658"/>
      <c r="CE226" s="658"/>
      <c r="CF226" s="658"/>
      <c r="CG226" s="658"/>
      <c r="CH226" s="658"/>
      <c r="CI226" s="658"/>
      <c r="CJ226" s="658"/>
      <c r="CK226" s="658"/>
      <c r="CL226" s="658"/>
      <c r="CM226" s="658"/>
      <c r="CN226" s="658"/>
      <c r="CO226" s="658"/>
      <c r="CP226" s="658"/>
      <c r="CQ226" s="658"/>
      <c r="CR226" s="658"/>
      <c r="CS226" s="658"/>
      <c r="CT226" s="658"/>
      <c r="CU226" s="658"/>
      <c r="CV226" s="658"/>
      <c r="CW226" s="658"/>
      <c r="CX226" s="658"/>
      <c r="CY226" s="658"/>
      <c r="CZ226" s="658"/>
      <c r="DA226" s="658"/>
      <c r="DB226" s="658"/>
      <c r="DC226" s="658"/>
      <c r="DD226" s="658"/>
      <c r="DE226" s="658"/>
      <c r="DF226" s="658"/>
      <c r="DG226" s="658"/>
      <c r="DH226" s="658"/>
      <c r="DI226" s="658"/>
      <c r="DJ226" s="658"/>
      <c r="DK226" s="658"/>
      <c r="DL226" s="658"/>
      <c r="DM226" s="658"/>
      <c r="DN226" s="658"/>
      <c r="DO226" s="177">
        <f t="shared" si="1289"/>
        <v>0</v>
      </c>
      <c r="DP226" s="612" t="e">
        <f t="shared" si="1290"/>
        <v>#N/A</v>
      </c>
      <c r="DQ226" s="612" t="e">
        <f t="shared" si="1286"/>
        <v>#NUM!</v>
      </c>
      <c r="DR226" s="177"/>
      <c r="DS226" s="177"/>
      <c r="DT226" s="177"/>
      <c r="DU226" s="177"/>
      <c r="DV226" s="177"/>
      <c r="DW226" s="177"/>
      <c r="DX226" s="177"/>
      <c r="DY226" s="177"/>
      <c r="DZ226" s="177"/>
      <c r="EA226" s="613"/>
    </row>
    <row r="227" spans="1:131" ht="14.25" thickBot="1">
      <c r="B227" s="778" t="s">
        <v>3404</v>
      </c>
      <c r="C227" s="616" t="s">
        <v>223</v>
      </c>
      <c r="D227" s="616" t="s">
        <v>224</v>
      </c>
      <c r="E227" s="616" t="s">
        <v>225</v>
      </c>
      <c r="F227" s="230"/>
      <c r="G227" s="230"/>
      <c r="I227" s="657">
        <f t="shared" si="1287"/>
        <v>0</v>
      </c>
      <c r="J227" s="606" t="str">
        <f t="shared" si="1288"/>
        <v>N/A</v>
      </c>
      <c r="K227" s="471"/>
      <c r="L227" s="607"/>
      <c r="M227" s="300"/>
      <c r="N227" s="608"/>
      <c r="O227" s="609">
        <f t="shared" si="1283"/>
        <v>0</v>
      </c>
      <c r="P227" s="609">
        <f t="shared" si="1284"/>
        <v>0</v>
      </c>
      <c r="Q227" s="609">
        <f t="shared" si="1285"/>
        <v>0</v>
      </c>
      <c r="R227" s="610" t="str">
        <f>IFERROR(Q227/Q228,"")</f>
        <v/>
      </c>
      <c r="S227" s="658"/>
      <c r="T227" s="658"/>
      <c r="U227" s="658"/>
      <c r="V227" s="658"/>
      <c r="W227" s="658"/>
      <c r="X227" s="658"/>
      <c r="Y227" s="658"/>
      <c r="Z227" s="658"/>
      <c r="AA227" s="658"/>
      <c r="AB227" s="658"/>
      <c r="AC227" s="658"/>
      <c r="AD227" s="658"/>
      <c r="AE227" s="658"/>
      <c r="AF227" s="658"/>
      <c r="AG227" s="658"/>
      <c r="AH227" s="658"/>
      <c r="AI227" s="658"/>
      <c r="AJ227" s="658"/>
      <c r="AK227" s="658"/>
      <c r="AL227" s="658"/>
      <c r="AM227" s="658"/>
      <c r="AN227" s="658"/>
      <c r="AO227" s="658"/>
      <c r="AP227" s="658"/>
      <c r="AQ227" s="658"/>
      <c r="AR227" s="658"/>
      <c r="AS227" s="658"/>
      <c r="AT227" s="658"/>
      <c r="AU227" s="658"/>
      <c r="AV227" s="658"/>
      <c r="AW227" s="658"/>
      <c r="AX227" s="658"/>
      <c r="AY227" s="658"/>
      <c r="AZ227" s="658"/>
      <c r="BA227" s="658"/>
      <c r="BB227" s="658"/>
      <c r="BC227" s="658"/>
      <c r="BD227" s="658"/>
      <c r="BE227" s="658"/>
      <c r="BF227" s="658"/>
      <c r="BG227" s="658"/>
      <c r="BH227" s="658"/>
      <c r="BI227" s="658"/>
      <c r="BJ227" s="658"/>
      <c r="BK227" s="658"/>
      <c r="BL227" s="658"/>
      <c r="BM227" s="658"/>
      <c r="BN227" s="658"/>
      <c r="BO227" s="658"/>
      <c r="BP227" s="658"/>
      <c r="BQ227" s="658"/>
      <c r="BR227" s="658"/>
      <c r="BS227" s="658"/>
      <c r="BT227" s="658"/>
      <c r="BU227" s="658"/>
      <c r="BV227" s="658"/>
      <c r="BW227" s="658"/>
      <c r="BX227" s="658"/>
      <c r="BY227" s="658"/>
      <c r="BZ227" s="658"/>
      <c r="CA227" s="658"/>
      <c r="CB227" s="658"/>
      <c r="CC227" s="658"/>
      <c r="CD227" s="658"/>
      <c r="CE227" s="658"/>
      <c r="CF227" s="658"/>
      <c r="CG227" s="658"/>
      <c r="CH227" s="658"/>
      <c r="CI227" s="658"/>
      <c r="CJ227" s="658"/>
      <c r="CK227" s="658"/>
      <c r="CL227" s="658"/>
      <c r="CM227" s="658"/>
      <c r="CN227" s="658"/>
      <c r="CO227" s="658"/>
      <c r="CP227" s="658"/>
      <c r="CQ227" s="658"/>
      <c r="CR227" s="658"/>
      <c r="CS227" s="658"/>
      <c r="CT227" s="658"/>
      <c r="CU227" s="658"/>
      <c r="CV227" s="658"/>
      <c r="CW227" s="658"/>
      <c r="CX227" s="658"/>
      <c r="CY227" s="658"/>
      <c r="CZ227" s="658"/>
      <c r="DA227" s="658"/>
      <c r="DB227" s="658"/>
      <c r="DC227" s="658"/>
      <c r="DD227" s="658"/>
      <c r="DE227" s="658"/>
      <c r="DF227" s="658"/>
      <c r="DG227" s="658"/>
      <c r="DH227" s="658"/>
      <c r="DI227" s="658"/>
      <c r="DJ227" s="658"/>
      <c r="DK227" s="658"/>
      <c r="DL227" s="658"/>
      <c r="DM227" s="658"/>
      <c r="DN227" s="658"/>
      <c r="DO227" s="177">
        <f t="shared" si="1289"/>
        <v>0</v>
      </c>
      <c r="DP227" s="612" t="e">
        <f t="shared" si="1290"/>
        <v>#N/A</v>
      </c>
      <c r="DQ227" s="612" t="e">
        <f t="shared" si="1286"/>
        <v>#NUM!</v>
      </c>
      <c r="DR227" s="177"/>
      <c r="DS227" s="177"/>
      <c r="DT227" s="177"/>
      <c r="DU227" s="177"/>
      <c r="DV227" s="177"/>
      <c r="DW227" s="177"/>
      <c r="DX227" s="177"/>
      <c r="DY227" s="177"/>
      <c r="DZ227" s="177"/>
      <c r="EA227" s="613"/>
    </row>
    <row r="228" spans="1:131" ht="14.25" thickBot="1">
      <c r="A228" s="317"/>
      <c r="B228" s="779"/>
      <c r="C228" s="661"/>
      <c r="D228" s="661"/>
      <c r="E228" s="661"/>
      <c r="F228" s="662"/>
      <c r="G228" s="662"/>
      <c r="H228" s="317"/>
      <c r="I228" s="634">
        <f>SUM(I220:I227)</f>
        <v>0</v>
      </c>
      <c r="J228" s="663"/>
      <c r="K228" s="664"/>
      <c r="L228" s="664"/>
      <c r="M228" s="664"/>
      <c r="N228" s="634">
        <f t="shared" ref="N228:R228" si="1291">SUM(N220:N227)</f>
        <v>0</v>
      </c>
      <c r="O228" s="634">
        <f t="shared" si="1291"/>
        <v>0</v>
      </c>
      <c r="P228" s="634">
        <f t="shared" si="1291"/>
        <v>0</v>
      </c>
      <c r="Q228" s="634">
        <f t="shared" si="1291"/>
        <v>0</v>
      </c>
      <c r="R228" s="665">
        <f t="shared" si="1291"/>
        <v>0</v>
      </c>
      <c r="S228" s="634">
        <f>SUM(S220:S227)</f>
        <v>0</v>
      </c>
      <c r="T228" s="634">
        <f t="shared" ref="T228" si="1292">SUM(T220:T227)</f>
        <v>0</v>
      </c>
      <c r="U228" s="634">
        <f t="shared" ref="U228" si="1293">SUM(U220:U227)</f>
        <v>0</v>
      </c>
      <c r="V228" s="634">
        <f t="shared" ref="V228" si="1294">SUM(V220:V227)</f>
        <v>0</v>
      </c>
      <c r="W228" s="634">
        <f t="shared" ref="W228" si="1295">SUM(W220:W227)</f>
        <v>0</v>
      </c>
      <c r="X228" s="634">
        <f t="shared" ref="X228" si="1296">SUM(X220:X227)</f>
        <v>0</v>
      </c>
      <c r="Y228" s="634">
        <f t="shared" ref="Y228" si="1297">SUM(Y220:Y227)</f>
        <v>0</v>
      </c>
      <c r="Z228" s="634">
        <f t="shared" ref="Z228" si="1298">SUM(Z220:Z227)</f>
        <v>0</v>
      </c>
      <c r="AA228" s="634">
        <f t="shared" ref="AA228" si="1299">SUM(AA220:AA227)</f>
        <v>0</v>
      </c>
      <c r="AB228" s="634">
        <f t="shared" ref="AB228" si="1300">SUM(AB220:AB227)</f>
        <v>0</v>
      </c>
      <c r="AC228" s="634">
        <f t="shared" ref="AC228" si="1301">SUM(AC220:AC227)</f>
        <v>0</v>
      </c>
      <c r="AD228" s="634">
        <f t="shared" ref="AD228" si="1302">SUM(AD220:AD227)</f>
        <v>0</v>
      </c>
      <c r="AE228" s="634">
        <f t="shared" ref="AE228" si="1303">SUM(AE220:AE227)</f>
        <v>0</v>
      </c>
      <c r="AF228" s="634">
        <f t="shared" ref="AF228" si="1304">SUM(AF220:AF227)</f>
        <v>0</v>
      </c>
      <c r="AG228" s="634">
        <f t="shared" ref="AG228" si="1305">SUM(AG220:AG227)</f>
        <v>0</v>
      </c>
      <c r="AH228" s="634">
        <f t="shared" ref="AH228" si="1306">SUM(AH220:AH227)</f>
        <v>0</v>
      </c>
      <c r="AI228" s="634">
        <f t="shared" ref="AI228" si="1307">SUM(AI220:AI227)</f>
        <v>0</v>
      </c>
      <c r="AJ228" s="634">
        <f t="shared" ref="AJ228" si="1308">SUM(AJ220:AJ227)</f>
        <v>0</v>
      </c>
      <c r="AK228" s="634">
        <f t="shared" ref="AK228" si="1309">SUM(AK220:AK227)</f>
        <v>0</v>
      </c>
      <c r="AL228" s="634">
        <f t="shared" ref="AL228" si="1310">SUM(AL220:AL227)</f>
        <v>0</v>
      </c>
      <c r="AM228" s="634">
        <f t="shared" ref="AM228" si="1311">SUM(AM220:AM227)</f>
        <v>0</v>
      </c>
      <c r="AN228" s="634">
        <f t="shared" ref="AN228" si="1312">SUM(AN220:AN227)</f>
        <v>0</v>
      </c>
      <c r="AO228" s="634">
        <f t="shared" ref="AO228" si="1313">SUM(AO220:AO227)</f>
        <v>0</v>
      </c>
      <c r="AP228" s="634">
        <f t="shared" ref="AP228" si="1314">SUM(AP220:AP227)</f>
        <v>0</v>
      </c>
      <c r="AQ228" s="634">
        <f t="shared" ref="AQ228" si="1315">SUM(AQ220:AQ227)</f>
        <v>0</v>
      </c>
      <c r="AR228" s="634">
        <f t="shared" ref="AR228" si="1316">SUM(AR220:AR227)</f>
        <v>0</v>
      </c>
      <c r="AS228" s="634">
        <f t="shared" ref="AS228" si="1317">SUM(AS220:AS227)</f>
        <v>0</v>
      </c>
      <c r="AT228" s="634">
        <f t="shared" ref="AT228" si="1318">SUM(AT220:AT227)</f>
        <v>0</v>
      </c>
      <c r="AU228" s="634">
        <f t="shared" ref="AU228" si="1319">SUM(AU220:AU227)</f>
        <v>0</v>
      </c>
      <c r="AV228" s="634">
        <f t="shared" ref="AV228" si="1320">SUM(AV220:AV227)</f>
        <v>0</v>
      </c>
      <c r="AW228" s="634">
        <f t="shared" ref="AW228" si="1321">SUM(AW220:AW227)</f>
        <v>0</v>
      </c>
      <c r="AX228" s="634">
        <f t="shared" ref="AX228" si="1322">SUM(AX220:AX227)</f>
        <v>0</v>
      </c>
      <c r="AY228" s="634">
        <f t="shared" ref="AY228" si="1323">SUM(AY220:AY227)</f>
        <v>0</v>
      </c>
      <c r="AZ228" s="634">
        <f t="shared" ref="AZ228" si="1324">SUM(AZ220:AZ227)</f>
        <v>0</v>
      </c>
      <c r="BA228" s="634">
        <f t="shared" ref="BA228" si="1325">SUM(BA220:BA227)</f>
        <v>0</v>
      </c>
      <c r="BB228" s="634">
        <f t="shared" ref="BB228" si="1326">SUM(BB220:BB227)</f>
        <v>0</v>
      </c>
      <c r="BC228" s="634">
        <f t="shared" ref="BC228" si="1327">SUM(BC220:BC227)</f>
        <v>0</v>
      </c>
      <c r="BD228" s="634">
        <f t="shared" ref="BD228" si="1328">SUM(BD220:BD227)</f>
        <v>0</v>
      </c>
      <c r="BE228" s="634">
        <f t="shared" ref="BE228" si="1329">SUM(BE220:BE227)</f>
        <v>0</v>
      </c>
      <c r="BF228" s="634">
        <f t="shared" ref="BF228" si="1330">SUM(BF220:BF227)</f>
        <v>0</v>
      </c>
      <c r="BG228" s="634">
        <f t="shared" ref="BG228" si="1331">SUM(BG220:BG227)</f>
        <v>0</v>
      </c>
      <c r="BH228" s="634">
        <f t="shared" ref="BH228" si="1332">SUM(BH220:BH227)</f>
        <v>0</v>
      </c>
      <c r="BI228" s="634">
        <f t="shared" ref="BI228" si="1333">SUM(BI220:BI227)</f>
        <v>0</v>
      </c>
      <c r="BJ228" s="634">
        <f t="shared" ref="BJ228" si="1334">SUM(BJ220:BJ227)</f>
        <v>0</v>
      </c>
      <c r="BK228" s="634">
        <f t="shared" ref="BK228" si="1335">SUM(BK220:BK227)</f>
        <v>0</v>
      </c>
      <c r="BL228" s="634">
        <f t="shared" ref="BL228" si="1336">SUM(BL220:BL227)</f>
        <v>0</v>
      </c>
      <c r="BM228" s="634">
        <f t="shared" ref="BM228" si="1337">SUM(BM220:BM227)</f>
        <v>0</v>
      </c>
      <c r="BN228" s="634">
        <f t="shared" ref="BN228" si="1338">SUM(BN220:BN227)</f>
        <v>0</v>
      </c>
      <c r="BO228" s="634">
        <f t="shared" ref="BO228" si="1339">SUM(BO220:BO227)</f>
        <v>0</v>
      </c>
      <c r="BP228" s="634">
        <f t="shared" ref="BP228" si="1340">SUM(BP220:BP227)</f>
        <v>0</v>
      </c>
      <c r="BQ228" s="634">
        <f t="shared" ref="BQ228" si="1341">SUM(BQ220:BQ227)</f>
        <v>0</v>
      </c>
      <c r="BR228" s="634">
        <f t="shared" ref="BR228" si="1342">SUM(BR220:BR227)</f>
        <v>0</v>
      </c>
      <c r="BS228" s="634">
        <f t="shared" ref="BS228" si="1343">SUM(BS220:BS227)</f>
        <v>0</v>
      </c>
      <c r="BT228" s="634">
        <f t="shared" ref="BT228" si="1344">SUM(BT220:BT227)</f>
        <v>0</v>
      </c>
      <c r="BU228" s="634">
        <f t="shared" ref="BU228" si="1345">SUM(BU220:BU227)</f>
        <v>0</v>
      </c>
      <c r="BV228" s="634">
        <f t="shared" ref="BV228" si="1346">SUM(BV220:BV227)</f>
        <v>0</v>
      </c>
      <c r="BW228" s="634">
        <f t="shared" ref="BW228" si="1347">SUM(BW220:BW227)</f>
        <v>0</v>
      </c>
      <c r="BX228" s="634">
        <f t="shared" ref="BX228" si="1348">SUM(BX220:BX227)</f>
        <v>0</v>
      </c>
      <c r="BY228" s="634">
        <f t="shared" ref="BY228" si="1349">SUM(BY220:BY227)</f>
        <v>0</v>
      </c>
      <c r="BZ228" s="634">
        <f t="shared" ref="BZ228" si="1350">SUM(BZ220:BZ227)</f>
        <v>0</v>
      </c>
      <c r="CA228" s="634">
        <f t="shared" ref="CA228" si="1351">SUM(CA220:CA227)</f>
        <v>0</v>
      </c>
      <c r="CB228" s="634">
        <f t="shared" ref="CB228" si="1352">SUM(CB220:CB227)</f>
        <v>0</v>
      </c>
      <c r="CC228" s="634">
        <f t="shared" ref="CC228" si="1353">SUM(CC220:CC227)</f>
        <v>0</v>
      </c>
      <c r="CD228" s="634">
        <f t="shared" ref="CD228" si="1354">SUM(CD220:CD227)</f>
        <v>0</v>
      </c>
      <c r="CE228" s="634">
        <f t="shared" ref="CE228" si="1355">SUM(CE220:CE227)</f>
        <v>0</v>
      </c>
      <c r="CF228" s="634">
        <f t="shared" ref="CF228" si="1356">SUM(CF220:CF227)</f>
        <v>0</v>
      </c>
      <c r="CG228" s="634">
        <f t="shared" ref="CG228" si="1357">SUM(CG220:CG227)</f>
        <v>0</v>
      </c>
      <c r="CH228" s="634">
        <f t="shared" ref="CH228" si="1358">SUM(CH220:CH227)</f>
        <v>0</v>
      </c>
      <c r="CI228" s="634">
        <f t="shared" ref="CI228" si="1359">SUM(CI220:CI227)</f>
        <v>0</v>
      </c>
      <c r="CJ228" s="634">
        <f t="shared" ref="CJ228" si="1360">SUM(CJ220:CJ227)</f>
        <v>0</v>
      </c>
      <c r="CK228" s="634">
        <f t="shared" ref="CK228" si="1361">SUM(CK220:CK227)</f>
        <v>0</v>
      </c>
      <c r="CL228" s="634">
        <f t="shared" ref="CL228" si="1362">SUM(CL220:CL227)</f>
        <v>0</v>
      </c>
      <c r="CM228" s="634">
        <f t="shared" ref="CM228" si="1363">SUM(CM220:CM227)</f>
        <v>0</v>
      </c>
      <c r="CN228" s="634">
        <f t="shared" ref="CN228" si="1364">SUM(CN220:CN227)</f>
        <v>0</v>
      </c>
      <c r="CO228" s="634">
        <f t="shared" ref="CO228" si="1365">SUM(CO220:CO227)</f>
        <v>0</v>
      </c>
      <c r="CP228" s="634">
        <f t="shared" ref="CP228" si="1366">SUM(CP220:CP227)</f>
        <v>0</v>
      </c>
      <c r="CQ228" s="634">
        <f t="shared" ref="CQ228" si="1367">SUM(CQ220:CQ227)</f>
        <v>0</v>
      </c>
      <c r="CR228" s="634">
        <f t="shared" ref="CR228" si="1368">SUM(CR220:CR227)</f>
        <v>0</v>
      </c>
      <c r="CS228" s="634">
        <f t="shared" ref="CS228" si="1369">SUM(CS220:CS227)</f>
        <v>0</v>
      </c>
      <c r="CT228" s="634">
        <f t="shared" ref="CT228" si="1370">SUM(CT220:CT227)</f>
        <v>0</v>
      </c>
      <c r="CU228" s="634">
        <f t="shared" ref="CU228" si="1371">SUM(CU220:CU227)</f>
        <v>0</v>
      </c>
      <c r="CV228" s="634">
        <f t="shared" ref="CV228" si="1372">SUM(CV220:CV227)</f>
        <v>0</v>
      </c>
      <c r="CW228" s="634">
        <f t="shared" ref="CW228" si="1373">SUM(CW220:CW227)</f>
        <v>0</v>
      </c>
      <c r="CX228" s="634">
        <f t="shared" ref="CX228" si="1374">SUM(CX220:CX227)</f>
        <v>0</v>
      </c>
      <c r="CY228" s="634">
        <f t="shared" ref="CY228" si="1375">SUM(CY220:CY227)</f>
        <v>0</v>
      </c>
      <c r="CZ228" s="634">
        <f t="shared" ref="CZ228" si="1376">SUM(CZ220:CZ227)</f>
        <v>0</v>
      </c>
      <c r="DA228" s="634">
        <f t="shared" ref="DA228" si="1377">SUM(DA220:DA227)</f>
        <v>0</v>
      </c>
      <c r="DB228" s="634">
        <f t="shared" ref="DB228" si="1378">SUM(DB220:DB227)</f>
        <v>0</v>
      </c>
      <c r="DC228" s="634">
        <f t="shared" ref="DC228" si="1379">SUM(DC220:DC227)</f>
        <v>0</v>
      </c>
      <c r="DD228" s="634">
        <f t="shared" ref="DD228" si="1380">SUM(DD220:DD227)</f>
        <v>0</v>
      </c>
      <c r="DE228" s="634">
        <f t="shared" ref="DE228" si="1381">SUM(DE220:DE227)</f>
        <v>0</v>
      </c>
      <c r="DF228" s="634">
        <f t="shared" ref="DF228" si="1382">SUM(DF220:DF227)</f>
        <v>0</v>
      </c>
      <c r="DG228" s="634">
        <f t="shared" ref="DG228" si="1383">SUM(DG220:DG227)</f>
        <v>0</v>
      </c>
      <c r="DH228" s="634">
        <f t="shared" ref="DH228" si="1384">SUM(DH220:DH227)</f>
        <v>0</v>
      </c>
      <c r="DI228" s="634">
        <f t="shared" ref="DI228" si="1385">SUM(DI220:DI227)</f>
        <v>0</v>
      </c>
      <c r="DJ228" s="634">
        <f t="shared" ref="DJ228" si="1386">SUM(DJ220:DJ227)</f>
        <v>0</v>
      </c>
      <c r="DK228" s="634">
        <f t="shared" ref="DK228" si="1387">SUM(DK220:DK227)</f>
        <v>0</v>
      </c>
      <c r="DL228" s="634">
        <f t="shared" ref="DL228" si="1388">SUM(DL220:DL227)</f>
        <v>0</v>
      </c>
      <c r="DM228" s="634">
        <f t="shared" ref="DM228" si="1389">SUM(DM220:DM227)</f>
        <v>0</v>
      </c>
      <c r="DN228" s="634">
        <f t="shared" ref="DN228" si="1390">SUM(DN220:DN227)</f>
        <v>0</v>
      </c>
      <c r="DO228" s="634">
        <f t="shared" ref="DO228" si="1391">SUM(DO220:DO227)</f>
        <v>0</v>
      </c>
      <c r="DP228" s="666"/>
      <c r="DQ228" s="638" t="e">
        <f>XIRR(S228:DO228,$S$219:$DO$219)</f>
        <v>#NUM!</v>
      </c>
      <c r="DR228" s="636">
        <f t="shared" ref="DR228:DX228" si="1392">SUM(DR220:DR227)</f>
        <v>0</v>
      </c>
      <c r="DS228" s="636">
        <f t="shared" si="1392"/>
        <v>0</v>
      </c>
      <c r="DT228" s="636">
        <f t="shared" si="1392"/>
        <v>0</v>
      </c>
      <c r="DU228" s="636">
        <f t="shared" si="1392"/>
        <v>0</v>
      </c>
      <c r="DV228" s="636">
        <f t="shared" si="1392"/>
        <v>0</v>
      </c>
      <c r="DW228" s="636">
        <f t="shared" si="1392"/>
        <v>0</v>
      </c>
      <c r="DX228" s="636">
        <f t="shared" si="1392"/>
        <v>0</v>
      </c>
      <c r="DY228" s="636">
        <f>SUM(DY220:DY227)</f>
        <v>0</v>
      </c>
      <c r="DZ228" s="636">
        <f>SUM(DZ220:DZ227)</f>
        <v>0</v>
      </c>
      <c r="EA228" s="636">
        <f>SUM(EA220:EA227)</f>
        <v>0</v>
      </c>
    </row>
    <row r="229" spans="1:131" ht="14.25" thickBot="1">
      <c r="A229" s="172"/>
      <c r="B229" s="667"/>
      <c r="C229" s="592" t="s">
        <v>3607</v>
      </c>
      <c r="D229" s="648">
        <f>D217+1</f>
        <v>15</v>
      </c>
      <c r="E229" s="649"/>
      <c r="F229" s="603"/>
      <c r="G229" s="603"/>
      <c r="I229" s="650" t="b">
        <f>I240=DR231</f>
        <v>1</v>
      </c>
      <c r="J229" s="172"/>
      <c r="K229" s="172"/>
      <c r="L229" s="172"/>
      <c r="M229" s="172"/>
      <c r="N229" s="172"/>
      <c r="O229" s="172"/>
      <c r="P229" s="172"/>
      <c r="Q229" s="639" t="str">
        <f>IF(Q240=NAV!E751,"자본금과 일치","자본금과 불일치")</f>
        <v>자본금과 일치</v>
      </c>
      <c r="R229" s="172"/>
      <c r="S229" s="172"/>
      <c r="T229" s="172"/>
      <c r="U229" s="172"/>
      <c r="V229" s="172"/>
      <c r="W229" s="172"/>
      <c r="X229" s="172"/>
      <c r="Y229" s="172"/>
      <c r="Z229" s="172"/>
      <c r="AA229" s="172"/>
      <c r="AB229" s="172"/>
      <c r="AC229" s="172"/>
      <c r="AD229" s="172"/>
      <c r="AE229" s="172"/>
      <c r="AF229" s="172"/>
      <c r="AG229" s="172"/>
      <c r="AH229" s="172"/>
      <c r="AI229" s="172"/>
      <c r="AJ229" s="172"/>
      <c r="AK229" s="172"/>
      <c r="AL229" s="172"/>
      <c r="AM229" s="172"/>
      <c r="AN229" s="172"/>
      <c r="AO229" s="172"/>
      <c r="AP229" s="172"/>
      <c r="AQ229" s="172"/>
      <c r="AR229" s="172"/>
      <c r="AS229" s="172"/>
      <c r="AT229" s="172"/>
      <c r="AU229" s="172"/>
      <c r="AV229" s="172"/>
      <c r="AW229" s="172"/>
      <c r="AX229" s="172"/>
      <c r="AY229" s="172"/>
      <c r="AZ229" s="172"/>
      <c r="BA229" s="172"/>
      <c r="BB229" s="172"/>
      <c r="BC229" s="172"/>
      <c r="BD229" s="172"/>
      <c r="BE229" s="172"/>
      <c r="BF229" s="172"/>
      <c r="BG229" s="172"/>
      <c r="BH229" s="172"/>
      <c r="BI229" s="172"/>
      <c r="BJ229" s="172"/>
      <c r="BK229" s="172"/>
      <c r="BL229" s="172"/>
      <c r="BM229" s="172"/>
      <c r="BN229" s="172"/>
      <c r="BO229" s="172"/>
      <c r="BP229" s="172"/>
      <c r="BQ229" s="172"/>
      <c r="BR229" s="172"/>
      <c r="BS229" s="172"/>
      <c r="BT229" s="172"/>
      <c r="BU229" s="172"/>
      <c r="BV229" s="172"/>
      <c r="BW229" s="172"/>
      <c r="BX229" s="172"/>
      <c r="BY229" s="172"/>
      <c r="BZ229" s="172"/>
      <c r="CA229" s="172"/>
      <c r="CB229" s="172"/>
      <c r="CC229" s="172"/>
      <c r="CD229" s="172"/>
      <c r="CE229" s="172"/>
      <c r="CF229" s="172"/>
      <c r="CG229" s="172"/>
      <c r="CH229" s="172"/>
      <c r="CI229" s="172"/>
      <c r="CJ229" s="172"/>
      <c r="CK229" s="172"/>
      <c r="CL229" s="172"/>
      <c r="CM229" s="172"/>
      <c r="CN229" s="172"/>
      <c r="CO229" s="172"/>
      <c r="CP229" s="172"/>
      <c r="CQ229" s="172"/>
      <c r="CR229" s="172"/>
      <c r="CS229" s="172"/>
      <c r="CT229" s="172"/>
      <c r="CU229" s="172"/>
      <c r="CV229" s="172"/>
      <c r="CW229" s="172"/>
      <c r="CX229" s="172"/>
      <c r="CY229" s="172"/>
      <c r="CZ229" s="172"/>
      <c r="DA229" s="172"/>
      <c r="DB229" s="172"/>
      <c r="DC229" s="172"/>
      <c r="DD229" s="172"/>
      <c r="DE229" s="172"/>
      <c r="DF229" s="172"/>
      <c r="DG229" s="172"/>
      <c r="DH229" s="172"/>
      <c r="DI229" s="172"/>
      <c r="DJ229" s="172"/>
      <c r="DK229" s="172"/>
      <c r="DL229" s="172"/>
      <c r="DM229" s="172"/>
      <c r="DN229" s="172"/>
      <c r="DO229" s="588" t="s">
        <v>243</v>
      </c>
      <c r="DP229" s="588" t="str">
        <f>IF(ROUND(_xlfn.AGGREGATE(9,6,DP232:DP239),5)=ROUND(_xlfn.AGGREGATE(9,6,DQ232:DQ239),5),"이상없음","기준수익률확인")</f>
        <v>이상없음</v>
      </c>
      <c r="DQ229" s="172"/>
      <c r="DR229" s="651" t="s">
        <v>3406</v>
      </c>
      <c r="DS229" s="172"/>
      <c r="DT229" s="615"/>
      <c r="DU229" s="615"/>
      <c r="DV229" s="172"/>
      <c r="DW229" s="172"/>
      <c r="DX229" s="615"/>
      <c r="DY229" s="172"/>
      <c r="DZ229" s="172"/>
      <c r="EA229" s="172"/>
    </row>
    <row r="230" spans="1:131" ht="13.5" customHeight="1">
      <c r="A230" s="652" t="str">
        <f t="shared" ref="A230:A238" si="1393">$B$229&amp;B230</f>
        <v>SPC명</v>
      </c>
      <c r="B230" s="653" t="s">
        <v>3407</v>
      </c>
      <c r="C230" s="802"/>
      <c r="D230" s="802"/>
      <c r="E230" s="802"/>
      <c r="F230" s="230"/>
      <c r="G230" s="230"/>
      <c r="I230" s="776" t="s">
        <v>3408</v>
      </c>
      <c r="J230" s="776" t="s">
        <v>3409</v>
      </c>
      <c r="K230" s="774" t="s">
        <v>3410</v>
      </c>
      <c r="L230" s="774" t="s">
        <v>3396</v>
      </c>
      <c r="M230" s="774" t="s">
        <v>850</v>
      </c>
      <c r="N230" s="774" t="s">
        <v>3411</v>
      </c>
      <c r="O230" s="774" t="s">
        <v>3412</v>
      </c>
      <c r="P230" s="776" t="s">
        <v>3413</v>
      </c>
      <c r="Q230" s="774" t="s">
        <v>3414</v>
      </c>
      <c r="R230" s="774" t="s">
        <v>3415</v>
      </c>
      <c r="S230" s="593"/>
      <c r="T230" s="593"/>
      <c r="U230" s="593"/>
      <c r="V230" s="593"/>
      <c r="W230" s="593"/>
      <c r="X230" s="593"/>
      <c r="Y230" s="593"/>
      <c r="Z230" s="593"/>
      <c r="AA230" s="593"/>
      <c r="AB230" s="593"/>
      <c r="AC230" s="593"/>
      <c r="AD230" s="593"/>
      <c r="AE230" s="593"/>
      <c r="AF230" s="593"/>
      <c r="AG230" s="593"/>
      <c r="AH230" s="593"/>
      <c r="AI230" s="593"/>
      <c r="AJ230" s="593"/>
      <c r="AK230" s="593"/>
      <c r="AL230" s="593"/>
      <c r="AM230" s="593"/>
      <c r="AN230" s="593"/>
      <c r="AO230" s="593"/>
      <c r="AP230" s="593"/>
      <c r="AQ230" s="593"/>
      <c r="AR230" s="593"/>
      <c r="AS230" s="593"/>
      <c r="AT230" s="593"/>
      <c r="AU230" s="593"/>
      <c r="AV230" s="593"/>
      <c r="AW230" s="593"/>
      <c r="AX230" s="593"/>
      <c r="AY230" s="593"/>
      <c r="AZ230" s="593"/>
      <c r="BA230" s="593"/>
      <c r="BB230" s="593"/>
      <c r="BC230" s="593"/>
      <c r="BD230" s="593"/>
      <c r="BE230" s="593"/>
      <c r="BF230" s="593"/>
      <c r="BG230" s="593"/>
      <c r="BH230" s="593"/>
      <c r="BI230" s="593"/>
      <c r="BJ230" s="593"/>
      <c r="BK230" s="593"/>
      <c r="BL230" s="593"/>
      <c r="BM230" s="593"/>
      <c r="BN230" s="593"/>
      <c r="BO230" s="593"/>
      <c r="BP230" s="593"/>
      <c r="BQ230" s="593"/>
      <c r="BR230" s="593"/>
      <c r="BS230" s="593"/>
      <c r="BT230" s="593"/>
      <c r="BU230" s="593"/>
      <c r="BV230" s="593"/>
      <c r="BW230" s="593"/>
      <c r="BX230" s="593"/>
      <c r="BY230" s="593"/>
      <c r="BZ230" s="593"/>
      <c r="CA230" s="593"/>
      <c r="CB230" s="593"/>
      <c r="CC230" s="593"/>
      <c r="CD230" s="593"/>
      <c r="CE230" s="593"/>
      <c r="CF230" s="593"/>
      <c r="CG230" s="593"/>
      <c r="CH230" s="593"/>
      <c r="CI230" s="593"/>
      <c r="CJ230" s="593"/>
      <c r="CK230" s="593"/>
      <c r="CL230" s="593"/>
      <c r="CM230" s="593"/>
      <c r="CN230" s="593"/>
      <c r="CO230" s="593"/>
      <c r="CP230" s="593"/>
      <c r="CQ230" s="593"/>
      <c r="CR230" s="593"/>
      <c r="CS230" s="593"/>
      <c r="CT230" s="593"/>
      <c r="CU230" s="593"/>
      <c r="CV230" s="593"/>
      <c r="CW230" s="593"/>
      <c r="CX230" s="593"/>
      <c r="CY230" s="593"/>
      <c r="CZ230" s="593"/>
      <c r="DA230" s="593"/>
      <c r="DB230" s="593"/>
      <c r="DC230" s="593"/>
      <c r="DD230" s="593"/>
      <c r="DE230" s="593"/>
      <c r="DF230" s="593"/>
      <c r="DG230" s="593"/>
      <c r="DH230" s="593"/>
      <c r="DI230" s="593"/>
      <c r="DJ230" s="593"/>
      <c r="DK230" s="593"/>
      <c r="DL230" s="593"/>
      <c r="DM230" s="593"/>
      <c r="DN230" s="593"/>
      <c r="DO230" s="594" t="s">
        <v>3416</v>
      </c>
      <c r="DP230" s="774" t="s">
        <v>3417</v>
      </c>
      <c r="DQ230" s="774" t="s">
        <v>222</v>
      </c>
      <c r="DR230" s="594"/>
      <c r="DS230" s="594"/>
      <c r="DT230" s="594"/>
      <c r="DU230" s="594"/>
      <c r="DV230" s="594"/>
      <c r="DW230" s="594"/>
      <c r="DX230" s="594"/>
      <c r="DY230" s="594"/>
      <c r="DZ230" s="594"/>
      <c r="EA230" s="602"/>
    </row>
    <row r="231" spans="1:131" ht="14.25" thickBot="1">
      <c r="A231" s="652" t="str">
        <f t="shared" si="1393"/>
        <v>유형</v>
      </c>
      <c r="B231" s="653" t="s">
        <v>170</v>
      </c>
      <c r="C231" s="780"/>
      <c r="D231" s="780"/>
      <c r="E231" s="780"/>
      <c r="F231" s="230"/>
      <c r="G231" s="230"/>
      <c r="I231" s="777"/>
      <c r="J231" s="777"/>
      <c r="K231" s="775"/>
      <c r="L231" s="775"/>
      <c r="M231" s="775"/>
      <c r="N231" s="775"/>
      <c r="O231" s="775"/>
      <c r="P231" s="777"/>
      <c r="Q231" s="775"/>
      <c r="R231" s="775"/>
      <c r="S231" s="601"/>
      <c r="T231" s="601"/>
      <c r="U231" s="601"/>
      <c r="V231" s="601"/>
      <c r="W231" s="601"/>
      <c r="X231" s="601"/>
      <c r="Y231" s="601"/>
      <c r="Z231" s="601"/>
      <c r="AA231" s="601"/>
      <c r="AB231" s="601"/>
      <c r="AC231" s="601"/>
      <c r="AD231" s="601"/>
      <c r="AE231" s="601"/>
      <c r="AF231" s="601"/>
      <c r="AG231" s="601"/>
      <c r="AH231" s="601"/>
      <c r="AI231" s="601"/>
      <c r="AJ231" s="601"/>
      <c r="AK231" s="601"/>
      <c r="AL231" s="601"/>
      <c r="AM231" s="601"/>
      <c r="AN231" s="601"/>
      <c r="AO231" s="601"/>
      <c r="AP231" s="601"/>
      <c r="AQ231" s="601"/>
      <c r="AR231" s="601"/>
      <c r="AS231" s="601"/>
      <c r="AT231" s="601"/>
      <c r="AU231" s="601"/>
      <c r="AV231" s="601"/>
      <c r="AW231" s="601"/>
      <c r="AX231" s="601"/>
      <c r="AY231" s="601"/>
      <c r="AZ231" s="601"/>
      <c r="BA231" s="601"/>
      <c r="BB231" s="601"/>
      <c r="BC231" s="601"/>
      <c r="BD231" s="601"/>
      <c r="BE231" s="601"/>
      <c r="BF231" s="601"/>
      <c r="BG231" s="601"/>
      <c r="BH231" s="601"/>
      <c r="BI231" s="601"/>
      <c r="BJ231" s="601"/>
      <c r="BK231" s="601"/>
      <c r="BL231" s="601"/>
      <c r="BM231" s="601"/>
      <c r="BN231" s="601"/>
      <c r="BO231" s="601"/>
      <c r="BP231" s="601"/>
      <c r="BQ231" s="601"/>
      <c r="BR231" s="601"/>
      <c r="BS231" s="601"/>
      <c r="BT231" s="601"/>
      <c r="BU231" s="601"/>
      <c r="BV231" s="601"/>
      <c r="BW231" s="601"/>
      <c r="BX231" s="601"/>
      <c r="BY231" s="601"/>
      <c r="BZ231" s="601"/>
      <c r="CA231" s="601"/>
      <c r="CB231" s="601"/>
      <c r="CC231" s="601"/>
      <c r="CD231" s="601"/>
      <c r="CE231" s="601"/>
      <c r="CF231" s="601"/>
      <c r="CG231" s="601"/>
      <c r="CH231" s="601"/>
      <c r="CI231" s="601"/>
      <c r="CJ231" s="601"/>
      <c r="CK231" s="601"/>
      <c r="CL231" s="601"/>
      <c r="CM231" s="601"/>
      <c r="CN231" s="601"/>
      <c r="CO231" s="601"/>
      <c r="CP231" s="601"/>
      <c r="CQ231" s="601"/>
      <c r="CR231" s="601"/>
      <c r="CS231" s="601"/>
      <c r="CT231" s="601"/>
      <c r="CU231" s="601"/>
      <c r="CV231" s="601"/>
      <c r="CW231" s="601"/>
      <c r="CX231" s="601"/>
      <c r="CY231" s="601"/>
      <c r="CZ231" s="601"/>
      <c r="DA231" s="601"/>
      <c r="DB231" s="601"/>
      <c r="DC231" s="601"/>
      <c r="DD231" s="601"/>
      <c r="DE231" s="601"/>
      <c r="DF231" s="601"/>
      <c r="DG231" s="601"/>
      <c r="DH231" s="601"/>
      <c r="DI231" s="601"/>
      <c r="DJ231" s="601"/>
      <c r="DK231" s="601"/>
      <c r="DL231" s="601"/>
      <c r="DM231" s="601"/>
      <c r="DN231" s="601"/>
      <c r="DO231" s="654">
        <f>$DO$7</f>
        <v>45473</v>
      </c>
      <c r="DP231" s="775"/>
      <c r="DQ231" s="775"/>
      <c r="DR231" s="595">
        <f>NAV!E757</f>
        <v>0</v>
      </c>
      <c r="DS231" s="596">
        <f>DR231-DR240</f>
        <v>0</v>
      </c>
      <c r="DT231" s="596"/>
      <c r="DU231" s="596"/>
      <c r="DV231" s="597"/>
      <c r="DW231" s="596"/>
      <c r="DX231" s="596"/>
      <c r="DY231" s="596"/>
      <c r="DZ231" s="655"/>
      <c r="EA231" s="656"/>
    </row>
    <row r="232" spans="1:131" ht="13.5">
      <c r="A232" s="652" t="str">
        <f t="shared" si="1393"/>
        <v>설정일</v>
      </c>
      <c r="B232" s="653" t="s">
        <v>3418</v>
      </c>
      <c r="C232" s="781"/>
      <c r="D232" s="781"/>
      <c r="E232" s="781"/>
      <c r="F232" s="230"/>
      <c r="G232" s="230"/>
      <c r="I232" s="657">
        <f>SUM(DR232:EA232)</f>
        <v>0</v>
      </c>
      <c r="J232" s="606" t="str">
        <f>IFERROR(I232/(Q232/$C$234),"N/A")</f>
        <v>N/A</v>
      </c>
      <c r="K232" s="471"/>
      <c r="L232" s="607"/>
      <c r="M232" s="300"/>
      <c r="N232" s="608"/>
      <c r="O232" s="609">
        <f t="shared" ref="O232:O239" si="1394">-(SUMIF($S$230:$DN$230,"최초출자",S232:DN232)+SUMIF($S$230:$DN$230,"추가출자",S232:DN232))</f>
        <v>0</v>
      </c>
      <c r="P232" s="609">
        <f t="shared" ref="P232:P239" si="1395">SUMIF($S$230:$DN$230,"이익분배",S232:DN232)+SUMIF($S$230:$DN$230,"원본분배",S232:DN232)</f>
        <v>0</v>
      </c>
      <c r="Q232" s="609">
        <f t="shared" ref="Q232:Q239" si="1396">-(SUMIF($S$230:$DN$230,"최초출자",S232:DN232)+SUMIF($S$230:$DN$230,"추가출자",S232:DN232)+SUMIF($S$230:$DN$230,"원본분배",S232:DN232))</f>
        <v>0</v>
      </c>
      <c r="R232" s="610" t="str">
        <f>IFERROR(Q232/Q240,"")</f>
        <v/>
      </c>
      <c r="S232" s="658"/>
      <c r="T232" s="658"/>
      <c r="U232" s="658"/>
      <c r="V232" s="658"/>
      <c r="W232" s="658"/>
      <c r="X232" s="658"/>
      <c r="Y232" s="658"/>
      <c r="Z232" s="658"/>
      <c r="AA232" s="658"/>
      <c r="AB232" s="658"/>
      <c r="AC232" s="658"/>
      <c r="AD232" s="658"/>
      <c r="AE232" s="658"/>
      <c r="AF232" s="658"/>
      <c r="AG232" s="658"/>
      <c r="AH232" s="658"/>
      <c r="AI232" s="658"/>
      <c r="AJ232" s="658"/>
      <c r="AK232" s="658"/>
      <c r="AL232" s="658"/>
      <c r="AM232" s="658"/>
      <c r="AN232" s="658"/>
      <c r="AO232" s="658"/>
      <c r="AP232" s="658"/>
      <c r="AQ232" s="658"/>
      <c r="AR232" s="658"/>
      <c r="AS232" s="658"/>
      <c r="AT232" s="658"/>
      <c r="AU232" s="658"/>
      <c r="AV232" s="658"/>
      <c r="AW232" s="658"/>
      <c r="AX232" s="658"/>
      <c r="AY232" s="658"/>
      <c r="AZ232" s="658"/>
      <c r="BA232" s="658"/>
      <c r="BB232" s="658"/>
      <c r="BC232" s="658"/>
      <c r="BD232" s="658"/>
      <c r="BE232" s="658"/>
      <c r="BF232" s="658"/>
      <c r="BG232" s="658"/>
      <c r="BH232" s="658"/>
      <c r="BI232" s="658"/>
      <c r="BJ232" s="658"/>
      <c r="BK232" s="658"/>
      <c r="BL232" s="658"/>
      <c r="BM232" s="658"/>
      <c r="BN232" s="658"/>
      <c r="BO232" s="658"/>
      <c r="BP232" s="658"/>
      <c r="BQ232" s="658"/>
      <c r="BR232" s="658"/>
      <c r="BS232" s="658"/>
      <c r="BT232" s="658"/>
      <c r="BU232" s="658"/>
      <c r="BV232" s="658"/>
      <c r="BW232" s="658"/>
      <c r="BX232" s="658"/>
      <c r="BY232" s="658"/>
      <c r="BZ232" s="658"/>
      <c r="CA232" s="658"/>
      <c r="CB232" s="658"/>
      <c r="CC232" s="658"/>
      <c r="CD232" s="658"/>
      <c r="CE232" s="658"/>
      <c r="CF232" s="658"/>
      <c r="CG232" s="658"/>
      <c r="CH232" s="658"/>
      <c r="CI232" s="658"/>
      <c r="CJ232" s="658"/>
      <c r="CK232" s="658"/>
      <c r="CL232" s="658"/>
      <c r="CM232" s="658"/>
      <c r="CN232" s="658"/>
      <c r="CO232" s="658"/>
      <c r="CP232" s="658"/>
      <c r="CQ232" s="658"/>
      <c r="CR232" s="658"/>
      <c r="CS232" s="658"/>
      <c r="CT232" s="658"/>
      <c r="CU232" s="658"/>
      <c r="CV232" s="658"/>
      <c r="CW232" s="658"/>
      <c r="CX232" s="658"/>
      <c r="CY232" s="658"/>
      <c r="CZ232" s="658"/>
      <c r="DA232" s="658"/>
      <c r="DB232" s="658"/>
      <c r="DC232" s="658"/>
      <c r="DD232" s="658"/>
      <c r="DE232" s="658"/>
      <c r="DF232" s="658"/>
      <c r="DG232" s="658"/>
      <c r="DH232" s="658"/>
      <c r="DI232" s="658"/>
      <c r="DJ232" s="658"/>
      <c r="DK232" s="658"/>
      <c r="DL232" s="658"/>
      <c r="DM232" s="658"/>
      <c r="DN232" s="658"/>
      <c r="DO232" s="177">
        <f>IF(M232="",0,-XNPV(DP232,S232,S$231)*(1+DP232)^YEARFRAC($S$231,$DO$231,3))</f>
        <v>0</v>
      </c>
      <c r="DP232" s="612" t="e">
        <f>IF(HLOOKUP(L232,$C$239:$E$240,2,0)=0,1E-24%,HLOOKUP(L232,$C$239:$E$240,2,FALSE))</f>
        <v>#N/A</v>
      </c>
      <c r="DQ232" s="612" t="e">
        <f t="shared" ref="DQ232:DQ239" si="1397">XIRR(S232:DO232,$S$231:$DO$231)</f>
        <v>#NUM!</v>
      </c>
      <c r="DR232" s="177"/>
      <c r="DS232" s="177"/>
      <c r="DT232" s="177"/>
      <c r="DU232" s="177"/>
      <c r="DV232" s="177"/>
      <c r="DW232" s="177"/>
      <c r="DX232" s="177"/>
      <c r="DY232" s="177"/>
      <c r="DZ232" s="177"/>
      <c r="EA232" s="613"/>
    </row>
    <row r="233" spans="1:131" ht="13.5">
      <c r="A233" s="652" t="str">
        <f t="shared" si="1393"/>
        <v>출자잔액</v>
      </c>
      <c r="B233" s="653" t="s">
        <v>3419</v>
      </c>
      <c r="C233" s="782"/>
      <c r="D233" s="782"/>
      <c r="E233" s="782"/>
      <c r="F233" s="230"/>
      <c r="G233" s="230"/>
      <c r="I233" s="657">
        <f t="shared" ref="I233:I239" si="1398">SUM(DR233:EA233)</f>
        <v>0</v>
      </c>
      <c r="J233" s="606" t="str">
        <f t="shared" ref="J233:J239" si="1399">IFERROR(I233/(Q233/$C$234),"N/A")</f>
        <v>N/A</v>
      </c>
      <c r="K233" s="471"/>
      <c r="L233" s="607"/>
      <c r="M233" s="300"/>
      <c r="N233" s="608"/>
      <c r="O233" s="609">
        <f t="shared" si="1394"/>
        <v>0</v>
      </c>
      <c r="P233" s="609">
        <f t="shared" si="1395"/>
        <v>0</v>
      </c>
      <c r="Q233" s="609">
        <f t="shared" si="1396"/>
        <v>0</v>
      </c>
      <c r="R233" s="610" t="str">
        <f>IFERROR(Q233/Q240,"")</f>
        <v/>
      </c>
      <c r="S233" s="658"/>
      <c r="T233" s="658"/>
      <c r="U233" s="658"/>
      <c r="V233" s="658"/>
      <c r="W233" s="658"/>
      <c r="X233" s="658"/>
      <c r="Y233" s="658"/>
      <c r="Z233" s="658"/>
      <c r="AA233" s="658"/>
      <c r="AB233" s="658"/>
      <c r="AC233" s="658"/>
      <c r="AD233" s="658"/>
      <c r="AE233" s="658"/>
      <c r="AF233" s="658"/>
      <c r="AG233" s="658"/>
      <c r="AH233" s="658"/>
      <c r="AI233" s="658"/>
      <c r="AJ233" s="658"/>
      <c r="AK233" s="658"/>
      <c r="AL233" s="658"/>
      <c r="AM233" s="658"/>
      <c r="AN233" s="658"/>
      <c r="AO233" s="658"/>
      <c r="AP233" s="658"/>
      <c r="AQ233" s="658"/>
      <c r="AR233" s="658"/>
      <c r="AS233" s="658"/>
      <c r="AT233" s="658"/>
      <c r="AU233" s="658"/>
      <c r="AV233" s="658"/>
      <c r="AW233" s="658"/>
      <c r="AX233" s="658"/>
      <c r="AY233" s="658"/>
      <c r="AZ233" s="658"/>
      <c r="BA233" s="658"/>
      <c r="BB233" s="658"/>
      <c r="BC233" s="658"/>
      <c r="BD233" s="658"/>
      <c r="BE233" s="658"/>
      <c r="BF233" s="658"/>
      <c r="BG233" s="658"/>
      <c r="BH233" s="658"/>
      <c r="BI233" s="658"/>
      <c r="BJ233" s="658"/>
      <c r="BK233" s="658"/>
      <c r="BL233" s="658"/>
      <c r="BM233" s="658"/>
      <c r="BN233" s="658"/>
      <c r="BO233" s="658"/>
      <c r="BP233" s="658"/>
      <c r="BQ233" s="658"/>
      <c r="BR233" s="658"/>
      <c r="BS233" s="658"/>
      <c r="BT233" s="658"/>
      <c r="BU233" s="658"/>
      <c r="BV233" s="658"/>
      <c r="BW233" s="658"/>
      <c r="BX233" s="658"/>
      <c r="BY233" s="658"/>
      <c r="BZ233" s="658"/>
      <c r="CA233" s="658"/>
      <c r="CB233" s="658"/>
      <c r="CC233" s="658"/>
      <c r="CD233" s="658"/>
      <c r="CE233" s="658"/>
      <c r="CF233" s="658"/>
      <c r="CG233" s="658"/>
      <c r="CH233" s="658"/>
      <c r="CI233" s="658"/>
      <c r="CJ233" s="658"/>
      <c r="CK233" s="658"/>
      <c r="CL233" s="658"/>
      <c r="CM233" s="658"/>
      <c r="CN233" s="658"/>
      <c r="CO233" s="658"/>
      <c r="CP233" s="658"/>
      <c r="CQ233" s="658"/>
      <c r="CR233" s="658"/>
      <c r="CS233" s="658"/>
      <c r="CT233" s="658"/>
      <c r="CU233" s="658"/>
      <c r="CV233" s="658"/>
      <c r="CW233" s="658"/>
      <c r="CX233" s="658"/>
      <c r="CY233" s="658"/>
      <c r="CZ233" s="658"/>
      <c r="DA233" s="658"/>
      <c r="DB233" s="658"/>
      <c r="DC233" s="658"/>
      <c r="DD233" s="658"/>
      <c r="DE233" s="658"/>
      <c r="DF233" s="658"/>
      <c r="DG233" s="658"/>
      <c r="DH233" s="658"/>
      <c r="DI233" s="658"/>
      <c r="DJ233" s="658"/>
      <c r="DK233" s="658"/>
      <c r="DL233" s="658"/>
      <c r="DM233" s="658"/>
      <c r="DN233" s="658"/>
      <c r="DO233" s="177">
        <f t="shared" ref="DO233:DO239" si="1400">IF(M233="",0,-XNPV(DP233,S233,S$231)*(1+DP233)^YEARFRAC($S$231,$DO$231,3))</f>
        <v>0</v>
      </c>
      <c r="DP233" s="612" t="e">
        <f t="shared" ref="DP233:DP239" si="1401">IF(HLOOKUP(L233,$C$239:$E$240,2,0)=0,1E-24%,HLOOKUP(L233,$C$239:$E$240,2,FALSE))</f>
        <v>#N/A</v>
      </c>
      <c r="DQ233" s="612" t="e">
        <f t="shared" si="1397"/>
        <v>#NUM!</v>
      </c>
      <c r="DR233" s="177"/>
      <c r="DS233" s="177"/>
      <c r="DT233" s="177"/>
      <c r="DU233" s="177"/>
      <c r="DV233" s="177"/>
      <c r="DW233" s="177"/>
      <c r="DX233" s="177"/>
      <c r="DY233" s="177"/>
      <c r="DZ233" s="177"/>
      <c r="EA233" s="613"/>
    </row>
    <row r="234" spans="1:131" ht="13.5">
      <c r="A234" s="652" t="str">
        <f t="shared" si="1393"/>
        <v>1좌당 금액</v>
      </c>
      <c r="B234" s="653" t="s">
        <v>3420</v>
      </c>
      <c r="C234" s="783"/>
      <c r="D234" s="783"/>
      <c r="E234" s="783"/>
      <c r="F234" s="230"/>
      <c r="G234" s="230"/>
      <c r="I234" s="657">
        <f t="shared" si="1398"/>
        <v>0</v>
      </c>
      <c r="J234" s="606" t="str">
        <f t="shared" si="1399"/>
        <v>N/A</v>
      </c>
      <c r="K234" s="471"/>
      <c r="L234" s="607"/>
      <c r="M234" s="300"/>
      <c r="N234" s="608"/>
      <c r="O234" s="609">
        <f t="shared" si="1394"/>
        <v>0</v>
      </c>
      <c r="P234" s="609">
        <f t="shared" si="1395"/>
        <v>0</v>
      </c>
      <c r="Q234" s="609">
        <f t="shared" si="1396"/>
        <v>0</v>
      </c>
      <c r="R234" s="610" t="str">
        <f>IFERROR(Q234/Q240,"")</f>
        <v/>
      </c>
      <c r="S234" s="658"/>
      <c r="T234" s="658"/>
      <c r="U234" s="658"/>
      <c r="V234" s="658"/>
      <c r="W234" s="658"/>
      <c r="X234" s="658"/>
      <c r="Y234" s="658"/>
      <c r="Z234" s="658"/>
      <c r="AA234" s="658"/>
      <c r="AB234" s="658"/>
      <c r="AC234" s="658"/>
      <c r="AD234" s="658"/>
      <c r="AE234" s="658"/>
      <c r="AF234" s="658"/>
      <c r="AG234" s="658"/>
      <c r="AH234" s="658"/>
      <c r="AI234" s="658"/>
      <c r="AJ234" s="658"/>
      <c r="AK234" s="658"/>
      <c r="AL234" s="658"/>
      <c r="AM234" s="658"/>
      <c r="AN234" s="658"/>
      <c r="AO234" s="658"/>
      <c r="AP234" s="658"/>
      <c r="AQ234" s="658"/>
      <c r="AR234" s="658"/>
      <c r="AS234" s="658"/>
      <c r="AT234" s="658"/>
      <c r="AU234" s="658"/>
      <c r="AV234" s="658"/>
      <c r="AW234" s="658"/>
      <c r="AX234" s="658"/>
      <c r="AY234" s="658"/>
      <c r="AZ234" s="658"/>
      <c r="BA234" s="658"/>
      <c r="BB234" s="658"/>
      <c r="BC234" s="658"/>
      <c r="BD234" s="658"/>
      <c r="BE234" s="658"/>
      <c r="BF234" s="658"/>
      <c r="BG234" s="658"/>
      <c r="BH234" s="658"/>
      <c r="BI234" s="658"/>
      <c r="BJ234" s="658"/>
      <c r="BK234" s="658"/>
      <c r="BL234" s="658"/>
      <c r="BM234" s="658"/>
      <c r="BN234" s="658"/>
      <c r="BO234" s="658"/>
      <c r="BP234" s="658"/>
      <c r="BQ234" s="658"/>
      <c r="BR234" s="658"/>
      <c r="BS234" s="658"/>
      <c r="BT234" s="658"/>
      <c r="BU234" s="658"/>
      <c r="BV234" s="658"/>
      <c r="BW234" s="658"/>
      <c r="BX234" s="658"/>
      <c r="BY234" s="658"/>
      <c r="BZ234" s="658"/>
      <c r="CA234" s="658"/>
      <c r="CB234" s="658"/>
      <c r="CC234" s="658"/>
      <c r="CD234" s="658"/>
      <c r="CE234" s="658"/>
      <c r="CF234" s="658"/>
      <c r="CG234" s="658"/>
      <c r="CH234" s="658"/>
      <c r="CI234" s="658"/>
      <c r="CJ234" s="658"/>
      <c r="CK234" s="658"/>
      <c r="CL234" s="658"/>
      <c r="CM234" s="658"/>
      <c r="CN234" s="658"/>
      <c r="CO234" s="658"/>
      <c r="CP234" s="658"/>
      <c r="CQ234" s="658"/>
      <c r="CR234" s="658"/>
      <c r="CS234" s="658"/>
      <c r="CT234" s="658"/>
      <c r="CU234" s="658"/>
      <c r="CV234" s="658"/>
      <c r="CW234" s="658"/>
      <c r="CX234" s="658"/>
      <c r="CY234" s="658"/>
      <c r="CZ234" s="658"/>
      <c r="DA234" s="658"/>
      <c r="DB234" s="658"/>
      <c r="DC234" s="658"/>
      <c r="DD234" s="658"/>
      <c r="DE234" s="658"/>
      <c r="DF234" s="658"/>
      <c r="DG234" s="658"/>
      <c r="DH234" s="658"/>
      <c r="DI234" s="658"/>
      <c r="DJ234" s="658"/>
      <c r="DK234" s="658"/>
      <c r="DL234" s="658"/>
      <c r="DM234" s="658"/>
      <c r="DN234" s="658"/>
      <c r="DO234" s="177">
        <f t="shared" si="1400"/>
        <v>0</v>
      </c>
      <c r="DP234" s="612" t="e">
        <f t="shared" si="1401"/>
        <v>#N/A</v>
      </c>
      <c r="DQ234" s="612" t="e">
        <f t="shared" si="1397"/>
        <v>#NUM!</v>
      </c>
      <c r="DR234" s="177"/>
      <c r="DS234" s="177"/>
      <c r="DT234" s="177"/>
      <c r="DU234" s="177"/>
      <c r="DV234" s="177"/>
      <c r="DW234" s="177"/>
      <c r="DX234" s="177"/>
      <c r="DY234" s="177"/>
      <c r="DZ234" s="177"/>
      <c r="EA234" s="613"/>
    </row>
    <row r="235" spans="1:131" ht="13.5">
      <c r="A235" s="652" t="str">
        <f t="shared" si="1393"/>
        <v>기준수익률</v>
      </c>
      <c r="B235" s="653" t="s">
        <v>189</v>
      </c>
      <c r="C235" s="784"/>
      <c r="D235" s="784"/>
      <c r="E235" s="784"/>
      <c r="F235" s="230"/>
      <c r="G235" s="230"/>
      <c r="I235" s="657">
        <f t="shared" si="1398"/>
        <v>0</v>
      </c>
      <c r="J235" s="606" t="str">
        <f t="shared" si="1399"/>
        <v>N/A</v>
      </c>
      <c r="K235" s="471"/>
      <c r="L235" s="607"/>
      <c r="M235" s="300"/>
      <c r="N235" s="608"/>
      <c r="O235" s="609">
        <f t="shared" si="1394"/>
        <v>0</v>
      </c>
      <c r="P235" s="609">
        <f t="shared" si="1395"/>
        <v>0</v>
      </c>
      <c r="Q235" s="609">
        <f t="shared" si="1396"/>
        <v>0</v>
      </c>
      <c r="R235" s="610" t="str">
        <f>IFERROR(Q235/Q240,"")</f>
        <v/>
      </c>
      <c r="S235" s="658"/>
      <c r="T235" s="658"/>
      <c r="U235" s="658"/>
      <c r="V235" s="658"/>
      <c r="W235" s="658"/>
      <c r="X235" s="658"/>
      <c r="Y235" s="658"/>
      <c r="Z235" s="658"/>
      <c r="AA235" s="658"/>
      <c r="AB235" s="658"/>
      <c r="AC235" s="658"/>
      <c r="AD235" s="658"/>
      <c r="AE235" s="658"/>
      <c r="AF235" s="658"/>
      <c r="AG235" s="658"/>
      <c r="AH235" s="658"/>
      <c r="AI235" s="658"/>
      <c r="AJ235" s="658"/>
      <c r="AK235" s="658"/>
      <c r="AL235" s="658"/>
      <c r="AM235" s="658"/>
      <c r="AN235" s="658"/>
      <c r="AO235" s="658"/>
      <c r="AP235" s="658"/>
      <c r="AQ235" s="658"/>
      <c r="AR235" s="658"/>
      <c r="AS235" s="658"/>
      <c r="AT235" s="658"/>
      <c r="AU235" s="658"/>
      <c r="AV235" s="658"/>
      <c r="AW235" s="658"/>
      <c r="AX235" s="658"/>
      <c r="AY235" s="658"/>
      <c r="AZ235" s="658"/>
      <c r="BA235" s="658"/>
      <c r="BB235" s="658"/>
      <c r="BC235" s="658"/>
      <c r="BD235" s="658"/>
      <c r="BE235" s="658"/>
      <c r="BF235" s="658"/>
      <c r="BG235" s="658"/>
      <c r="BH235" s="658"/>
      <c r="BI235" s="658"/>
      <c r="BJ235" s="658"/>
      <c r="BK235" s="658"/>
      <c r="BL235" s="658"/>
      <c r="BM235" s="658"/>
      <c r="BN235" s="658"/>
      <c r="BO235" s="658"/>
      <c r="BP235" s="658"/>
      <c r="BQ235" s="658"/>
      <c r="BR235" s="658"/>
      <c r="BS235" s="658"/>
      <c r="BT235" s="658"/>
      <c r="BU235" s="658"/>
      <c r="BV235" s="658"/>
      <c r="BW235" s="658"/>
      <c r="BX235" s="658"/>
      <c r="BY235" s="658"/>
      <c r="BZ235" s="658"/>
      <c r="CA235" s="658"/>
      <c r="CB235" s="658"/>
      <c r="CC235" s="658"/>
      <c r="CD235" s="658"/>
      <c r="CE235" s="658"/>
      <c r="CF235" s="658"/>
      <c r="CG235" s="658"/>
      <c r="CH235" s="658"/>
      <c r="CI235" s="658"/>
      <c r="CJ235" s="658"/>
      <c r="CK235" s="658"/>
      <c r="CL235" s="658"/>
      <c r="CM235" s="658"/>
      <c r="CN235" s="658"/>
      <c r="CO235" s="658"/>
      <c r="CP235" s="658"/>
      <c r="CQ235" s="658"/>
      <c r="CR235" s="658"/>
      <c r="CS235" s="658"/>
      <c r="CT235" s="658"/>
      <c r="CU235" s="658"/>
      <c r="CV235" s="658"/>
      <c r="CW235" s="658"/>
      <c r="CX235" s="658"/>
      <c r="CY235" s="658"/>
      <c r="CZ235" s="658"/>
      <c r="DA235" s="658"/>
      <c r="DB235" s="658"/>
      <c r="DC235" s="658"/>
      <c r="DD235" s="658"/>
      <c r="DE235" s="658"/>
      <c r="DF235" s="658"/>
      <c r="DG235" s="658"/>
      <c r="DH235" s="658"/>
      <c r="DI235" s="658"/>
      <c r="DJ235" s="658"/>
      <c r="DK235" s="658"/>
      <c r="DL235" s="658"/>
      <c r="DM235" s="658"/>
      <c r="DN235" s="658"/>
      <c r="DO235" s="177">
        <f t="shared" si="1400"/>
        <v>0</v>
      </c>
      <c r="DP235" s="612" t="e">
        <f t="shared" si="1401"/>
        <v>#N/A</v>
      </c>
      <c r="DQ235" s="612" t="e">
        <f t="shared" si="1397"/>
        <v>#NUM!</v>
      </c>
      <c r="DR235" s="177"/>
      <c r="DS235" s="177"/>
      <c r="DT235" s="177"/>
      <c r="DU235" s="177"/>
      <c r="DV235" s="177"/>
      <c r="DW235" s="177"/>
      <c r="DX235" s="177"/>
      <c r="DY235" s="177"/>
      <c r="DZ235" s="177"/>
      <c r="EA235" s="613"/>
    </row>
    <row r="236" spans="1:131" ht="13.5">
      <c r="A236" s="652" t="str">
        <f t="shared" si="1393"/>
        <v>평가방법론</v>
      </c>
      <c r="B236" s="653" t="s">
        <v>3421</v>
      </c>
      <c r="C236" s="786"/>
      <c r="D236" s="786"/>
      <c r="E236" s="786"/>
      <c r="F236" s="230"/>
      <c r="G236" s="230"/>
      <c r="I236" s="657">
        <f t="shared" si="1398"/>
        <v>0</v>
      </c>
      <c r="J236" s="606" t="str">
        <f t="shared" si="1399"/>
        <v>N/A</v>
      </c>
      <c r="K236" s="471"/>
      <c r="L236" s="607"/>
      <c r="M236" s="300"/>
      <c r="N236" s="608"/>
      <c r="O236" s="609">
        <f t="shared" si="1394"/>
        <v>0</v>
      </c>
      <c r="P236" s="609">
        <f t="shared" si="1395"/>
        <v>0</v>
      </c>
      <c r="Q236" s="609">
        <f t="shared" si="1396"/>
        <v>0</v>
      </c>
      <c r="R236" s="610" t="str">
        <f>IFERROR(Q236/Q240,"")</f>
        <v/>
      </c>
      <c r="S236" s="658"/>
      <c r="T236" s="658"/>
      <c r="U236" s="658"/>
      <c r="V236" s="658"/>
      <c r="W236" s="658"/>
      <c r="X236" s="658"/>
      <c r="Y236" s="658"/>
      <c r="Z236" s="658"/>
      <c r="AA236" s="658"/>
      <c r="AB236" s="658"/>
      <c r="AC236" s="658"/>
      <c r="AD236" s="658"/>
      <c r="AE236" s="658"/>
      <c r="AF236" s="658"/>
      <c r="AG236" s="658"/>
      <c r="AH236" s="658"/>
      <c r="AI236" s="658"/>
      <c r="AJ236" s="658"/>
      <c r="AK236" s="658"/>
      <c r="AL236" s="658"/>
      <c r="AM236" s="658"/>
      <c r="AN236" s="658"/>
      <c r="AO236" s="658"/>
      <c r="AP236" s="658"/>
      <c r="AQ236" s="658"/>
      <c r="AR236" s="658"/>
      <c r="AS236" s="658"/>
      <c r="AT236" s="658"/>
      <c r="AU236" s="658"/>
      <c r="AV236" s="658"/>
      <c r="AW236" s="658"/>
      <c r="AX236" s="658"/>
      <c r="AY236" s="658"/>
      <c r="AZ236" s="658"/>
      <c r="BA236" s="658"/>
      <c r="BB236" s="658"/>
      <c r="BC236" s="658"/>
      <c r="BD236" s="658"/>
      <c r="BE236" s="658"/>
      <c r="BF236" s="658"/>
      <c r="BG236" s="658"/>
      <c r="BH236" s="658"/>
      <c r="BI236" s="658"/>
      <c r="BJ236" s="658"/>
      <c r="BK236" s="658"/>
      <c r="BL236" s="658"/>
      <c r="BM236" s="658"/>
      <c r="BN236" s="658"/>
      <c r="BO236" s="658"/>
      <c r="BP236" s="658"/>
      <c r="BQ236" s="658"/>
      <c r="BR236" s="658"/>
      <c r="BS236" s="658"/>
      <c r="BT236" s="658"/>
      <c r="BU236" s="658"/>
      <c r="BV236" s="658"/>
      <c r="BW236" s="658"/>
      <c r="BX236" s="658"/>
      <c r="BY236" s="658"/>
      <c r="BZ236" s="658"/>
      <c r="CA236" s="658"/>
      <c r="CB236" s="658"/>
      <c r="CC236" s="658"/>
      <c r="CD236" s="658"/>
      <c r="CE236" s="658"/>
      <c r="CF236" s="658"/>
      <c r="CG236" s="658"/>
      <c r="CH236" s="658"/>
      <c r="CI236" s="658"/>
      <c r="CJ236" s="658"/>
      <c r="CK236" s="658"/>
      <c r="CL236" s="658"/>
      <c r="CM236" s="658"/>
      <c r="CN236" s="658"/>
      <c r="CO236" s="658"/>
      <c r="CP236" s="658"/>
      <c r="CQ236" s="658"/>
      <c r="CR236" s="658"/>
      <c r="CS236" s="658"/>
      <c r="CT236" s="658"/>
      <c r="CU236" s="658"/>
      <c r="CV236" s="658"/>
      <c r="CW236" s="658"/>
      <c r="CX236" s="658"/>
      <c r="CY236" s="658"/>
      <c r="CZ236" s="658"/>
      <c r="DA236" s="658"/>
      <c r="DB236" s="658"/>
      <c r="DC236" s="658"/>
      <c r="DD236" s="658"/>
      <c r="DE236" s="658"/>
      <c r="DF236" s="658"/>
      <c r="DG236" s="658"/>
      <c r="DH236" s="658"/>
      <c r="DI236" s="658"/>
      <c r="DJ236" s="658"/>
      <c r="DK236" s="658"/>
      <c r="DL236" s="658"/>
      <c r="DM236" s="658"/>
      <c r="DN236" s="658"/>
      <c r="DO236" s="177">
        <f t="shared" si="1400"/>
        <v>0</v>
      </c>
      <c r="DP236" s="612" t="e">
        <f t="shared" si="1401"/>
        <v>#N/A</v>
      </c>
      <c r="DQ236" s="612" t="e">
        <f t="shared" si="1397"/>
        <v>#NUM!</v>
      </c>
      <c r="DR236" s="177"/>
      <c r="DS236" s="177"/>
      <c r="DT236" s="177"/>
      <c r="DU236" s="177"/>
      <c r="DV236" s="177"/>
      <c r="DW236" s="177"/>
      <c r="DX236" s="177"/>
      <c r="DY236" s="177"/>
      <c r="DZ236" s="177"/>
      <c r="EA236" s="613"/>
    </row>
    <row r="237" spans="1:131" ht="13.5">
      <c r="A237" s="652" t="str">
        <f t="shared" si="1393"/>
        <v>분배 조항 여부</v>
      </c>
      <c r="B237" s="653" t="s">
        <v>3422</v>
      </c>
      <c r="C237" s="786"/>
      <c r="D237" s="786"/>
      <c r="E237" s="786"/>
      <c r="F237" s="230"/>
      <c r="G237" s="230"/>
      <c r="I237" s="657">
        <f t="shared" si="1398"/>
        <v>0</v>
      </c>
      <c r="J237" s="606" t="str">
        <f t="shared" si="1399"/>
        <v>N/A</v>
      </c>
      <c r="K237" s="471"/>
      <c r="L237" s="607"/>
      <c r="M237" s="300"/>
      <c r="N237" s="608"/>
      <c r="O237" s="609">
        <f t="shared" si="1394"/>
        <v>0</v>
      </c>
      <c r="P237" s="609">
        <f t="shared" si="1395"/>
        <v>0</v>
      </c>
      <c r="Q237" s="609">
        <f t="shared" si="1396"/>
        <v>0</v>
      </c>
      <c r="R237" s="610" t="str">
        <f>IFERROR(Q237/Q240,"")</f>
        <v/>
      </c>
      <c r="S237" s="658"/>
      <c r="T237" s="658"/>
      <c r="U237" s="658"/>
      <c r="V237" s="658"/>
      <c r="W237" s="658"/>
      <c r="X237" s="658"/>
      <c r="Y237" s="658"/>
      <c r="Z237" s="658"/>
      <c r="AA237" s="658"/>
      <c r="AB237" s="658"/>
      <c r="AC237" s="658"/>
      <c r="AD237" s="658"/>
      <c r="AE237" s="658"/>
      <c r="AF237" s="658"/>
      <c r="AG237" s="658"/>
      <c r="AH237" s="658"/>
      <c r="AI237" s="658"/>
      <c r="AJ237" s="658"/>
      <c r="AK237" s="658"/>
      <c r="AL237" s="658"/>
      <c r="AM237" s="658"/>
      <c r="AN237" s="658"/>
      <c r="AO237" s="658"/>
      <c r="AP237" s="658"/>
      <c r="AQ237" s="658"/>
      <c r="AR237" s="658"/>
      <c r="AS237" s="658"/>
      <c r="AT237" s="658"/>
      <c r="AU237" s="658"/>
      <c r="AV237" s="658"/>
      <c r="AW237" s="658"/>
      <c r="AX237" s="658"/>
      <c r="AY237" s="658"/>
      <c r="AZ237" s="658"/>
      <c r="BA237" s="658"/>
      <c r="BB237" s="658"/>
      <c r="BC237" s="658"/>
      <c r="BD237" s="658"/>
      <c r="BE237" s="658"/>
      <c r="BF237" s="658"/>
      <c r="BG237" s="658"/>
      <c r="BH237" s="658"/>
      <c r="BI237" s="658"/>
      <c r="BJ237" s="658"/>
      <c r="BK237" s="658"/>
      <c r="BL237" s="658"/>
      <c r="BM237" s="658"/>
      <c r="BN237" s="658"/>
      <c r="BO237" s="658"/>
      <c r="BP237" s="658"/>
      <c r="BQ237" s="658"/>
      <c r="BR237" s="658"/>
      <c r="BS237" s="658"/>
      <c r="BT237" s="658"/>
      <c r="BU237" s="658"/>
      <c r="BV237" s="658"/>
      <c r="BW237" s="658"/>
      <c r="BX237" s="658"/>
      <c r="BY237" s="658"/>
      <c r="BZ237" s="658"/>
      <c r="CA237" s="658"/>
      <c r="CB237" s="658"/>
      <c r="CC237" s="658"/>
      <c r="CD237" s="658"/>
      <c r="CE237" s="658"/>
      <c r="CF237" s="658"/>
      <c r="CG237" s="658"/>
      <c r="CH237" s="658"/>
      <c r="CI237" s="658"/>
      <c r="CJ237" s="658"/>
      <c r="CK237" s="658"/>
      <c r="CL237" s="658"/>
      <c r="CM237" s="658"/>
      <c r="CN237" s="658"/>
      <c r="CO237" s="658"/>
      <c r="CP237" s="658"/>
      <c r="CQ237" s="658"/>
      <c r="CR237" s="658"/>
      <c r="CS237" s="658"/>
      <c r="CT237" s="658"/>
      <c r="CU237" s="658"/>
      <c r="CV237" s="658"/>
      <c r="CW237" s="658"/>
      <c r="CX237" s="658"/>
      <c r="CY237" s="658"/>
      <c r="CZ237" s="658"/>
      <c r="DA237" s="658"/>
      <c r="DB237" s="658"/>
      <c r="DC237" s="658"/>
      <c r="DD237" s="658"/>
      <c r="DE237" s="658"/>
      <c r="DF237" s="658"/>
      <c r="DG237" s="658"/>
      <c r="DH237" s="658"/>
      <c r="DI237" s="658"/>
      <c r="DJ237" s="658"/>
      <c r="DK237" s="658"/>
      <c r="DL237" s="658"/>
      <c r="DM237" s="658"/>
      <c r="DN237" s="658"/>
      <c r="DO237" s="177">
        <f t="shared" si="1400"/>
        <v>0</v>
      </c>
      <c r="DP237" s="612" t="e">
        <f t="shared" si="1401"/>
        <v>#N/A</v>
      </c>
      <c r="DQ237" s="612" t="e">
        <f t="shared" si="1397"/>
        <v>#NUM!</v>
      </c>
      <c r="DR237" s="177"/>
      <c r="DS237" s="177"/>
      <c r="DT237" s="177"/>
      <c r="DU237" s="177"/>
      <c r="DV237" s="177"/>
      <c r="DW237" s="177"/>
      <c r="DX237" s="177"/>
      <c r="DY237" s="177"/>
      <c r="DZ237" s="177"/>
      <c r="EA237" s="613"/>
    </row>
    <row r="238" spans="1:131" ht="14.25" thickBot="1">
      <c r="A238" s="668" t="str">
        <f t="shared" si="1393"/>
        <v>모펀드 출자 지분율</v>
      </c>
      <c r="B238" s="660" t="s">
        <v>3423</v>
      </c>
      <c r="C238" s="787"/>
      <c r="D238" s="787"/>
      <c r="E238" s="787"/>
      <c r="F238" s="230"/>
      <c r="G238" s="230"/>
      <c r="I238" s="657">
        <f t="shared" si="1398"/>
        <v>0</v>
      </c>
      <c r="J238" s="606" t="str">
        <f t="shared" si="1399"/>
        <v>N/A</v>
      </c>
      <c r="K238" s="471"/>
      <c r="L238" s="607"/>
      <c r="M238" s="300"/>
      <c r="N238" s="608"/>
      <c r="O238" s="609">
        <f t="shared" si="1394"/>
        <v>0</v>
      </c>
      <c r="P238" s="609">
        <f t="shared" si="1395"/>
        <v>0</v>
      </c>
      <c r="Q238" s="609">
        <f t="shared" si="1396"/>
        <v>0</v>
      </c>
      <c r="R238" s="610" t="str">
        <f>IFERROR(Q238/Q240,"")</f>
        <v/>
      </c>
      <c r="S238" s="658"/>
      <c r="T238" s="658"/>
      <c r="U238" s="658"/>
      <c r="V238" s="658"/>
      <c r="W238" s="658"/>
      <c r="X238" s="658"/>
      <c r="Y238" s="658"/>
      <c r="Z238" s="658"/>
      <c r="AA238" s="658"/>
      <c r="AB238" s="658"/>
      <c r="AC238" s="658"/>
      <c r="AD238" s="658"/>
      <c r="AE238" s="658"/>
      <c r="AF238" s="658"/>
      <c r="AG238" s="658"/>
      <c r="AH238" s="658"/>
      <c r="AI238" s="658"/>
      <c r="AJ238" s="658"/>
      <c r="AK238" s="658"/>
      <c r="AL238" s="658"/>
      <c r="AM238" s="658"/>
      <c r="AN238" s="658"/>
      <c r="AO238" s="658"/>
      <c r="AP238" s="658"/>
      <c r="AQ238" s="658"/>
      <c r="AR238" s="658"/>
      <c r="AS238" s="658"/>
      <c r="AT238" s="658"/>
      <c r="AU238" s="658"/>
      <c r="AV238" s="658"/>
      <c r="AW238" s="658"/>
      <c r="AX238" s="658"/>
      <c r="AY238" s="658"/>
      <c r="AZ238" s="658"/>
      <c r="BA238" s="658"/>
      <c r="BB238" s="658"/>
      <c r="BC238" s="658"/>
      <c r="BD238" s="658"/>
      <c r="BE238" s="658"/>
      <c r="BF238" s="658"/>
      <c r="BG238" s="658"/>
      <c r="BH238" s="658"/>
      <c r="BI238" s="658"/>
      <c r="BJ238" s="658"/>
      <c r="BK238" s="658"/>
      <c r="BL238" s="658"/>
      <c r="BM238" s="658"/>
      <c r="BN238" s="658"/>
      <c r="BO238" s="658"/>
      <c r="BP238" s="658"/>
      <c r="BQ238" s="658"/>
      <c r="BR238" s="658"/>
      <c r="BS238" s="658"/>
      <c r="BT238" s="658"/>
      <c r="BU238" s="658"/>
      <c r="BV238" s="658"/>
      <c r="BW238" s="658"/>
      <c r="BX238" s="658"/>
      <c r="BY238" s="658"/>
      <c r="BZ238" s="658"/>
      <c r="CA238" s="658"/>
      <c r="CB238" s="658"/>
      <c r="CC238" s="658"/>
      <c r="CD238" s="658"/>
      <c r="CE238" s="658"/>
      <c r="CF238" s="658"/>
      <c r="CG238" s="658"/>
      <c r="CH238" s="658"/>
      <c r="CI238" s="658"/>
      <c r="CJ238" s="658"/>
      <c r="CK238" s="658"/>
      <c r="CL238" s="658"/>
      <c r="CM238" s="658"/>
      <c r="CN238" s="658"/>
      <c r="CO238" s="658"/>
      <c r="CP238" s="658"/>
      <c r="CQ238" s="658"/>
      <c r="CR238" s="658"/>
      <c r="CS238" s="658"/>
      <c r="CT238" s="658"/>
      <c r="CU238" s="658"/>
      <c r="CV238" s="658"/>
      <c r="CW238" s="658"/>
      <c r="CX238" s="658"/>
      <c r="CY238" s="658"/>
      <c r="CZ238" s="658"/>
      <c r="DA238" s="658"/>
      <c r="DB238" s="658"/>
      <c r="DC238" s="658"/>
      <c r="DD238" s="658"/>
      <c r="DE238" s="658"/>
      <c r="DF238" s="658"/>
      <c r="DG238" s="658"/>
      <c r="DH238" s="658"/>
      <c r="DI238" s="658"/>
      <c r="DJ238" s="658"/>
      <c r="DK238" s="658"/>
      <c r="DL238" s="658"/>
      <c r="DM238" s="658"/>
      <c r="DN238" s="658"/>
      <c r="DO238" s="177">
        <f t="shared" si="1400"/>
        <v>0</v>
      </c>
      <c r="DP238" s="612" t="e">
        <f t="shared" si="1401"/>
        <v>#N/A</v>
      </c>
      <c r="DQ238" s="612" t="e">
        <f t="shared" si="1397"/>
        <v>#NUM!</v>
      </c>
      <c r="DR238" s="177"/>
      <c r="DS238" s="177"/>
      <c r="DT238" s="177"/>
      <c r="DU238" s="177"/>
      <c r="DV238" s="177"/>
      <c r="DW238" s="177"/>
      <c r="DX238" s="177"/>
      <c r="DY238" s="177"/>
      <c r="DZ238" s="177"/>
      <c r="EA238" s="613"/>
    </row>
    <row r="239" spans="1:131" ht="14.25" thickBot="1">
      <c r="B239" s="778" t="s">
        <v>3424</v>
      </c>
      <c r="C239" s="616" t="s">
        <v>3425</v>
      </c>
      <c r="D239" s="616" t="s">
        <v>3426</v>
      </c>
      <c r="E239" s="616" t="s">
        <v>3427</v>
      </c>
      <c r="F239" s="230"/>
      <c r="G239" s="230"/>
      <c r="I239" s="657">
        <f t="shared" si="1398"/>
        <v>0</v>
      </c>
      <c r="J239" s="606" t="str">
        <f t="shared" si="1399"/>
        <v>N/A</v>
      </c>
      <c r="K239" s="471"/>
      <c r="L239" s="607"/>
      <c r="M239" s="300"/>
      <c r="N239" s="608"/>
      <c r="O239" s="609">
        <f t="shared" si="1394"/>
        <v>0</v>
      </c>
      <c r="P239" s="609">
        <f t="shared" si="1395"/>
        <v>0</v>
      </c>
      <c r="Q239" s="609">
        <f t="shared" si="1396"/>
        <v>0</v>
      </c>
      <c r="R239" s="610" t="str">
        <f>IFERROR(Q239/Q240,"")</f>
        <v/>
      </c>
      <c r="S239" s="658"/>
      <c r="T239" s="658"/>
      <c r="U239" s="658"/>
      <c r="V239" s="658"/>
      <c r="W239" s="658"/>
      <c r="X239" s="658"/>
      <c r="Y239" s="658"/>
      <c r="Z239" s="658"/>
      <c r="AA239" s="658"/>
      <c r="AB239" s="658"/>
      <c r="AC239" s="658"/>
      <c r="AD239" s="658"/>
      <c r="AE239" s="658"/>
      <c r="AF239" s="658"/>
      <c r="AG239" s="658"/>
      <c r="AH239" s="658"/>
      <c r="AI239" s="658"/>
      <c r="AJ239" s="658"/>
      <c r="AK239" s="658"/>
      <c r="AL239" s="658"/>
      <c r="AM239" s="658"/>
      <c r="AN239" s="658"/>
      <c r="AO239" s="658"/>
      <c r="AP239" s="658"/>
      <c r="AQ239" s="658"/>
      <c r="AR239" s="658"/>
      <c r="AS239" s="658"/>
      <c r="AT239" s="658"/>
      <c r="AU239" s="658"/>
      <c r="AV239" s="658"/>
      <c r="AW239" s="658"/>
      <c r="AX239" s="658"/>
      <c r="AY239" s="658"/>
      <c r="AZ239" s="658"/>
      <c r="BA239" s="658"/>
      <c r="BB239" s="658"/>
      <c r="BC239" s="658"/>
      <c r="BD239" s="658"/>
      <c r="BE239" s="658"/>
      <c r="BF239" s="658"/>
      <c r="BG239" s="658"/>
      <c r="BH239" s="658"/>
      <c r="BI239" s="658"/>
      <c r="BJ239" s="658"/>
      <c r="BK239" s="658"/>
      <c r="BL239" s="658"/>
      <c r="BM239" s="658"/>
      <c r="BN239" s="658"/>
      <c r="BO239" s="658"/>
      <c r="BP239" s="658"/>
      <c r="BQ239" s="658"/>
      <c r="BR239" s="658"/>
      <c r="BS239" s="658"/>
      <c r="BT239" s="658"/>
      <c r="BU239" s="658"/>
      <c r="BV239" s="658"/>
      <c r="BW239" s="658"/>
      <c r="BX239" s="658"/>
      <c r="BY239" s="658"/>
      <c r="BZ239" s="658"/>
      <c r="CA239" s="658"/>
      <c r="CB239" s="658"/>
      <c r="CC239" s="658"/>
      <c r="CD239" s="658"/>
      <c r="CE239" s="658"/>
      <c r="CF239" s="658"/>
      <c r="CG239" s="658"/>
      <c r="CH239" s="658"/>
      <c r="CI239" s="658"/>
      <c r="CJ239" s="658"/>
      <c r="CK239" s="658"/>
      <c r="CL239" s="658"/>
      <c r="CM239" s="658"/>
      <c r="CN239" s="658"/>
      <c r="CO239" s="658"/>
      <c r="CP239" s="658"/>
      <c r="CQ239" s="658"/>
      <c r="CR239" s="658"/>
      <c r="CS239" s="658"/>
      <c r="CT239" s="658"/>
      <c r="CU239" s="658"/>
      <c r="CV239" s="658"/>
      <c r="CW239" s="658"/>
      <c r="CX239" s="658"/>
      <c r="CY239" s="658"/>
      <c r="CZ239" s="658"/>
      <c r="DA239" s="658"/>
      <c r="DB239" s="658"/>
      <c r="DC239" s="658"/>
      <c r="DD239" s="658"/>
      <c r="DE239" s="658"/>
      <c r="DF239" s="658"/>
      <c r="DG239" s="658"/>
      <c r="DH239" s="658"/>
      <c r="DI239" s="658"/>
      <c r="DJ239" s="658"/>
      <c r="DK239" s="658"/>
      <c r="DL239" s="658"/>
      <c r="DM239" s="658"/>
      <c r="DN239" s="658"/>
      <c r="DO239" s="177">
        <f t="shared" si="1400"/>
        <v>0</v>
      </c>
      <c r="DP239" s="612" t="e">
        <f t="shared" si="1401"/>
        <v>#N/A</v>
      </c>
      <c r="DQ239" s="612" t="e">
        <f t="shared" si="1397"/>
        <v>#NUM!</v>
      </c>
      <c r="DR239" s="177"/>
      <c r="DS239" s="177"/>
      <c r="DT239" s="177"/>
      <c r="DU239" s="177"/>
      <c r="DV239" s="177"/>
      <c r="DW239" s="177"/>
      <c r="DX239" s="177"/>
      <c r="DY239" s="177"/>
      <c r="DZ239" s="177"/>
      <c r="EA239" s="613"/>
    </row>
    <row r="240" spans="1:131" ht="14.25" thickBot="1">
      <c r="B240" s="779"/>
      <c r="C240" s="661"/>
      <c r="D240" s="661"/>
      <c r="E240" s="661"/>
      <c r="F240" s="662"/>
      <c r="G240" s="662"/>
      <c r="H240" s="317"/>
      <c r="I240" s="634">
        <f>SUM(I232:I239)</f>
        <v>0</v>
      </c>
      <c r="J240" s="663"/>
      <c r="K240" s="664"/>
      <c r="L240" s="664"/>
      <c r="M240" s="664"/>
      <c r="N240" s="634">
        <f t="shared" ref="N240:R240" si="1402">SUM(N232:N239)</f>
        <v>0</v>
      </c>
      <c r="O240" s="634">
        <f t="shared" si="1402"/>
        <v>0</v>
      </c>
      <c r="P240" s="634">
        <f t="shared" si="1402"/>
        <v>0</v>
      </c>
      <c r="Q240" s="634">
        <f t="shared" si="1402"/>
        <v>0</v>
      </c>
      <c r="R240" s="665">
        <f t="shared" si="1402"/>
        <v>0</v>
      </c>
      <c r="S240" s="634">
        <f>SUM(S232:S239)</f>
        <v>0</v>
      </c>
      <c r="T240" s="634">
        <f t="shared" ref="T240" si="1403">SUM(T232:T239)</f>
        <v>0</v>
      </c>
      <c r="U240" s="634">
        <f t="shared" ref="U240" si="1404">SUM(U232:U239)</f>
        <v>0</v>
      </c>
      <c r="V240" s="634">
        <f t="shared" ref="V240" si="1405">SUM(V232:V239)</f>
        <v>0</v>
      </c>
      <c r="W240" s="634">
        <f t="shared" ref="W240" si="1406">SUM(W232:W239)</f>
        <v>0</v>
      </c>
      <c r="X240" s="634">
        <f t="shared" ref="X240" si="1407">SUM(X232:X239)</f>
        <v>0</v>
      </c>
      <c r="Y240" s="634">
        <f t="shared" ref="Y240" si="1408">SUM(Y232:Y239)</f>
        <v>0</v>
      </c>
      <c r="Z240" s="634">
        <f t="shared" ref="Z240" si="1409">SUM(Z232:Z239)</f>
        <v>0</v>
      </c>
      <c r="AA240" s="634">
        <f t="shared" ref="AA240" si="1410">SUM(AA232:AA239)</f>
        <v>0</v>
      </c>
      <c r="AB240" s="634">
        <f t="shared" ref="AB240" si="1411">SUM(AB232:AB239)</f>
        <v>0</v>
      </c>
      <c r="AC240" s="634">
        <f t="shared" ref="AC240" si="1412">SUM(AC232:AC239)</f>
        <v>0</v>
      </c>
      <c r="AD240" s="634">
        <f t="shared" ref="AD240" si="1413">SUM(AD232:AD239)</f>
        <v>0</v>
      </c>
      <c r="AE240" s="634">
        <f t="shared" ref="AE240" si="1414">SUM(AE232:AE239)</f>
        <v>0</v>
      </c>
      <c r="AF240" s="634">
        <f t="shared" ref="AF240" si="1415">SUM(AF232:AF239)</f>
        <v>0</v>
      </c>
      <c r="AG240" s="634">
        <f t="shared" ref="AG240" si="1416">SUM(AG232:AG239)</f>
        <v>0</v>
      </c>
      <c r="AH240" s="634">
        <f t="shared" ref="AH240" si="1417">SUM(AH232:AH239)</f>
        <v>0</v>
      </c>
      <c r="AI240" s="634">
        <f t="shared" ref="AI240" si="1418">SUM(AI232:AI239)</f>
        <v>0</v>
      </c>
      <c r="AJ240" s="634">
        <f t="shared" ref="AJ240" si="1419">SUM(AJ232:AJ239)</f>
        <v>0</v>
      </c>
      <c r="AK240" s="634">
        <f t="shared" ref="AK240" si="1420">SUM(AK232:AK239)</f>
        <v>0</v>
      </c>
      <c r="AL240" s="634">
        <f t="shared" ref="AL240" si="1421">SUM(AL232:AL239)</f>
        <v>0</v>
      </c>
      <c r="AM240" s="634">
        <f t="shared" ref="AM240" si="1422">SUM(AM232:AM239)</f>
        <v>0</v>
      </c>
      <c r="AN240" s="634">
        <f t="shared" ref="AN240" si="1423">SUM(AN232:AN239)</f>
        <v>0</v>
      </c>
      <c r="AO240" s="634">
        <f t="shared" ref="AO240" si="1424">SUM(AO232:AO239)</f>
        <v>0</v>
      </c>
      <c r="AP240" s="634">
        <f t="shared" ref="AP240" si="1425">SUM(AP232:AP239)</f>
        <v>0</v>
      </c>
      <c r="AQ240" s="634">
        <f t="shared" ref="AQ240" si="1426">SUM(AQ232:AQ239)</f>
        <v>0</v>
      </c>
      <c r="AR240" s="634">
        <f t="shared" ref="AR240" si="1427">SUM(AR232:AR239)</f>
        <v>0</v>
      </c>
      <c r="AS240" s="634">
        <f t="shared" ref="AS240" si="1428">SUM(AS232:AS239)</f>
        <v>0</v>
      </c>
      <c r="AT240" s="634">
        <f t="shared" ref="AT240" si="1429">SUM(AT232:AT239)</f>
        <v>0</v>
      </c>
      <c r="AU240" s="634">
        <f t="shared" ref="AU240" si="1430">SUM(AU232:AU239)</f>
        <v>0</v>
      </c>
      <c r="AV240" s="634">
        <f t="shared" ref="AV240" si="1431">SUM(AV232:AV239)</f>
        <v>0</v>
      </c>
      <c r="AW240" s="634">
        <f t="shared" ref="AW240" si="1432">SUM(AW232:AW239)</f>
        <v>0</v>
      </c>
      <c r="AX240" s="634">
        <f t="shared" ref="AX240" si="1433">SUM(AX232:AX239)</f>
        <v>0</v>
      </c>
      <c r="AY240" s="634">
        <f t="shared" ref="AY240" si="1434">SUM(AY232:AY239)</f>
        <v>0</v>
      </c>
      <c r="AZ240" s="634">
        <f t="shared" ref="AZ240" si="1435">SUM(AZ232:AZ239)</f>
        <v>0</v>
      </c>
      <c r="BA240" s="634">
        <f t="shared" ref="BA240" si="1436">SUM(BA232:BA239)</f>
        <v>0</v>
      </c>
      <c r="BB240" s="634">
        <f t="shared" ref="BB240" si="1437">SUM(BB232:BB239)</f>
        <v>0</v>
      </c>
      <c r="BC240" s="634">
        <f t="shared" ref="BC240" si="1438">SUM(BC232:BC239)</f>
        <v>0</v>
      </c>
      <c r="BD240" s="634">
        <f t="shared" ref="BD240" si="1439">SUM(BD232:BD239)</f>
        <v>0</v>
      </c>
      <c r="BE240" s="634">
        <f t="shared" ref="BE240" si="1440">SUM(BE232:BE239)</f>
        <v>0</v>
      </c>
      <c r="BF240" s="634">
        <f t="shared" ref="BF240" si="1441">SUM(BF232:BF239)</f>
        <v>0</v>
      </c>
      <c r="BG240" s="634">
        <f t="shared" ref="BG240" si="1442">SUM(BG232:BG239)</f>
        <v>0</v>
      </c>
      <c r="BH240" s="634">
        <f t="shared" ref="BH240" si="1443">SUM(BH232:BH239)</f>
        <v>0</v>
      </c>
      <c r="BI240" s="634">
        <f t="shared" ref="BI240" si="1444">SUM(BI232:BI239)</f>
        <v>0</v>
      </c>
      <c r="BJ240" s="634">
        <f t="shared" ref="BJ240" si="1445">SUM(BJ232:BJ239)</f>
        <v>0</v>
      </c>
      <c r="BK240" s="634">
        <f t="shared" ref="BK240" si="1446">SUM(BK232:BK239)</f>
        <v>0</v>
      </c>
      <c r="BL240" s="634">
        <f t="shared" ref="BL240" si="1447">SUM(BL232:BL239)</f>
        <v>0</v>
      </c>
      <c r="BM240" s="634">
        <f t="shared" ref="BM240" si="1448">SUM(BM232:BM239)</f>
        <v>0</v>
      </c>
      <c r="BN240" s="634">
        <f t="shared" ref="BN240" si="1449">SUM(BN232:BN239)</f>
        <v>0</v>
      </c>
      <c r="BO240" s="634">
        <f t="shared" ref="BO240" si="1450">SUM(BO232:BO239)</f>
        <v>0</v>
      </c>
      <c r="BP240" s="634">
        <f t="shared" ref="BP240" si="1451">SUM(BP232:BP239)</f>
        <v>0</v>
      </c>
      <c r="BQ240" s="634">
        <f t="shared" ref="BQ240" si="1452">SUM(BQ232:BQ239)</f>
        <v>0</v>
      </c>
      <c r="BR240" s="634">
        <f t="shared" ref="BR240" si="1453">SUM(BR232:BR239)</f>
        <v>0</v>
      </c>
      <c r="BS240" s="634">
        <f t="shared" ref="BS240" si="1454">SUM(BS232:BS239)</f>
        <v>0</v>
      </c>
      <c r="BT240" s="634">
        <f t="shared" ref="BT240" si="1455">SUM(BT232:BT239)</f>
        <v>0</v>
      </c>
      <c r="BU240" s="634">
        <f t="shared" ref="BU240" si="1456">SUM(BU232:BU239)</f>
        <v>0</v>
      </c>
      <c r="BV240" s="634">
        <f t="shared" ref="BV240" si="1457">SUM(BV232:BV239)</f>
        <v>0</v>
      </c>
      <c r="BW240" s="634">
        <f t="shared" ref="BW240" si="1458">SUM(BW232:BW239)</f>
        <v>0</v>
      </c>
      <c r="BX240" s="634">
        <f t="shared" ref="BX240" si="1459">SUM(BX232:BX239)</f>
        <v>0</v>
      </c>
      <c r="BY240" s="634">
        <f t="shared" ref="BY240" si="1460">SUM(BY232:BY239)</f>
        <v>0</v>
      </c>
      <c r="BZ240" s="634">
        <f t="shared" ref="BZ240" si="1461">SUM(BZ232:BZ239)</f>
        <v>0</v>
      </c>
      <c r="CA240" s="634">
        <f t="shared" ref="CA240" si="1462">SUM(CA232:CA239)</f>
        <v>0</v>
      </c>
      <c r="CB240" s="634">
        <f t="shared" ref="CB240" si="1463">SUM(CB232:CB239)</f>
        <v>0</v>
      </c>
      <c r="CC240" s="634">
        <f t="shared" ref="CC240" si="1464">SUM(CC232:CC239)</f>
        <v>0</v>
      </c>
      <c r="CD240" s="634">
        <f t="shared" ref="CD240" si="1465">SUM(CD232:CD239)</f>
        <v>0</v>
      </c>
      <c r="CE240" s="634">
        <f t="shared" ref="CE240" si="1466">SUM(CE232:CE239)</f>
        <v>0</v>
      </c>
      <c r="CF240" s="634">
        <f t="shared" ref="CF240" si="1467">SUM(CF232:CF239)</f>
        <v>0</v>
      </c>
      <c r="CG240" s="634">
        <f t="shared" ref="CG240" si="1468">SUM(CG232:CG239)</f>
        <v>0</v>
      </c>
      <c r="CH240" s="634">
        <f t="shared" ref="CH240" si="1469">SUM(CH232:CH239)</f>
        <v>0</v>
      </c>
      <c r="CI240" s="634">
        <f t="shared" ref="CI240" si="1470">SUM(CI232:CI239)</f>
        <v>0</v>
      </c>
      <c r="CJ240" s="634">
        <f t="shared" ref="CJ240" si="1471">SUM(CJ232:CJ239)</f>
        <v>0</v>
      </c>
      <c r="CK240" s="634">
        <f t="shared" ref="CK240" si="1472">SUM(CK232:CK239)</f>
        <v>0</v>
      </c>
      <c r="CL240" s="634">
        <f t="shared" ref="CL240" si="1473">SUM(CL232:CL239)</f>
        <v>0</v>
      </c>
      <c r="CM240" s="634">
        <f t="shared" ref="CM240" si="1474">SUM(CM232:CM239)</f>
        <v>0</v>
      </c>
      <c r="CN240" s="634">
        <f t="shared" ref="CN240" si="1475">SUM(CN232:CN239)</f>
        <v>0</v>
      </c>
      <c r="CO240" s="634">
        <f t="shared" ref="CO240" si="1476">SUM(CO232:CO239)</f>
        <v>0</v>
      </c>
      <c r="CP240" s="634">
        <f t="shared" ref="CP240" si="1477">SUM(CP232:CP239)</f>
        <v>0</v>
      </c>
      <c r="CQ240" s="634">
        <f t="shared" ref="CQ240" si="1478">SUM(CQ232:CQ239)</f>
        <v>0</v>
      </c>
      <c r="CR240" s="634">
        <f t="shared" ref="CR240" si="1479">SUM(CR232:CR239)</f>
        <v>0</v>
      </c>
      <c r="CS240" s="634">
        <f t="shared" ref="CS240" si="1480">SUM(CS232:CS239)</f>
        <v>0</v>
      </c>
      <c r="CT240" s="634">
        <f t="shared" ref="CT240" si="1481">SUM(CT232:CT239)</f>
        <v>0</v>
      </c>
      <c r="CU240" s="634">
        <f t="shared" ref="CU240" si="1482">SUM(CU232:CU239)</f>
        <v>0</v>
      </c>
      <c r="CV240" s="634">
        <f t="shared" ref="CV240" si="1483">SUM(CV232:CV239)</f>
        <v>0</v>
      </c>
      <c r="CW240" s="634">
        <f t="shared" ref="CW240" si="1484">SUM(CW232:CW239)</f>
        <v>0</v>
      </c>
      <c r="CX240" s="634">
        <f t="shared" ref="CX240" si="1485">SUM(CX232:CX239)</f>
        <v>0</v>
      </c>
      <c r="CY240" s="634">
        <f t="shared" ref="CY240" si="1486">SUM(CY232:CY239)</f>
        <v>0</v>
      </c>
      <c r="CZ240" s="634">
        <f t="shared" ref="CZ240" si="1487">SUM(CZ232:CZ239)</f>
        <v>0</v>
      </c>
      <c r="DA240" s="634">
        <f t="shared" ref="DA240" si="1488">SUM(DA232:DA239)</f>
        <v>0</v>
      </c>
      <c r="DB240" s="634">
        <f t="shared" ref="DB240" si="1489">SUM(DB232:DB239)</f>
        <v>0</v>
      </c>
      <c r="DC240" s="634">
        <f t="shared" ref="DC240" si="1490">SUM(DC232:DC239)</f>
        <v>0</v>
      </c>
      <c r="DD240" s="634">
        <f t="shared" ref="DD240" si="1491">SUM(DD232:DD239)</f>
        <v>0</v>
      </c>
      <c r="DE240" s="634">
        <f t="shared" ref="DE240" si="1492">SUM(DE232:DE239)</f>
        <v>0</v>
      </c>
      <c r="DF240" s="634">
        <f t="shared" ref="DF240" si="1493">SUM(DF232:DF239)</f>
        <v>0</v>
      </c>
      <c r="DG240" s="634">
        <f t="shared" ref="DG240" si="1494">SUM(DG232:DG239)</f>
        <v>0</v>
      </c>
      <c r="DH240" s="634">
        <f t="shared" ref="DH240" si="1495">SUM(DH232:DH239)</f>
        <v>0</v>
      </c>
      <c r="DI240" s="634">
        <f t="shared" ref="DI240" si="1496">SUM(DI232:DI239)</f>
        <v>0</v>
      </c>
      <c r="DJ240" s="634">
        <f t="shared" ref="DJ240" si="1497">SUM(DJ232:DJ239)</f>
        <v>0</v>
      </c>
      <c r="DK240" s="634">
        <f t="shared" ref="DK240" si="1498">SUM(DK232:DK239)</f>
        <v>0</v>
      </c>
      <c r="DL240" s="634">
        <f t="shared" ref="DL240" si="1499">SUM(DL232:DL239)</f>
        <v>0</v>
      </c>
      <c r="DM240" s="634">
        <f t="shared" ref="DM240" si="1500">SUM(DM232:DM239)</f>
        <v>0</v>
      </c>
      <c r="DN240" s="634">
        <f t="shared" ref="DN240" si="1501">SUM(DN232:DN239)</f>
        <v>0</v>
      </c>
      <c r="DO240" s="634">
        <f t="shared" ref="DO240" si="1502">SUM(DO232:DO239)</f>
        <v>0</v>
      </c>
      <c r="DP240" s="666"/>
      <c r="DQ240" s="638" t="e">
        <f>XIRR(S240:DO240,$S$231:$DO$231)</f>
        <v>#NUM!</v>
      </c>
      <c r="DR240" s="636">
        <f t="shared" ref="DR240:DX240" si="1503">SUM(DR232:DR239)</f>
        <v>0</v>
      </c>
      <c r="DS240" s="636">
        <f t="shared" si="1503"/>
        <v>0</v>
      </c>
      <c r="DT240" s="636">
        <f t="shared" si="1503"/>
        <v>0</v>
      </c>
      <c r="DU240" s="636">
        <f t="shared" si="1503"/>
        <v>0</v>
      </c>
      <c r="DV240" s="636">
        <f t="shared" si="1503"/>
        <v>0</v>
      </c>
      <c r="DW240" s="636">
        <f t="shared" si="1503"/>
        <v>0</v>
      </c>
      <c r="DX240" s="636">
        <f t="shared" si="1503"/>
        <v>0</v>
      </c>
      <c r="DY240" s="636">
        <f>SUM(DY232:DY239)</f>
        <v>0</v>
      </c>
      <c r="DZ240" s="636">
        <f>SUM(DZ232:DZ239)</f>
        <v>0</v>
      </c>
      <c r="EA240" s="636">
        <f>SUM(EA232:EA239)</f>
        <v>0</v>
      </c>
    </row>
    <row r="241" spans="1:131" ht="14.25" thickBot="1">
      <c r="A241" s="172"/>
      <c r="B241" s="667"/>
      <c r="C241" s="592" t="s">
        <v>3609</v>
      </c>
      <c r="D241" s="648">
        <f>D229+1</f>
        <v>16</v>
      </c>
      <c r="E241" s="649"/>
      <c r="F241" s="603"/>
      <c r="G241" s="603"/>
      <c r="I241" s="650" t="b">
        <f>I252=DR243</f>
        <v>1</v>
      </c>
      <c r="J241" s="172"/>
      <c r="K241" s="172"/>
      <c r="L241" s="172"/>
      <c r="M241" s="172"/>
      <c r="N241" s="172"/>
      <c r="O241" s="172"/>
      <c r="P241" s="172"/>
      <c r="Q241" s="639" t="str">
        <f>IF(Q252=NAV!E789,"자본금과 일치","자본금과 불일치")</f>
        <v>자본금과 일치</v>
      </c>
      <c r="R241" s="172"/>
      <c r="S241" s="172"/>
      <c r="T241" s="172"/>
      <c r="U241" s="172"/>
      <c r="V241" s="172"/>
      <c r="W241" s="172"/>
      <c r="X241" s="172"/>
      <c r="Y241" s="172"/>
      <c r="Z241" s="172"/>
      <c r="AA241" s="172"/>
      <c r="AB241" s="172"/>
      <c r="AC241" s="172"/>
      <c r="AD241" s="172"/>
      <c r="AE241" s="172"/>
      <c r="AF241" s="172"/>
      <c r="AG241" s="172"/>
      <c r="AH241" s="172"/>
      <c r="AI241" s="172"/>
      <c r="AJ241" s="172"/>
      <c r="AK241" s="172"/>
      <c r="AL241" s="172"/>
      <c r="AM241" s="172"/>
      <c r="AN241" s="172"/>
      <c r="AO241" s="172"/>
      <c r="AP241" s="172"/>
      <c r="AQ241" s="172"/>
      <c r="AR241" s="172"/>
      <c r="AS241" s="172"/>
      <c r="AT241" s="172"/>
      <c r="AU241" s="172"/>
      <c r="AV241" s="172"/>
      <c r="AW241" s="172"/>
      <c r="AX241" s="172"/>
      <c r="AY241" s="172"/>
      <c r="AZ241" s="172"/>
      <c r="BA241" s="172"/>
      <c r="BB241" s="172"/>
      <c r="BC241" s="172"/>
      <c r="BD241" s="172"/>
      <c r="BE241" s="172"/>
      <c r="BF241" s="172"/>
      <c r="BG241" s="172"/>
      <c r="BH241" s="172"/>
      <c r="BI241" s="172"/>
      <c r="BJ241" s="172"/>
      <c r="BK241" s="172"/>
      <c r="BL241" s="172"/>
      <c r="BM241" s="172"/>
      <c r="BN241" s="172"/>
      <c r="BO241" s="172"/>
      <c r="BP241" s="172"/>
      <c r="BQ241" s="172"/>
      <c r="BR241" s="172"/>
      <c r="BS241" s="172"/>
      <c r="BT241" s="172"/>
      <c r="BU241" s="172"/>
      <c r="BV241" s="172"/>
      <c r="BW241" s="172"/>
      <c r="BX241" s="172"/>
      <c r="BY241" s="172"/>
      <c r="BZ241" s="172"/>
      <c r="CA241" s="172"/>
      <c r="CB241" s="172"/>
      <c r="CC241" s="172"/>
      <c r="CD241" s="172"/>
      <c r="CE241" s="172"/>
      <c r="CF241" s="172"/>
      <c r="CG241" s="172"/>
      <c r="CH241" s="172"/>
      <c r="CI241" s="172"/>
      <c r="CJ241" s="172"/>
      <c r="CK241" s="172"/>
      <c r="CL241" s="172"/>
      <c r="CM241" s="172"/>
      <c r="CN241" s="172"/>
      <c r="CO241" s="172"/>
      <c r="CP241" s="172"/>
      <c r="CQ241" s="172"/>
      <c r="CR241" s="172"/>
      <c r="CS241" s="172"/>
      <c r="CT241" s="172"/>
      <c r="CU241" s="172"/>
      <c r="CV241" s="172"/>
      <c r="CW241" s="172"/>
      <c r="CX241" s="172"/>
      <c r="CY241" s="172"/>
      <c r="CZ241" s="172"/>
      <c r="DA241" s="172"/>
      <c r="DB241" s="172"/>
      <c r="DC241" s="172"/>
      <c r="DD241" s="172"/>
      <c r="DE241" s="172"/>
      <c r="DF241" s="172"/>
      <c r="DG241" s="172"/>
      <c r="DH241" s="172"/>
      <c r="DI241" s="172"/>
      <c r="DJ241" s="172"/>
      <c r="DK241" s="172"/>
      <c r="DL241" s="172"/>
      <c r="DM241" s="172"/>
      <c r="DN241" s="172"/>
      <c r="DO241" s="588" t="s">
        <v>219</v>
      </c>
      <c r="DP241" s="588" t="str">
        <f>IF(ROUND(_xlfn.AGGREGATE(9,6,DP244:DP251),5)=ROUND(_xlfn.AGGREGATE(9,6,DQ244:DQ251),5),"이상없음","기준수익률확인")</f>
        <v>이상없음</v>
      </c>
      <c r="DQ241" s="172"/>
      <c r="DR241" s="651" t="s">
        <v>3406</v>
      </c>
      <c r="DS241" s="172"/>
      <c r="DT241" s="615"/>
      <c r="DU241" s="615"/>
      <c r="DV241" s="172"/>
      <c r="DW241" s="172"/>
      <c r="DX241" s="615"/>
      <c r="DY241" s="172"/>
      <c r="DZ241" s="172"/>
      <c r="EA241" s="172"/>
    </row>
    <row r="242" spans="1:131" ht="13.5">
      <c r="A242" s="652" t="str">
        <f t="shared" ref="A242:A250" si="1504">$B$241&amp;B242</f>
        <v>SPC명</v>
      </c>
      <c r="B242" s="653" t="s">
        <v>349</v>
      </c>
      <c r="C242" s="780"/>
      <c r="D242" s="780"/>
      <c r="E242" s="780"/>
      <c r="F242" s="230"/>
      <c r="G242" s="230"/>
      <c r="I242" s="776" t="s">
        <v>3393</v>
      </c>
      <c r="J242" s="776" t="s">
        <v>3394</v>
      </c>
      <c r="K242" s="774" t="s">
        <v>3395</v>
      </c>
      <c r="L242" s="774" t="s">
        <v>3396</v>
      </c>
      <c r="M242" s="774" t="s">
        <v>203</v>
      </c>
      <c r="N242" s="774" t="s">
        <v>211</v>
      </c>
      <c r="O242" s="774" t="s">
        <v>3399</v>
      </c>
      <c r="P242" s="776" t="s">
        <v>239</v>
      </c>
      <c r="Q242" s="774" t="s">
        <v>3401</v>
      </c>
      <c r="R242" s="774" t="s">
        <v>3402</v>
      </c>
      <c r="S242" s="593"/>
      <c r="T242" s="593"/>
      <c r="U242" s="593"/>
      <c r="V242" s="593"/>
      <c r="W242" s="593"/>
      <c r="X242" s="593"/>
      <c r="Y242" s="593"/>
      <c r="Z242" s="593"/>
      <c r="AA242" s="593"/>
      <c r="AB242" s="593"/>
      <c r="AC242" s="593"/>
      <c r="AD242" s="593"/>
      <c r="AE242" s="593"/>
      <c r="AF242" s="593"/>
      <c r="AG242" s="593"/>
      <c r="AH242" s="593"/>
      <c r="AI242" s="593"/>
      <c r="AJ242" s="593"/>
      <c r="AK242" s="593"/>
      <c r="AL242" s="593"/>
      <c r="AM242" s="593"/>
      <c r="AN242" s="593"/>
      <c r="AO242" s="593"/>
      <c r="AP242" s="593"/>
      <c r="AQ242" s="593"/>
      <c r="AR242" s="593"/>
      <c r="AS242" s="593"/>
      <c r="AT242" s="593"/>
      <c r="AU242" s="593"/>
      <c r="AV242" s="593"/>
      <c r="AW242" s="593"/>
      <c r="AX242" s="593"/>
      <c r="AY242" s="593"/>
      <c r="AZ242" s="593"/>
      <c r="BA242" s="593"/>
      <c r="BB242" s="593"/>
      <c r="BC242" s="593"/>
      <c r="BD242" s="593"/>
      <c r="BE242" s="593"/>
      <c r="BF242" s="593"/>
      <c r="BG242" s="593"/>
      <c r="BH242" s="593"/>
      <c r="BI242" s="593"/>
      <c r="BJ242" s="593"/>
      <c r="BK242" s="593"/>
      <c r="BL242" s="593"/>
      <c r="BM242" s="593"/>
      <c r="BN242" s="593"/>
      <c r="BO242" s="593"/>
      <c r="BP242" s="593"/>
      <c r="BQ242" s="593"/>
      <c r="BR242" s="593"/>
      <c r="BS242" s="593"/>
      <c r="BT242" s="593"/>
      <c r="BU242" s="593"/>
      <c r="BV242" s="593"/>
      <c r="BW242" s="593"/>
      <c r="BX242" s="593"/>
      <c r="BY242" s="593"/>
      <c r="BZ242" s="593"/>
      <c r="CA242" s="593"/>
      <c r="CB242" s="593"/>
      <c r="CC242" s="593"/>
      <c r="CD242" s="593"/>
      <c r="CE242" s="593"/>
      <c r="CF242" s="593"/>
      <c r="CG242" s="593"/>
      <c r="CH242" s="593"/>
      <c r="CI242" s="593"/>
      <c r="CJ242" s="593"/>
      <c r="CK242" s="593"/>
      <c r="CL242" s="593"/>
      <c r="CM242" s="593"/>
      <c r="CN242" s="593"/>
      <c r="CO242" s="593"/>
      <c r="CP242" s="593"/>
      <c r="CQ242" s="593"/>
      <c r="CR242" s="593"/>
      <c r="CS242" s="593"/>
      <c r="CT242" s="593"/>
      <c r="CU242" s="593"/>
      <c r="CV242" s="593"/>
      <c r="CW242" s="593"/>
      <c r="CX242" s="593"/>
      <c r="CY242" s="593"/>
      <c r="CZ242" s="593"/>
      <c r="DA242" s="593"/>
      <c r="DB242" s="593"/>
      <c r="DC242" s="593"/>
      <c r="DD242" s="593"/>
      <c r="DE242" s="593"/>
      <c r="DF242" s="593"/>
      <c r="DG242" s="593"/>
      <c r="DH242" s="593"/>
      <c r="DI242" s="593"/>
      <c r="DJ242" s="593"/>
      <c r="DK242" s="593"/>
      <c r="DL242" s="593"/>
      <c r="DM242" s="593"/>
      <c r="DN242" s="593"/>
      <c r="DO242" s="594" t="s">
        <v>220</v>
      </c>
      <c r="DP242" s="774" t="s">
        <v>218</v>
      </c>
      <c r="DQ242" s="774" t="s">
        <v>222</v>
      </c>
      <c r="DR242" s="594"/>
      <c r="DS242" s="594"/>
      <c r="DT242" s="594"/>
      <c r="DU242" s="594"/>
      <c r="DV242" s="594"/>
      <c r="DW242" s="594"/>
      <c r="DX242" s="594"/>
      <c r="DY242" s="594"/>
      <c r="DZ242" s="594"/>
      <c r="EA242" s="602"/>
    </row>
    <row r="243" spans="1:131" ht="14.25" thickBot="1">
      <c r="A243" s="652" t="str">
        <f t="shared" si="1504"/>
        <v>유형</v>
      </c>
      <c r="B243" s="653" t="s">
        <v>350</v>
      </c>
      <c r="C243" s="780"/>
      <c r="D243" s="780"/>
      <c r="E243" s="780"/>
      <c r="F243" s="230"/>
      <c r="G243" s="230"/>
      <c r="I243" s="777"/>
      <c r="J243" s="777"/>
      <c r="K243" s="775"/>
      <c r="L243" s="775"/>
      <c r="M243" s="775"/>
      <c r="N243" s="775"/>
      <c r="O243" s="775"/>
      <c r="P243" s="777"/>
      <c r="Q243" s="775"/>
      <c r="R243" s="775"/>
      <c r="S243" s="601"/>
      <c r="T243" s="601"/>
      <c r="U243" s="601"/>
      <c r="V243" s="601"/>
      <c r="W243" s="601"/>
      <c r="X243" s="601"/>
      <c r="Y243" s="601"/>
      <c r="Z243" s="601"/>
      <c r="AA243" s="601"/>
      <c r="AB243" s="601"/>
      <c r="AC243" s="601"/>
      <c r="AD243" s="601"/>
      <c r="AE243" s="601"/>
      <c r="AF243" s="601"/>
      <c r="AG243" s="601"/>
      <c r="AH243" s="601"/>
      <c r="AI243" s="601"/>
      <c r="AJ243" s="601"/>
      <c r="AK243" s="601"/>
      <c r="AL243" s="601"/>
      <c r="AM243" s="601"/>
      <c r="AN243" s="601"/>
      <c r="AO243" s="601"/>
      <c r="AP243" s="601"/>
      <c r="AQ243" s="601"/>
      <c r="AR243" s="601"/>
      <c r="AS243" s="601"/>
      <c r="AT243" s="601"/>
      <c r="AU243" s="601"/>
      <c r="AV243" s="601"/>
      <c r="AW243" s="601"/>
      <c r="AX243" s="601"/>
      <c r="AY243" s="601"/>
      <c r="AZ243" s="601"/>
      <c r="BA243" s="601"/>
      <c r="BB243" s="601"/>
      <c r="BC243" s="601"/>
      <c r="BD243" s="601"/>
      <c r="BE243" s="601"/>
      <c r="BF243" s="601"/>
      <c r="BG243" s="601"/>
      <c r="BH243" s="601"/>
      <c r="BI243" s="601"/>
      <c r="BJ243" s="601"/>
      <c r="BK243" s="601"/>
      <c r="BL243" s="601"/>
      <c r="BM243" s="601"/>
      <c r="BN243" s="601"/>
      <c r="BO243" s="601"/>
      <c r="BP243" s="601"/>
      <c r="BQ243" s="601"/>
      <c r="BR243" s="601"/>
      <c r="BS243" s="601"/>
      <c r="BT243" s="601"/>
      <c r="BU243" s="601"/>
      <c r="BV243" s="601"/>
      <c r="BW243" s="601"/>
      <c r="BX243" s="601"/>
      <c r="BY243" s="601"/>
      <c r="BZ243" s="601"/>
      <c r="CA243" s="601"/>
      <c r="CB243" s="601"/>
      <c r="CC243" s="601"/>
      <c r="CD243" s="601"/>
      <c r="CE243" s="601"/>
      <c r="CF243" s="601"/>
      <c r="CG243" s="601"/>
      <c r="CH243" s="601"/>
      <c r="CI243" s="601"/>
      <c r="CJ243" s="601"/>
      <c r="CK243" s="601"/>
      <c r="CL243" s="601"/>
      <c r="CM243" s="601"/>
      <c r="CN243" s="601"/>
      <c r="CO243" s="601"/>
      <c r="CP243" s="601"/>
      <c r="CQ243" s="601"/>
      <c r="CR243" s="601"/>
      <c r="CS243" s="601"/>
      <c r="CT243" s="601"/>
      <c r="CU243" s="601"/>
      <c r="CV243" s="601"/>
      <c r="CW243" s="601"/>
      <c r="CX243" s="601"/>
      <c r="CY243" s="601"/>
      <c r="CZ243" s="601"/>
      <c r="DA243" s="601"/>
      <c r="DB243" s="601"/>
      <c r="DC243" s="601"/>
      <c r="DD243" s="601"/>
      <c r="DE243" s="601"/>
      <c r="DF243" s="601"/>
      <c r="DG243" s="601"/>
      <c r="DH243" s="601"/>
      <c r="DI243" s="601"/>
      <c r="DJ243" s="601"/>
      <c r="DK243" s="601"/>
      <c r="DL243" s="601"/>
      <c r="DM243" s="601"/>
      <c r="DN243" s="601"/>
      <c r="DO243" s="654">
        <f>$DO$7</f>
        <v>45473</v>
      </c>
      <c r="DP243" s="775"/>
      <c r="DQ243" s="775"/>
      <c r="DR243" s="595">
        <f>NAV!E795</f>
        <v>0</v>
      </c>
      <c r="DS243" s="596">
        <f>DR243-DR252</f>
        <v>0</v>
      </c>
      <c r="DT243" s="596"/>
      <c r="DU243" s="596"/>
      <c r="DV243" s="597"/>
      <c r="DW243" s="596"/>
      <c r="DX243" s="596"/>
      <c r="DY243" s="596"/>
      <c r="DZ243" s="655"/>
      <c r="EA243" s="656"/>
    </row>
    <row r="244" spans="1:131" ht="13.5">
      <c r="A244" s="652" t="str">
        <f t="shared" si="1504"/>
        <v>설정일</v>
      </c>
      <c r="B244" s="653" t="s">
        <v>351</v>
      </c>
      <c r="C244" s="781"/>
      <c r="D244" s="780"/>
      <c r="E244" s="780"/>
      <c r="F244" s="230"/>
      <c r="G244" s="230"/>
      <c r="I244" s="657">
        <f>SUM(DR244:EA244)</f>
        <v>0</v>
      </c>
      <c r="J244" s="606" t="str">
        <f>IFERROR(I244/(Q244/$C$246),"N/A")</f>
        <v>N/A</v>
      </c>
      <c r="K244" s="471"/>
      <c r="L244" s="607"/>
      <c r="M244" s="300"/>
      <c r="N244" s="608"/>
      <c r="O244" s="609">
        <f t="shared" ref="O244:O251" si="1505">-(SUMIF($S$242:$DN$242,"최초출자",S244:DN244)+SUMIF($S$242:$DN$242,"추가출자",S244:DN244))</f>
        <v>0</v>
      </c>
      <c r="P244" s="609">
        <f t="shared" ref="P244:P251" si="1506">SUMIF($S$242:$DN$242,"이익분배",S244:DN244)+SUMIF($S$242:$DN$242,"원본분배",S244:DN244)</f>
        <v>0</v>
      </c>
      <c r="Q244" s="609">
        <f t="shared" ref="Q244:Q251" si="1507">-(SUMIF($S$242:$DN$242,"최초출자",S244:DN244)+SUMIF($S$242:$DN$242,"추가출자",S244:DN244)+SUMIF($S$242:$DN$242,"원본분배",S244:DN244))</f>
        <v>0</v>
      </c>
      <c r="R244" s="610" t="str">
        <f>IFERROR(Q244/Q252,"")</f>
        <v/>
      </c>
      <c r="S244" s="658"/>
      <c r="T244" s="658"/>
      <c r="U244" s="658"/>
      <c r="V244" s="658"/>
      <c r="W244" s="658"/>
      <c r="X244" s="658"/>
      <c r="Y244" s="658"/>
      <c r="Z244" s="658"/>
      <c r="AA244" s="658"/>
      <c r="AB244" s="658"/>
      <c r="AC244" s="658"/>
      <c r="AD244" s="658"/>
      <c r="AE244" s="658"/>
      <c r="AF244" s="658"/>
      <c r="AG244" s="658"/>
      <c r="AH244" s="658"/>
      <c r="AI244" s="658"/>
      <c r="AJ244" s="658"/>
      <c r="AK244" s="658"/>
      <c r="AL244" s="658"/>
      <c r="AM244" s="658"/>
      <c r="AN244" s="658"/>
      <c r="AO244" s="658"/>
      <c r="AP244" s="658"/>
      <c r="AQ244" s="658"/>
      <c r="AR244" s="658"/>
      <c r="AS244" s="658"/>
      <c r="AT244" s="658"/>
      <c r="AU244" s="658"/>
      <c r="AV244" s="658"/>
      <c r="AW244" s="658"/>
      <c r="AX244" s="658"/>
      <c r="AY244" s="658"/>
      <c r="AZ244" s="658"/>
      <c r="BA244" s="658"/>
      <c r="BB244" s="658"/>
      <c r="BC244" s="658"/>
      <c r="BD244" s="658"/>
      <c r="BE244" s="658"/>
      <c r="BF244" s="658"/>
      <c r="BG244" s="658"/>
      <c r="BH244" s="658"/>
      <c r="BI244" s="658"/>
      <c r="BJ244" s="658"/>
      <c r="BK244" s="658"/>
      <c r="BL244" s="658"/>
      <c r="BM244" s="658"/>
      <c r="BN244" s="658"/>
      <c r="BO244" s="658"/>
      <c r="BP244" s="658"/>
      <c r="BQ244" s="658"/>
      <c r="BR244" s="658"/>
      <c r="BS244" s="658"/>
      <c r="BT244" s="658"/>
      <c r="BU244" s="658"/>
      <c r="BV244" s="658"/>
      <c r="BW244" s="658"/>
      <c r="BX244" s="658"/>
      <c r="BY244" s="658"/>
      <c r="BZ244" s="658"/>
      <c r="CA244" s="658"/>
      <c r="CB244" s="658"/>
      <c r="CC244" s="658"/>
      <c r="CD244" s="658"/>
      <c r="CE244" s="658"/>
      <c r="CF244" s="658"/>
      <c r="CG244" s="658"/>
      <c r="CH244" s="658"/>
      <c r="CI244" s="658"/>
      <c r="CJ244" s="658"/>
      <c r="CK244" s="658"/>
      <c r="CL244" s="658"/>
      <c r="CM244" s="658"/>
      <c r="CN244" s="658"/>
      <c r="CO244" s="658"/>
      <c r="CP244" s="658"/>
      <c r="CQ244" s="658"/>
      <c r="CR244" s="658"/>
      <c r="CS244" s="658"/>
      <c r="CT244" s="658"/>
      <c r="CU244" s="658"/>
      <c r="CV244" s="658"/>
      <c r="CW244" s="658"/>
      <c r="CX244" s="658"/>
      <c r="CY244" s="658"/>
      <c r="CZ244" s="658"/>
      <c r="DA244" s="658"/>
      <c r="DB244" s="658"/>
      <c r="DC244" s="658"/>
      <c r="DD244" s="658"/>
      <c r="DE244" s="658"/>
      <c r="DF244" s="658"/>
      <c r="DG244" s="658"/>
      <c r="DH244" s="658"/>
      <c r="DI244" s="658"/>
      <c r="DJ244" s="658"/>
      <c r="DK244" s="658"/>
      <c r="DL244" s="658"/>
      <c r="DM244" s="658"/>
      <c r="DN244" s="658"/>
      <c r="DO244" s="177">
        <f>IF(M244="",0,-XNPV(DP244,S244,S$243)*(1+DP244)^YEARFRAC($S$243,$DO$243,3))</f>
        <v>0</v>
      </c>
      <c r="DP244" s="612" t="e">
        <f>IF(HLOOKUP(L244,$C$251:$E$252,2,0)=0,1E-24%,HLOOKUP(L244,$C$251:$E$252,2,FALSE))</f>
        <v>#N/A</v>
      </c>
      <c r="DQ244" s="612" t="e">
        <f t="shared" ref="DQ244:DQ251" si="1508">XIRR(S244:DO244,$S$243:$DO$243)</f>
        <v>#NUM!</v>
      </c>
      <c r="DR244" s="177"/>
      <c r="DS244" s="177"/>
      <c r="DT244" s="177"/>
      <c r="DU244" s="177"/>
      <c r="DV244" s="177"/>
      <c r="DW244" s="177"/>
      <c r="DX244" s="177"/>
      <c r="DY244" s="177"/>
      <c r="DZ244" s="177"/>
      <c r="EA244" s="613"/>
    </row>
    <row r="245" spans="1:131" ht="13.5">
      <c r="A245" s="652" t="str">
        <f t="shared" si="1504"/>
        <v>출자잔액</v>
      </c>
      <c r="B245" s="653" t="s">
        <v>352</v>
      </c>
      <c r="C245" s="782"/>
      <c r="D245" s="782"/>
      <c r="E245" s="782"/>
      <c r="F245" s="230"/>
      <c r="G245" s="230"/>
      <c r="I245" s="657">
        <f t="shared" ref="I245:I251" si="1509">SUM(DR245:EA245)</f>
        <v>0</v>
      </c>
      <c r="J245" s="606" t="str">
        <f t="shared" ref="J245:J251" si="1510">IFERROR(I245/(Q245/$C$246),"N/A")</f>
        <v>N/A</v>
      </c>
      <c r="K245" s="471"/>
      <c r="L245" s="607"/>
      <c r="M245" s="300"/>
      <c r="N245" s="608"/>
      <c r="O245" s="609">
        <f t="shared" si="1505"/>
        <v>0</v>
      </c>
      <c r="P245" s="609">
        <f t="shared" si="1506"/>
        <v>0</v>
      </c>
      <c r="Q245" s="609">
        <f t="shared" si="1507"/>
        <v>0</v>
      </c>
      <c r="R245" s="610" t="str">
        <f>IFERROR(Q245/Q252,"")</f>
        <v/>
      </c>
      <c r="S245" s="658"/>
      <c r="T245" s="658"/>
      <c r="U245" s="658"/>
      <c r="V245" s="658"/>
      <c r="W245" s="658"/>
      <c r="X245" s="658"/>
      <c r="Y245" s="658"/>
      <c r="Z245" s="658"/>
      <c r="AA245" s="658"/>
      <c r="AB245" s="658"/>
      <c r="AC245" s="658"/>
      <c r="AD245" s="658"/>
      <c r="AE245" s="658"/>
      <c r="AF245" s="658"/>
      <c r="AG245" s="658"/>
      <c r="AH245" s="658"/>
      <c r="AI245" s="658"/>
      <c r="AJ245" s="658"/>
      <c r="AK245" s="658"/>
      <c r="AL245" s="658"/>
      <c r="AM245" s="658"/>
      <c r="AN245" s="658"/>
      <c r="AO245" s="658"/>
      <c r="AP245" s="658"/>
      <c r="AQ245" s="658"/>
      <c r="AR245" s="658"/>
      <c r="AS245" s="658"/>
      <c r="AT245" s="658"/>
      <c r="AU245" s="658"/>
      <c r="AV245" s="658"/>
      <c r="AW245" s="658"/>
      <c r="AX245" s="658"/>
      <c r="AY245" s="658"/>
      <c r="AZ245" s="658"/>
      <c r="BA245" s="658"/>
      <c r="BB245" s="658"/>
      <c r="BC245" s="658"/>
      <c r="BD245" s="658"/>
      <c r="BE245" s="658"/>
      <c r="BF245" s="658"/>
      <c r="BG245" s="658"/>
      <c r="BH245" s="658"/>
      <c r="BI245" s="658"/>
      <c r="BJ245" s="658"/>
      <c r="BK245" s="658"/>
      <c r="BL245" s="658"/>
      <c r="BM245" s="658"/>
      <c r="BN245" s="658"/>
      <c r="BO245" s="658"/>
      <c r="BP245" s="658"/>
      <c r="BQ245" s="658"/>
      <c r="BR245" s="658"/>
      <c r="BS245" s="658"/>
      <c r="BT245" s="658"/>
      <c r="BU245" s="658"/>
      <c r="BV245" s="658"/>
      <c r="BW245" s="658"/>
      <c r="BX245" s="658"/>
      <c r="BY245" s="658"/>
      <c r="BZ245" s="658"/>
      <c r="CA245" s="658"/>
      <c r="CB245" s="658"/>
      <c r="CC245" s="658"/>
      <c r="CD245" s="658"/>
      <c r="CE245" s="658"/>
      <c r="CF245" s="658"/>
      <c r="CG245" s="658"/>
      <c r="CH245" s="658"/>
      <c r="CI245" s="658"/>
      <c r="CJ245" s="658"/>
      <c r="CK245" s="658"/>
      <c r="CL245" s="658"/>
      <c r="CM245" s="658"/>
      <c r="CN245" s="658"/>
      <c r="CO245" s="658"/>
      <c r="CP245" s="658"/>
      <c r="CQ245" s="658"/>
      <c r="CR245" s="658"/>
      <c r="CS245" s="658"/>
      <c r="CT245" s="658"/>
      <c r="CU245" s="658"/>
      <c r="CV245" s="658"/>
      <c r="CW245" s="658"/>
      <c r="CX245" s="658"/>
      <c r="CY245" s="658"/>
      <c r="CZ245" s="658"/>
      <c r="DA245" s="658"/>
      <c r="DB245" s="658"/>
      <c r="DC245" s="658"/>
      <c r="DD245" s="658"/>
      <c r="DE245" s="658"/>
      <c r="DF245" s="658"/>
      <c r="DG245" s="658"/>
      <c r="DH245" s="658"/>
      <c r="DI245" s="658"/>
      <c r="DJ245" s="658"/>
      <c r="DK245" s="658"/>
      <c r="DL245" s="658"/>
      <c r="DM245" s="658"/>
      <c r="DN245" s="658"/>
      <c r="DO245" s="177">
        <f t="shared" ref="DO245:DO251" si="1511">IF(M245="",0,-XNPV(DP245,S245,S$243)*(1+DP245)^YEARFRAC($S$243,$DO$243,3))</f>
        <v>0</v>
      </c>
      <c r="DP245" s="612" t="e">
        <f t="shared" ref="DP245:DP251" si="1512">IF(HLOOKUP(L245,$C$251:$E$252,2,0)=0,1E-24%,HLOOKUP(L245,$C$251:$E$252,2,FALSE))</f>
        <v>#N/A</v>
      </c>
      <c r="DQ245" s="612" t="e">
        <f t="shared" si="1508"/>
        <v>#NUM!</v>
      </c>
      <c r="DR245" s="177"/>
      <c r="DS245" s="177"/>
      <c r="DT245" s="177"/>
      <c r="DU245" s="177"/>
      <c r="DV245" s="177"/>
      <c r="DW245" s="177"/>
      <c r="DX245" s="177"/>
      <c r="DY245" s="177"/>
      <c r="DZ245" s="177"/>
      <c r="EA245" s="613"/>
    </row>
    <row r="246" spans="1:131" ht="13.5">
      <c r="A246" s="652" t="str">
        <f t="shared" si="1504"/>
        <v>1좌당 금액</v>
      </c>
      <c r="B246" s="653" t="s">
        <v>353</v>
      </c>
      <c r="C246" s="783"/>
      <c r="D246" s="783"/>
      <c r="E246" s="783"/>
      <c r="F246" s="230"/>
      <c r="G246" s="230"/>
      <c r="I246" s="657">
        <f t="shared" si="1509"/>
        <v>0</v>
      </c>
      <c r="J246" s="606" t="str">
        <f t="shared" si="1510"/>
        <v>N/A</v>
      </c>
      <c r="K246" s="471"/>
      <c r="L246" s="607"/>
      <c r="M246" s="300"/>
      <c r="N246" s="608"/>
      <c r="O246" s="609">
        <f t="shared" si="1505"/>
        <v>0</v>
      </c>
      <c r="P246" s="609">
        <f t="shared" si="1506"/>
        <v>0</v>
      </c>
      <c r="Q246" s="609">
        <f t="shared" si="1507"/>
        <v>0</v>
      </c>
      <c r="R246" s="610" t="str">
        <f>IFERROR(Q246/Q252,"")</f>
        <v/>
      </c>
      <c r="S246" s="658"/>
      <c r="T246" s="658"/>
      <c r="U246" s="658"/>
      <c r="V246" s="658"/>
      <c r="W246" s="658"/>
      <c r="X246" s="658"/>
      <c r="Y246" s="658"/>
      <c r="Z246" s="658"/>
      <c r="AA246" s="658"/>
      <c r="AB246" s="658"/>
      <c r="AC246" s="658"/>
      <c r="AD246" s="658"/>
      <c r="AE246" s="658"/>
      <c r="AF246" s="658"/>
      <c r="AG246" s="658"/>
      <c r="AH246" s="658"/>
      <c r="AI246" s="658"/>
      <c r="AJ246" s="658"/>
      <c r="AK246" s="658"/>
      <c r="AL246" s="658"/>
      <c r="AM246" s="658"/>
      <c r="AN246" s="658"/>
      <c r="AO246" s="658"/>
      <c r="AP246" s="658"/>
      <c r="AQ246" s="658"/>
      <c r="AR246" s="658"/>
      <c r="AS246" s="658"/>
      <c r="AT246" s="658"/>
      <c r="AU246" s="658"/>
      <c r="AV246" s="658"/>
      <c r="AW246" s="658"/>
      <c r="AX246" s="658"/>
      <c r="AY246" s="658"/>
      <c r="AZ246" s="658"/>
      <c r="BA246" s="658"/>
      <c r="BB246" s="658"/>
      <c r="BC246" s="658"/>
      <c r="BD246" s="658"/>
      <c r="BE246" s="658"/>
      <c r="BF246" s="658"/>
      <c r="BG246" s="658"/>
      <c r="BH246" s="658"/>
      <c r="BI246" s="658"/>
      <c r="BJ246" s="658"/>
      <c r="BK246" s="658"/>
      <c r="BL246" s="658"/>
      <c r="BM246" s="658"/>
      <c r="BN246" s="658"/>
      <c r="BO246" s="658"/>
      <c r="BP246" s="658"/>
      <c r="BQ246" s="658"/>
      <c r="BR246" s="658"/>
      <c r="BS246" s="658"/>
      <c r="BT246" s="658"/>
      <c r="BU246" s="658"/>
      <c r="BV246" s="658"/>
      <c r="BW246" s="658"/>
      <c r="BX246" s="658"/>
      <c r="BY246" s="658"/>
      <c r="BZ246" s="658"/>
      <c r="CA246" s="658"/>
      <c r="CB246" s="658"/>
      <c r="CC246" s="658"/>
      <c r="CD246" s="658"/>
      <c r="CE246" s="658"/>
      <c r="CF246" s="658"/>
      <c r="CG246" s="658"/>
      <c r="CH246" s="658"/>
      <c r="CI246" s="658"/>
      <c r="CJ246" s="658"/>
      <c r="CK246" s="658"/>
      <c r="CL246" s="658"/>
      <c r="CM246" s="658"/>
      <c r="CN246" s="658"/>
      <c r="CO246" s="658"/>
      <c r="CP246" s="658"/>
      <c r="CQ246" s="658"/>
      <c r="CR246" s="658"/>
      <c r="CS246" s="658"/>
      <c r="CT246" s="658"/>
      <c r="CU246" s="658"/>
      <c r="CV246" s="658"/>
      <c r="CW246" s="658"/>
      <c r="CX246" s="658"/>
      <c r="CY246" s="658"/>
      <c r="CZ246" s="658"/>
      <c r="DA246" s="658"/>
      <c r="DB246" s="658"/>
      <c r="DC246" s="658"/>
      <c r="DD246" s="658"/>
      <c r="DE246" s="658"/>
      <c r="DF246" s="658"/>
      <c r="DG246" s="658"/>
      <c r="DH246" s="658"/>
      <c r="DI246" s="658"/>
      <c r="DJ246" s="658"/>
      <c r="DK246" s="658"/>
      <c r="DL246" s="658"/>
      <c r="DM246" s="658"/>
      <c r="DN246" s="658"/>
      <c r="DO246" s="177">
        <f t="shared" si="1511"/>
        <v>0</v>
      </c>
      <c r="DP246" s="612" t="e">
        <f t="shared" si="1512"/>
        <v>#N/A</v>
      </c>
      <c r="DQ246" s="612" t="e">
        <f t="shared" si="1508"/>
        <v>#NUM!</v>
      </c>
      <c r="DR246" s="177"/>
      <c r="DS246" s="177"/>
      <c r="DT246" s="177"/>
      <c r="DU246" s="177"/>
      <c r="DV246" s="177"/>
      <c r="DW246" s="177"/>
      <c r="DX246" s="177"/>
      <c r="DY246" s="177"/>
      <c r="DZ246" s="177"/>
      <c r="EA246" s="613"/>
    </row>
    <row r="247" spans="1:131" ht="13.5">
      <c r="A247" s="652" t="str">
        <f t="shared" si="1504"/>
        <v>기준수익률</v>
      </c>
      <c r="B247" s="653" t="s">
        <v>354</v>
      </c>
      <c r="C247" s="784"/>
      <c r="D247" s="785"/>
      <c r="E247" s="785"/>
      <c r="F247" s="230"/>
      <c r="G247" s="230"/>
      <c r="I247" s="657">
        <f t="shared" si="1509"/>
        <v>0</v>
      </c>
      <c r="J247" s="606" t="str">
        <f t="shared" si="1510"/>
        <v>N/A</v>
      </c>
      <c r="K247" s="471"/>
      <c r="L247" s="607"/>
      <c r="M247" s="300"/>
      <c r="N247" s="608"/>
      <c r="O247" s="609">
        <f t="shared" si="1505"/>
        <v>0</v>
      </c>
      <c r="P247" s="609">
        <f t="shared" si="1506"/>
        <v>0</v>
      </c>
      <c r="Q247" s="609">
        <f t="shared" si="1507"/>
        <v>0</v>
      </c>
      <c r="R247" s="610" t="str">
        <f>IFERROR(Q247/Q252,"")</f>
        <v/>
      </c>
      <c r="S247" s="658"/>
      <c r="T247" s="658"/>
      <c r="U247" s="658"/>
      <c r="V247" s="658"/>
      <c r="W247" s="658"/>
      <c r="X247" s="658"/>
      <c r="Y247" s="658"/>
      <c r="Z247" s="658"/>
      <c r="AA247" s="658"/>
      <c r="AB247" s="658"/>
      <c r="AC247" s="658"/>
      <c r="AD247" s="658"/>
      <c r="AE247" s="658"/>
      <c r="AF247" s="658"/>
      <c r="AG247" s="658"/>
      <c r="AH247" s="658"/>
      <c r="AI247" s="658"/>
      <c r="AJ247" s="658"/>
      <c r="AK247" s="658"/>
      <c r="AL247" s="658"/>
      <c r="AM247" s="658"/>
      <c r="AN247" s="658"/>
      <c r="AO247" s="658"/>
      <c r="AP247" s="658"/>
      <c r="AQ247" s="658"/>
      <c r="AR247" s="658"/>
      <c r="AS247" s="658"/>
      <c r="AT247" s="658"/>
      <c r="AU247" s="658"/>
      <c r="AV247" s="658"/>
      <c r="AW247" s="658"/>
      <c r="AX247" s="658"/>
      <c r="AY247" s="658"/>
      <c r="AZ247" s="658"/>
      <c r="BA247" s="658"/>
      <c r="BB247" s="658"/>
      <c r="BC247" s="658"/>
      <c r="BD247" s="658"/>
      <c r="BE247" s="658"/>
      <c r="BF247" s="658"/>
      <c r="BG247" s="658"/>
      <c r="BH247" s="658"/>
      <c r="BI247" s="658"/>
      <c r="BJ247" s="658"/>
      <c r="BK247" s="658"/>
      <c r="BL247" s="658"/>
      <c r="BM247" s="658"/>
      <c r="BN247" s="658"/>
      <c r="BO247" s="658"/>
      <c r="BP247" s="658"/>
      <c r="BQ247" s="658"/>
      <c r="BR247" s="658"/>
      <c r="BS247" s="658"/>
      <c r="BT247" s="658"/>
      <c r="BU247" s="658"/>
      <c r="BV247" s="658"/>
      <c r="BW247" s="658"/>
      <c r="BX247" s="658"/>
      <c r="BY247" s="658"/>
      <c r="BZ247" s="658"/>
      <c r="CA247" s="658"/>
      <c r="CB247" s="658"/>
      <c r="CC247" s="658"/>
      <c r="CD247" s="658"/>
      <c r="CE247" s="658"/>
      <c r="CF247" s="658"/>
      <c r="CG247" s="658"/>
      <c r="CH247" s="658"/>
      <c r="CI247" s="658"/>
      <c r="CJ247" s="658"/>
      <c r="CK247" s="658"/>
      <c r="CL247" s="658"/>
      <c r="CM247" s="658"/>
      <c r="CN247" s="658"/>
      <c r="CO247" s="658"/>
      <c r="CP247" s="658"/>
      <c r="CQ247" s="658"/>
      <c r="CR247" s="658"/>
      <c r="CS247" s="658"/>
      <c r="CT247" s="658"/>
      <c r="CU247" s="658"/>
      <c r="CV247" s="658"/>
      <c r="CW247" s="658"/>
      <c r="CX247" s="658"/>
      <c r="CY247" s="658"/>
      <c r="CZ247" s="658"/>
      <c r="DA247" s="658"/>
      <c r="DB247" s="658"/>
      <c r="DC247" s="658"/>
      <c r="DD247" s="658"/>
      <c r="DE247" s="658"/>
      <c r="DF247" s="658"/>
      <c r="DG247" s="658"/>
      <c r="DH247" s="658"/>
      <c r="DI247" s="658"/>
      <c r="DJ247" s="658"/>
      <c r="DK247" s="658"/>
      <c r="DL247" s="658"/>
      <c r="DM247" s="658"/>
      <c r="DN247" s="658"/>
      <c r="DO247" s="177">
        <f t="shared" si="1511"/>
        <v>0</v>
      </c>
      <c r="DP247" s="612" t="e">
        <f t="shared" si="1512"/>
        <v>#N/A</v>
      </c>
      <c r="DQ247" s="612" t="e">
        <f t="shared" si="1508"/>
        <v>#NUM!</v>
      </c>
      <c r="DR247" s="177"/>
      <c r="DS247" s="177"/>
      <c r="DT247" s="177"/>
      <c r="DU247" s="177"/>
      <c r="DV247" s="177"/>
      <c r="DW247" s="177"/>
      <c r="DX247" s="177"/>
      <c r="DY247" s="177"/>
      <c r="DZ247" s="177"/>
      <c r="EA247" s="613"/>
    </row>
    <row r="248" spans="1:131" ht="13.5">
      <c r="A248" s="652" t="str">
        <f t="shared" si="1504"/>
        <v>평가방법론</v>
      </c>
      <c r="B248" s="653" t="s">
        <v>7</v>
      </c>
      <c r="C248" s="786"/>
      <c r="D248" s="786"/>
      <c r="E248" s="786"/>
      <c r="F248" s="230"/>
      <c r="G248" s="230"/>
      <c r="I248" s="657">
        <f t="shared" si="1509"/>
        <v>0</v>
      </c>
      <c r="J248" s="606" t="str">
        <f t="shared" si="1510"/>
        <v>N/A</v>
      </c>
      <c r="K248" s="471"/>
      <c r="L248" s="607"/>
      <c r="M248" s="300"/>
      <c r="N248" s="608"/>
      <c r="O248" s="609">
        <f t="shared" si="1505"/>
        <v>0</v>
      </c>
      <c r="P248" s="609">
        <f t="shared" si="1506"/>
        <v>0</v>
      </c>
      <c r="Q248" s="609">
        <f t="shared" si="1507"/>
        <v>0</v>
      </c>
      <c r="R248" s="610" t="str">
        <f>IFERROR(Q248/Q252,"")</f>
        <v/>
      </c>
      <c r="S248" s="658"/>
      <c r="T248" s="658"/>
      <c r="U248" s="658"/>
      <c r="V248" s="658"/>
      <c r="W248" s="658"/>
      <c r="X248" s="658"/>
      <c r="Y248" s="658"/>
      <c r="Z248" s="658"/>
      <c r="AA248" s="658"/>
      <c r="AB248" s="658"/>
      <c r="AC248" s="658"/>
      <c r="AD248" s="658"/>
      <c r="AE248" s="658"/>
      <c r="AF248" s="658"/>
      <c r="AG248" s="658"/>
      <c r="AH248" s="658"/>
      <c r="AI248" s="658"/>
      <c r="AJ248" s="658"/>
      <c r="AK248" s="658"/>
      <c r="AL248" s="658"/>
      <c r="AM248" s="658"/>
      <c r="AN248" s="658"/>
      <c r="AO248" s="658"/>
      <c r="AP248" s="658"/>
      <c r="AQ248" s="658"/>
      <c r="AR248" s="658"/>
      <c r="AS248" s="658"/>
      <c r="AT248" s="658"/>
      <c r="AU248" s="658"/>
      <c r="AV248" s="658"/>
      <c r="AW248" s="658"/>
      <c r="AX248" s="658"/>
      <c r="AY248" s="658"/>
      <c r="AZ248" s="658"/>
      <c r="BA248" s="658"/>
      <c r="BB248" s="658"/>
      <c r="BC248" s="658"/>
      <c r="BD248" s="658"/>
      <c r="BE248" s="658"/>
      <c r="BF248" s="658"/>
      <c r="BG248" s="658"/>
      <c r="BH248" s="658"/>
      <c r="BI248" s="658"/>
      <c r="BJ248" s="658"/>
      <c r="BK248" s="658"/>
      <c r="BL248" s="658"/>
      <c r="BM248" s="658"/>
      <c r="BN248" s="658"/>
      <c r="BO248" s="658"/>
      <c r="BP248" s="658"/>
      <c r="BQ248" s="658"/>
      <c r="BR248" s="658"/>
      <c r="BS248" s="658"/>
      <c r="BT248" s="658"/>
      <c r="BU248" s="658"/>
      <c r="BV248" s="658"/>
      <c r="BW248" s="658"/>
      <c r="BX248" s="658"/>
      <c r="BY248" s="658"/>
      <c r="BZ248" s="658"/>
      <c r="CA248" s="658"/>
      <c r="CB248" s="658"/>
      <c r="CC248" s="658"/>
      <c r="CD248" s="658"/>
      <c r="CE248" s="658"/>
      <c r="CF248" s="658"/>
      <c r="CG248" s="658"/>
      <c r="CH248" s="658"/>
      <c r="CI248" s="658"/>
      <c r="CJ248" s="658"/>
      <c r="CK248" s="658"/>
      <c r="CL248" s="658"/>
      <c r="CM248" s="658"/>
      <c r="CN248" s="658"/>
      <c r="CO248" s="658"/>
      <c r="CP248" s="658"/>
      <c r="CQ248" s="658"/>
      <c r="CR248" s="658"/>
      <c r="CS248" s="658"/>
      <c r="CT248" s="658"/>
      <c r="CU248" s="658"/>
      <c r="CV248" s="658"/>
      <c r="CW248" s="658"/>
      <c r="CX248" s="658"/>
      <c r="CY248" s="658"/>
      <c r="CZ248" s="658"/>
      <c r="DA248" s="658"/>
      <c r="DB248" s="658"/>
      <c r="DC248" s="658"/>
      <c r="DD248" s="658"/>
      <c r="DE248" s="658"/>
      <c r="DF248" s="658"/>
      <c r="DG248" s="658"/>
      <c r="DH248" s="658"/>
      <c r="DI248" s="658"/>
      <c r="DJ248" s="658"/>
      <c r="DK248" s="658"/>
      <c r="DL248" s="658"/>
      <c r="DM248" s="658"/>
      <c r="DN248" s="658"/>
      <c r="DO248" s="177">
        <f t="shared" si="1511"/>
        <v>0</v>
      </c>
      <c r="DP248" s="612" t="e">
        <f t="shared" si="1512"/>
        <v>#N/A</v>
      </c>
      <c r="DQ248" s="612" t="e">
        <f t="shared" si="1508"/>
        <v>#NUM!</v>
      </c>
      <c r="DR248" s="177"/>
      <c r="DS248" s="177"/>
      <c r="DT248" s="177"/>
      <c r="DU248" s="177"/>
      <c r="DV248" s="177"/>
      <c r="DW248" s="177"/>
      <c r="DX248" s="177"/>
      <c r="DY248" s="177"/>
      <c r="DZ248" s="177"/>
      <c r="EA248" s="613"/>
    </row>
    <row r="249" spans="1:131" ht="13.5">
      <c r="A249" s="652" t="str">
        <f t="shared" si="1504"/>
        <v>분배 조항 여부</v>
      </c>
      <c r="B249" s="653" t="s">
        <v>355</v>
      </c>
      <c r="C249" s="786"/>
      <c r="D249" s="786"/>
      <c r="E249" s="786"/>
      <c r="F249" s="230"/>
      <c r="G249" s="230"/>
      <c r="I249" s="657">
        <f t="shared" si="1509"/>
        <v>0</v>
      </c>
      <c r="J249" s="606" t="str">
        <f t="shared" si="1510"/>
        <v>N/A</v>
      </c>
      <c r="K249" s="471"/>
      <c r="L249" s="607"/>
      <c r="M249" s="300"/>
      <c r="N249" s="608"/>
      <c r="O249" s="609">
        <f t="shared" si="1505"/>
        <v>0</v>
      </c>
      <c r="P249" s="609">
        <f t="shared" si="1506"/>
        <v>0</v>
      </c>
      <c r="Q249" s="609">
        <f t="shared" si="1507"/>
        <v>0</v>
      </c>
      <c r="R249" s="610" t="str">
        <f>IFERROR(Q249/Q252,"")</f>
        <v/>
      </c>
      <c r="S249" s="658"/>
      <c r="T249" s="658"/>
      <c r="U249" s="658"/>
      <c r="V249" s="658"/>
      <c r="W249" s="658"/>
      <c r="X249" s="658"/>
      <c r="Y249" s="658"/>
      <c r="Z249" s="658"/>
      <c r="AA249" s="658"/>
      <c r="AB249" s="658"/>
      <c r="AC249" s="658"/>
      <c r="AD249" s="658"/>
      <c r="AE249" s="658"/>
      <c r="AF249" s="658"/>
      <c r="AG249" s="658"/>
      <c r="AH249" s="658"/>
      <c r="AI249" s="658"/>
      <c r="AJ249" s="658"/>
      <c r="AK249" s="658"/>
      <c r="AL249" s="658"/>
      <c r="AM249" s="658"/>
      <c r="AN249" s="658"/>
      <c r="AO249" s="658"/>
      <c r="AP249" s="658"/>
      <c r="AQ249" s="658"/>
      <c r="AR249" s="658"/>
      <c r="AS249" s="658"/>
      <c r="AT249" s="658"/>
      <c r="AU249" s="658"/>
      <c r="AV249" s="658"/>
      <c r="AW249" s="658"/>
      <c r="AX249" s="658"/>
      <c r="AY249" s="658"/>
      <c r="AZ249" s="658"/>
      <c r="BA249" s="658"/>
      <c r="BB249" s="658"/>
      <c r="BC249" s="658"/>
      <c r="BD249" s="658"/>
      <c r="BE249" s="658"/>
      <c r="BF249" s="658"/>
      <c r="BG249" s="658"/>
      <c r="BH249" s="658"/>
      <c r="BI249" s="658"/>
      <c r="BJ249" s="658"/>
      <c r="BK249" s="658"/>
      <c r="BL249" s="658"/>
      <c r="BM249" s="658"/>
      <c r="BN249" s="658"/>
      <c r="BO249" s="658"/>
      <c r="BP249" s="658"/>
      <c r="BQ249" s="658"/>
      <c r="BR249" s="658"/>
      <c r="BS249" s="658"/>
      <c r="BT249" s="658"/>
      <c r="BU249" s="658"/>
      <c r="BV249" s="658"/>
      <c r="BW249" s="658"/>
      <c r="BX249" s="658"/>
      <c r="BY249" s="658"/>
      <c r="BZ249" s="658"/>
      <c r="CA249" s="658"/>
      <c r="CB249" s="658"/>
      <c r="CC249" s="658"/>
      <c r="CD249" s="658"/>
      <c r="CE249" s="658"/>
      <c r="CF249" s="658"/>
      <c r="CG249" s="658"/>
      <c r="CH249" s="658"/>
      <c r="CI249" s="658"/>
      <c r="CJ249" s="658"/>
      <c r="CK249" s="658"/>
      <c r="CL249" s="658"/>
      <c r="CM249" s="658"/>
      <c r="CN249" s="658"/>
      <c r="CO249" s="658"/>
      <c r="CP249" s="658"/>
      <c r="CQ249" s="658"/>
      <c r="CR249" s="658"/>
      <c r="CS249" s="658"/>
      <c r="CT249" s="658"/>
      <c r="CU249" s="658"/>
      <c r="CV249" s="658"/>
      <c r="CW249" s="658"/>
      <c r="CX249" s="658"/>
      <c r="CY249" s="658"/>
      <c r="CZ249" s="658"/>
      <c r="DA249" s="658"/>
      <c r="DB249" s="658"/>
      <c r="DC249" s="658"/>
      <c r="DD249" s="658"/>
      <c r="DE249" s="658"/>
      <c r="DF249" s="658"/>
      <c r="DG249" s="658"/>
      <c r="DH249" s="658"/>
      <c r="DI249" s="658"/>
      <c r="DJ249" s="658"/>
      <c r="DK249" s="658"/>
      <c r="DL249" s="658"/>
      <c r="DM249" s="658"/>
      <c r="DN249" s="658"/>
      <c r="DO249" s="177">
        <f t="shared" si="1511"/>
        <v>0</v>
      </c>
      <c r="DP249" s="612" t="e">
        <f t="shared" si="1512"/>
        <v>#N/A</v>
      </c>
      <c r="DQ249" s="612" t="e">
        <f t="shared" si="1508"/>
        <v>#NUM!</v>
      </c>
      <c r="DR249" s="177"/>
      <c r="DS249" s="177"/>
      <c r="DT249" s="177"/>
      <c r="DU249" s="177"/>
      <c r="DV249" s="177"/>
      <c r="DW249" s="177"/>
      <c r="DX249" s="177"/>
      <c r="DY249" s="177"/>
      <c r="DZ249" s="177"/>
      <c r="EA249" s="613"/>
    </row>
    <row r="250" spans="1:131" ht="14.25" thickBot="1">
      <c r="A250" s="652" t="str">
        <f t="shared" si="1504"/>
        <v>모펀드 출자 지분율</v>
      </c>
      <c r="B250" s="660" t="s">
        <v>356</v>
      </c>
      <c r="C250" s="787"/>
      <c r="D250" s="787"/>
      <c r="E250" s="787"/>
      <c r="F250" s="230"/>
      <c r="G250" s="230"/>
      <c r="I250" s="657">
        <f t="shared" si="1509"/>
        <v>0</v>
      </c>
      <c r="J250" s="606" t="str">
        <f t="shared" si="1510"/>
        <v>N/A</v>
      </c>
      <c r="K250" s="471"/>
      <c r="L250" s="607"/>
      <c r="M250" s="300"/>
      <c r="N250" s="608"/>
      <c r="O250" s="609">
        <f t="shared" si="1505"/>
        <v>0</v>
      </c>
      <c r="P250" s="609">
        <f t="shared" si="1506"/>
        <v>0</v>
      </c>
      <c r="Q250" s="609">
        <f t="shared" si="1507"/>
        <v>0</v>
      </c>
      <c r="R250" s="610" t="str">
        <f>IFERROR(Q250/Q252,"")</f>
        <v/>
      </c>
      <c r="S250" s="658"/>
      <c r="T250" s="658"/>
      <c r="U250" s="658"/>
      <c r="V250" s="658"/>
      <c r="W250" s="658"/>
      <c r="X250" s="658"/>
      <c r="Y250" s="658"/>
      <c r="Z250" s="658"/>
      <c r="AA250" s="658"/>
      <c r="AB250" s="658"/>
      <c r="AC250" s="658"/>
      <c r="AD250" s="658"/>
      <c r="AE250" s="658"/>
      <c r="AF250" s="658"/>
      <c r="AG250" s="658"/>
      <c r="AH250" s="658"/>
      <c r="AI250" s="658"/>
      <c r="AJ250" s="658"/>
      <c r="AK250" s="658"/>
      <c r="AL250" s="658"/>
      <c r="AM250" s="658"/>
      <c r="AN250" s="658"/>
      <c r="AO250" s="658"/>
      <c r="AP250" s="658"/>
      <c r="AQ250" s="658"/>
      <c r="AR250" s="658"/>
      <c r="AS250" s="658"/>
      <c r="AT250" s="658"/>
      <c r="AU250" s="658"/>
      <c r="AV250" s="658"/>
      <c r="AW250" s="658"/>
      <c r="AX250" s="658"/>
      <c r="AY250" s="658"/>
      <c r="AZ250" s="658"/>
      <c r="BA250" s="658"/>
      <c r="BB250" s="658"/>
      <c r="BC250" s="658"/>
      <c r="BD250" s="658"/>
      <c r="BE250" s="658"/>
      <c r="BF250" s="658"/>
      <c r="BG250" s="658"/>
      <c r="BH250" s="658"/>
      <c r="BI250" s="658"/>
      <c r="BJ250" s="658"/>
      <c r="BK250" s="658"/>
      <c r="BL250" s="658"/>
      <c r="BM250" s="658"/>
      <c r="BN250" s="658"/>
      <c r="BO250" s="658"/>
      <c r="BP250" s="658"/>
      <c r="BQ250" s="658"/>
      <c r="BR250" s="658"/>
      <c r="BS250" s="658"/>
      <c r="BT250" s="658"/>
      <c r="BU250" s="658"/>
      <c r="BV250" s="658"/>
      <c r="BW250" s="658"/>
      <c r="BX250" s="658"/>
      <c r="BY250" s="658"/>
      <c r="BZ250" s="658"/>
      <c r="CA250" s="658"/>
      <c r="CB250" s="658"/>
      <c r="CC250" s="658"/>
      <c r="CD250" s="658"/>
      <c r="CE250" s="658"/>
      <c r="CF250" s="658"/>
      <c r="CG250" s="658"/>
      <c r="CH250" s="658"/>
      <c r="CI250" s="658"/>
      <c r="CJ250" s="658"/>
      <c r="CK250" s="658"/>
      <c r="CL250" s="658"/>
      <c r="CM250" s="658"/>
      <c r="CN250" s="658"/>
      <c r="CO250" s="658"/>
      <c r="CP250" s="658"/>
      <c r="CQ250" s="658"/>
      <c r="CR250" s="658"/>
      <c r="CS250" s="658"/>
      <c r="CT250" s="658"/>
      <c r="CU250" s="658"/>
      <c r="CV250" s="658"/>
      <c r="CW250" s="658"/>
      <c r="CX250" s="658"/>
      <c r="CY250" s="658"/>
      <c r="CZ250" s="658"/>
      <c r="DA250" s="658"/>
      <c r="DB250" s="658"/>
      <c r="DC250" s="658"/>
      <c r="DD250" s="658"/>
      <c r="DE250" s="658"/>
      <c r="DF250" s="658"/>
      <c r="DG250" s="658"/>
      <c r="DH250" s="658"/>
      <c r="DI250" s="658"/>
      <c r="DJ250" s="658"/>
      <c r="DK250" s="658"/>
      <c r="DL250" s="658"/>
      <c r="DM250" s="658"/>
      <c r="DN250" s="658"/>
      <c r="DO250" s="177">
        <f t="shared" si="1511"/>
        <v>0</v>
      </c>
      <c r="DP250" s="612" t="e">
        <f t="shared" si="1512"/>
        <v>#N/A</v>
      </c>
      <c r="DQ250" s="612" t="e">
        <f t="shared" si="1508"/>
        <v>#NUM!</v>
      </c>
      <c r="DR250" s="177"/>
      <c r="DS250" s="177"/>
      <c r="DT250" s="177"/>
      <c r="DU250" s="177"/>
      <c r="DV250" s="177"/>
      <c r="DW250" s="177"/>
      <c r="DX250" s="177"/>
      <c r="DY250" s="177"/>
      <c r="DZ250" s="177"/>
      <c r="EA250" s="613"/>
    </row>
    <row r="251" spans="1:131" ht="14.25" thickBot="1">
      <c r="B251" s="778" t="s">
        <v>3404</v>
      </c>
      <c r="C251" s="616" t="s">
        <v>223</v>
      </c>
      <c r="D251" s="616" t="s">
        <v>224</v>
      </c>
      <c r="E251" s="616" t="s">
        <v>225</v>
      </c>
      <c r="F251" s="230"/>
      <c r="G251" s="230"/>
      <c r="I251" s="657">
        <f t="shared" si="1509"/>
        <v>0</v>
      </c>
      <c r="J251" s="606" t="str">
        <f t="shared" si="1510"/>
        <v>N/A</v>
      </c>
      <c r="K251" s="471"/>
      <c r="L251" s="607"/>
      <c r="M251" s="300"/>
      <c r="N251" s="608"/>
      <c r="O251" s="609">
        <f t="shared" si="1505"/>
        <v>0</v>
      </c>
      <c r="P251" s="609">
        <f t="shared" si="1506"/>
        <v>0</v>
      </c>
      <c r="Q251" s="609">
        <f t="shared" si="1507"/>
        <v>0</v>
      </c>
      <c r="R251" s="610" t="str">
        <f>IFERROR(Q251/Q252,"")</f>
        <v/>
      </c>
      <c r="S251" s="658"/>
      <c r="T251" s="658"/>
      <c r="U251" s="658"/>
      <c r="V251" s="658"/>
      <c r="W251" s="658"/>
      <c r="X251" s="658"/>
      <c r="Y251" s="658"/>
      <c r="Z251" s="658"/>
      <c r="AA251" s="658"/>
      <c r="AB251" s="658"/>
      <c r="AC251" s="658"/>
      <c r="AD251" s="658"/>
      <c r="AE251" s="658"/>
      <c r="AF251" s="658"/>
      <c r="AG251" s="658"/>
      <c r="AH251" s="658"/>
      <c r="AI251" s="658"/>
      <c r="AJ251" s="658"/>
      <c r="AK251" s="658"/>
      <c r="AL251" s="658"/>
      <c r="AM251" s="658"/>
      <c r="AN251" s="658"/>
      <c r="AO251" s="658"/>
      <c r="AP251" s="658"/>
      <c r="AQ251" s="658"/>
      <c r="AR251" s="658"/>
      <c r="AS251" s="658"/>
      <c r="AT251" s="658"/>
      <c r="AU251" s="658"/>
      <c r="AV251" s="658"/>
      <c r="AW251" s="658"/>
      <c r="AX251" s="658"/>
      <c r="AY251" s="658"/>
      <c r="AZ251" s="658"/>
      <c r="BA251" s="658"/>
      <c r="BB251" s="658"/>
      <c r="BC251" s="658"/>
      <c r="BD251" s="658"/>
      <c r="BE251" s="658"/>
      <c r="BF251" s="658"/>
      <c r="BG251" s="658"/>
      <c r="BH251" s="658"/>
      <c r="BI251" s="658"/>
      <c r="BJ251" s="658"/>
      <c r="BK251" s="658"/>
      <c r="BL251" s="658"/>
      <c r="BM251" s="658"/>
      <c r="BN251" s="658"/>
      <c r="BO251" s="658"/>
      <c r="BP251" s="658"/>
      <c r="BQ251" s="658"/>
      <c r="BR251" s="658"/>
      <c r="BS251" s="658"/>
      <c r="BT251" s="658"/>
      <c r="BU251" s="658"/>
      <c r="BV251" s="658"/>
      <c r="BW251" s="658"/>
      <c r="BX251" s="658"/>
      <c r="BY251" s="658"/>
      <c r="BZ251" s="658"/>
      <c r="CA251" s="658"/>
      <c r="CB251" s="658"/>
      <c r="CC251" s="658"/>
      <c r="CD251" s="658"/>
      <c r="CE251" s="658"/>
      <c r="CF251" s="658"/>
      <c r="CG251" s="658"/>
      <c r="CH251" s="658"/>
      <c r="CI251" s="658"/>
      <c r="CJ251" s="658"/>
      <c r="CK251" s="658"/>
      <c r="CL251" s="658"/>
      <c r="CM251" s="658"/>
      <c r="CN251" s="658"/>
      <c r="CO251" s="658"/>
      <c r="CP251" s="658"/>
      <c r="CQ251" s="658"/>
      <c r="CR251" s="658"/>
      <c r="CS251" s="658"/>
      <c r="CT251" s="658"/>
      <c r="CU251" s="658"/>
      <c r="CV251" s="658"/>
      <c r="CW251" s="658"/>
      <c r="CX251" s="658"/>
      <c r="CY251" s="658"/>
      <c r="CZ251" s="658"/>
      <c r="DA251" s="658"/>
      <c r="DB251" s="658"/>
      <c r="DC251" s="658"/>
      <c r="DD251" s="658"/>
      <c r="DE251" s="658"/>
      <c r="DF251" s="658"/>
      <c r="DG251" s="658"/>
      <c r="DH251" s="658"/>
      <c r="DI251" s="658"/>
      <c r="DJ251" s="658"/>
      <c r="DK251" s="658"/>
      <c r="DL251" s="658"/>
      <c r="DM251" s="658"/>
      <c r="DN251" s="658"/>
      <c r="DO251" s="177">
        <f t="shared" si="1511"/>
        <v>0</v>
      </c>
      <c r="DP251" s="612" t="e">
        <f t="shared" si="1512"/>
        <v>#N/A</v>
      </c>
      <c r="DQ251" s="612" t="e">
        <f t="shared" si="1508"/>
        <v>#NUM!</v>
      </c>
      <c r="DR251" s="177"/>
      <c r="DS251" s="177"/>
      <c r="DT251" s="177"/>
      <c r="DU251" s="177"/>
      <c r="DV251" s="177"/>
      <c r="DW251" s="177"/>
      <c r="DX251" s="177"/>
      <c r="DY251" s="177"/>
      <c r="DZ251" s="177"/>
      <c r="EA251" s="613"/>
    </row>
    <row r="252" spans="1:131" ht="14.25" thickBot="1">
      <c r="A252" s="317"/>
      <c r="B252" s="779"/>
      <c r="C252" s="661"/>
      <c r="D252" s="661"/>
      <c r="E252" s="661"/>
      <c r="F252" s="662"/>
      <c r="G252" s="662"/>
      <c r="H252" s="317"/>
      <c r="I252" s="634">
        <f>SUM(I244:I251)</f>
        <v>0</v>
      </c>
      <c r="J252" s="663"/>
      <c r="K252" s="664"/>
      <c r="L252" s="664"/>
      <c r="M252" s="664"/>
      <c r="N252" s="634">
        <f t="shared" ref="N252:R252" si="1513">SUM(N244:N251)</f>
        <v>0</v>
      </c>
      <c r="O252" s="634">
        <f t="shared" si="1513"/>
        <v>0</v>
      </c>
      <c r="P252" s="634">
        <f t="shared" si="1513"/>
        <v>0</v>
      </c>
      <c r="Q252" s="634">
        <f t="shared" si="1513"/>
        <v>0</v>
      </c>
      <c r="R252" s="665">
        <f t="shared" si="1513"/>
        <v>0</v>
      </c>
      <c r="S252" s="634">
        <f>SUM(S244:S251)</f>
        <v>0</v>
      </c>
      <c r="T252" s="634">
        <f t="shared" ref="T252" si="1514">SUM(T244:T251)</f>
        <v>0</v>
      </c>
      <c r="U252" s="634">
        <f t="shared" ref="U252" si="1515">SUM(U244:U251)</f>
        <v>0</v>
      </c>
      <c r="V252" s="634">
        <f t="shared" ref="V252" si="1516">SUM(V244:V251)</f>
        <v>0</v>
      </c>
      <c r="W252" s="634">
        <f t="shared" ref="W252" si="1517">SUM(W244:W251)</f>
        <v>0</v>
      </c>
      <c r="X252" s="634">
        <f t="shared" ref="X252" si="1518">SUM(X244:X251)</f>
        <v>0</v>
      </c>
      <c r="Y252" s="634">
        <f t="shared" ref="Y252" si="1519">SUM(Y244:Y251)</f>
        <v>0</v>
      </c>
      <c r="Z252" s="634">
        <f t="shared" ref="Z252" si="1520">SUM(Z244:Z251)</f>
        <v>0</v>
      </c>
      <c r="AA252" s="634">
        <f t="shared" ref="AA252" si="1521">SUM(AA244:AA251)</f>
        <v>0</v>
      </c>
      <c r="AB252" s="634">
        <f t="shared" ref="AB252" si="1522">SUM(AB244:AB251)</f>
        <v>0</v>
      </c>
      <c r="AC252" s="634">
        <f t="shared" ref="AC252" si="1523">SUM(AC244:AC251)</f>
        <v>0</v>
      </c>
      <c r="AD252" s="634">
        <f t="shared" ref="AD252" si="1524">SUM(AD244:AD251)</f>
        <v>0</v>
      </c>
      <c r="AE252" s="634">
        <f t="shared" ref="AE252" si="1525">SUM(AE244:AE251)</f>
        <v>0</v>
      </c>
      <c r="AF252" s="634">
        <f t="shared" ref="AF252" si="1526">SUM(AF244:AF251)</f>
        <v>0</v>
      </c>
      <c r="AG252" s="634">
        <f t="shared" ref="AG252" si="1527">SUM(AG244:AG251)</f>
        <v>0</v>
      </c>
      <c r="AH252" s="634">
        <f t="shared" ref="AH252" si="1528">SUM(AH244:AH251)</f>
        <v>0</v>
      </c>
      <c r="AI252" s="634">
        <f t="shared" ref="AI252" si="1529">SUM(AI244:AI251)</f>
        <v>0</v>
      </c>
      <c r="AJ252" s="634">
        <f t="shared" ref="AJ252" si="1530">SUM(AJ244:AJ251)</f>
        <v>0</v>
      </c>
      <c r="AK252" s="634">
        <f t="shared" ref="AK252" si="1531">SUM(AK244:AK251)</f>
        <v>0</v>
      </c>
      <c r="AL252" s="634">
        <f t="shared" ref="AL252" si="1532">SUM(AL244:AL251)</f>
        <v>0</v>
      </c>
      <c r="AM252" s="634">
        <f t="shared" ref="AM252" si="1533">SUM(AM244:AM251)</f>
        <v>0</v>
      </c>
      <c r="AN252" s="634">
        <f t="shared" ref="AN252" si="1534">SUM(AN244:AN251)</f>
        <v>0</v>
      </c>
      <c r="AO252" s="634">
        <f t="shared" ref="AO252" si="1535">SUM(AO244:AO251)</f>
        <v>0</v>
      </c>
      <c r="AP252" s="634">
        <f t="shared" ref="AP252" si="1536">SUM(AP244:AP251)</f>
        <v>0</v>
      </c>
      <c r="AQ252" s="634">
        <f t="shared" ref="AQ252" si="1537">SUM(AQ244:AQ251)</f>
        <v>0</v>
      </c>
      <c r="AR252" s="634">
        <f t="shared" ref="AR252" si="1538">SUM(AR244:AR251)</f>
        <v>0</v>
      </c>
      <c r="AS252" s="634">
        <f t="shared" ref="AS252" si="1539">SUM(AS244:AS251)</f>
        <v>0</v>
      </c>
      <c r="AT252" s="634">
        <f t="shared" ref="AT252" si="1540">SUM(AT244:AT251)</f>
        <v>0</v>
      </c>
      <c r="AU252" s="634">
        <f t="shared" ref="AU252" si="1541">SUM(AU244:AU251)</f>
        <v>0</v>
      </c>
      <c r="AV252" s="634">
        <f t="shared" ref="AV252" si="1542">SUM(AV244:AV251)</f>
        <v>0</v>
      </c>
      <c r="AW252" s="634">
        <f t="shared" ref="AW252" si="1543">SUM(AW244:AW251)</f>
        <v>0</v>
      </c>
      <c r="AX252" s="634">
        <f t="shared" ref="AX252" si="1544">SUM(AX244:AX251)</f>
        <v>0</v>
      </c>
      <c r="AY252" s="634">
        <f t="shared" ref="AY252" si="1545">SUM(AY244:AY251)</f>
        <v>0</v>
      </c>
      <c r="AZ252" s="634">
        <f t="shared" ref="AZ252" si="1546">SUM(AZ244:AZ251)</f>
        <v>0</v>
      </c>
      <c r="BA252" s="634">
        <f t="shared" ref="BA252" si="1547">SUM(BA244:BA251)</f>
        <v>0</v>
      </c>
      <c r="BB252" s="634">
        <f t="shared" ref="BB252" si="1548">SUM(BB244:BB251)</f>
        <v>0</v>
      </c>
      <c r="BC252" s="634">
        <f t="shared" ref="BC252" si="1549">SUM(BC244:BC251)</f>
        <v>0</v>
      </c>
      <c r="BD252" s="634">
        <f t="shared" ref="BD252" si="1550">SUM(BD244:BD251)</f>
        <v>0</v>
      </c>
      <c r="BE252" s="634">
        <f t="shared" ref="BE252" si="1551">SUM(BE244:BE251)</f>
        <v>0</v>
      </c>
      <c r="BF252" s="634">
        <f t="shared" ref="BF252" si="1552">SUM(BF244:BF251)</f>
        <v>0</v>
      </c>
      <c r="BG252" s="634">
        <f t="shared" ref="BG252" si="1553">SUM(BG244:BG251)</f>
        <v>0</v>
      </c>
      <c r="BH252" s="634">
        <f t="shared" ref="BH252" si="1554">SUM(BH244:BH251)</f>
        <v>0</v>
      </c>
      <c r="BI252" s="634">
        <f t="shared" ref="BI252" si="1555">SUM(BI244:BI251)</f>
        <v>0</v>
      </c>
      <c r="BJ252" s="634">
        <f t="shared" ref="BJ252" si="1556">SUM(BJ244:BJ251)</f>
        <v>0</v>
      </c>
      <c r="BK252" s="634">
        <f t="shared" ref="BK252" si="1557">SUM(BK244:BK251)</f>
        <v>0</v>
      </c>
      <c r="BL252" s="634">
        <f t="shared" ref="BL252" si="1558">SUM(BL244:BL251)</f>
        <v>0</v>
      </c>
      <c r="BM252" s="634">
        <f t="shared" ref="BM252" si="1559">SUM(BM244:BM251)</f>
        <v>0</v>
      </c>
      <c r="BN252" s="634">
        <f t="shared" ref="BN252" si="1560">SUM(BN244:BN251)</f>
        <v>0</v>
      </c>
      <c r="BO252" s="634">
        <f t="shared" ref="BO252" si="1561">SUM(BO244:BO251)</f>
        <v>0</v>
      </c>
      <c r="BP252" s="634">
        <f t="shared" ref="BP252" si="1562">SUM(BP244:BP251)</f>
        <v>0</v>
      </c>
      <c r="BQ252" s="634">
        <f t="shared" ref="BQ252" si="1563">SUM(BQ244:BQ251)</f>
        <v>0</v>
      </c>
      <c r="BR252" s="634">
        <f t="shared" ref="BR252" si="1564">SUM(BR244:BR251)</f>
        <v>0</v>
      </c>
      <c r="BS252" s="634">
        <f t="shared" ref="BS252" si="1565">SUM(BS244:BS251)</f>
        <v>0</v>
      </c>
      <c r="BT252" s="634">
        <f t="shared" ref="BT252" si="1566">SUM(BT244:BT251)</f>
        <v>0</v>
      </c>
      <c r="BU252" s="634">
        <f t="shared" ref="BU252" si="1567">SUM(BU244:BU251)</f>
        <v>0</v>
      </c>
      <c r="BV252" s="634">
        <f t="shared" ref="BV252" si="1568">SUM(BV244:BV251)</f>
        <v>0</v>
      </c>
      <c r="BW252" s="634">
        <f t="shared" ref="BW252" si="1569">SUM(BW244:BW251)</f>
        <v>0</v>
      </c>
      <c r="BX252" s="634">
        <f t="shared" ref="BX252" si="1570">SUM(BX244:BX251)</f>
        <v>0</v>
      </c>
      <c r="BY252" s="634">
        <f t="shared" ref="BY252" si="1571">SUM(BY244:BY251)</f>
        <v>0</v>
      </c>
      <c r="BZ252" s="634">
        <f t="shared" ref="BZ252" si="1572">SUM(BZ244:BZ251)</f>
        <v>0</v>
      </c>
      <c r="CA252" s="634">
        <f t="shared" ref="CA252" si="1573">SUM(CA244:CA251)</f>
        <v>0</v>
      </c>
      <c r="CB252" s="634">
        <f t="shared" ref="CB252" si="1574">SUM(CB244:CB251)</f>
        <v>0</v>
      </c>
      <c r="CC252" s="634">
        <f t="shared" ref="CC252" si="1575">SUM(CC244:CC251)</f>
        <v>0</v>
      </c>
      <c r="CD252" s="634">
        <f t="shared" ref="CD252" si="1576">SUM(CD244:CD251)</f>
        <v>0</v>
      </c>
      <c r="CE252" s="634">
        <f t="shared" ref="CE252" si="1577">SUM(CE244:CE251)</f>
        <v>0</v>
      </c>
      <c r="CF252" s="634">
        <f t="shared" ref="CF252" si="1578">SUM(CF244:CF251)</f>
        <v>0</v>
      </c>
      <c r="CG252" s="634">
        <f t="shared" ref="CG252" si="1579">SUM(CG244:CG251)</f>
        <v>0</v>
      </c>
      <c r="CH252" s="634">
        <f t="shared" ref="CH252" si="1580">SUM(CH244:CH251)</f>
        <v>0</v>
      </c>
      <c r="CI252" s="634">
        <f t="shared" ref="CI252" si="1581">SUM(CI244:CI251)</f>
        <v>0</v>
      </c>
      <c r="CJ252" s="634">
        <f t="shared" ref="CJ252" si="1582">SUM(CJ244:CJ251)</f>
        <v>0</v>
      </c>
      <c r="CK252" s="634">
        <f t="shared" ref="CK252" si="1583">SUM(CK244:CK251)</f>
        <v>0</v>
      </c>
      <c r="CL252" s="634">
        <f t="shared" ref="CL252" si="1584">SUM(CL244:CL251)</f>
        <v>0</v>
      </c>
      <c r="CM252" s="634">
        <f t="shared" ref="CM252" si="1585">SUM(CM244:CM251)</f>
        <v>0</v>
      </c>
      <c r="CN252" s="634">
        <f t="shared" ref="CN252" si="1586">SUM(CN244:CN251)</f>
        <v>0</v>
      </c>
      <c r="CO252" s="634">
        <f t="shared" ref="CO252" si="1587">SUM(CO244:CO251)</f>
        <v>0</v>
      </c>
      <c r="CP252" s="634">
        <f t="shared" ref="CP252" si="1588">SUM(CP244:CP251)</f>
        <v>0</v>
      </c>
      <c r="CQ252" s="634">
        <f t="shared" ref="CQ252" si="1589">SUM(CQ244:CQ251)</f>
        <v>0</v>
      </c>
      <c r="CR252" s="634">
        <f t="shared" ref="CR252" si="1590">SUM(CR244:CR251)</f>
        <v>0</v>
      </c>
      <c r="CS252" s="634">
        <f t="shared" ref="CS252" si="1591">SUM(CS244:CS251)</f>
        <v>0</v>
      </c>
      <c r="CT252" s="634">
        <f t="shared" ref="CT252" si="1592">SUM(CT244:CT251)</f>
        <v>0</v>
      </c>
      <c r="CU252" s="634">
        <f t="shared" ref="CU252" si="1593">SUM(CU244:CU251)</f>
        <v>0</v>
      </c>
      <c r="CV252" s="634">
        <f t="shared" ref="CV252" si="1594">SUM(CV244:CV251)</f>
        <v>0</v>
      </c>
      <c r="CW252" s="634">
        <f t="shared" ref="CW252" si="1595">SUM(CW244:CW251)</f>
        <v>0</v>
      </c>
      <c r="CX252" s="634">
        <f t="shared" ref="CX252" si="1596">SUM(CX244:CX251)</f>
        <v>0</v>
      </c>
      <c r="CY252" s="634">
        <f t="shared" ref="CY252" si="1597">SUM(CY244:CY251)</f>
        <v>0</v>
      </c>
      <c r="CZ252" s="634">
        <f t="shared" ref="CZ252" si="1598">SUM(CZ244:CZ251)</f>
        <v>0</v>
      </c>
      <c r="DA252" s="634">
        <f t="shared" ref="DA252" si="1599">SUM(DA244:DA251)</f>
        <v>0</v>
      </c>
      <c r="DB252" s="634">
        <f t="shared" ref="DB252" si="1600">SUM(DB244:DB251)</f>
        <v>0</v>
      </c>
      <c r="DC252" s="634">
        <f t="shared" ref="DC252" si="1601">SUM(DC244:DC251)</f>
        <v>0</v>
      </c>
      <c r="DD252" s="634">
        <f t="shared" ref="DD252" si="1602">SUM(DD244:DD251)</f>
        <v>0</v>
      </c>
      <c r="DE252" s="634">
        <f t="shared" ref="DE252" si="1603">SUM(DE244:DE251)</f>
        <v>0</v>
      </c>
      <c r="DF252" s="634">
        <f t="shared" ref="DF252" si="1604">SUM(DF244:DF251)</f>
        <v>0</v>
      </c>
      <c r="DG252" s="634">
        <f t="shared" ref="DG252" si="1605">SUM(DG244:DG251)</f>
        <v>0</v>
      </c>
      <c r="DH252" s="634">
        <f t="shared" ref="DH252" si="1606">SUM(DH244:DH251)</f>
        <v>0</v>
      </c>
      <c r="DI252" s="634">
        <f t="shared" ref="DI252" si="1607">SUM(DI244:DI251)</f>
        <v>0</v>
      </c>
      <c r="DJ252" s="634">
        <f t="shared" ref="DJ252" si="1608">SUM(DJ244:DJ251)</f>
        <v>0</v>
      </c>
      <c r="DK252" s="634">
        <f t="shared" ref="DK252" si="1609">SUM(DK244:DK251)</f>
        <v>0</v>
      </c>
      <c r="DL252" s="634">
        <f t="shared" ref="DL252" si="1610">SUM(DL244:DL251)</f>
        <v>0</v>
      </c>
      <c r="DM252" s="634">
        <f t="shared" ref="DM252" si="1611">SUM(DM244:DM251)</f>
        <v>0</v>
      </c>
      <c r="DN252" s="634">
        <f t="shared" ref="DN252" si="1612">SUM(DN244:DN251)</f>
        <v>0</v>
      </c>
      <c r="DO252" s="634">
        <f t="shared" ref="DO252" si="1613">SUM(DO244:DO251)</f>
        <v>0</v>
      </c>
      <c r="DP252" s="666"/>
      <c r="DQ252" s="638" t="e">
        <f>XIRR(S252:DO252,$S$243:$DO$243)</f>
        <v>#NUM!</v>
      </c>
      <c r="DR252" s="636">
        <f t="shared" ref="DR252:DY252" si="1614">SUM(DR244:DR251)</f>
        <v>0</v>
      </c>
      <c r="DS252" s="636">
        <f t="shared" si="1614"/>
        <v>0</v>
      </c>
      <c r="DT252" s="636">
        <f t="shared" si="1614"/>
        <v>0</v>
      </c>
      <c r="DU252" s="636">
        <f t="shared" si="1614"/>
        <v>0</v>
      </c>
      <c r="DV252" s="636">
        <f t="shared" si="1614"/>
        <v>0</v>
      </c>
      <c r="DW252" s="636">
        <f t="shared" si="1614"/>
        <v>0</v>
      </c>
      <c r="DX252" s="636">
        <f t="shared" si="1614"/>
        <v>0</v>
      </c>
      <c r="DY252" s="636">
        <f t="shared" si="1614"/>
        <v>0</v>
      </c>
      <c r="DZ252" s="636">
        <f>SUM(DZ244:DZ251)</f>
        <v>0</v>
      </c>
      <c r="EA252" s="636">
        <f>SUM(EA244:EA251)</f>
        <v>0</v>
      </c>
    </row>
    <row r="253" spans="1:131" ht="14.25" thickBot="1">
      <c r="A253" s="172"/>
      <c r="B253" s="667"/>
      <c r="C253" s="592" t="s">
        <v>3610</v>
      </c>
      <c r="D253" s="648">
        <f>D241+1</f>
        <v>17</v>
      </c>
      <c r="E253" s="649"/>
      <c r="F253" s="603"/>
      <c r="G253" s="603"/>
      <c r="I253" s="650" t="b">
        <f>I264=DR255</f>
        <v>1</v>
      </c>
      <c r="J253" s="172"/>
      <c r="K253" s="172"/>
      <c r="L253" s="172"/>
      <c r="M253" s="172"/>
      <c r="N253" s="172"/>
      <c r="O253" s="172"/>
      <c r="P253" s="172"/>
      <c r="Q253" s="639" t="str">
        <f>IF(Q264=NAV!E827,"자본금과 일치","자본금과 불일치")</f>
        <v>자본금과 일치</v>
      </c>
      <c r="R253" s="172"/>
      <c r="S253" s="172"/>
      <c r="T253" s="172"/>
      <c r="U253" s="172"/>
      <c r="V253" s="172"/>
      <c r="W253" s="172"/>
      <c r="X253" s="172"/>
      <c r="Y253" s="172"/>
      <c r="Z253" s="172"/>
      <c r="AA253" s="172"/>
      <c r="AB253" s="172"/>
      <c r="AC253" s="172"/>
      <c r="AD253" s="172"/>
      <c r="AE253" s="172"/>
      <c r="AF253" s="172"/>
      <c r="AG253" s="172"/>
      <c r="AH253" s="172"/>
      <c r="AI253" s="172"/>
      <c r="AJ253" s="172"/>
      <c r="AK253" s="172"/>
      <c r="AL253" s="172"/>
      <c r="AM253" s="172"/>
      <c r="AN253" s="172"/>
      <c r="AO253" s="172"/>
      <c r="AP253" s="172"/>
      <c r="AQ253" s="172"/>
      <c r="AR253" s="172"/>
      <c r="AS253" s="172"/>
      <c r="AT253" s="172"/>
      <c r="AU253" s="172"/>
      <c r="AV253" s="172"/>
      <c r="AW253" s="172"/>
      <c r="AX253" s="172"/>
      <c r="AY253" s="172"/>
      <c r="AZ253" s="172"/>
      <c r="BA253" s="172"/>
      <c r="BB253" s="172"/>
      <c r="BC253" s="172"/>
      <c r="BD253" s="172"/>
      <c r="BE253" s="172"/>
      <c r="BF253" s="172"/>
      <c r="BG253" s="172"/>
      <c r="BH253" s="172"/>
      <c r="BI253" s="172"/>
      <c r="BJ253" s="172"/>
      <c r="BK253" s="172"/>
      <c r="BL253" s="172"/>
      <c r="BM253" s="172"/>
      <c r="BN253" s="172"/>
      <c r="BO253" s="172"/>
      <c r="BP253" s="172"/>
      <c r="BQ253" s="172"/>
      <c r="BR253" s="172"/>
      <c r="BS253" s="172"/>
      <c r="BT253" s="172"/>
      <c r="BU253" s="172"/>
      <c r="BV253" s="172"/>
      <c r="BW253" s="172"/>
      <c r="BX253" s="172"/>
      <c r="BY253" s="172"/>
      <c r="BZ253" s="172"/>
      <c r="CA253" s="172"/>
      <c r="CB253" s="172"/>
      <c r="CC253" s="172"/>
      <c r="CD253" s="172"/>
      <c r="CE253" s="172"/>
      <c r="CF253" s="172"/>
      <c r="CG253" s="172"/>
      <c r="CH253" s="172"/>
      <c r="CI253" s="172"/>
      <c r="CJ253" s="172"/>
      <c r="CK253" s="172"/>
      <c r="CL253" s="172"/>
      <c r="CM253" s="172"/>
      <c r="CN253" s="172"/>
      <c r="CO253" s="172"/>
      <c r="CP253" s="172"/>
      <c r="CQ253" s="172"/>
      <c r="CR253" s="172"/>
      <c r="CS253" s="172"/>
      <c r="CT253" s="172"/>
      <c r="CU253" s="172"/>
      <c r="CV253" s="172"/>
      <c r="CW253" s="172"/>
      <c r="CX253" s="172"/>
      <c r="CY253" s="172"/>
      <c r="CZ253" s="172"/>
      <c r="DA253" s="172"/>
      <c r="DB253" s="172"/>
      <c r="DC253" s="172"/>
      <c r="DD253" s="172"/>
      <c r="DE253" s="172"/>
      <c r="DF253" s="172"/>
      <c r="DG253" s="172"/>
      <c r="DH253" s="172"/>
      <c r="DI253" s="172"/>
      <c r="DJ253" s="172"/>
      <c r="DK253" s="172"/>
      <c r="DL253" s="172"/>
      <c r="DM253" s="172"/>
      <c r="DN253" s="172"/>
      <c r="DO253" s="588" t="s">
        <v>219</v>
      </c>
      <c r="DP253" s="588" t="str">
        <f>IF(ROUND(_xlfn.AGGREGATE(9,6,DP256:DP263),5)=ROUND(_xlfn.AGGREGATE(9,6,DQ256:DQ263),5),"이상없음","기준수익률확인")</f>
        <v>이상없음</v>
      </c>
      <c r="DQ253" s="172"/>
      <c r="DR253" s="651" t="s">
        <v>3406</v>
      </c>
      <c r="DS253" s="172"/>
      <c r="DT253" s="615"/>
      <c r="DU253" s="615"/>
      <c r="DV253" s="172"/>
      <c r="DW253" s="172"/>
      <c r="DX253" s="615"/>
      <c r="DY253" s="172"/>
      <c r="DZ253" s="172"/>
      <c r="EA253" s="172"/>
    </row>
    <row r="254" spans="1:131" ht="13.5">
      <c r="A254" s="652" t="str">
        <f t="shared" ref="A254:A262" si="1615">$B$253&amp;B254</f>
        <v>SPC명</v>
      </c>
      <c r="B254" s="653" t="s">
        <v>349</v>
      </c>
      <c r="C254" s="780"/>
      <c r="D254" s="780"/>
      <c r="E254" s="780"/>
      <c r="F254" s="230"/>
      <c r="G254" s="230"/>
      <c r="I254" s="776" t="s">
        <v>3393</v>
      </c>
      <c r="J254" s="776" t="s">
        <v>3394</v>
      </c>
      <c r="K254" s="774" t="s">
        <v>3395</v>
      </c>
      <c r="L254" s="774" t="s">
        <v>3396</v>
      </c>
      <c r="M254" s="774" t="s">
        <v>203</v>
      </c>
      <c r="N254" s="774" t="s">
        <v>211</v>
      </c>
      <c r="O254" s="774" t="s">
        <v>3399</v>
      </c>
      <c r="P254" s="776" t="s">
        <v>239</v>
      </c>
      <c r="Q254" s="774" t="s">
        <v>3401</v>
      </c>
      <c r="R254" s="774" t="s">
        <v>3402</v>
      </c>
      <c r="S254" s="593"/>
      <c r="T254" s="593"/>
      <c r="U254" s="593"/>
      <c r="V254" s="593"/>
      <c r="W254" s="593"/>
      <c r="X254" s="593"/>
      <c r="Y254" s="593"/>
      <c r="Z254" s="593"/>
      <c r="AA254" s="593"/>
      <c r="AB254" s="593"/>
      <c r="AC254" s="593"/>
      <c r="AD254" s="593"/>
      <c r="AE254" s="593"/>
      <c r="AF254" s="593"/>
      <c r="AG254" s="593"/>
      <c r="AH254" s="593"/>
      <c r="AI254" s="593"/>
      <c r="AJ254" s="593"/>
      <c r="AK254" s="593"/>
      <c r="AL254" s="593"/>
      <c r="AM254" s="593"/>
      <c r="AN254" s="593"/>
      <c r="AO254" s="593"/>
      <c r="AP254" s="593"/>
      <c r="AQ254" s="593"/>
      <c r="AR254" s="593"/>
      <c r="AS254" s="593"/>
      <c r="AT254" s="593"/>
      <c r="AU254" s="593"/>
      <c r="AV254" s="593"/>
      <c r="AW254" s="593"/>
      <c r="AX254" s="593"/>
      <c r="AY254" s="593"/>
      <c r="AZ254" s="593"/>
      <c r="BA254" s="593"/>
      <c r="BB254" s="593"/>
      <c r="BC254" s="593"/>
      <c r="BD254" s="593"/>
      <c r="BE254" s="593"/>
      <c r="BF254" s="593"/>
      <c r="BG254" s="593"/>
      <c r="BH254" s="593"/>
      <c r="BI254" s="593"/>
      <c r="BJ254" s="593"/>
      <c r="BK254" s="593"/>
      <c r="BL254" s="593"/>
      <c r="BM254" s="593"/>
      <c r="BN254" s="593"/>
      <c r="BO254" s="593"/>
      <c r="BP254" s="593"/>
      <c r="BQ254" s="593"/>
      <c r="BR254" s="593"/>
      <c r="BS254" s="593"/>
      <c r="BT254" s="593"/>
      <c r="BU254" s="593"/>
      <c r="BV254" s="593"/>
      <c r="BW254" s="593"/>
      <c r="BX254" s="593"/>
      <c r="BY254" s="593"/>
      <c r="BZ254" s="593"/>
      <c r="CA254" s="593"/>
      <c r="CB254" s="593"/>
      <c r="CC254" s="593"/>
      <c r="CD254" s="593"/>
      <c r="CE254" s="593"/>
      <c r="CF254" s="593"/>
      <c r="CG254" s="593"/>
      <c r="CH254" s="593"/>
      <c r="CI254" s="593"/>
      <c r="CJ254" s="593"/>
      <c r="CK254" s="593"/>
      <c r="CL254" s="593"/>
      <c r="CM254" s="593"/>
      <c r="CN254" s="593"/>
      <c r="CO254" s="593"/>
      <c r="CP254" s="593"/>
      <c r="CQ254" s="593"/>
      <c r="CR254" s="593"/>
      <c r="CS254" s="593"/>
      <c r="CT254" s="593"/>
      <c r="CU254" s="593"/>
      <c r="CV254" s="593"/>
      <c r="CW254" s="593"/>
      <c r="CX254" s="593"/>
      <c r="CY254" s="593"/>
      <c r="CZ254" s="593"/>
      <c r="DA254" s="593"/>
      <c r="DB254" s="593"/>
      <c r="DC254" s="593"/>
      <c r="DD254" s="593"/>
      <c r="DE254" s="593"/>
      <c r="DF254" s="593"/>
      <c r="DG254" s="593"/>
      <c r="DH254" s="593"/>
      <c r="DI254" s="593"/>
      <c r="DJ254" s="593"/>
      <c r="DK254" s="593"/>
      <c r="DL254" s="593"/>
      <c r="DM254" s="593"/>
      <c r="DN254" s="593"/>
      <c r="DO254" s="594" t="s">
        <v>220</v>
      </c>
      <c r="DP254" s="774" t="s">
        <v>218</v>
      </c>
      <c r="DQ254" s="774" t="s">
        <v>222</v>
      </c>
      <c r="DR254" s="594"/>
      <c r="DS254" s="594"/>
      <c r="DT254" s="594"/>
      <c r="DU254" s="594"/>
      <c r="DV254" s="594"/>
      <c r="DW254" s="594"/>
      <c r="DX254" s="594"/>
      <c r="DY254" s="594"/>
      <c r="DZ254" s="594"/>
      <c r="EA254" s="602"/>
    </row>
    <row r="255" spans="1:131" ht="14.25" thickBot="1">
      <c r="A255" s="652" t="str">
        <f t="shared" si="1615"/>
        <v>유형</v>
      </c>
      <c r="B255" s="653" t="s">
        <v>350</v>
      </c>
      <c r="C255" s="780"/>
      <c r="D255" s="780"/>
      <c r="E255" s="780"/>
      <c r="F255" s="230"/>
      <c r="G255" s="230"/>
      <c r="I255" s="777"/>
      <c r="J255" s="777"/>
      <c r="K255" s="775"/>
      <c r="L255" s="775"/>
      <c r="M255" s="775"/>
      <c r="N255" s="775"/>
      <c r="O255" s="775"/>
      <c r="P255" s="777"/>
      <c r="Q255" s="775"/>
      <c r="R255" s="775"/>
      <c r="S255" s="601"/>
      <c r="T255" s="601"/>
      <c r="U255" s="601"/>
      <c r="V255" s="601"/>
      <c r="W255" s="601"/>
      <c r="X255" s="601"/>
      <c r="Y255" s="601"/>
      <c r="Z255" s="601"/>
      <c r="AA255" s="601"/>
      <c r="AB255" s="601"/>
      <c r="AC255" s="601"/>
      <c r="AD255" s="601"/>
      <c r="AE255" s="601"/>
      <c r="AF255" s="601"/>
      <c r="AG255" s="601"/>
      <c r="AH255" s="601"/>
      <c r="AI255" s="601"/>
      <c r="AJ255" s="601"/>
      <c r="AK255" s="601"/>
      <c r="AL255" s="601"/>
      <c r="AM255" s="601"/>
      <c r="AN255" s="601"/>
      <c r="AO255" s="601"/>
      <c r="AP255" s="601"/>
      <c r="AQ255" s="601"/>
      <c r="AR255" s="601"/>
      <c r="AS255" s="601"/>
      <c r="AT255" s="601"/>
      <c r="AU255" s="601"/>
      <c r="AV255" s="601"/>
      <c r="AW255" s="601"/>
      <c r="AX255" s="601"/>
      <c r="AY255" s="601"/>
      <c r="AZ255" s="601"/>
      <c r="BA255" s="601"/>
      <c r="BB255" s="601"/>
      <c r="BC255" s="601"/>
      <c r="BD255" s="601"/>
      <c r="BE255" s="601"/>
      <c r="BF255" s="601"/>
      <c r="BG255" s="601"/>
      <c r="BH255" s="601"/>
      <c r="BI255" s="601"/>
      <c r="BJ255" s="601"/>
      <c r="BK255" s="601"/>
      <c r="BL255" s="601"/>
      <c r="BM255" s="601"/>
      <c r="BN255" s="601"/>
      <c r="BO255" s="601"/>
      <c r="BP255" s="601"/>
      <c r="BQ255" s="601"/>
      <c r="BR255" s="601"/>
      <c r="BS255" s="601"/>
      <c r="BT255" s="601"/>
      <c r="BU255" s="601"/>
      <c r="BV255" s="601"/>
      <c r="BW255" s="601"/>
      <c r="BX255" s="601"/>
      <c r="BY255" s="601"/>
      <c r="BZ255" s="601"/>
      <c r="CA255" s="601"/>
      <c r="CB255" s="601"/>
      <c r="CC255" s="601"/>
      <c r="CD255" s="601"/>
      <c r="CE255" s="601"/>
      <c r="CF255" s="601"/>
      <c r="CG255" s="601"/>
      <c r="CH255" s="601"/>
      <c r="CI255" s="601"/>
      <c r="CJ255" s="601"/>
      <c r="CK255" s="601"/>
      <c r="CL255" s="601"/>
      <c r="CM255" s="601"/>
      <c r="CN255" s="601"/>
      <c r="CO255" s="601"/>
      <c r="CP255" s="601"/>
      <c r="CQ255" s="601"/>
      <c r="CR255" s="601"/>
      <c r="CS255" s="601"/>
      <c r="CT255" s="601"/>
      <c r="CU255" s="601"/>
      <c r="CV255" s="601"/>
      <c r="CW255" s="601"/>
      <c r="CX255" s="601"/>
      <c r="CY255" s="601"/>
      <c r="CZ255" s="601"/>
      <c r="DA255" s="601"/>
      <c r="DB255" s="601"/>
      <c r="DC255" s="601"/>
      <c r="DD255" s="601"/>
      <c r="DE255" s="601"/>
      <c r="DF255" s="601"/>
      <c r="DG255" s="601"/>
      <c r="DH255" s="601"/>
      <c r="DI255" s="601"/>
      <c r="DJ255" s="601"/>
      <c r="DK255" s="601"/>
      <c r="DL255" s="601"/>
      <c r="DM255" s="601"/>
      <c r="DN255" s="601"/>
      <c r="DO255" s="654">
        <f>$DO$7</f>
        <v>45473</v>
      </c>
      <c r="DP255" s="775"/>
      <c r="DQ255" s="775"/>
      <c r="DR255" s="595">
        <f>NAV!E833</f>
        <v>0</v>
      </c>
      <c r="DS255" s="596">
        <f>DR255-DR264</f>
        <v>0</v>
      </c>
      <c r="DT255" s="596"/>
      <c r="DU255" s="596"/>
      <c r="DV255" s="597"/>
      <c r="DW255" s="596"/>
      <c r="DX255" s="596"/>
      <c r="DY255" s="596"/>
      <c r="DZ255" s="655"/>
      <c r="EA255" s="656"/>
    </row>
    <row r="256" spans="1:131" ht="13.5">
      <c r="A256" s="652" t="str">
        <f t="shared" si="1615"/>
        <v>설정일</v>
      </c>
      <c r="B256" s="653" t="s">
        <v>351</v>
      </c>
      <c r="C256" s="781"/>
      <c r="D256" s="780"/>
      <c r="E256" s="780"/>
      <c r="F256" s="230"/>
      <c r="G256" s="230"/>
      <c r="I256" s="657">
        <f>SUM(DR256:EA256)</f>
        <v>0</v>
      </c>
      <c r="J256" s="606" t="str">
        <f>IFERROR(I256/(Q256/$C$258),"N/A")</f>
        <v>N/A</v>
      </c>
      <c r="K256" s="471"/>
      <c r="L256" s="607"/>
      <c r="M256" s="300"/>
      <c r="N256" s="608"/>
      <c r="O256" s="609">
        <f t="shared" ref="O256:O263" si="1616">-(SUMIF($S$254:$DN$254,"최초출자",S256:DN256)+SUMIF($S$254:$DN$254,"추가출자",S256:DN256))</f>
        <v>0</v>
      </c>
      <c r="P256" s="609">
        <f t="shared" ref="P256:P263" si="1617">SUMIF($S$254:$DN$254,"이익분배",S256:DN256)+SUMIF($S$254:$DN$254,"원본분배",S256:DN256)</f>
        <v>0</v>
      </c>
      <c r="Q256" s="609">
        <f t="shared" ref="Q256:Q263" si="1618">-(SUMIF($S$254:$DN$254,"최초출자",S256:DN256)+SUMIF($S$254:$DN$254,"추가출자",S256:DN256)+SUMIF($S$254:$DN$254,"원본분배",S256:DN256))</f>
        <v>0</v>
      </c>
      <c r="R256" s="610" t="str">
        <f>IFERROR(Q256/Q264,"")</f>
        <v/>
      </c>
      <c r="S256" s="658"/>
      <c r="T256" s="658"/>
      <c r="U256" s="658"/>
      <c r="V256" s="658"/>
      <c r="W256" s="658"/>
      <c r="X256" s="658"/>
      <c r="Y256" s="658"/>
      <c r="Z256" s="658"/>
      <c r="AA256" s="658"/>
      <c r="AB256" s="658"/>
      <c r="AC256" s="658"/>
      <c r="AD256" s="658"/>
      <c r="AE256" s="658"/>
      <c r="AF256" s="658"/>
      <c r="AG256" s="658"/>
      <c r="AH256" s="658"/>
      <c r="AI256" s="658"/>
      <c r="AJ256" s="658"/>
      <c r="AK256" s="658"/>
      <c r="AL256" s="658"/>
      <c r="AM256" s="658"/>
      <c r="AN256" s="658"/>
      <c r="AO256" s="658"/>
      <c r="AP256" s="658"/>
      <c r="AQ256" s="658"/>
      <c r="AR256" s="658"/>
      <c r="AS256" s="658"/>
      <c r="AT256" s="658"/>
      <c r="AU256" s="658"/>
      <c r="AV256" s="658"/>
      <c r="AW256" s="658"/>
      <c r="AX256" s="658"/>
      <c r="AY256" s="658"/>
      <c r="AZ256" s="658"/>
      <c r="BA256" s="658"/>
      <c r="BB256" s="658"/>
      <c r="BC256" s="658"/>
      <c r="BD256" s="658"/>
      <c r="BE256" s="658"/>
      <c r="BF256" s="658"/>
      <c r="BG256" s="658"/>
      <c r="BH256" s="658"/>
      <c r="BI256" s="658"/>
      <c r="BJ256" s="658"/>
      <c r="BK256" s="658"/>
      <c r="BL256" s="658"/>
      <c r="BM256" s="658"/>
      <c r="BN256" s="658"/>
      <c r="BO256" s="658"/>
      <c r="BP256" s="658"/>
      <c r="BQ256" s="658"/>
      <c r="BR256" s="658"/>
      <c r="BS256" s="658"/>
      <c r="BT256" s="658"/>
      <c r="BU256" s="658"/>
      <c r="BV256" s="658"/>
      <c r="BW256" s="658"/>
      <c r="BX256" s="658"/>
      <c r="BY256" s="658"/>
      <c r="BZ256" s="658"/>
      <c r="CA256" s="658"/>
      <c r="CB256" s="658"/>
      <c r="CC256" s="658"/>
      <c r="CD256" s="658"/>
      <c r="CE256" s="658"/>
      <c r="CF256" s="658"/>
      <c r="CG256" s="658"/>
      <c r="CH256" s="658"/>
      <c r="CI256" s="658"/>
      <c r="CJ256" s="658"/>
      <c r="CK256" s="658"/>
      <c r="CL256" s="658"/>
      <c r="CM256" s="658"/>
      <c r="CN256" s="658"/>
      <c r="CO256" s="658"/>
      <c r="CP256" s="658"/>
      <c r="CQ256" s="658"/>
      <c r="CR256" s="658"/>
      <c r="CS256" s="658"/>
      <c r="CT256" s="658"/>
      <c r="CU256" s="658"/>
      <c r="CV256" s="658"/>
      <c r="CW256" s="658"/>
      <c r="CX256" s="658"/>
      <c r="CY256" s="658"/>
      <c r="CZ256" s="658"/>
      <c r="DA256" s="658"/>
      <c r="DB256" s="658"/>
      <c r="DC256" s="658"/>
      <c r="DD256" s="658"/>
      <c r="DE256" s="658"/>
      <c r="DF256" s="658"/>
      <c r="DG256" s="658"/>
      <c r="DH256" s="658"/>
      <c r="DI256" s="658"/>
      <c r="DJ256" s="658"/>
      <c r="DK256" s="658"/>
      <c r="DL256" s="658"/>
      <c r="DM256" s="658"/>
      <c r="DN256" s="658"/>
      <c r="DO256" s="177">
        <f>IF(M256="",0,-XNPV(DP256,S256,S$255)*(1+DP256)^YEARFRAC($S$255,$DO$255,3))</f>
        <v>0</v>
      </c>
      <c r="DP256" s="612" t="e">
        <f>IF(HLOOKUP(L256,$C$263:$E$264,2,0)=0,1E-24%,HLOOKUP(L256,$C$263:$E$264,2,FALSE))</f>
        <v>#N/A</v>
      </c>
      <c r="DQ256" s="612" t="e">
        <f t="shared" ref="DQ256:DQ263" si="1619">XIRR(S256:DO256,$S$255:$DO$255)</f>
        <v>#NUM!</v>
      </c>
      <c r="DR256" s="177"/>
      <c r="DS256" s="177"/>
      <c r="DT256" s="177"/>
      <c r="DU256" s="177"/>
      <c r="DV256" s="177"/>
      <c r="DW256" s="177"/>
      <c r="DX256" s="177"/>
      <c r="DY256" s="177"/>
      <c r="DZ256" s="177"/>
      <c r="EA256" s="613"/>
    </row>
    <row r="257" spans="1:131" ht="13.5">
      <c r="A257" s="652" t="str">
        <f t="shared" si="1615"/>
        <v>출자잔액</v>
      </c>
      <c r="B257" s="653" t="s">
        <v>352</v>
      </c>
      <c r="C257" s="782"/>
      <c r="D257" s="782"/>
      <c r="E257" s="782"/>
      <c r="F257" s="230"/>
      <c r="G257" s="230"/>
      <c r="I257" s="657">
        <f t="shared" ref="I257:I263" si="1620">SUM(DR257:EA257)</f>
        <v>0</v>
      </c>
      <c r="J257" s="606" t="str">
        <f t="shared" ref="J257:J263" si="1621">IFERROR(I257/(Q257/$C$258),"N/A")</f>
        <v>N/A</v>
      </c>
      <c r="K257" s="471"/>
      <c r="L257" s="607"/>
      <c r="M257" s="300"/>
      <c r="N257" s="608"/>
      <c r="O257" s="609">
        <f t="shared" si="1616"/>
        <v>0</v>
      </c>
      <c r="P257" s="609">
        <f t="shared" si="1617"/>
        <v>0</v>
      </c>
      <c r="Q257" s="609">
        <f t="shared" si="1618"/>
        <v>0</v>
      </c>
      <c r="R257" s="610" t="str">
        <f>IFERROR(Q257/Q264,"")</f>
        <v/>
      </c>
      <c r="S257" s="658"/>
      <c r="T257" s="658"/>
      <c r="U257" s="658"/>
      <c r="V257" s="658"/>
      <c r="W257" s="658"/>
      <c r="X257" s="658"/>
      <c r="Y257" s="658"/>
      <c r="Z257" s="658"/>
      <c r="AA257" s="658"/>
      <c r="AB257" s="658"/>
      <c r="AC257" s="658"/>
      <c r="AD257" s="658"/>
      <c r="AE257" s="658"/>
      <c r="AF257" s="658"/>
      <c r="AG257" s="658"/>
      <c r="AH257" s="658"/>
      <c r="AI257" s="658"/>
      <c r="AJ257" s="658"/>
      <c r="AK257" s="658"/>
      <c r="AL257" s="658"/>
      <c r="AM257" s="658"/>
      <c r="AN257" s="658"/>
      <c r="AO257" s="658"/>
      <c r="AP257" s="658"/>
      <c r="AQ257" s="658"/>
      <c r="AR257" s="658"/>
      <c r="AS257" s="658"/>
      <c r="AT257" s="658"/>
      <c r="AU257" s="658"/>
      <c r="AV257" s="658"/>
      <c r="AW257" s="658"/>
      <c r="AX257" s="658"/>
      <c r="AY257" s="658"/>
      <c r="AZ257" s="658"/>
      <c r="BA257" s="658"/>
      <c r="BB257" s="658"/>
      <c r="BC257" s="658"/>
      <c r="BD257" s="658"/>
      <c r="BE257" s="658"/>
      <c r="BF257" s="658"/>
      <c r="BG257" s="658"/>
      <c r="BH257" s="658"/>
      <c r="BI257" s="658"/>
      <c r="BJ257" s="658"/>
      <c r="BK257" s="658"/>
      <c r="BL257" s="658"/>
      <c r="BM257" s="658"/>
      <c r="BN257" s="658"/>
      <c r="BO257" s="658"/>
      <c r="BP257" s="658"/>
      <c r="BQ257" s="658"/>
      <c r="BR257" s="658"/>
      <c r="BS257" s="658"/>
      <c r="BT257" s="658"/>
      <c r="BU257" s="658"/>
      <c r="BV257" s="658"/>
      <c r="BW257" s="658"/>
      <c r="BX257" s="658"/>
      <c r="BY257" s="658"/>
      <c r="BZ257" s="658"/>
      <c r="CA257" s="658"/>
      <c r="CB257" s="658"/>
      <c r="CC257" s="658"/>
      <c r="CD257" s="658"/>
      <c r="CE257" s="658"/>
      <c r="CF257" s="658"/>
      <c r="CG257" s="658"/>
      <c r="CH257" s="658"/>
      <c r="CI257" s="658"/>
      <c r="CJ257" s="658"/>
      <c r="CK257" s="658"/>
      <c r="CL257" s="658"/>
      <c r="CM257" s="658"/>
      <c r="CN257" s="658"/>
      <c r="CO257" s="658"/>
      <c r="CP257" s="658"/>
      <c r="CQ257" s="658"/>
      <c r="CR257" s="658"/>
      <c r="CS257" s="658"/>
      <c r="CT257" s="658"/>
      <c r="CU257" s="658"/>
      <c r="CV257" s="658"/>
      <c r="CW257" s="658"/>
      <c r="CX257" s="658"/>
      <c r="CY257" s="658"/>
      <c r="CZ257" s="658"/>
      <c r="DA257" s="658"/>
      <c r="DB257" s="658"/>
      <c r="DC257" s="658"/>
      <c r="DD257" s="658"/>
      <c r="DE257" s="658"/>
      <c r="DF257" s="658"/>
      <c r="DG257" s="658"/>
      <c r="DH257" s="658"/>
      <c r="DI257" s="658"/>
      <c r="DJ257" s="658"/>
      <c r="DK257" s="658"/>
      <c r="DL257" s="658"/>
      <c r="DM257" s="658"/>
      <c r="DN257" s="658"/>
      <c r="DO257" s="177">
        <f t="shared" ref="DO257:DO263" si="1622">IF(M257="",0,-XNPV(DP257,S257,S$255)*(1+DP257)^YEARFRAC($S$255,$DO$255,3))</f>
        <v>0</v>
      </c>
      <c r="DP257" s="612" t="e">
        <f t="shared" ref="DP257:DP263" si="1623">IF(HLOOKUP(L257,$C$263:$E$264,2,0)=0,1E-24%,HLOOKUP(L257,$C$263:$E$264,2,FALSE))</f>
        <v>#N/A</v>
      </c>
      <c r="DQ257" s="612" t="e">
        <f t="shared" si="1619"/>
        <v>#NUM!</v>
      </c>
      <c r="DR257" s="177"/>
      <c r="DS257" s="177"/>
      <c r="DT257" s="177"/>
      <c r="DU257" s="177"/>
      <c r="DV257" s="177"/>
      <c r="DW257" s="177"/>
      <c r="DX257" s="177"/>
      <c r="DY257" s="177"/>
      <c r="DZ257" s="177"/>
      <c r="EA257" s="613"/>
    </row>
    <row r="258" spans="1:131" ht="13.5">
      <c r="A258" s="652" t="str">
        <f t="shared" si="1615"/>
        <v>1좌당 금액</v>
      </c>
      <c r="B258" s="653" t="s">
        <v>353</v>
      </c>
      <c r="C258" s="783"/>
      <c r="D258" s="783"/>
      <c r="E258" s="783"/>
      <c r="F258" s="230"/>
      <c r="G258" s="230"/>
      <c r="I258" s="657">
        <f t="shared" si="1620"/>
        <v>0</v>
      </c>
      <c r="J258" s="606" t="str">
        <f t="shared" si="1621"/>
        <v>N/A</v>
      </c>
      <c r="K258" s="471"/>
      <c r="L258" s="607"/>
      <c r="M258" s="300"/>
      <c r="N258" s="608"/>
      <c r="O258" s="609">
        <f t="shared" si="1616"/>
        <v>0</v>
      </c>
      <c r="P258" s="609">
        <f t="shared" si="1617"/>
        <v>0</v>
      </c>
      <c r="Q258" s="609">
        <f t="shared" si="1618"/>
        <v>0</v>
      </c>
      <c r="R258" s="610" t="str">
        <f>IFERROR(Q258/Q264,"")</f>
        <v/>
      </c>
      <c r="S258" s="658"/>
      <c r="T258" s="658"/>
      <c r="U258" s="658"/>
      <c r="V258" s="658"/>
      <c r="W258" s="658"/>
      <c r="X258" s="658"/>
      <c r="Y258" s="658"/>
      <c r="Z258" s="658"/>
      <c r="AA258" s="658"/>
      <c r="AB258" s="658"/>
      <c r="AC258" s="658"/>
      <c r="AD258" s="658"/>
      <c r="AE258" s="658"/>
      <c r="AF258" s="658"/>
      <c r="AG258" s="658"/>
      <c r="AH258" s="658"/>
      <c r="AI258" s="658"/>
      <c r="AJ258" s="658"/>
      <c r="AK258" s="658"/>
      <c r="AL258" s="658"/>
      <c r="AM258" s="658"/>
      <c r="AN258" s="658"/>
      <c r="AO258" s="658"/>
      <c r="AP258" s="658"/>
      <c r="AQ258" s="658"/>
      <c r="AR258" s="658"/>
      <c r="AS258" s="658"/>
      <c r="AT258" s="658"/>
      <c r="AU258" s="658"/>
      <c r="AV258" s="658"/>
      <c r="AW258" s="658"/>
      <c r="AX258" s="658"/>
      <c r="AY258" s="658"/>
      <c r="AZ258" s="658"/>
      <c r="BA258" s="658"/>
      <c r="BB258" s="658"/>
      <c r="BC258" s="658"/>
      <c r="BD258" s="658"/>
      <c r="BE258" s="658"/>
      <c r="BF258" s="658"/>
      <c r="BG258" s="658"/>
      <c r="BH258" s="658"/>
      <c r="BI258" s="658"/>
      <c r="BJ258" s="658"/>
      <c r="BK258" s="658"/>
      <c r="BL258" s="658"/>
      <c r="BM258" s="658"/>
      <c r="BN258" s="658"/>
      <c r="BO258" s="658"/>
      <c r="BP258" s="658"/>
      <c r="BQ258" s="658"/>
      <c r="BR258" s="658"/>
      <c r="BS258" s="658"/>
      <c r="BT258" s="658"/>
      <c r="BU258" s="658"/>
      <c r="BV258" s="658"/>
      <c r="BW258" s="658"/>
      <c r="BX258" s="658"/>
      <c r="BY258" s="658"/>
      <c r="BZ258" s="658"/>
      <c r="CA258" s="658"/>
      <c r="CB258" s="658"/>
      <c r="CC258" s="658"/>
      <c r="CD258" s="658"/>
      <c r="CE258" s="658"/>
      <c r="CF258" s="658"/>
      <c r="CG258" s="658"/>
      <c r="CH258" s="658"/>
      <c r="CI258" s="658"/>
      <c r="CJ258" s="658"/>
      <c r="CK258" s="658"/>
      <c r="CL258" s="658"/>
      <c r="CM258" s="658"/>
      <c r="CN258" s="658"/>
      <c r="CO258" s="658"/>
      <c r="CP258" s="658"/>
      <c r="CQ258" s="658"/>
      <c r="CR258" s="658"/>
      <c r="CS258" s="658"/>
      <c r="CT258" s="658"/>
      <c r="CU258" s="658"/>
      <c r="CV258" s="658"/>
      <c r="CW258" s="658"/>
      <c r="CX258" s="658"/>
      <c r="CY258" s="658"/>
      <c r="CZ258" s="658"/>
      <c r="DA258" s="658"/>
      <c r="DB258" s="658"/>
      <c r="DC258" s="658"/>
      <c r="DD258" s="658"/>
      <c r="DE258" s="658"/>
      <c r="DF258" s="658"/>
      <c r="DG258" s="658"/>
      <c r="DH258" s="658"/>
      <c r="DI258" s="658"/>
      <c r="DJ258" s="658"/>
      <c r="DK258" s="658"/>
      <c r="DL258" s="658"/>
      <c r="DM258" s="658"/>
      <c r="DN258" s="658"/>
      <c r="DO258" s="177">
        <f t="shared" si="1622"/>
        <v>0</v>
      </c>
      <c r="DP258" s="612" t="e">
        <f t="shared" si="1623"/>
        <v>#N/A</v>
      </c>
      <c r="DQ258" s="612" t="e">
        <f t="shared" si="1619"/>
        <v>#NUM!</v>
      </c>
      <c r="DR258" s="177"/>
      <c r="DS258" s="177"/>
      <c r="DT258" s="177"/>
      <c r="DU258" s="177"/>
      <c r="DV258" s="177"/>
      <c r="DW258" s="177"/>
      <c r="DX258" s="177"/>
      <c r="DY258" s="177"/>
      <c r="DZ258" s="177"/>
      <c r="EA258" s="613"/>
    </row>
    <row r="259" spans="1:131" ht="13.5">
      <c r="A259" s="652" t="str">
        <f t="shared" si="1615"/>
        <v>기준수익률</v>
      </c>
      <c r="B259" s="653" t="s">
        <v>354</v>
      </c>
      <c r="C259" s="784"/>
      <c r="D259" s="785"/>
      <c r="E259" s="785"/>
      <c r="F259" s="230"/>
      <c r="G259" s="230"/>
      <c r="I259" s="657">
        <f t="shared" si="1620"/>
        <v>0</v>
      </c>
      <c r="J259" s="606" t="str">
        <f t="shared" si="1621"/>
        <v>N/A</v>
      </c>
      <c r="K259" s="471"/>
      <c r="L259" s="607"/>
      <c r="M259" s="300"/>
      <c r="N259" s="608"/>
      <c r="O259" s="609">
        <f t="shared" si="1616"/>
        <v>0</v>
      </c>
      <c r="P259" s="609">
        <f t="shared" si="1617"/>
        <v>0</v>
      </c>
      <c r="Q259" s="609">
        <f t="shared" si="1618"/>
        <v>0</v>
      </c>
      <c r="R259" s="610" t="str">
        <f>IFERROR(Q259/Q264,"")</f>
        <v/>
      </c>
      <c r="S259" s="658"/>
      <c r="T259" s="658"/>
      <c r="U259" s="658"/>
      <c r="V259" s="658"/>
      <c r="W259" s="658"/>
      <c r="X259" s="658"/>
      <c r="Y259" s="658"/>
      <c r="Z259" s="658"/>
      <c r="AA259" s="658"/>
      <c r="AB259" s="658"/>
      <c r="AC259" s="658"/>
      <c r="AD259" s="658"/>
      <c r="AE259" s="658"/>
      <c r="AF259" s="658"/>
      <c r="AG259" s="658"/>
      <c r="AH259" s="658"/>
      <c r="AI259" s="658"/>
      <c r="AJ259" s="658"/>
      <c r="AK259" s="658"/>
      <c r="AL259" s="658"/>
      <c r="AM259" s="658"/>
      <c r="AN259" s="658"/>
      <c r="AO259" s="658"/>
      <c r="AP259" s="658"/>
      <c r="AQ259" s="658"/>
      <c r="AR259" s="658"/>
      <c r="AS259" s="658"/>
      <c r="AT259" s="658"/>
      <c r="AU259" s="658"/>
      <c r="AV259" s="658"/>
      <c r="AW259" s="658"/>
      <c r="AX259" s="658"/>
      <c r="AY259" s="658"/>
      <c r="AZ259" s="658"/>
      <c r="BA259" s="658"/>
      <c r="BB259" s="658"/>
      <c r="BC259" s="658"/>
      <c r="BD259" s="658"/>
      <c r="BE259" s="658"/>
      <c r="BF259" s="658"/>
      <c r="BG259" s="658"/>
      <c r="BH259" s="658"/>
      <c r="BI259" s="658"/>
      <c r="BJ259" s="658"/>
      <c r="BK259" s="658"/>
      <c r="BL259" s="658"/>
      <c r="BM259" s="658"/>
      <c r="BN259" s="658"/>
      <c r="BO259" s="658"/>
      <c r="BP259" s="658"/>
      <c r="BQ259" s="658"/>
      <c r="BR259" s="658"/>
      <c r="BS259" s="658"/>
      <c r="BT259" s="658"/>
      <c r="BU259" s="658"/>
      <c r="BV259" s="658"/>
      <c r="BW259" s="658"/>
      <c r="BX259" s="658"/>
      <c r="BY259" s="658"/>
      <c r="BZ259" s="658"/>
      <c r="CA259" s="658"/>
      <c r="CB259" s="658"/>
      <c r="CC259" s="658"/>
      <c r="CD259" s="658"/>
      <c r="CE259" s="658"/>
      <c r="CF259" s="658"/>
      <c r="CG259" s="658"/>
      <c r="CH259" s="658"/>
      <c r="CI259" s="658"/>
      <c r="CJ259" s="658"/>
      <c r="CK259" s="658"/>
      <c r="CL259" s="658"/>
      <c r="CM259" s="658"/>
      <c r="CN259" s="658"/>
      <c r="CO259" s="658"/>
      <c r="CP259" s="658"/>
      <c r="CQ259" s="658"/>
      <c r="CR259" s="658"/>
      <c r="CS259" s="658"/>
      <c r="CT259" s="658"/>
      <c r="CU259" s="658"/>
      <c r="CV259" s="658"/>
      <c r="CW259" s="658"/>
      <c r="CX259" s="658"/>
      <c r="CY259" s="658"/>
      <c r="CZ259" s="658"/>
      <c r="DA259" s="658"/>
      <c r="DB259" s="658"/>
      <c r="DC259" s="658"/>
      <c r="DD259" s="658"/>
      <c r="DE259" s="658"/>
      <c r="DF259" s="658"/>
      <c r="DG259" s="658"/>
      <c r="DH259" s="658"/>
      <c r="DI259" s="658"/>
      <c r="DJ259" s="658"/>
      <c r="DK259" s="658"/>
      <c r="DL259" s="658"/>
      <c r="DM259" s="658"/>
      <c r="DN259" s="658"/>
      <c r="DO259" s="177">
        <f t="shared" si="1622"/>
        <v>0</v>
      </c>
      <c r="DP259" s="612" t="e">
        <f t="shared" si="1623"/>
        <v>#N/A</v>
      </c>
      <c r="DQ259" s="612" t="e">
        <f t="shared" si="1619"/>
        <v>#NUM!</v>
      </c>
      <c r="DR259" s="177"/>
      <c r="DS259" s="177"/>
      <c r="DT259" s="177"/>
      <c r="DU259" s="177"/>
      <c r="DV259" s="177"/>
      <c r="DW259" s="177"/>
      <c r="DX259" s="177"/>
      <c r="DY259" s="177"/>
      <c r="DZ259" s="177"/>
      <c r="EA259" s="613"/>
    </row>
    <row r="260" spans="1:131" ht="13.5">
      <c r="A260" s="652" t="str">
        <f t="shared" si="1615"/>
        <v>평가방법론</v>
      </c>
      <c r="B260" s="653" t="s">
        <v>7</v>
      </c>
      <c r="C260" s="786"/>
      <c r="D260" s="786"/>
      <c r="E260" s="786"/>
      <c r="F260" s="230"/>
      <c r="G260" s="230"/>
      <c r="I260" s="657">
        <f t="shared" si="1620"/>
        <v>0</v>
      </c>
      <c r="J260" s="606" t="str">
        <f t="shared" si="1621"/>
        <v>N/A</v>
      </c>
      <c r="K260" s="471"/>
      <c r="L260" s="607"/>
      <c r="M260" s="300"/>
      <c r="N260" s="608"/>
      <c r="O260" s="609">
        <f t="shared" si="1616"/>
        <v>0</v>
      </c>
      <c r="P260" s="609">
        <f t="shared" si="1617"/>
        <v>0</v>
      </c>
      <c r="Q260" s="609">
        <f t="shared" si="1618"/>
        <v>0</v>
      </c>
      <c r="R260" s="610" t="str">
        <f>IFERROR(Q260/Q264,"")</f>
        <v/>
      </c>
      <c r="S260" s="658"/>
      <c r="T260" s="658"/>
      <c r="U260" s="658"/>
      <c r="V260" s="658"/>
      <c r="W260" s="658"/>
      <c r="X260" s="658"/>
      <c r="Y260" s="658"/>
      <c r="Z260" s="658"/>
      <c r="AA260" s="658"/>
      <c r="AB260" s="658"/>
      <c r="AC260" s="658"/>
      <c r="AD260" s="658"/>
      <c r="AE260" s="658"/>
      <c r="AF260" s="658"/>
      <c r="AG260" s="658"/>
      <c r="AH260" s="658"/>
      <c r="AI260" s="658"/>
      <c r="AJ260" s="658"/>
      <c r="AK260" s="658"/>
      <c r="AL260" s="658"/>
      <c r="AM260" s="658"/>
      <c r="AN260" s="658"/>
      <c r="AO260" s="658"/>
      <c r="AP260" s="658"/>
      <c r="AQ260" s="658"/>
      <c r="AR260" s="658"/>
      <c r="AS260" s="658"/>
      <c r="AT260" s="658"/>
      <c r="AU260" s="658"/>
      <c r="AV260" s="658"/>
      <c r="AW260" s="658"/>
      <c r="AX260" s="658"/>
      <c r="AY260" s="658"/>
      <c r="AZ260" s="658"/>
      <c r="BA260" s="658"/>
      <c r="BB260" s="658"/>
      <c r="BC260" s="658"/>
      <c r="BD260" s="658"/>
      <c r="BE260" s="658"/>
      <c r="BF260" s="658"/>
      <c r="BG260" s="658"/>
      <c r="BH260" s="658"/>
      <c r="BI260" s="658"/>
      <c r="BJ260" s="658"/>
      <c r="BK260" s="658"/>
      <c r="BL260" s="658"/>
      <c r="BM260" s="658"/>
      <c r="BN260" s="658"/>
      <c r="BO260" s="658"/>
      <c r="BP260" s="658"/>
      <c r="BQ260" s="658"/>
      <c r="BR260" s="658"/>
      <c r="BS260" s="658"/>
      <c r="BT260" s="658"/>
      <c r="BU260" s="658"/>
      <c r="BV260" s="658"/>
      <c r="BW260" s="658"/>
      <c r="BX260" s="658"/>
      <c r="BY260" s="658"/>
      <c r="BZ260" s="658"/>
      <c r="CA260" s="658"/>
      <c r="CB260" s="658"/>
      <c r="CC260" s="658"/>
      <c r="CD260" s="658"/>
      <c r="CE260" s="658"/>
      <c r="CF260" s="658"/>
      <c r="CG260" s="658"/>
      <c r="CH260" s="658"/>
      <c r="CI260" s="658"/>
      <c r="CJ260" s="658"/>
      <c r="CK260" s="658"/>
      <c r="CL260" s="658"/>
      <c r="CM260" s="658"/>
      <c r="CN260" s="658"/>
      <c r="CO260" s="658"/>
      <c r="CP260" s="658"/>
      <c r="CQ260" s="658"/>
      <c r="CR260" s="658"/>
      <c r="CS260" s="658"/>
      <c r="CT260" s="658"/>
      <c r="CU260" s="658"/>
      <c r="CV260" s="658"/>
      <c r="CW260" s="658"/>
      <c r="CX260" s="658"/>
      <c r="CY260" s="658"/>
      <c r="CZ260" s="658"/>
      <c r="DA260" s="658"/>
      <c r="DB260" s="658"/>
      <c r="DC260" s="658"/>
      <c r="DD260" s="658"/>
      <c r="DE260" s="658"/>
      <c r="DF260" s="658"/>
      <c r="DG260" s="658"/>
      <c r="DH260" s="658"/>
      <c r="DI260" s="658"/>
      <c r="DJ260" s="658"/>
      <c r="DK260" s="658"/>
      <c r="DL260" s="658"/>
      <c r="DM260" s="658"/>
      <c r="DN260" s="658"/>
      <c r="DO260" s="177">
        <f t="shared" si="1622"/>
        <v>0</v>
      </c>
      <c r="DP260" s="612" t="e">
        <f t="shared" si="1623"/>
        <v>#N/A</v>
      </c>
      <c r="DQ260" s="612" t="e">
        <f t="shared" si="1619"/>
        <v>#NUM!</v>
      </c>
      <c r="DR260" s="177"/>
      <c r="DS260" s="177"/>
      <c r="DT260" s="177"/>
      <c r="DU260" s="177"/>
      <c r="DV260" s="177"/>
      <c r="DW260" s="177"/>
      <c r="DX260" s="177"/>
      <c r="DY260" s="177"/>
      <c r="DZ260" s="177"/>
      <c r="EA260" s="613"/>
    </row>
    <row r="261" spans="1:131" ht="13.5">
      <c r="A261" s="652" t="str">
        <f t="shared" si="1615"/>
        <v>분배 조항 여부</v>
      </c>
      <c r="B261" s="653" t="s">
        <v>355</v>
      </c>
      <c r="C261" s="786"/>
      <c r="D261" s="786"/>
      <c r="E261" s="786"/>
      <c r="F261" s="230"/>
      <c r="G261" s="230"/>
      <c r="I261" s="657">
        <f t="shared" si="1620"/>
        <v>0</v>
      </c>
      <c r="J261" s="606" t="str">
        <f t="shared" si="1621"/>
        <v>N/A</v>
      </c>
      <c r="K261" s="471"/>
      <c r="L261" s="607"/>
      <c r="M261" s="300"/>
      <c r="N261" s="608"/>
      <c r="O261" s="609">
        <f t="shared" si="1616"/>
        <v>0</v>
      </c>
      <c r="P261" s="609">
        <f t="shared" si="1617"/>
        <v>0</v>
      </c>
      <c r="Q261" s="609">
        <f t="shared" si="1618"/>
        <v>0</v>
      </c>
      <c r="R261" s="610" t="str">
        <f>IFERROR(Q261/Q264,"")</f>
        <v/>
      </c>
      <c r="S261" s="658"/>
      <c r="T261" s="658"/>
      <c r="U261" s="658"/>
      <c r="V261" s="658"/>
      <c r="W261" s="658"/>
      <c r="X261" s="658"/>
      <c r="Y261" s="658"/>
      <c r="Z261" s="658"/>
      <c r="AA261" s="658"/>
      <c r="AB261" s="658"/>
      <c r="AC261" s="658"/>
      <c r="AD261" s="658"/>
      <c r="AE261" s="658"/>
      <c r="AF261" s="658"/>
      <c r="AG261" s="658"/>
      <c r="AH261" s="658"/>
      <c r="AI261" s="658"/>
      <c r="AJ261" s="658"/>
      <c r="AK261" s="658"/>
      <c r="AL261" s="658"/>
      <c r="AM261" s="658"/>
      <c r="AN261" s="658"/>
      <c r="AO261" s="658"/>
      <c r="AP261" s="658"/>
      <c r="AQ261" s="658"/>
      <c r="AR261" s="658"/>
      <c r="AS261" s="658"/>
      <c r="AT261" s="658"/>
      <c r="AU261" s="658"/>
      <c r="AV261" s="658"/>
      <c r="AW261" s="658"/>
      <c r="AX261" s="658"/>
      <c r="AY261" s="658"/>
      <c r="AZ261" s="658"/>
      <c r="BA261" s="658"/>
      <c r="BB261" s="658"/>
      <c r="BC261" s="658"/>
      <c r="BD261" s="658"/>
      <c r="BE261" s="658"/>
      <c r="BF261" s="658"/>
      <c r="BG261" s="658"/>
      <c r="BH261" s="658"/>
      <c r="BI261" s="658"/>
      <c r="BJ261" s="658"/>
      <c r="BK261" s="658"/>
      <c r="BL261" s="658"/>
      <c r="BM261" s="658"/>
      <c r="BN261" s="658"/>
      <c r="BO261" s="658"/>
      <c r="BP261" s="658"/>
      <c r="BQ261" s="658"/>
      <c r="BR261" s="658"/>
      <c r="BS261" s="658"/>
      <c r="BT261" s="658"/>
      <c r="BU261" s="658"/>
      <c r="BV261" s="658"/>
      <c r="BW261" s="658"/>
      <c r="BX261" s="658"/>
      <c r="BY261" s="658"/>
      <c r="BZ261" s="658"/>
      <c r="CA261" s="658"/>
      <c r="CB261" s="658"/>
      <c r="CC261" s="658"/>
      <c r="CD261" s="658"/>
      <c r="CE261" s="658"/>
      <c r="CF261" s="658"/>
      <c r="CG261" s="658"/>
      <c r="CH261" s="658"/>
      <c r="CI261" s="658"/>
      <c r="CJ261" s="658"/>
      <c r="CK261" s="658"/>
      <c r="CL261" s="658"/>
      <c r="CM261" s="658"/>
      <c r="CN261" s="658"/>
      <c r="CO261" s="658"/>
      <c r="CP261" s="658"/>
      <c r="CQ261" s="658"/>
      <c r="CR261" s="658"/>
      <c r="CS261" s="658"/>
      <c r="CT261" s="658"/>
      <c r="CU261" s="658"/>
      <c r="CV261" s="658"/>
      <c r="CW261" s="658"/>
      <c r="CX261" s="658"/>
      <c r="CY261" s="658"/>
      <c r="CZ261" s="658"/>
      <c r="DA261" s="658"/>
      <c r="DB261" s="658"/>
      <c r="DC261" s="658"/>
      <c r="DD261" s="658"/>
      <c r="DE261" s="658"/>
      <c r="DF261" s="658"/>
      <c r="DG261" s="658"/>
      <c r="DH261" s="658"/>
      <c r="DI261" s="658"/>
      <c r="DJ261" s="658"/>
      <c r="DK261" s="658"/>
      <c r="DL261" s="658"/>
      <c r="DM261" s="658"/>
      <c r="DN261" s="658"/>
      <c r="DO261" s="177">
        <f t="shared" si="1622"/>
        <v>0</v>
      </c>
      <c r="DP261" s="612" t="e">
        <f t="shared" si="1623"/>
        <v>#N/A</v>
      </c>
      <c r="DQ261" s="612" t="e">
        <f t="shared" si="1619"/>
        <v>#NUM!</v>
      </c>
      <c r="DR261" s="177"/>
      <c r="DS261" s="177"/>
      <c r="DT261" s="177"/>
      <c r="DU261" s="177"/>
      <c r="DV261" s="177"/>
      <c r="DW261" s="177"/>
      <c r="DX261" s="177"/>
      <c r="DY261" s="177"/>
      <c r="DZ261" s="177"/>
      <c r="EA261" s="613"/>
    </row>
    <row r="262" spans="1:131" ht="14.25" thickBot="1">
      <c r="A262" s="652" t="str">
        <f t="shared" si="1615"/>
        <v>모펀드 출자 지분율</v>
      </c>
      <c r="B262" s="660" t="s">
        <v>356</v>
      </c>
      <c r="C262" s="787"/>
      <c r="D262" s="787"/>
      <c r="E262" s="787"/>
      <c r="F262" s="230"/>
      <c r="G262" s="230"/>
      <c r="I262" s="657">
        <f t="shared" si="1620"/>
        <v>0</v>
      </c>
      <c r="J262" s="606" t="str">
        <f t="shared" si="1621"/>
        <v>N/A</v>
      </c>
      <c r="K262" s="471"/>
      <c r="L262" s="607"/>
      <c r="M262" s="300"/>
      <c r="N262" s="608"/>
      <c r="O262" s="609">
        <f t="shared" si="1616"/>
        <v>0</v>
      </c>
      <c r="P262" s="609">
        <f t="shared" si="1617"/>
        <v>0</v>
      </c>
      <c r="Q262" s="609">
        <f t="shared" si="1618"/>
        <v>0</v>
      </c>
      <c r="R262" s="610" t="str">
        <f>IFERROR(Q262/Q264,"")</f>
        <v/>
      </c>
      <c r="S262" s="658"/>
      <c r="T262" s="658"/>
      <c r="U262" s="658"/>
      <c r="V262" s="658"/>
      <c r="W262" s="658"/>
      <c r="X262" s="658"/>
      <c r="Y262" s="658"/>
      <c r="Z262" s="658"/>
      <c r="AA262" s="658"/>
      <c r="AB262" s="658"/>
      <c r="AC262" s="658"/>
      <c r="AD262" s="658"/>
      <c r="AE262" s="658"/>
      <c r="AF262" s="658"/>
      <c r="AG262" s="658"/>
      <c r="AH262" s="658"/>
      <c r="AI262" s="658"/>
      <c r="AJ262" s="658"/>
      <c r="AK262" s="658"/>
      <c r="AL262" s="658"/>
      <c r="AM262" s="658"/>
      <c r="AN262" s="658"/>
      <c r="AO262" s="658"/>
      <c r="AP262" s="658"/>
      <c r="AQ262" s="658"/>
      <c r="AR262" s="658"/>
      <c r="AS262" s="658"/>
      <c r="AT262" s="658"/>
      <c r="AU262" s="658"/>
      <c r="AV262" s="658"/>
      <c r="AW262" s="658"/>
      <c r="AX262" s="658"/>
      <c r="AY262" s="658"/>
      <c r="AZ262" s="658"/>
      <c r="BA262" s="658"/>
      <c r="BB262" s="658"/>
      <c r="BC262" s="658"/>
      <c r="BD262" s="658"/>
      <c r="BE262" s="658"/>
      <c r="BF262" s="658"/>
      <c r="BG262" s="658"/>
      <c r="BH262" s="658"/>
      <c r="BI262" s="658"/>
      <c r="BJ262" s="658"/>
      <c r="BK262" s="658"/>
      <c r="BL262" s="658"/>
      <c r="BM262" s="658"/>
      <c r="BN262" s="658"/>
      <c r="BO262" s="658"/>
      <c r="BP262" s="658"/>
      <c r="BQ262" s="658"/>
      <c r="BR262" s="658"/>
      <c r="BS262" s="658"/>
      <c r="BT262" s="658"/>
      <c r="BU262" s="658"/>
      <c r="BV262" s="658"/>
      <c r="BW262" s="658"/>
      <c r="BX262" s="658"/>
      <c r="BY262" s="658"/>
      <c r="BZ262" s="658"/>
      <c r="CA262" s="658"/>
      <c r="CB262" s="658"/>
      <c r="CC262" s="658"/>
      <c r="CD262" s="658"/>
      <c r="CE262" s="658"/>
      <c r="CF262" s="658"/>
      <c r="CG262" s="658"/>
      <c r="CH262" s="658"/>
      <c r="CI262" s="658"/>
      <c r="CJ262" s="658"/>
      <c r="CK262" s="658"/>
      <c r="CL262" s="658"/>
      <c r="CM262" s="658"/>
      <c r="CN262" s="658"/>
      <c r="CO262" s="658"/>
      <c r="CP262" s="658"/>
      <c r="CQ262" s="658"/>
      <c r="CR262" s="658"/>
      <c r="CS262" s="658"/>
      <c r="CT262" s="658"/>
      <c r="CU262" s="658"/>
      <c r="CV262" s="658"/>
      <c r="CW262" s="658"/>
      <c r="CX262" s="658"/>
      <c r="CY262" s="658"/>
      <c r="CZ262" s="658"/>
      <c r="DA262" s="658"/>
      <c r="DB262" s="658"/>
      <c r="DC262" s="658"/>
      <c r="DD262" s="658"/>
      <c r="DE262" s="658"/>
      <c r="DF262" s="658"/>
      <c r="DG262" s="658"/>
      <c r="DH262" s="658"/>
      <c r="DI262" s="658"/>
      <c r="DJ262" s="658"/>
      <c r="DK262" s="658"/>
      <c r="DL262" s="658"/>
      <c r="DM262" s="658"/>
      <c r="DN262" s="658"/>
      <c r="DO262" s="177">
        <f t="shared" si="1622"/>
        <v>0</v>
      </c>
      <c r="DP262" s="612" t="e">
        <f t="shared" si="1623"/>
        <v>#N/A</v>
      </c>
      <c r="DQ262" s="612" t="e">
        <f t="shared" si="1619"/>
        <v>#NUM!</v>
      </c>
      <c r="DR262" s="177"/>
      <c r="DS262" s="177"/>
      <c r="DT262" s="177"/>
      <c r="DU262" s="177"/>
      <c r="DV262" s="177"/>
      <c r="DW262" s="177"/>
      <c r="DX262" s="177"/>
      <c r="DY262" s="177"/>
      <c r="DZ262" s="177"/>
      <c r="EA262" s="613"/>
    </row>
    <row r="263" spans="1:131" ht="14.25" thickBot="1">
      <c r="B263" s="778" t="s">
        <v>3404</v>
      </c>
      <c r="C263" s="616" t="s">
        <v>223</v>
      </c>
      <c r="D263" s="616" t="s">
        <v>224</v>
      </c>
      <c r="E263" s="616" t="s">
        <v>225</v>
      </c>
      <c r="F263" s="230"/>
      <c r="G263" s="230"/>
      <c r="I263" s="657">
        <f t="shared" si="1620"/>
        <v>0</v>
      </c>
      <c r="J263" s="606" t="str">
        <f t="shared" si="1621"/>
        <v>N/A</v>
      </c>
      <c r="K263" s="471"/>
      <c r="L263" s="607"/>
      <c r="M263" s="300"/>
      <c r="N263" s="608"/>
      <c r="O263" s="609">
        <f t="shared" si="1616"/>
        <v>0</v>
      </c>
      <c r="P263" s="609">
        <f t="shared" si="1617"/>
        <v>0</v>
      </c>
      <c r="Q263" s="609">
        <f t="shared" si="1618"/>
        <v>0</v>
      </c>
      <c r="R263" s="610" t="str">
        <f>IFERROR(Q263/Q264,"")</f>
        <v/>
      </c>
      <c r="S263" s="658"/>
      <c r="T263" s="658"/>
      <c r="U263" s="658"/>
      <c r="V263" s="658"/>
      <c r="W263" s="658"/>
      <c r="X263" s="658"/>
      <c r="Y263" s="658"/>
      <c r="Z263" s="658"/>
      <c r="AA263" s="658"/>
      <c r="AB263" s="658"/>
      <c r="AC263" s="658"/>
      <c r="AD263" s="658"/>
      <c r="AE263" s="658"/>
      <c r="AF263" s="658"/>
      <c r="AG263" s="658"/>
      <c r="AH263" s="658"/>
      <c r="AI263" s="658"/>
      <c r="AJ263" s="658"/>
      <c r="AK263" s="658"/>
      <c r="AL263" s="658"/>
      <c r="AM263" s="658"/>
      <c r="AN263" s="658"/>
      <c r="AO263" s="658"/>
      <c r="AP263" s="658"/>
      <c r="AQ263" s="658"/>
      <c r="AR263" s="658"/>
      <c r="AS263" s="658"/>
      <c r="AT263" s="658"/>
      <c r="AU263" s="658"/>
      <c r="AV263" s="658"/>
      <c r="AW263" s="658"/>
      <c r="AX263" s="658"/>
      <c r="AY263" s="658"/>
      <c r="AZ263" s="658"/>
      <c r="BA263" s="658"/>
      <c r="BB263" s="658"/>
      <c r="BC263" s="658"/>
      <c r="BD263" s="658"/>
      <c r="BE263" s="658"/>
      <c r="BF263" s="658"/>
      <c r="BG263" s="658"/>
      <c r="BH263" s="658"/>
      <c r="BI263" s="658"/>
      <c r="BJ263" s="658"/>
      <c r="BK263" s="658"/>
      <c r="BL263" s="658"/>
      <c r="BM263" s="658"/>
      <c r="BN263" s="658"/>
      <c r="BO263" s="658"/>
      <c r="BP263" s="658"/>
      <c r="BQ263" s="658"/>
      <c r="BR263" s="658"/>
      <c r="BS263" s="658"/>
      <c r="BT263" s="658"/>
      <c r="BU263" s="658"/>
      <c r="BV263" s="658"/>
      <c r="BW263" s="658"/>
      <c r="BX263" s="658"/>
      <c r="BY263" s="658"/>
      <c r="BZ263" s="658"/>
      <c r="CA263" s="658"/>
      <c r="CB263" s="658"/>
      <c r="CC263" s="658"/>
      <c r="CD263" s="658"/>
      <c r="CE263" s="658"/>
      <c r="CF263" s="658"/>
      <c r="CG263" s="658"/>
      <c r="CH263" s="658"/>
      <c r="CI263" s="658"/>
      <c r="CJ263" s="658"/>
      <c r="CK263" s="658"/>
      <c r="CL263" s="658"/>
      <c r="CM263" s="658"/>
      <c r="CN263" s="658"/>
      <c r="CO263" s="658"/>
      <c r="CP263" s="658"/>
      <c r="CQ263" s="658"/>
      <c r="CR263" s="658"/>
      <c r="CS263" s="658"/>
      <c r="CT263" s="658"/>
      <c r="CU263" s="658"/>
      <c r="CV263" s="658"/>
      <c r="CW263" s="658"/>
      <c r="CX263" s="658"/>
      <c r="CY263" s="658"/>
      <c r="CZ263" s="658"/>
      <c r="DA263" s="658"/>
      <c r="DB263" s="658"/>
      <c r="DC263" s="658"/>
      <c r="DD263" s="658"/>
      <c r="DE263" s="658"/>
      <c r="DF263" s="658"/>
      <c r="DG263" s="658"/>
      <c r="DH263" s="658"/>
      <c r="DI263" s="658"/>
      <c r="DJ263" s="658"/>
      <c r="DK263" s="658"/>
      <c r="DL263" s="658"/>
      <c r="DM263" s="658"/>
      <c r="DN263" s="658"/>
      <c r="DO263" s="177">
        <f t="shared" si="1622"/>
        <v>0</v>
      </c>
      <c r="DP263" s="612" t="e">
        <f t="shared" si="1623"/>
        <v>#N/A</v>
      </c>
      <c r="DQ263" s="612" t="e">
        <f t="shared" si="1619"/>
        <v>#NUM!</v>
      </c>
      <c r="DR263" s="177"/>
      <c r="DS263" s="177"/>
      <c r="DT263" s="177"/>
      <c r="DU263" s="177"/>
      <c r="DV263" s="177"/>
      <c r="DW263" s="177"/>
      <c r="DX263" s="177"/>
      <c r="DY263" s="177"/>
      <c r="DZ263" s="177"/>
      <c r="EA263" s="613"/>
    </row>
    <row r="264" spans="1:131" ht="14.25" thickBot="1">
      <c r="A264" s="317"/>
      <c r="B264" s="779"/>
      <c r="C264" s="661"/>
      <c r="D264" s="661"/>
      <c r="E264" s="661"/>
      <c r="F264" s="662"/>
      <c r="G264" s="662"/>
      <c r="H264" s="317"/>
      <c r="I264" s="634">
        <f>SUM(I256:I263)</f>
        <v>0</v>
      </c>
      <c r="J264" s="663"/>
      <c r="K264" s="664"/>
      <c r="L264" s="664"/>
      <c r="M264" s="664"/>
      <c r="N264" s="634">
        <f t="shared" ref="N264:R264" si="1624">SUM(N256:N263)</f>
        <v>0</v>
      </c>
      <c r="O264" s="634">
        <f t="shared" si="1624"/>
        <v>0</v>
      </c>
      <c r="P264" s="634">
        <f t="shared" si="1624"/>
        <v>0</v>
      </c>
      <c r="Q264" s="634">
        <f t="shared" si="1624"/>
        <v>0</v>
      </c>
      <c r="R264" s="665">
        <f t="shared" si="1624"/>
        <v>0</v>
      </c>
      <c r="S264" s="634">
        <f>SUM(S256:S263)</f>
        <v>0</v>
      </c>
      <c r="T264" s="634">
        <f t="shared" ref="T264" si="1625">SUM(T256:T263)</f>
        <v>0</v>
      </c>
      <c r="U264" s="634">
        <f t="shared" ref="U264" si="1626">SUM(U256:U263)</f>
        <v>0</v>
      </c>
      <c r="V264" s="634">
        <f t="shared" ref="V264" si="1627">SUM(V256:V263)</f>
        <v>0</v>
      </c>
      <c r="W264" s="634">
        <f t="shared" ref="W264" si="1628">SUM(W256:W263)</f>
        <v>0</v>
      </c>
      <c r="X264" s="634">
        <f t="shared" ref="X264" si="1629">SUM(X256:X263)</f>
        <v>0</v>
      </c>
      <c r="Y264" s="634">
        <f t="shared" ref="Y264" si="1630">SUM(Y256:Y263)</f>
        <v>0</v>
      </c>
      <c r="Z264" s="634">
        <f t="shared" ref="Z264" si="1631">SUM(Z256:Z263)</f>
        <v>0</v>
      </c>
      <c r="AA264" s="634">
        <f t="shared" ref="AA264" si="1632">SUM(AA256:AA263)</f>
        <v>0</v>
      </c>
      <c r="AB264" s="634">
        <f t="shared" ref="AB264" si="1633">SUM(AB256:AB263)</f>
        <v>0</v>
      </c>
      <c r="AC264" s="634">
        <f t="shared" ref="AC264" si="1634">SUM(AC256:AC263)</f>
        <v>0</v>
      </c>
      <c r="AD264" s="634">
        <f t="shared" ref="AD264" si="1635">SUM(AD256:AD263)</f>
        <v>0</v>
      </c>
      <c r="AE264" s="634">
        <f t="shared" ref="AE264" si="1636">SUM(AE256:AE263)</f>
        <v>0</v>
      </c>
      <c r="AF264" s="634">
        <f t="shared" ref="AF264" si="1637">SUM(AF256:AF263)</f>
        <v>0</v>
      </c>
      <c r="AG264" s="634">
        <f t="shared" ref="AG264" si="1638">SUM(AG256:AG263)</f>
        <v>0</v>
      </c>
      <c r="AH264" s="634">
        <f t="shared" ref="AH264" si="1639">SUM(AH256:AH263)</f>
        <v>0</v>
      </c>
      <c r="AI264" s="634">
        <f t="shared" ref="AI264" si="1640">SUM(AI256:AI263)</f>
        <v>0</v>
      </c>
      <c r="AJ264" s="634">
        <f t="shared" ref="AJ264" si="1641">SUM(AJ256:AJ263)</f>
        <v>0</v>
      </c>
      <c r="AK264" s="634">
        <f t="shared" ref="AK264" si="1642">SUM(AK256:AK263)</f>
        <v>0</v>
      </c>
      <c r="AL264" s="634">
        <f t="shared" ref="AL264" si="1643">SUM(AL256:AL263)</f>
        <v>0</v>
      </c>
      <c r="AM264" s="634">
        <f t="shared" ref="AM264" si="1644">SUM(AM256:AM263)</f>
        <v>0</v>
      </c>
      <c r="AN264" s="634">
        <f t="shared" ref="AN264" si="1645">SUM(AN256:AN263)</f>
        <v>0</v>
      </c>
      <c r="AO264" s="634">
        <f t="shared" ref="AO264" si="1646">SUM(AO256:AO263)</f>
        <v>0</v>
      </c>
      <c r="AP264" s="634">
        <f t="shared" ref="AP264" si="1647">SUM(AP256:AP263)</f>
        <v>0</v>
      </c>
      <c r="AQ264" s="634">
        <f t="shared" ref="AQ264" si="1648">SUM(AQ256:AQ263)</f>
        <v>0</v>
      </c>
      <c r="AR264" s="634">
        <f t="shared" ref="AR264" si="1649">SUM(AR256:AR263)</f>
        <v>0</v>
      </c>
      <c r="AS264" s="634">
        <f t="shared" ref="AS264" si="1650">SUM(AS256:AS263)</f>
        <v>0</v>
      </c>
      <c r="AT264" s="634">
        <f t="shared" ref="AT264" si="1651">SUM(AT256:AT263)</f>
        <v>0</v>
      </c>
      <c r="AU264" s="634">
        <f t="shared" ref="AU264" si="1652">SUM(AU256:AU263)</f>
        <v>0</v>
      </c>
      <c r="AV264" s="634">
        <f t="shared" ref="AV264" si="1653">SUM(AV256:AV263)</f>
        <v>0</v>
      </c>
      <c r="AW264" s="634">
        <f t="shared" ref="AW264" si="1654">SUM(AW256:AW263)</f>
        <v>0</v>
      </c>
      <c r="AX264" s="634">
        <f t="shared" ref="AX264" si="1655">SUM(AX256:AX263)</f>
        <v>0</v>
      </c>
      <c r="AY264" s="634">
        <f t="shared" ref="AY264" si="1656">SUM(AY256:AY263)</f>
        <v>0</v>
      </c>
      <c r="AZ264" s="634">
        <f t="shared" ref="AZ264" si="1657">SUM(AZ256:AZ263)</f>
        <v>0</v>
      </c>
      <c r="BA264" s="634">
        <f t="shared" ref="BA264" si="1658">SUM(BA256:BA263)</f>
        <v>0</v>
      </c>
      <c r="BB264" s="634">
        <f t="shared" ref="BB264" si="1659">SUM(BB256:BB263)</f>
        <v>0</v>
      </c>
      <c r="BC264" s="634">
        <f t="shared" ref="BC264" si="1660">SUM(BC256:BC263)</f>
        <v>0</v>
      </c>
      <c r="BD264" s="634">
        <f t="shared" ref="BD264" si="1661">SUM(BD256:BD263)</f>
        <v>0</v>
      </c>
      <c r="BE264" s="634">
        <f t="shared" ref="BE264" si="1662">SUM(BE256:BE263)</f>
        <v>0</v>
      </c>
      <c r="BF264" s="634">
        <f t="shared" ref="BF264" si="1663">SUM(BF256:BF263)</f>
        <v>0</v>
      </c>
      <c r="BG264" s="634">
        <f t="shared" ref="BG264" si="1664">SUM(BG256:BG263)</f>
        <v>0</v>
      </c>
      <c r="BH264" s="634">
        <f t="shared" ref="BH264" si="1665">SUM(BH256:BH263)</f>
        <v>0</v>
      </c>
      <c r="BI264" s="634">
        <f t="shared" ref="BI264" si="1666">SUM(BI256:BI263)</f>
        <v>0</v>
      </c>
      <c r="BJ264" s="634">
        <f t="shared" ref="BJ264" si="1667">SUM(BJ256:BJ263)</f>
        <v>0</v>
      </c>
      <c r="BK264" s="634">
        <f t="shared" ref="BK264" si="1668">SUM(BK256:BK263)</f>
        <v>0</v>
      </c>
      <c r="BL264" s="634">
        <f t="shared" ref="BL264" si="1669">SUM(BL256:BL263)</f>
        <v>0</v>
      </c>
      <c r="BM264" s="634">
        <f t="shared" ref="BM264" si="1670">SUM(BM256:BM263)</f>
        <v>0</v>
      </c>
      <c r="BN264" s="634">
        <f t="shared" ref="BN264" si="1671">SUM(BN256:BN263)</f>
        <v>0</v>
      </c>
      <c r="BO264" s="634">
        <f t="shared" ref="BO264" si="1672">SUM(BO256:BO263)</f>
        <v>0</v>
      </c>
      <c r="BP264" s="634">
        <f t="shared" ref="BP264" si="1673">SUM(BP256:BP263)</f>
        <v>0</v>
      </c>
      <c r="BQ264" s="634">
        <f t="shared" ref="BQ264" si="1674">SUM(BQ256:BQ263)</f>
        <v>0</v>
      </c>
      <c r="BR264" s="634">
        <f t="shared" ref="BR264" si="1675">SUM(BR256:BR263)</f>
        <v>0</v>
      </c>
      <c r="BS264" s="634">
        <f t="shared" ref="BS264" si="1676">SUM(BS256:BS263)</f>
        <v>0</v>
      </c>
      <c r="BT264" s="634">
        <f t="shared" ref="BT264" si="1677">SUM(BT256:BT263)</f>
        <v>0</v>
      </c>
      <c r="BU264" s="634">
        <f t="shared" ref="BU264" si="1678">SUM(BU256:BU263)</f>
        <v>0</v>
      </c>
      <c r="BV264" s="634">
        <f t="shared" ref="BV264" si="1679">SUM(BV256:BV263)</f>
        <v>0</v>
      </c>
      <c r="BW264" s="634">
        <f t="shared" ref="BW264" si="1680">SUM(BW256:BW263)</f>
        <v>0</v>
      </c>
      <c r="BX264" s="634">
        <f t="shared" ref="BX264" si="1681">SUM(BX256:BX263)</f>
        <v>0</v>
      </c>
      <c r="BY264" s="634">
        <f t="shared" ref="BY264" si="1682">SUM(BY256:BY263)</f>
        <v>0</v>
      </c>
      <c r="BZ264" s="634">
        <f t="shared" ref="BZ264" si="1683">SUM(BZ256:BZ263)</f>
        <v>0</v>
      </c>
      <c r="CA264" s="634">
        <f t="shared" ref="CA264" si="1684">SUM(CA256:CA263)</f>
        <v>0</v>
      </c>
      <c r="CB264" s="634">
        <f t="shared" ref="CB264" si="1685">SUM(CB256:CB263)</f>
        <v>0</v>
      </c>
      <c r="CC264" s="634">
        <f t="shared" ref="CC264" si="1686">SUM(CC256:CC263)</f>
        <v>0</v>
      </c>
      <c r="CD264" s="634">
        <f t="shared" ref="CD264" si="1687">SUM(CD256:CD263)</f>
        <v>0</v>
      </c>
      <c r="CE264" s="634">
        <f t="shared" ref="CE264" si="1688">SUM(CE256:CE263)</f>
        <v>0</v>
      </c>
      <c r="CF264" s="634">
        <f t="shared" ref="CF264" si="1689">SUM(CF256:CF263)</f>
        <v>0</v>
      </c>
      <c r="CG264" s="634">
        <f t="shared" ref="CG264" si="1690">SUM(CG256:CG263)</f>
        <v>0</v>
      </c>
      <c r="CH264" s="634">
        <f t="shared" ref="CH264" si="1691">SUM(CH256:CH263)</f>
        <v>0</v>
      </c>
      <c r="CI264" s="634">
        <f t="shared" ref="CI264" si="1692">SUM(CI256:CI263)</f>
        <v>0</v>
      </c>
      <c r="CJ264" s="634">
        <f t="shared" ref="CJ264" si="1693">SUM(CJ256:CJ263)</f>
        <v>0</v>
      </c>
      <c r="CK264" s="634">
        <f t="shared" ref="CK264" si="1694">SUM(CK256:CK263)</f>
        <v>0</v>
      </c>
      <c r="CL264" s="634">
        <f t="shared" ref="CL264" si="1695">SUM(CL256:CL263)</f>
        <v>0</v>
      </c>
      <c r="CM264" s="634">
        <f t="shared" ref="CM264" si="1696">SUM(CM256:CM263)</f>
        <v>0</v>
      </c>
      <c r="CN264" s="634">
        <f t="shared" ref="CN264" si="1697">SUM(CN256:CN263)</f>
        <v>0</v>
      </c>
      <c r="CO264" s="634">
        <f t="shared" ref="CO264" si="1698">SUM(CO256:CO263)</f>
        <v>0</v>
      </c>
      <c r="CP264" s="634">
        <f t="shared" ref="CP264" si="1699">SUM(CP256:CP263)</f>
        <v>0</v>
      </c>
      <c r="CQ264" s="634">
        <f t="shared" ref="CQ264" si="1700">SUM(CQ256:CQ263)</f>
        <v>0</v>
      </c>
      <c r="CR264" s="634">
        <f t="shared" ref="CR264" si="1701">SUM(CR256:CR263)</f>
        <v>0</v>
      </c>
      <c r="CS264" s="634">
        <f t="shared" ref="CS264" si="1702">SUM(CS256:CS263)</f>
        <v>0</v>
      </c>
      <c r="CT264" s="634">
        <f t="shared" ref="CT264" si="1703">SUM(CT256:CT263)</f>
        <v>0</v>
      </c>
      <c r="CU264" s="634">
        <f t="shared" ref="CU264" si="1704">SUM(CU256:CU263)</f>
        <v>0</v>
      </c>
      <c r="CV264" s="634">
        <f t="shared" ref="CV264" si="1705">SUM(CV256:CV263)</f>
        <v>0</v>
      </c>
      <c r="CW264" s="634">
        <f t="shared" ref="CW264" si="1706">SUM(CW256:CW263)</f>
        <v>0</v>
      </c>
      <c r="CX264" s="634">
        <f t="shared" ref="CX264" si="1707">SUM(CX256:CX263)</f>
        <v>0</v>
      </c>
      <c r="CY264" s="634">
        <f t="shared" ref="CY264" si="1708">SUM(CY256:CY263)</f>
        <v>0</v>
      </c>
      <c r="CZ264" s="634">
        <f t="shared" ref="CZ264" si="1709">SUM(CZ256:CZ263)</f>
        <v>0</v>
      </c>
      <c r="DA264" s="634">
        <f t="shared" ref="DA264" si="1710">SUM(DA256:DA263)</f>
        <v>0</v>
      </c>
      <c r="DB264" s="634">
        <f t="shared" ref="DB264" si="1711">SUM(DB256:DB263)</f>
        <v>0</v>
      </c>
      <c r="DC264" s="634">
        <f t="shared" ref="DC264" si="1712">SUM(DC256:DC263)</f>
        <v>0</v>
      </c>
      <c r="DD264" s="634">
        <f t="shared" ref="DD264" si="1713">SUM(DD256:DD263)</f>
        <v>0</v>
      </c>
      <c r="DE264" s="634">
        <f t="shared" ref="DE264" si="1714">SUM(DE256:DE263)</f>
        <v>0</v>
      </c>
      <c r="DF264" s="634">
        <f t="shared" ref="DF264" si="1715">SUM(DF256:DF263)</f>
        <v>0</v>
      </c>
      <c r="DG264" s="634">
        <f t="shared" ref="DG264" si="1716">SUM(DG256:DG263)</f>
        <v>0</v>
      </c>
      <c r="DH264" s="634">
        <f t="shared" ref="DH264" si="1717">SUM(DH256:DH263)</f>
        <v>0</v>
      </c>
      <c r="DI264" s="634">
        <f t="shared" ref="DI264" si="1718">SUM(DI256:DI263)</f>
        <v>0</v>
      </c>
      <c r="DJ264" s="634">
        <f t="shared" ref="DJ264" si="1719">SUM(DJ256:DJ263)</f>
        <v>0</v>
      </c>
      <c r="DK264" s="634">
        <f t="shared" ref="DK264" si="1720">SUM(DK256:DK263)</f>
        <v>0</v>
      </c>
      <c r="DL264" s="634">
        <f t="shared" ref="DL264" si="1721">SUM(DL256:DL263)</f>
        <v>0</v>
      </c>
      <c r="DM264" s="634">
        <f t="shared" ref="DM264" si="1722">SUM(DM256:DM263)</f>
        <v>0</v>
      </c>
      <c r="DN264" s="634">
        <f t="shared" ref="DN264" si="1723">SUM(DN256:DN263)</f>
        <v>0</v>
      </c>
      <c r="DO264" s="634">
        <f t="shared" ref="DO264" si="1724">SUM(DO256:DO263)</f>
        <v>0</v>
      </c>
      <c r="DP264" s="666"/>
      <c r="DQ264" s="638" t="e">
        <f>XIRR(S264:DO264,$S$255:$DO$255)</f>
        <v>#NUM!</v>
      </c>
      <c r="DR264" s="636">
        <f t="shared" ref="DR264:DY264" si="1725">SUM(DR256:DR263)</f>
        <v>0</v>
      </c>
      <c r="DS264" s="636">
        <f t="shared" si="1725"/>
        <v>0</v>
      </c>
      <c r="DT264" s="636">
        <f t="shared" si="1725"/>
        <v>0</v>
      </c>
      <c r="DU264" s="636">
        <f t="shared" si="1725"/>
        <v>0</v>
      </c>
      <c r="DV264" s="636">
        <f t="shared" si="1725"/>
        <v>0</v>
      </c>
      <c r="DW264" s="636">
        <f t="shared" si="1725"/>
        <v>0</v>
      </c>
      <c r="DX264" s="636">
        <f t="shared" si="1725"/>
        <v>0</v>
      </c>
      <c r="DY264" s="636">
        <f t="shared" si="1725"/>
        <v>0</v>
      </c>
      <c r="DZ264" s="636">
        <f>SUM(DZ256:DZ263)</f>
        <v>0</v>
      </c>
      <c r="EA264" s="636">
        <f>SUM(EA256:EA263)</f>
        <v>0</v>
      </c>
    </row>
    <row r="265" spans="1:131" ht="14.25" thickBot="1">
      <c r="A265" s="172"/>
      <c r="B265" s="667"/>
      <c r="C265" s="592" t="s">
        <v>3609</v>
      </c>
      <c r="D265" s="648">
        <f>D253+1</f>
        <v>18</v>
      </c>
      <c r="E265" s="649"/>
      <c r="F265" s="603"/>
      <c r="G265" s="603"/>
      <c r="I265" s="650" t="b">
        <f>I276=DR267</f>
        <v>1</v>
      </c>
      <c r="J265" s="172"/>
      <c r="K265" s="172"/>
      <c r="L265" s="172"/>
      <c r="M265" s="172"/>
      <c r="N265" s="172"/>
      <c r="O265" s="172"/>
      <c r="P265" s="172"/>
      <c r="Q265" s="639" t="str">
        <f>IF(Q276=NAV!E865,"자본금과 일치","자본금과 불일치")</f>
        <v>자본금과 일치</v>
      </c>
      <c r="R265" s="172"/>
      <c r="S265" s="172"/>
      <c r="T265" s="172"/>
      <c r="U265" s="172"/>
      <c r="V265" s="172"/>
      <c r="W265" s="172"/>
      <c r="X265" s="172"/>
      <c r="Y265" s="172"/>
      <c r="Z265" s="172"/>
      <c r="AA265" s="172"/>
      <c r="AB265" s="172"/>
      <c r="AC265" s="172"/>
      <c r="AD265" s="172"/>
      <c r="AE265" s="172"/>
      <c r="AF265" s="172"/>
      <c r="AG265" s="172"/>
      <c r="AH265" s="172"/>
      <c r="AI265" s="172"/>
      <c r="AJ265" s="172"/>
      <c r="AK265" s="172"/>
      <c r="AL265" s="172"/>
      <c r="AM265" s="172"/>
      <c r="AN265" s="172"/>
      <c r="AO265" s="172"/>
      <c r="AP265" s="172"/>
      <c r="AQ265" s="172"/>
      <c r="AR265" s="172"/>
      <c r="AS265" s="172"/>
      <c r="AT265" s="172"/>
      <c r="AU265" s="172"/>
      <c r="AV265" s="172"/>
      <c r="AW265" s="172"/>
      <c r="AX265" s="172"/>
      <c r="AY265" s="172"/>
      <c r="AZ265" s="172"/>
      <c r="BA265" s="172"/>
      <c r="BB265" s="172"/>
      <c r="BC265" s="172"/>
      <c r="BD265" s="172"/>
      <c r="BE265" s="172"/>
      <c r="BF265" s="172"/>
      <c r="BG265" s="172"/>
      <c r="BH265" s="172"/>
      <c r="BI265" s="172"/>
      <c r="BJ265" s="172"/>
      <c r="BK265" s="172"/>
      <c r="BL265" s="172"/>
      <c r="BM265" s="172"/>
      <c r="BN265" s="172"/>
      <c r="BO265" s="172"/>
      <c r="BP265" s="172"/>
      <c r="BQ265" s="172"/>
      <c r="BR265" s="172"/>
      <c r="BS265" s="172"/>
      <c r="BT265" s="172"/>
      <c r="BU265" s="172"/>
      <c r="BV265" s="172"/>
      <c r="BW265" s="172"/>
      <c r="BX265" s="172"/>
      <c r="BY265" s="172"/>
      <c r="BZ265" s="172"/>
      <c r="CA265" s="172"/>
      <c r="CB265" s="172"/>
      <c r="CC265" s="172"/>
      <c r="CD265" s="172"/>
      <c r="CE265" s="172"/>
      <c r="CF265" s="172"/>
      <c r="CG265" s="172"/>
      <c r="CH265" s="172"/>
      <c r="CI265" s="172"/>
      <c r="CJ265" s="172"/>
      <c r="CK265" s="172"/>
      <c r="CL265" s="172"/>
      <c r="CM265" s="172"/>
      <c r="CN265" s="172"/>
      <c r="CO265" s="172"/>
      <c r="CP265" s="172"/>
      <c r="CQ265" s="172"/>
      <c r="CR265" s="172"/>
      <c r="CS265" s="172"/>
      <c r="CT265" s="172"/>
      <c r="CU265" s="172"/>
      <c r="CV265" s="172"/>
      <c r="CW265" s="172"/>
      <c r="CX265" s="172"/>
      <c r="CY265" s="172"/>
      <c r="CZ265" s="172"/>
      <c r="DA265" s="172"/>
      <c r="DB265" s="172"/>
      <c r="DC265" s="172"/>
      <c r="DD265" s="172"/>
      <c r="DE265" s="172"/>
      <c r="DF265" s="172"/>
      <c r="DG265" s="172"/>
      <c r="DH265" s="172"/>
      <c r="DI265" s="172"/>
      <c r="DJ265" s="172"/>
      <c r="DK265" s="172"/>
      <c r="DL265" s="172"/>
      <c r="DM265" s="172"/>
      <c r="DN265" s="172"/>
      <c r="DO265" s="588" t="s">
        <v>219</v>
      </c>
      <c r="DP265" s="588" t="str">
        <f>IF(ROUND(_xlfn.AGGREGATE(9,6,DP268:DP275),5)=ROUND(_xlfn.AGGREGATE(9,6,DQ268:DQ275),5),"이상없음","기준수익률확인")</f>
        <v>이상없음</v>
      </c>
      <c r="DQ265" s="172"/>
      <c r="DR265" s="651" t="s">
        <v>3406</v>
      </c>
      <c r="DS265" s="172"/>
      <c r="DT265" s="615"/>
      <c r="DU265" s="615"/>
      <c r="DV265" s="172"/>
      <c r="DW265" s="172"/>
      <c r="DX265" s="615"/>
      <c r="DY265" s="172"/>
      <c r="DZ265" s="172"/>
      <c r="EA265" s="172"/>
    </row>
    <row r="266" spans="1:131" ht="13.5">
      <c r="A266" s="652" t="str">
        <f t="shared" ref="A266:A274" si="1726">$B$265&amp;B266</f>
        <v>SPC명</v>
      </c>
      <c r="B266" s="653" t="s">
        <v>349</v>
      </c>
      <c r="C266" s="780"/>
      <c r="D266" s="780"/>
      <c r="E266" s="780"/>
      <c r="F266" s="230"/>
      <c r="G266" s="230"/>
      <c r="I266" s="776" t="s">
        <v>3393</v>
      </c>
      <c r="J266" s="776" t="s">
        <v>3394</v>
      </c>
      <c r="K266" s="774" t="s">
        <v>3395</v>
      </c>
      <c r="L266" s="774" t="s">
        <v>3396</v>
      </c>
      <c r="M266" s="774" t="s">
        <v>203</v>
      </c>
      <c r="N266" s="774" t="s">
        <v>211</v>
      </c>
      <c r="O266" s="774" t="s">
        <v>3399</v>
      </c>
      <c r="P266" s="776" t="s">
        <v>239</v>
      </c>
      <c r="Q266" s="774" t="s">
        <v>3401</v>
      </c>
      <c r="R266" s="774" t="s">
        <v>3402</v>
      </c>
      <c r="S266" s="593"/>
      <c r="T266" s="593"/>
      <c r="U266" s="593"/>
      <c r="V266" s="593"/>
      <c r="W266" s="593"/>
      <c r="X266" s="593"/>
      <c r="Y266" s="593"/>
      <c r="Z266" s="593"/>
      <c r="AA266" s="593"/>
      <c r="AB266" s="593"/>
      <c r="AC266" s="593"/>
      <c r="AD266" s="593"/>
      <c r="AE266" s="593"/>
      <c r="AF266" s="593"/>
      <c r="AG266" s="593"/>
      <c r="AH266" s="593"/>
      <c r="AI266" s="593"/>
      <c r="AJ266" s="593"/>
      <c r="AK266" s="593"/>
      <c r="AL266" s="593"/>
      <c r="AM266" s="593"/>
      <c r="AN266" s="593"/>
      <c r="AO266" s="593"/>
      <c r="AP266" s="593"/>
      <c r="AQ266" s="593"/>
      <c r="AR266" s="593"/>
      <c r="AS266" s="593"/>
      <c r="AT266" s="593"/>
      <c r="AU266" s="593"/>
      <c r="AV266" s="593"/>
      <c r="AW266" s="593"/>
      <c r="AX266" s="593"/>
      <c r="AY266" s="593"/>
      <c r="AZ266" s="593"/>
      <c r="BA266" s="593"/>
      <c r="BB266" s="593"/>
      <c r="BC266" s="593"/>
      <c r="BD266" s="593"/>
      <c r="BE266" s="593"/>
      <c r="BF266" s="593"/>
      <c r="BG266" s="593"/>
      <c r="BH266" s="593"/>
      <c r="BI266" s="593"/>
      <c r="BJ266" s="593"/>
      <c r="BK266" s="593"/>
      <c r="BL266" s="593"/>
      <c r="BM266" s="593"/>
      <c r="BN266" s="593"/>
      <c r="BO266" s="593"/>
      <c r="BP266" s="593"/>
      <c r="BQ266" s="593"/>
      <c r="BR266" s="593"/>
      <c r="BS266" s="593"/>
      <c r="BT266" s="593"/>
      <c r="BU266" s="593"/>
      <c r="BV266" s="593"/>
      <c r="BW266" s="593"/>
      <c r="BX266" s="593"/>
      <c r="BY266" s="593"/>
      <c r="BZ266" s="593"/>
      <c r="CA266" s="593"/>
      <c r="CB266" s="593"/>
      <c r="CC266" s="593"/>
      <c r="CD266" s="593"/>
      <c r="CE266" s="593"/>
      <c r="CF266" s="593"/>
      <c r="CG266" s="593"/>
      <c r="CH266" s="593"/>
      <c r="CI266" s="593"/>
      <c r="CJ266" s="593"/>
      <c r="CK266" s="593"/>
      <c r="CL266" s="593"/>
      <c r="CM266" s="593"/>
      <c r="CN266" s="593"/>
      <c r="CO266" s="593"/>
      <c r="CP266" s="593"/>
      <c r="CQ266" s="593"/>
      <c r="CR266" s="593"/>
      <c r="CS266" s="593"/>
      <c r="CT266" s="593"/>
      <c r="CU266" s="593"/>
      <c r="CV266" s="593"/>
      <c r="CW266" s="593"/>
      <c r="CX266" s="593"/>
      <c r="CY266" s="593"/>
      <c r="CZ266" s="593"/>
      <c r="DA266" s="593"/>
      <c r="DB266" s="593"/>
      <c r="DC266" s="593"/>
      <c r="DD266" s="593"/>
      <c r="DE266" s="593"/>
      <c r="DF266" s="593"/>
      <c r="DG266" s="593"/>
      <c r="DH266" s="593"/>
      <c r="DI266" s="593"/>
      <c r="DJ266" s="593"/>
      <c r="DK266" s="593"/>
      <c r="DL266" s="593"/>
      <c r="DM266" s="593"/>
      <c r="DN266" s="593"/>
      <c r="DO266" s="594" t="s">
        <v>220</v>
      </c>
      <c r="DP266" s="774" t="s">
        <v>218</v>
      </c>
      <c r="DQ266" s="774" t="s">
        <v>222</v>
      </c>
      <c r="DR266" s="594"/>
      <c r="DS266" s="594"/>
      <c r="DT266" s="594"/>
      <c r="DU266" s="594"/>
      <c r="DV266" s="594"/>
      <c r="DW266" s="594"/>
      <c r="DX266" s="594"/>
      <c r="DY266" s="594"/>
      <c r="DZ266" s="594"/>
      <c r="EA266" s="602"/>
    </row>
    <row r="267" spans="1:131" ht="14.25" thickBot="1">
      <c r="A267" s="652" t="str">
        <f t="shared" si="1726"/>
        <v>유형</v>
      </c>
      <c r="B267" s="653" t="s">
        <v>350</v>
      </c>
      <c r="C267" s="780"/>
      <c r="D267" s="780"/>
      <c r="E267" s="780"/>
      <c r="F267" s="230"/>
      <c r="G267" s="230"/>
      <c r="I267" s="777"/>
      <c r="J267" s="777"/>
      <c r="K267" s="775"/>
      <c r="L267" s="775"/>
      <c r="M267" s="775"/>
      <c r="N267" s="775"/>
      <c r="O267" s="775"/>
      <c r="P267" s="777"/>
      <c r="Q267" s="775"/>
      <c r="R267" s="775"/>
      <c r="S267" s="601"/>
      <c r="T267" s="601"/>
      <c r="U267" s="601"/>
      <c r="V267" s="601"/>
      <c r="W267" s="601"/>
      <c r="X267" s="601"/>
      <c r="Y267" s="601"/>
      <c r="Z267" s="601"/>
      <c r="AA267" s="601"/>
      <c r="AB267" s="601"/>
      <c r="AC267" s="601"/>
      <c r="AD267" s="601"/>
      <c r="AE267" s="601"/>
      <c r="AF267" s="601"/>
      <c r="AG267" s="601"/>
      <c r="AH267" s="601"/>
      <c r="AI267" s="601"/>
      <c r="AJ267" s="601"/>
      <c r="AK267" s="601"/>
      <c r="AL267" s="601"/>
      <c r="AM267" s="601"/>
      <c r="AN267" s="601"/>
      <c r="AO267" s="601"/>
      <c r="AP267" s="601"/>
      <c r="AQ267" s="601"/>
      <c r="AR267" s="601"/>
      <c r="AS267" s="601"/>
      <c r="AT267" s="601"/>
      <c r="AU267" s="601"/>
      <c r="AV267" s="601"/>
      <c r="AW267" s="601"/>
      <c r="AX267" s="601"/>
      <c r="AY267" s="601"/>
      <c r="AZ267" s="601"/>
      <c r="BA267" s="601"/>
      <c r="BB267" s="601"/>
      <c r="BC267" s="601"/>
      <c r="BD267" s="601"/>
      <c r="BE267" s="601"/>
      <c r="BF267" s="601"/>
      <c r="BG267" s="601"/>
      <c r="BH267" s="601"/>
      <c r="BI267" s="601"/>
      <c r="BJ267" s="601"/>
      <c r="BK267" s="601"/>
      <c r="BL267" s="601"/>
      <c r="BM267" s="601"/>
      <c r="BN267" s="601"/>
      <c r="BO267" s="601"/>
      <c r="BP267" s="601"/>
      <c r="BQ267" s="601"/>
      <c r="BR267" s="601"/>
      <c r="BS267" s="601"/>
      <c r="BT267" s="601"/>
      <c r="BU267" s="601"/>
      <c r="BV267" s="601"/>
      <c r="BW267" s="601"/>
      <c r="BX267" s="601"/>
      <c r="BY267" s="601"/>
      <c r="BZ267" s="601"/>
      <c r="CA267" s="601"/>
      <c r="CB267" s="601"/>
      <c r="CC267" s="601"/>
      <c r="CD267" s="601"/>
      <c r="CE267" s="601"/>
      <c r="CF267" s="601"/>
      <c r="CG267" s="601"/>
      <c r="CH267" s="601"/>
      <c r="CI267" s="601"/>
      <c r="CJ267" s="601"/>
      <c r="CK267" s="601"/>
      <c r="CL267" s="601"/>
      <c r="CM267" s="601"/>
      <c r="CN267" s="601"/>
      <c r="CO267" s="601"/>
      <c r="CP267" s="601"/>
      <c r="CQ267" s="601"/>
      <c r="CR267" s="601"/>
      <c r="CS267" s="601"/>
      <c r="CT267" s="601"/>
      <c r="CU267" s="601"/>
      <c r="CV267" s="601"/>
      <c r="CW267" s="601"/>
      <c r="CX267" s="601"/>
      <c r="CY267" s="601"/>
      <c r="CZ267" s="601"/>
      <c r="DA267" s="601"/>
      <c r="DB267" s="601"/>
      <c r="DC267" s="601"/>
      <c r="DD267" s="601"/>
      <c r="DE267" s="601"/>
      <c r="DF267" s="601"/>
      <c r="DG267" s="601"/>
      <c r="DH267" s="601"/>
      <c r="DI267" s="601"/>
      <c r="DJ267" s="601"/>
      <c r="DK267" s="601"/>
      <c r="DL267" s="601"/>
      <c r="DM267" s="601"/>
      <c r="DN267" s="601"/>
      <c r="DO267" s="654">
        <f>$DO$7</f>
        <v>45473</v>
      </c>
      <c r="DP267" s="775"/>
      <c r="DQ267" s="775"/>
      <c r="DR267" s="595">
        <f>NAV!E871</f>
        <v>0</v>
      </c>
      <c r="DS267" s="596">
        <f>DR267-DR276</f>
        <v>0</v>
      </c>
      <c r="DT267" s="596"/>
      <c r="DU267" s="596"/>
      <c r="DV267" s="597"/>
      <c r="DW267" s="596"/>
      <c r="DX267" s="596"/>
      <c r="DY267" s="596"/>
      <c r="DZ267" s="655"/>
      <c r="EA267" s="656"/>
    </row>
    <row r="268" spans="1:131" ht="13.5">
      <c r="A268" s="652" t="str">
        <f t="shared" si="1726"/>
        <v>설정일</v>
      </c>
      <c r="B268" s="653" t="s">
        <v>351</v>
      </c>
      <c r="C268" s="781"/>
      <c r="D268" s="780"/>
      <c r="E268" s="780"/>
      <c r="F268" s="230"/>
      <c r="G268" s="230"/>
      <c r="I268" s="657">
        <f>SUM(DR268:EA268)</f>
        <v>0</v>
      </c>
      <c r="J268" s="606" t="str">
        <f>IFERROR(I268/(Q268/$C$270),"N/A")</f>
        <v>N/A</v>
      </c>
      <c r="K268" s="471"/>
      <c r="L268" s="607"/>
      <c r="M268" s="300"/>
      <c r="N268" s="608"/>
      <c r="O268" s="609">
        <f t="shared" ref="O268:O275" si="1727">-(SUMIF($S$266:$DN$266,"최초출자",S268:DN268)+SUMIF($S$266:$DN$266,"추가출자",S268:DN268))</f>
        <v>0</v>
      </c>
      <c r="P268" s="609">
        <f t="shared" ref="P268:P275" si="1728">SUMIF($S$266:$DN$266,"이익분배",S268:DN268)+SUMIF($S$266:$DN$266,"원본분배",S268:DN268)</f>
        <v>0</v>
      </c>
      <c r="Q268" s="609">
        <f t="shared" ref="Q268:Q275" si="1729">-(SUMIF($S$266:$DN$266,"최초출자",S268:DN268)+SUMIF($S$266:$DN$266,"추가출자",S268:DN268)+SUMIF($S$266:$DN$266,"원본분배",S268:DN268))</f>
        <v>0</v>
      </c>
      <c r="R268" s="610" t="str">
        <f>IFERROR(Q268/Q276,"")</f>
        <v/>
      </c>
      <c r="S268" s="658"/>
      <c r="T268" s="658"/>
      <c r="U268" s="658"/>
      <c r="V268" s="658"/>
      <c r="W268" s="658"/>
      <c r="X268" s="658"/>
      <c r="Y268" s="658"/>
      <c r="Z268" s="658"/>
      <c r="AA268" s="658"/>
      <c r="AB268" s="658"/>
      <c r="AC268" s="658"/>
      <c r="AD268" s="658"/>
      <c r="AE268" s="658"/>
      <c r="AF268" s="658"/>
      <c r="AG268" s="658"/>
      <c r="AH268" s="658"/>
      <c r="AI268" s="658"/>
      <c r="AJ268" s="658"/>
      <c r="AK268" s="658"/>
      <c r="AL268" s="658"/>
      <c r="AM268" s="658"/>
      <c r="AN268" s="658"/>
      <c r="AO268" s="658"/>
      <c r="AP268" s="658"/>
      <c r="AQ268" s="658"/>
      <c r="AR268" s="658"/>
      <c r="AS268" s="658"/>
      <c r="AT268" s="658"/>
      <c r="AU268" s="658"/>
      <c r="AV268" s="658"/>
      <c r="AW268" s="658"/>
      <c r="AX268" s="658"/>
      <c r="AY268" s="658"/>
      <c r="AZ268" s="658"/>
      <c r="BA268" s="658"/>
      <c r="BB268" s="658"/>
      <c r="BC268" s="658"/>
      <c r="BD268" s="658"/>
      <c r="BE268" s="658"/>
      <c r="BF268" s="658"/>
      <c r="BG268" s="658"/>
      <c r="BH268" s="658"/>
      <c r="BI268" s="658"/>
      <c r="BJ268" s="658"/>
      <c r="BK268" s="658"/>
      <c r="BL268" s="658"/>
      <c r="BM268" s="658"/>
      <c r="BN268" s="658"/>
      <c r="BO268" s="658"/>
      <c r="BP268" s="658"/>
      <c r="BQ268" s="658"/>
      <c r="BR268" s="658"/>
      <c r="BS268" s="658"/>
      <c r="BT268" s="658"/>
      <c r="BU268" s="658"/>
      <c r="BV268" s="658"/>
      <c r="BW268" s="658"/>
      <c r="BX268" s="658"/>
      <c r="BY268" s="658"/>
      <c r="BZ268" s="658"/>
      <c r="CA268" s="658"/>
      <c r="CB268" s="658"/>
      <c r="CC268" s="658"/>
      <c r="CD268" s="658"/>
      <c r="CE268" s="658"/>
      <c r="CF268" s="658"/>
      <c r="CG268" s="658"/>
      <c r="CH268" s="658"/>
      <c r="CI268" s="658"/>
      <c r="CJ268" s="658"/>
      <c r="CK268" s="658"/>
      <c r="CL268" s="658"/>
      <c r="CM268" s="658"/>
      <c r="CN268" s="658"/>
      <c r="CO268" s="658"/>
      <c r="CP268" s="658"/>
      <c r="CQ268" s="658"/>
      <c r="CR268" s="658"/>
      <c r="CS268" s="658"/>
      <c r="CT268" s="658"/>
      <c r="CU268" s="658"/>
      <c r="CV268" s="658"/>
      <c r="CW268" s="658"/>
      <c r="CX268" s="658"/>
      <c r="CY268" s="658"/>
      <c r="CZ268" s="658"/>
      <c r="DA268" s="658"/>
      <c r="DB268" s="658"/>
      <c r="DC268" s="658"/>
      <c r="DD268" s="658"/>
      <c r="DE268" s="658"/>
      <c r="DF268" s="658"/>
      <c r="DG268" s="658"/>
      <c r="DH268" s="658"/>
      <c r="DI268" s="658"/>
      <c r="DJ268" s="658"/>
      <c r="DK268" s="658"/>
      <c r="DL268" s="658"/>
      <c r="DM268" s="658"/>
      <c r="DN268" s="658"/>
      <c r="DO268" s="177">
        <f>IF(M268="",0,-XNPV(DP268,S268,S$267)*(1+DP268)^YEARFRAC($S$267,$DO$267,3))</f>
        <v>0</v>
      </c>
      <c r="DP268" s="612" t="e">
        <f>IF(HLOOKUP(L268,$C$275:$E$276,2,0)=0,1E-24%,HLOOKUP(L268,$C$275:$E$276,2,FALSE))</f>
        <v>#N/A</v>
      </c>
      <c r="DQ268" s="612" t="e">
        <f t="shared" ref="DQ268:DQ275" si="1730">XIRR(S268:DO268,$S$267:$DO$267)</f>
        <v>#NUM!</v>
      </c>
      <c r="DR268" s="177"/>
      <c r="DS268" s="177"/>
      <c r="DT268" s="177"/>
      <c r="DU268" s="177"/>
      <c r="DV268" s="177"/>
      <c r="DW268" s="177"/>
      <c r="DX268" s="177"/>
      <c r="DY268" s="177"/>
      <c r="DZ268" s="177"/>
      <c r="EA268" s="613"/>
    </row>
    <row r="269" spans="1:131" ht="13.5">
      <c r="A269" s="652" t="str">
        <f t="shared" si="1726"/>
        <v>출자잔액</v>
      </c>
      <c r="B269" s="653" t="s">
        <v>352</v>
      </c>
      <c r="C269" s="782"/>
      <c r="D269" s="782"/>
      <c r="E269" s="782"/>
      <c r="F269" s="230"/>
      <c r="G269" s="230"/>
      <c r="I269" s="657">
        <f t="shared" ref="I269:I275" si="1731">SUM(DR269:EA269)</f>
        <v>0</v>
      </c>
      <c r="J269" s="606" t="str">
        <f t="shared" ref="J269:J275" si="1732">IFERROR(I269/(Q269/$C$270),"N/A")</f>
        <v>N/A</v>
      </c>
      <c r="K269" s="471"/>
      <c r="L269" s="607"/>
      <c r="M269" s="300"/>
      <c r="N269" s="608"/>
      <c r="O269" s="609">
        <f t="shared" si="1727"/>
        <v>0</v>
      </c>
      <c r="P269" s="609">
        <f t="shared" si="1728"/>
        <v>0</v>
      </c>
      <c r="Q269" s="609">
        <f t="shared" si="1729"/>
        <v>0</v>
      </c>
      <c r="R269" s="610" t="str">
        <f>IFERROR(Q269/Q276,"")</f>
        <v/>
      </c>
      <c r="S269" s="658"/>
      <c r="T269" s="658"/>
      <c r="U269" s="658"/>
      <c r="V269" s="658"/>
      <c r="W269" s="658"/>
      <c r="X269" s="658"/>
      <c r="Y269" s="658"/>
      <c r="Z269" s="658"/>
      <c r="AA269" s="658"/>
      <c r="AB269" s="658"/>
      <c r="AC269" s="658"/>
      <c r="AD269" s="658"/>
      <c r="AE269" s="658"/>
      <c r="AF269" s="658"/>
      <c r="AG269" s="658"/>
      <c r="AH269" s="658"/>
      <c r="AI269" s="658"/>
      <c r="AJ269" s="658"/>
      <c r="AK269" s="658"/>
      <c r="AL269" s="658"/>
      <c r="AM269" s="658"/>
      <c r="AN269" s="658"/>
      <c r="AO269" s="658"/>
      <c r="AP269" s="658"/>
      <c r="AQ269" s="658"/>
      <c r="AR269" s="658"/>
      <c r="AS269" s="658"/>
      <c r="AT269" s="658"/>
      <c r="AU269" s="658"/>
      <c r="AV269" s="658"/>
      <c r="AW269" s="658"/>
      <c r="AX269" s="658"/>
      <c r="AY269" s="658"/>
      <c r="AZ269" s="658"/>
      <c r="BA269" s="658"/>
      <c r="BB269" s="658"/>
      <c r="BC269" s="658"/>
      <c r="BD269" s="658"/>
      <c r="BE269" s="658"/>
      <c r="BF269" s="658"/>
      <c r="BG269" s="658"/>
      <c r="BH269" s="658"/>
      <c r="BI269" s="658"/>
      <c r="BJ269" s="658"/>
      <c r="BK269" s="658"/>
      <c r="BL269" s="658"/>
      <c r="BM269" s="658"/>
      <c r="BN269" s="658"/>
      <c r="BO269" s="658"/>
      <c r="BP269" s="658"/>
      <c r="BQ269" s="658"/>
      <c r="BR269" s="658"/>
      <c r="BS269" s="658"/>
      <c r="BT269" s="658"/>
      <c r="BU269" s="658"/>
      <c r="BV269" s="658"/>
      <c r="BW269" s="658"/>
      <c r="BX269" s="658"/>
      <c r="BY269" s="658"/>
      <c r="BZ269" s="658"/>
      <c r="CA269" s="658"/>
      <c r="CB269" s="658"/>
      <c r="CC269" s="658"/>
      <c r="CD269" s="658"/>
      <c r="CE269" s="658"/>
      <c r="CF269" s="658"/>
      <c r="CG269" s="658"/>
      <c r="CH269" s="658"/>
      <c r="CI269" s="658"/>
      <c r="CJ269" s="658"/>
      <c r="CK269" s="658"/>
      <c r="CL269" s="658"/>
      <c r="CM269" s="658"/>
      <c r="CN269" s="658"/>
      <c r="CO269" s="658"/>
      <c r="CP269" s="658"/>
      <c r="CQ269" s="658"/>
      <c r="CR269" s="658"/>
      <c r="CS269" s="658"/>
      <c r="CT269" s="658"/>
      <c r="CU269" s="658"/>
      <c r="CV269" s="658"/>
      <c r="CW269" s="658"/>
      <c r="CX269" s="658"/>
      <c r="CY269" s="658"/>
      <c r="CZ269" s="658"/>
      <c r="DA269" s="658"/>
      <c r="DB269" s="658"/>
      <c r="DC269" s="658"/>
      <c r="DD269" s="658"/>
      <c r="DE269" s="658"/>
      <c r="DF269" s="658"/>
      <c r="DG269" s="658"/>
      <c r="DH269" s="658"/>
      <c r="DI269" s="658"/>
      <c r="DJ269" s="658"/>
      <c r="DK269" s="658"/>
      <c r="DL269" s="658"/>
      <c r="DM269" s="658"/>
      <c r="DN269" s="658"/>
      <c r="DO269" s="177">
        <f t="shared" ref="DO269:DO275" si="1733">IF(M269="",0,-XNPV(DP269,S269,S$267)*(1+DP269)^YEARFRAC($S$267,$DO$267,3))</f>
        <v>0</v>
      </c>
      <c r="DP269" s="612" t="e">
        <f t="shared" ref="DP269:DP275" si="1734">IF(HLOOKUP(L269,$C$275:$E$276,2,0)=0,1E-24%,HLOOKUP(L269,$C$275:$E$276,2,FALSE))</f>
        <v>#N/A</v>
      </c>
      <c r="DQ269" s="612" t="e">
        <f t="shared" si="1730"/>
        <v>#NUM!</v>
      </c>
      <c r="DR269" s="177"/>
      <c r="DS269" s="177"/>
      <c r="DT269" s="177"/>
      <c r="DU269" s="177"/>
      <c r="DV269" s="177"/>
      <c r="DW269" s="177"/>
      <c r="DX269" s="177"/>
      <c r="DY269" s="177"/>
      <c r="DZ269" s="177"/>
      <c r="EA269" s="613"/>
    </row>
    <row r="270" spans="1:131" ht="13.5">
      <c r="A270" s="652" t="str">
        <f t="shared" si="1726"/>
        <v>1좌당 금액</v>
      </c>
      <c r="B270" s="653" t="s">
        <v>353</v>
      </c>
      <c r="C270" s="783"/>
      <c r="D270" s="783"/>
      <c r="E270" s="783"/>
      <c r="F270" s="230"/>
      <c r="G270" s="230"/>
      <c r="I270" s="657">
        <f t="shared" si="1731"/>
        <v>0</v>
      </c>
      <c r="J270" s="606" t="str">
        <f t="shared" si="1732"/>
        <v>N/A</v>
      </c>
      <c r="K270" s="471"/>
      <c r="L270" s="607"/>
      <c r="M270" s="300"/>
      <c r="N270" s="608"/>
      <c r="O270" s="609">
        <f t="shared" si="1727"/>
        <v>0</v>
      </c>
      <c r="P270" s="609">
        <f t="shared" si="1728"/>
        <v>0</v>
      </c>
      <c r="Q270" s="609">
        <f t="shared" si="1729"/>
        <v>0</v>
      </c>
      <c r="R270" s="610" t="str">
        <f>IFERROR(Q270/Q276,"")</f>
        <v/>
      </c>
      <c r="S270" s="658"/>
      <c r="T270" s="658"/>
      <c r="U270" s="658"/>
      <c r="V270" s="658"/>
      <c r="W270" s="658"/>
      <c r="X270" s="658"/>
      <c r="Y270" s="658"/>
      <c r="Z270" s="658"/>
      <c r="AA270" s="658"/>
      <c r="AB270" s="658"/>
      <c r="AC270" s="658"/>
      <c r="AD270" s="658"/>
      <c r="AE270" s="658"/>
      <c r="AF270" s="658"/>
      <c r="AG270" s="658"/>
      <c r="AH270" s="658"/>
      <c r="AI270" s="658"/>
      <c r="AJ270" s="658"/>
      <c r="AK270" s="658"/>
      <c r="AL270" s="658"/>
      <c r="AM270" s="658"/>
      <c r="AN270" s="658"/>
      <c r="AO270" s="658"/>
      <c r="AP270" s="658"/>
      <c r="AQ270" s="658"/>
      <c r="AR270" s="658"/>
      <c r="AS270" s="658"/>
      <c r="AT270" s="658"/>
      <c r="AU270" s="658"/>
      <c r="AV270" s="658"/>
      <c r="AW270" s="658"/>
      <c r="AX270" s="658"/>
      <c r="AY270" s="658"/>
      <c r="AZ270" s="658"/>
      <c r="BA270" s="658"/>
      <c r="BB270" s="658"/>
      <c r="BC270" s="658"/>
      <c r="BD270" s="658"/>
      <c r="BE270" s="658"/>
      <c r="BF270" s="658"/>
      <c r="BG270" s="658"/>
      <c r="BH270" s="658"/>
      <c r="BI270" s="658"/>
      <c r="BJ270" s="658"/>
      <c r="BK270" s="658"/>
      <c r="BL270" s="658"/>
      <c r="BM270" s="658"/>
      <c r="BN270" s="658"/>
      <c r="BO270" s="658"/>
      <c r="BP270" s="658"/>
      <c r="BQ270" s="658"/>
      <c r="BR270" s="658"/>
      <c r="BS270" s="658"/>
      <c r="BT270" s="658"/>
      <c r="BU270" s="658"/>
      <c r="BV270" s="658"/>
      <c r="BW270" s="658"/>
      <c r="BX270" s="658"/>
      <c r="BY270" s="658"/>
      <c r="BZ270" s="658"/>
      <c r="CA270" s="658"/>
      <c r="CB270" s="658"/>
      <c r="CC270" s="658"/>
      <c r="CD270" s="658"/>
      <c r="CE270" s="658"/>
      <c r="CF270" s="658"/>
      <c r="CG270" s="658"/>
      <c r="CH270" s="658"/>
      <c r="CI270" s="658"/>
      <c r="CJ270" s="658"/>
      <c r="CK270" s="658"/>
      <c r="CL270" s="658"/>
      <c r="CM270" s="658"/>
      <c r="CN270" s="658"/>
      <c r="CO270" s="658"/>
      <c r="CP270" s="658"/>
      <c r="CQ270" s="658"/>
      <c r="CR270" s="658"/>
      <c r="CS270" s="658"/>
      <c r="CT270" s="658"/>
      <c r="CU270" s="658"/>
      <c r="CV270" s="658"/>
      <c r="CW270" s="658"/>
      <c r="CX270" s="658"/>
      <c r="CY270" s="658"/>
      <c r="CZ270" s="658"/>
      <c r="DA270" s="658"/>
      <c r="DB270" s="658"/>
      <c r="DC270" s="658"/>
      <c r="DD270" s="658"/>
      <c r="DE270" s="658"/>
      <c r="DF270" s="658"/>
      <c r="DG270" s="658"/>
      <c r="DH270" s="658"/>
      <c r="DI270" s="658"/>
      <c r="DJ270" s="658"/>
      <c r="DK270" s="658"/>
      <c r="DL270" s="658"/>
      <c r="DM270" s="658"/>
      <c r="DN270" s="658"/>
      <c r="DO270" s="177">
        <f t="shared" si="1733"/>
        <v>0</v>
      </c>
      <c r="DP270" s="612" t="e">
        <f t="shared" si="1734"/>
        <v>#N/A</v>
      </c>
      <c r="DQ270" s="612" t="e">
        <f t="shared" si="1730"/>
        <v>#NUM!</v>
      </c>
      <c r="DR270" s="177"/>
      <c r="DS270" s="177"/>
      <c r="DT270" s="177"/>
      <c r="DU270" s="177"/>
      <c r="DV270" s="177"/>
      <c r="DW270" s="177"/>
      <c r="DX270" s="177"/>
      <c r="DY270" s="177"/>
      <c r="DZ270" s="177"/>
      <c r="EA270" s="613"/>
    </row>
    <row r="271" spans="1:131" ht="13.5">
      <c r="A271" s="652" t="str">
        <f t="shared" si="1726"/>
        <v>기준수익률</v>
      </c>
      <c r="B271" s="653" t="s">
        <v>354</v>
      </c>
      <c r="C271" s="784"/>
      <c r="D271" s="785"/>
      <c r="E271" s="785"/>
      <c r="F271" s="230"/>
      <c r="G271" s="230"/>
      <c r="I271" s="657">
        <f t="shared" si="1731"/>
        <v>0</v>
      </c>
      <c r="J271" s="606" t="str">
        <f t="shared" si="1732"/>
        <v>N/A</v>
      </c>
      <c r="K271" s="471"/>
      <c r="L271" s="607"/>
      <c r="M271" s="300"/>
      <c r="N271" s="608"/>
      <c r="O271" s="609">
        <f t="shared" si="1727"/>
        <v>0</v>
      </c>
      <c r="P271" s="609">
        <f t="shared" si="1728"/>
        <v>0</v>
      </c>
      <c r="Q271" s="609">
        <f t="shared" si="1729"/>
        <v>0</v>
      </c>
      <c r="R271" s="610" t="str">
        <f>IFERROR(Q271/Q276,"")</f>
        <v/>
      </c>
      <c r="S271" s="658"/>
      <c r="T271" s="658"/>
      <c r="U271" s="658"/>
      <c r="V271" s="658"/>
      <c r="W271" s="658"/>
      <c r="X271" s="658"/>
      <c r="Y271" s="658"/>
      <c r="Z271" s="658"/>
      <c r="AA271" s="658"/>
      <c r="AB271" s="658"/>
      <c r="AC271" s="658"/>
      <c r="AD271" s="658"/>
      <c r="AE271" s="658"/>
      <c r="AF271" s="658"/>
      <c r="AG271" s="658"/>
      <c r="AH271" s="658"/>
      <c r="AI271" s="658"/>
      <c r="AJ271" s="658"/>
      <c r="AK271" s="658"/>
      <c r="AL271" s="658"/>
      <c r="AM271" s="658"/>
      <c r="AN271" s="658"/>
      <c r="AO271" s="658"/>
      <c r="AP271" s="658"/>
      <c r="AQ271" s="658"/>
      <c r="AR271" s="658"/>
      <c r="AS271" s="658"/>
      <c r="AT271" s="658"/>
      <c r="AU271" s="658"/>
      <c r="AV271" s="658"/>
      <c r="AW271" s="658"/>
      <c r="AX271" s="658"/>
      <c r="AY271" s="658"/>
      <c r="AZ271" s="658"/>
      <c r="BA271" s="658"/>
      <c r="BB271" s="658"/>
      <c r="BC271" s="658"/>
      <c r="BD271" s="658"/>
      <c r="BE271" s="658"/>
      <c r="BF271" s="658"/>
      <c r="BG271" s="658"/>
      <c r="BH271" s="658"/>
      <c r="BI271" s="658"/>
      <c r="BJ271" s="658"/>
      <c r="BK271" s="658"/>
      <c r="BL271" s="658"/>
      <c r="BM271" s="658"/>
      <c r="BN271" s="658"/>
      <c r="BO271" s="658"/>
      <c r="BP271" s="658"/>
      <c r="BQ271" s="658"/>
      <c r="BR271" s="658"/>
      <c r="BS271" s="658"/>
      <c r="BT271" s="658"/>
      <c r="BU271" s="658"/>
      <c r="BV271" s="658"/>
      <c r="BW271" s="658"/>
      <c r="BX271" s="658"/>
      <c r="BY271" s="658"/>
      <c r="BZ271" s="658"/>
      <c r="CA271" s="658"/>
      <c r="CB271" s="658"/>
      <c r="CC271" s="658"/>
      <c r="CD271" s="658"/>
      <c r="CE271" s="658"/>
      <c r="CF271" s="658"/>
      <c r="CG271" s="658"/>
      <c r="CH271" s="658"/>
      <c r="CI271" s="658"/>
      <c r="CJ271" s="658"/>
      <c r="CK271" s="658"/>
      <c r="CL271" s="658"/>
      <c r="CM271" s="658"/>
      <c r="CN271" s="658"/>
      <c r="CO271" s="658"/>
      <c r="CP271" s="658"/>
      <c r="CQ271" s="658"/>
      <c r="CR271" s="658"/>
      <c r="CS271" s="658"/>
      <c r="CT271" s="658"/>
      <c r="CU271" s="658"/>
      <c r="CV271" s="658"/>
      <c r="CW271" s="658"/>
      <c r="CX271" s="658"/>
      <c r="CY271" s="658"/>
      <c r="CZ271" s="658"/>
      <c r="DA271" s="658"/>
      <c r="DB271" s="658"/>
      <c r="DC271" s="658"/>
      <c r="DD271" s="658"/>
      <c r="DE271" s="658"/>
      <c r="DF271" s="658"/>
      <c r="DG271" s="658"/>
      <c r="DH271" s="658"/>
      <c r="DI271" s="658"/>
      <c r="DJ271" s="658"/>
      <c r="DK271" s="658"/>
      <c r="DL271" s="658"/>
      <c r="DM271" s="658"/>
      <c r="DN271" s="658"/>
      <c r="DO271" s="177">
        <f t="shared" si="1733"/>
        <v>0</v>
      </c>
      <c r="DP271" s="612" t="e">
        <f t="shared" si="1734"/>
        <v>#N/A</v>
      </c>
      <c r="DQ271" s="612" t="e">
        <f t="shared" si="1730"/>
        <v>#NUM!</v>
      </c>
      <c r="DR271" s="177"/>
      <c r="DS271" s="177"/>
      <c r="DT271" s="177"/>
      <c r="DU271" s="177"/>
      <c r="DV271" s="177"/>
      <c r="DW271" s="177"/>
      <c r="DX271" s="177"/>
      <c r="DY271" s="177"/>
      <c r="DZ271" s="177"/>
      <c r="EA271" s="613"/>
    </row>
    <row r="272" spans="1:131" ht="13.5">
      <c r="A272" s="652" t="str">
        <f t="shared" si="1726"/>
        <v>평가방법론</v>
      </c>
      <c r="B272" s="653" t="s">
        <v>7</v>
      </c>
      <c r="C272" s="786"/>
      <c r="D272" s="786"/>
      <c r="E272" s="786"/>
      <c r="F272" s="230"/>
      <c r="G272" s="230"/>
      <c r="I272" s="657">
        <f t="shared" si="1731"/>
        <v>0</v>
      </c>
      <c r="J272" s="606" t="str">
        <f t="shared" si="1732"/>
        <v>N/A</v>
      </c>
      <c r="K272" s="471"/>
      <c r="L272" s="607"/>
      <c r="M272" s="300"/>
      <c r="N272" s="608"/>
      <c r="O272" s="609">
        <f t="shared" si="1727"/>
        <v>0</v>
      </c>
      <c r="P272" s="609">
        <f t="shared" si="1728"/>
        <v>0</v>
      </c>
      <c r="Q272" s="609">
        <f t="shared" si="1729"/>
        <v>0</v>
      </c>
      <c r="R272" s="610" t="str">
        <f>IFERROR(Q272/Q276,"")</f>
        <v/>
      </c>
      <c r="S272" s="658"/>
      <c r="T272" s="658"/>
      <c r="U272" s="658"/>
      <c r="V272" s="658"/>
      <c r="W272" s="658"/>
      <c r="X272" s="658"/>
      <c r="Y272" s="658"/>
      <c r="Z272" s="658"/>
      <c r="AA272" s="658"/>
      <c r="AB272" s="658"/>
      <c r="AC272" s="658"/>
      <c r="AD272" s="658"/>
      <c r="AE272" s="658"/>
      <c r="AF272" s="658"/>
      <c r="AG272" s="658"/>
      <c r="AH272" s="658"/>
      <c r="AI272" s="658"/>
      <c r="AJ272" s="658"/>
      <c r="AK272" s="658"/>
      <c r="AL272" s="658"/>
      <c r="AM272" s="658"/>
      <c r="AN272" s="658"/>
      <c r="AO272" s="658"/>
      <c r="AP272" s="658"/>
      <c r="AQ272" s="658"/>
      <c r="AR272" s="658"/>
      <c r="AS272" s="658"/>
      <c r="AT272" s="658"/>
      <c r="AU272" s="658"/>
      <c r="AV272" s="658"/>
      <c r="AW272" s="658"/>
      <c r="AX272" s="658"/>
      <c r="AY272" s="658"/>
      <c r="AZ272" s="658"/>
      <c r="BA272" s="658"/>
      <c r="BB272" s="658"/>
      <c r="BC272" s="658"/>
      <c r="BD272" s="658"/>
      <c r="BE272" s="658"/>
      <c r="BF272" s="658"/>
      <c r="BG272" s="658"/>
      <c r="BH272" s="658"/>
      <c r="BI272" s="658"/>
      <c r="BJ272" s="658"/>
      <c r="BK272" s="658"/>
      <c r="BL272" s="658"/>
      <c r="BM272" s="658"/>
      <c r="BN272" s="658"/>
      <c r="BO272" s="658"/>
      <c r="BP272" s="658"/>
      <c r="BQ272" s="658"/>
      <c r="BR272" s="658"/>
      <c r="BS272" s="658"/>
      <c r="BT272" s="658"/>
      <c r="BU272" s="658"/>
      <c r="BV272" s="658"/>
      <c r="BW272" s="658"/>
      <c r="BX272" s="658"/>
      <c r="BY272" s="658"/>
      <c r="BZ272" s="658"/>
      <c r="CA272" s="658"/>
      <c r="CB272" s="658"/>
      <c r="CC272" s="658"/>
      <c r="CD272" s="658"/>
      <c r="CE272" s="658"/>
      <c r="CF272" s="658"/>
      <c r="CG272" s="658"/>
      <c r="CH272" s="658"/>
      <c r="CI272" s="658"/>
      <c r="CJ272" s="658"/>
      <c r="CK272" s="658"/>
      <c r="CL272" s="658"/>
      <c r="CM272" s="658"/>
      <c r="CN272" s="658"/>
      <c r="CO272" s="658"/>
      <c r="CP272" s="658"/>
      <c r="CQ272" s="658"/>
      <c r="CR272" s="658"/>
      <c r="CS272" s="658"/>
      <c r="CT272" s="658"/>
      <c r="CU272" s="658"/>
      <c r="CV272" s="658"/>
      <c r="CW272" s="658"/>
      <c r="CX272" s="658"/>
      <c r="CY272" s="658"/>
      <c r="CZ272" s="658"/>
      <c r="DA272" s="658"/>
      <c r="DB272" s="658"/>
      <c r="DC272" s="658"/>
      <c r="DD272" s="658"/>
      <c r="DE272" s="658"/>
      <c r="DF272" s="658"/>
      <c r="DG272" s="658"/>
      <c r="DH272" s="658"/>
      <c r="DI272" s="658"/>
      <c r="DJ272" s="658"/>
      <c r="DK272" s="658"/>
      <c r="DL272" s="658"/>
      <c r="DM272" s="658"/>
      <c r="DN272" s="658"/>
      <c r="DO272" s="177">
        <f t="shared" si="1733"/>
        <v>0</v>
      </c>
      <c r="DP272" s="612" t="e">
        <f t="shared" si="1734"/>
        <v>#N/A</v>
      </c>
      <c r="DQ272" s="612" t="e">
        <f t="shared" si="1730"/>
        <v>#NUM!</v>
      </c>
      <c r="DR272" s="177"/>
      <c r="DS272" s="177"/>
      <c r="DT272" s="177"/>
      <c r="DU272" s="177"/>
      <c r="DV272" s="177"/>
      <c r="DW272" s="177"/>
      <c r="DX272" s="177"/>
      <c r="DY272" s="177"/>
      <c r="DZ272" s="177"/>
      <c r="EA272" s="613"/>
    </row>
    <row r="273" spans="1:131" ht="13.5">
      <c r="A273" s="652" t="str">
        <f t="shared" si="1726"/>
        <v>분배 조항 여부</v>
      </c>
      <c r="B273" s="653" t="s">
        <v>355</v>
      </c>
      <c r="C273" s="786"/>
      <c r="D273" s="786"/>
      <c r="E273" s="786"/>
      <c r="F273" s="230"/>
      <c r="G273" s="230"/>
      <c r="I273" s="657">
        <f t="shared" si="1731"/>
        <v>0</v>
      </c>
      <c r="J273" s="606" t="str">
        <f t="shared" si="1732"/>
        <v>N/A</v>
      </c>
      <c r="K273" s="471"/>
      <c r="L273" s="607"/>
      <c r="M273" s="300"/>
      <c r="N273" s="608"/>
      <c r="O273" s="609">
        <f t="shared" si="1727"/>
        <v>0</v>
      </c>
      <c r="P273" s="609">
        <f t="shared" si="1728"/>
        <v>0</v>
      </c>
      <c r="Q273" s="609">
        <f t="shared" si="1729"/>
        <v>0</v>
      </c>
      <c r="R273" s="610" t="str">
        <f>IFERROR(Q273/Q276,"")</f>
        <v/>
      </c>
      <c r="S273" s="658"/>
      <c r="T273" s="658"/>
      <c r="U273" s="658"/>
      <c r="V273" s="658"/>
      <c r="W273" s="658"/>
      <c r="X273" s="658"/>
      <c r="Y273" s="658"/>
      <c r="Z273" s="658"/>
      <c r="AA273" s="658"/>
      <c r="AB273" s="658"/>
      <c r="AC273" s="658"/>
      <c r="AD273" s="658"/>
      <c r="AE273" s="658"/>
      <c r="AF273" s="658"/>
      <c r="AG273" s="658"/>
      <c r="AH273" s="658"/>
      <c r="AI273" s="658"/>
      <c r="AJ273" s="658"/>
      <c r="AK273" s="658"/>
      <c r="AL273" s="658"/>
      <c r="AM273" s="658"/>
      <c r="AN273" s="658"/>
      <c r="AO273" s="658"/>
      <c r="AP273" s="658"/>
      <c r="AQ273" s="658"/>
      <c r="AR273" s="658"/>
      <c r="AS273" s="658"/>
      <c r="AT273" s="658"/>
      <c r="AU273" s="658"/>
      <c r="AV273" s="658"/>
      <c r="AW273" s="658"/>
      <c r="AX273" s="658"/>
      <c r="AY273" s="658"/>
      <c r="AZ273" s="658"/>
      <c r="BA273" s="658"/>
      <c r="BB273" s="658"/>
      <c r="BC273" s="658"/>
      <c r="BD273" s="658"/>
      <c r="BE273" s="658"/>
      <c r="BF273" s="658"/>
      <c r="BG273" s="658"/>
      <c r="BH273" s="658"/>
      <c r="BI273" s="658"/>
      <c r="BJ273" s="658"/>
      <c r="BK273" s="658"/>
      <c r="BL273" s="658"/>
      <c r="BM273" s="658"/>
      <c r="BN273" s="658"/>
      <c r="BO273" s="658"/>
      <c r="BP273" s="658"/>
      <c r="BQ273" s="658"/>
      <c r="BR273" s="658"/>
      <c r="BS273" s="658"/>
      <c r="BT273" s="658"/>
      <c r="BU273" s="658"/>
      <c r="BV273" s="658"/>
      <c r="BW273" s="658"/>
      <c r="BX273" s="658"/>
      <c r="BY273" s="658"/>
      <c r="BZ273" s="658"/>
      <c r="CA273" s="658"/>
      <c r="CB273" s="658"/>
      <c r="CC273" s="658"/>
      <c r="CD273" s="658"/>
      <c r="CE273" s="658"/>
      <c r="CF273" s="658"/>
      <c r="CG273" s="658"/>
      <c r="CH273" s="658"/>
      <c r="CI273" s="658"/>
      <c r="CJ273" s="658"/>
      <c r="CK273" s="658"/>
      <c r="CL273" s="658"/>
      <c r="CM273" s="658"/>
      <c r="CN273" s="658"/>
      <c r="CO273" s="658"/>
      <c r="CP273" s="658"/>
      <c r="CQ273" s="658"/>
      <c r="CR273" s="658"/>
      <c r="CS273" s="658"/>
      <c r="CT273" s="658"/>
      <c r="CU273" s="658"/>
      <c r="CV273" s="658"/>
      <c r="CW273" s="658"/>
      <c r="CX273" s="658"/>
      <c r="CY273" s="658"/>
      <c r="CZ273" s="658"/>
      <c r="DA273" s="658"/>
      <c r="DB273" s="658"/>
      <c r="DC273" s="658"/>
      <c r="DD273" s="658"/>
      <c r="DE273" s="658"/>
      <c r="DF273" s="658"/>
      <c r="DG273" s="658"/>
      <c r="DH273" s="658"/>
      <c r="DI273" s="658"/>
      <c r="DJ273" s="658"/>
      <c r="DK273" s="658"/>
      <c r="DL273" s="658"/>
      <c r="DM273" s="658"/>
      <c r="DN273" s="658"/>
      <c r="DO273" s="177">
        <f t="shared" si="1733"/>
        <v>0</v>
      </c>
      <c r="DP273" s="612" t="e">
        <f t="shared" si="1734"/>
        <v>#N/A</v>
      </c>
      <c r="DQ273" s="612" t="e">
        <f t="shared" si="1730"/>
        <v>#NUM!</v>
      </c>
      <c r="DR273" s="177"/>
      <c r="DS273" s="177"/>
      <c r="DT273" s="177"/>
      <c r="DU273" s="177"/>
      <c r="DV273" s="177"/>
      <c r="DW273" s="177"/>
      <c r="DX273" s="177"/>
      <c r="DY273" s="177"/>
      <c r="DZ273" s="177"/>
      <c r="EA273" s="613"/>
    </row>
    <row r="274" spans="1:131" ht="14.25" thickBot="1">
      <c r="A274" s="652" t="str">
        <f t="shared" si="1726"/>
        <v>모펀드 출자 지분율</v>
      </c>
      <c r="B274" s="660" t="s">
        <v>356</v>
      </c>
      <c r="C274" s="787"/>
      <c r="D274" s="787"/>
      <c r="E274" s="787"/>
      <c r="F274" s="230"/>
      <c r="G274" s="230"/>
      <c r="I274" s="657">
        <f t="shared" si="1731"/>
        <v>0</v>
      </c>
      <c r="J274" s="606" t="str">
        <f t="shared" si="1732"/>
        <v>N/A</v>
      </c>
      <c r="K274" s="471"/>
      <c r="L274" s="607"/>
      <c r="M274" s="300"/>
      <c r="N274" s="608"/>
      <c r="O274" s="609">
        <f t="shared" si="1727"/>
        <v>0</v>
      </c>
      <c r="P274" s="609">
        <f t="shared" si="1728"/>
        <v>0</v>
      </c>
      <c r="Q274" s="609">
        <f t="shared" si="1729"/>
        <v>0</v>
      </c>
      <c r="R274" s="610" t="str">
        <f>IFERROR(Q274/Q276,"")</f>
        <v/>
      </c>
      <c r="S274" s="658"/>
      <c r="T274" s="658"/>
      <c r="U274" s="658"/>
      <c r="V274" s="658"/>
      <c r="W274" s="658"/>
      <c r="X274" s="658"/>
      <c r="Y274" s="658"/>
      <c r="Z274" s="658"/>
      <c r="AA274" s="658"/>
      <c r="AB274" s="658"/>
      <c r="AC274" s="658"/>
      <c r="AD274" s="658"/>
      <c r="AE274" s="658"/>
      <c r="AF274" s="658"/>
      <c r="AG274" s="658"/>
      <c r="AH274" s="658"/>
      <c r="AI274" s="658"/>
      <c r="AJ274" s="658"/>
      <c r="AK274" s="658"/>
      <c r="AL274" s="658"/>
      <c r="AM274" s="658"/>
      <c r="AN274" s="658"/>
      <c r="AO274" s="658"/>
      <c r="AP274" s="658"/>
      <c r="AQ274" s="658"/>
      <c r="AR274" s="658"/>
      <c r="AS274" s="658"/>
      <c r="AT274" s="658"/>
      <c r="AU274" s="658"/>
      <c r="AV274" s="658"/>
      <c r="AW274" s="658"/>
      <c r="AX274" s="658"/>
      <c r="AY274" s="658"/>
      <c r="AZ274" s="658"/>
      <c r="BA274" s="658"/>
      <c r="BB274" s="658"/>
      <c r="BC274" s="658"/>
      <c r="BD274" s="658"/>
      <c r="BE274" s="658"/>
      <c r="BF274" s="658"/>
      <c r="BG274" s="658"/>
      <c r="BH274" s="658"/>
      <c r="BI274" s="658"/>
      <c r="BJ274" s="658"/>
      <c r="BK274" s="658"/>
      <c r="BL274" s="658"/>
      <c r="BM274" s="658"/>
      <c r="BN274" s="658"/>
      <c r="BO274" s="658"/>
      <c r="BP274" s="658"/>
      <c r="BQ274" s="658"/>
      <c r="BR274" s="658"/>
      <c r="BS274" s="658"/>
      <c r="BT274" s="658"/>
      <c r="BU274" s="658"/>
      <c r="BV274" s="658"/>
      <c r="BW274" s="658"/>
      <c r="BX274" s="658"/>
      <c r="BY274" s="658"/>
      <c r="BZ274" s="658"/>
      <c r="CA274" s="658"/>
      <c r="CB274" s="658"/>
      <c r="CC274" s="658"/>
      <c r="CD274" s="658"/>
      <c r="CE274" s="658"/>
      <c r="CF274" s="658"/>
      <c r="CG274" s="658"/>
      <c r="CH274" s="658"/>
      <c r="CI274" s="658"/>
      <c r="CJ274" s="658"/>
      <c r="CK274" s="658"/>
      <c r="CL274" s="658"/>
      <c r="CM274" s="658"/>
      <c r="CN274" s="658"/>
      <c r="CO274" s="658"/>
      <c r="CP274" s="658"/>
      <c r="CQ274" s="658"/>
      <c r="CR274" s="658"/>
      <c r="CS274" s="658"/>
      <c r="CT274" s="658"/>
      <c r="CU274" s="658"/>
      <c r="CV274" s="658"/>
      <c r="CW274" s="658"/>
      <c r="CX274" s="658"/>
      <c r="CY274" s="658"/>
      <c r="CZ274" s="658"/>
      <c r="DA274" s="658"/>
      <c r="DB274" s="658"/>
      <c r="DC274" s="658"/>
      <c r="DD274" s="658"/>
      <c r="DE274" s="658"/>
      <c r="DF274" s="658"/>
      <c r="DG274" s="658"/>
      <c r="DH274" s="658"/>
      <c r="DI274" s="658"/>
      <c r="DJ274" s="658"/>
      <c r="DK274" s="658"/>
      <c r="DL274" s="658"/>
      <c r="DM274" s="658"/>
      <c r="DN274" s="658"/>
      <c r="DO274" s="177">
        <f t="shared" si="1733"/>
        <v>0</v>
      </c>
      <c r="DP274" s="612" t="e">
        <f t="shared" si="1734"/>
        <v>#N/A</v>
      </c>
      <c r="DQ274" s="612" t="e">
        <f t="shared" si="1730"/>
        <v>#NUM!</v>
      </c>
      <c r="DR274" s="177"/>
      <c r="DS274" s="177"/>
      <c r="DT274" s="177"/>
      <c r="DU274" s="177"/>
      <c r="DV274" s="177"/>
      <c r="DW274" s="177"/>
      <c r="DX274" s="177"/>
      <c r="DY274" s="177"/>
      <c r="DZ274" s="177"/>
      <c r="EA274" s="613"/>
    </row>
    <row r="275" spans="1:131" ht="14.25" thickBot="1">
      <c r="B275" s="778" t="s">
        <v>3404</v>
      </c>
      <c r="C275" s="616" t="s">
        <v>223</v>
      </c>
      <c r="D275" s="616" t="s">
        <v>224</v>
      </c>
      <c r="E275" s="616" t="s">
        <v>225</v>
      </c>
      <c r="F275" s="230"/>
      <c r="G275" s="230"/>
      <c r="I275" s="657">
        <f t="shared" si="1731"/>
        <v>0</v>
      </c>
      <c r="J275" s="606" t="str">
        <f t="shared" si="1732"/>
        <v>N/A</v>
      </c>
      <c r="K275" s="471"/>
      <c r="L275" s="607"/>
      <c r="M275" s="300"/>
      <c r="N275" s="608"/>
      <c r="O275" s="609">
        <f t="shared" si="1727"/>
        <v>0</v>
      </c>
      <c r="P275" s="609">
        <f t="shared" si="1728"/>
        <v>0</v>
      </c>
      <c r="Q275" s="609">
        <f t="shared" si="1729"/>
        <v>0</v>
      </c>
      <c r="R275" s="610" t="str">
        <f>IFERROR(Q275/Q276,"")</f>
        <v/>
      </c>
      <c r="S275" s="658"/>
      <c r="T275" s="658"/>
      <c r="U275" s="658"/>
      <c r="V275" s="658"/>
      <c r="W275" s="658"/>
      <c r="X275" s="658"/>
      <c r="Y275" s="658"/>
      <c r="Z275" s="658"/>
      <c r="AA275" s="658"/>
      <c r="AB275" s="658"/>
      <c r="AC275" s="658"/>
      <c r="AD275" s="658"/>
      <c r="AE275" s="658"/>
      <c r="AF275" s="658"/>
      <c r="AG275" s="658"/>
      <c r="AH275" s="658"/>
      <c r="AI275" s="658"/>
      <c r="AJ275" s="658"/>
      <c r="AK275" s="658"/>
      <c r="AL275" s="658"/>
      <c r="AM275" s="658"/>
      <c r="AN275" s="658"/>
      <c r="AO275" s="658"/>
      <c r="AP275" s="658"/>
      <c r="AQ275" s="658"/>
      <c r="AR275" s="658"/>
      <c r="AS275" s="658"/>
      <c r="AT275" s="658"/>
      <c r="AU275" s="658"/>
      <c r="AV275" s="658"/>
      <c r="AW275" s="658"/>
      <c r="AX275" s="658"/>
      <c r="AY275" s="658"/>
      <c r="AZ275" s="658"/>
      <c r="BA275" s="658"/>
      <c r="BB275" s="658"/>
      <c r="BC275" s="658"/>
      <c r="BD275" s="658"/>
      <c r="BE275" s="658"/>
      <c r="BF275" s="658"/>
      <c r="BG275" s="658"/>
      <c r="BH275" s="658"/>
      <c r="BI275" s="658"/>
      <c r="BJ275" s="658"/>
      <c r="BK275" s="658"/>
      <c r="BL275" s="658"/>
      <c r="BM275" s="658"/>
      <c r="BN275" s="658"/>
      <c r="BO275" s="658"/>
      <c r="BP275" s="658"/>
      <c r="BQ275" s="658"/>
      <c r="BR275" s="658"/>
      <c r="BS275" s="658"/>
      <c r="BT275" s="658"/>
      <c r="BU275" s="658"/>
      <c r="BV275" s="658"/>
      <c r="BW275" s="658"/>
      <c r="BX275" s="658"/>
      <c r="BY275" s="658"/>
      <c r="BZ275" s="658"/>
      <c r="CA275" s="658"/>
      <c r="CB275" s="658"/>
      <c r="CC275" s="658"/>
      <c r="CD275" s="658"/>
      <c r="CE275" s="658"/>
      <c r="CF275" s="658"/>
      <c r="CG275" s="658"/>
      <c r="CH275" s="658"/>
      <c r="CI275" s="658"/>
      <c r="CJ275" s="658"/>
      <c r="CK275" s="658"/>
      <c r="CL275" s="658"/>
      <c r="CM275" s="658"/>
      <c r="CN275" s="658"/>
      <c r="CO275" s="658"/>
      <c r="CP275" s="658"/>
      <c r="CQ275" s="658"/>
      <c r="CR275" s="658"/>
      <c r="CS275" s="658"/>
      <c r="CT275" s="658"/>
      <c r="CU275" s="658"/>
      <c r="CV275" s="658"/>
      <c r="CW275" s="658"/>
      <c r="CX275" s="658"/>
      <c r="CY275" s="658"/>
      <c r="CZ275" s="658"/>
      <c r="DA275" s="658"/>
      <c r="DB275" s="658"/>
      <c r="DC275" s="658"/>
      <c r="DD275" s="658"/>
      <c r="DE275" s="658"/>
      <c r="DF275" s="658"/>
      <c r="DG275" s="658"/>
      <c r="DH275" s="658"/>
      <c r="DI275" s="658"/>
      <c r="DJ275" s="658"/>
      <c r="DK275" s="658"/>
      <c r="DL275" s="658"/>
      <c r="DM275" s="658"/>
      <c r="DN275" s="658"/>
      <c r="DO275" s="177">
        <f t="shared" si="1733"/>
        <v>0</v>
      </c>
      <c r="DP275" s="612" t="e">
        <f t="shared" si="1734"/>
        <v>#N/A</v>
      </c>
      <c r="DQ275" s="612" t="e">
        <f t="shared" si="1730"/>
        <v>#NUM!</v>
      </c>
      <c r="DR275" s="177"/>
      <c r="DS275" s="177"/>
      <c r="DT275" s="177"/>
      <c r="DU275" s="177"/>
      <c r="DV275" s="177"/>
      <c r="DW275" s="177"/>
      <c r="DX275" s="177"/>
      <c r="DY275" s="177"/>
      <c r="DZ275" s="177"/>
      <c r="EA275" s="613"/>
    </row>
    <row r="276" spans="1:131" ht="14.25" thickBot="1">
      <c r="A276" s="317"/>
      <c r="B276" s="779"/>
      <c r="C276" s="661"/>
      <c r="D276" s="661"/>
      <c r="E276" s="661"/>
      <c r="F276" s="662"/>
      <c r="G276" s="662"/>
      <c r="H276" s="317"/>
      <c r="I276" s="634">
        <f>SUM(I268:I275)</f>
        <v>0</v>
      </c>
      <c r="J276" s="663"/>
      <c r="K276" s="664"/>
      <c r="L276" s="664"/>
      <c r="M276" s="664"/>
      <c r="N276" s="634">
        <f t="shared" ref="N276:R276" si="1735">SUM(N268:N275)</f>
        <v>0</v>
      </c>
      <c r="O276" s="634">
        <f t="shared" si="1735"/>
        <v>0</v>
      </c>
      <c r="P276" s="634">
        <f t="shared" si="1735"/>
        <v>0</v>
      </c>
      <c r="Q276" s="634">
        <f t="shared" si="1735"/>
        <v>0</v>
      </c>
      <c r="R276" s="665">
        <f t="shared" si="1735"/>
        <v>0</v>
      </c>
      <c r="S276" s="634">
        <f>SUM(S268:S275)</f>
        <v>0</v>
      </c>
      <c r="T276" s="634">
        <f t="shared" ref="T276" si="1736">SUM(T268:T275)</f>
        <v>0</v>
      </c>
      <c r="U276" s="634">
        <f t="shared" ref="U276" si="1737">SUM(U268:U275)</f>
        <v>0</v>
      </c>
      <c r="V276" s="634">
        <f t="shared" ref="V276" si="1738">SUM(V268:V275)</f>
        <v>0</v>
      </c>
      <c r="W276" s="634">
        <f t="shared" ref="W276" si="1739">SUM(W268:W275)</f>
        <v>0</v>
      </c>
      <c r="X276" s="634">
        <f t="shared" ref="X276" si="1740">SUM(X268:X275)</f>
        <v>0</v>
      </c>
      <c r="Y276" s="634">
        <f t="shared" ref="Y276" si="1741">SUM(Y268:Y275)</f>
        <v>0</v>
      </c>
      <c r="Z276" s="634">
        <f t="shared" ref="Z276" si="1742">SUM(Z268:Z275)</f>
        <v>0</v>
      </c>
      <c r="AA276" s="634">
        <f t="shared" ref="AA276" si="1743">SUM(AA268:AA275)</f>
        <v>0</v>
      </c>
      <c r="AB276" s="634">
        <f t="shared" ref="AB276" si="1744">SUM(AB268:AB275)</f>
        <v>0</v>
      </c>
      <c r="AC276" s="634">
        <f t="shared" ref="AC276" si="1745">SUM(AC268:AC275)</f>
        <v>0</v>
      </c>
      <c r="AD276" s="634">
        <f t="shared" ref="AD276" si="1746">SUM(AD268:AD275)</f>
        <v>0</v>
      </c>
      <c r="AE276" s="634">
        <f t="shared" ref="AE276" si="1747">SUM(AE268:AE275)</f>
        <v>0</v>
      </c>
      <c r="AF276" s="634">
        <f t="shared" ref="AF276" si="1748">SUM(AF268:AF275)</f>
        <v>0</v>
      </c>
      <c r="AG276" s="634">
        <f t="shared" ref="AG276" si="1749">SUM(AG268:AG275)</f>
        <v>0</v>
      </c>
      <c r="AH276" s="634">
        <f t="shared" ref="AH276" si="1750">SUM(AH268:AH275)</f>
        <v>0</v>
      </c>
      <c r="AI276" s="634">
        <f t="shared" ref="AI276" si="1751">SUM(AI268:AI275)</f>
        <v>0</v>
      </c>
      <c r="AJ276" s="634">
        <f t="shared" ref="AJ276" si="1752">SUM(AJ268:AJ275)</f>
        <v>0</v>
      </c>
      <c r="AK276" s="634">
        <f t="shared" ref="AK276" si="1753">SUM(AK268:AK275)</f>
        <v>0</v>
      </c>
      <c r="AL276" s="634">
        <f t="shared" ref="AL276" si="1754">SUM(AL268:AL275)</f>
        <v>0</v>
      </c>
      <c r="AM276" s="634">
        <f t="shared" ref="AM276" si="1755">SUM(AM268:AM275)</f>
        <v>0</v>
      </c>
      <c r="AN276" s="634">
        <f t="shared" ref="AN276" si="1756">SUM(AN268:AN275)</f>
        <v>0</v>
      </c>
      <c r="AO276" s="634">
        <f t="shared" ref="AO276" si="1757">SUM(AO268:AO275)</f>
        <v>0</v>
      </c>
      <c r="AP276" s="634">
        <f t="shared" ref="AP276" si="1758">SUM(AP268:AP275)</f>
        <v>0</v>
      </c>
      <c r="AQ276" s="634">
        <f t="shared" ref="AQ276" si="1759">SUM(AQ268:AQ275)</f>
        <v>0</v>
      </c>
      <c r="AR276" s="634">
        <f t="shared" ref="AR276" si="1760">SUM(AR268:AR275)</f>
        <v>0</v>
      </c>
      <c r="AS276" s="634">
        <f t="shared" ref="AS276" si="1761">SUM(AS268:AS275)</f>
        <v>0</v>
      </c>
      <c r="AT276" s="634">
        <f t="shared" ref="AT276" si="1762">SUM(AT268:AT275)</f>
        <v>0</v>
      </c>
      <c r="AU276" s="634">
        <f t="shared" ref="AU276" si="1763">SUM(AU268:AU275)</f>
        <v>0</v>
      </c>
      <c r="AV276" s="634">
        <f t="shared" ref="AV276" si="1764">SUM(AV268:AV275)</f>
        <v>0</v>
      </c>
      <c r="AW276" s="634">
        <f t="shared" ref="AW276" si="1765">SUM(AW268:AW275)</f>
        <v>0</v>
      </c>
      <c r="AX276" s="634">
        <f t="shared" ref="AX276" si="1766">SUM(AX268:AX275)</f>
        <v>0</v>
      </c>
      <c r="AY276" s="634">
        <f t="shared" ref="AY276" si="1767">SUM(AY268:AY275)</f>
        <v>0</v>
      </c>
      <c r="AZ276" s="634">
        <f t="shared" ref="AZ276" si="1768">SUM(AZ268:AZ275)</f>
        <v>0</v>
      </c>
      <c r="BA276" s="634">
        <f t="shared" ref="BA276" si="1769">SUM(BA268:BA275)</f>
        <v>0</v>
      </c>
      <c r="BB276" s="634">
        <f t="shared" ref="BB276" si="1770">SUM(BB268:BB275)</f>
        <v>0</v>
      </c>
      <c r="BC276" s="634">
        <f t="shared" ref="BC276" si="1771">SUM(BC268:BC275)</f>
        <v>0</v>
      </c>
      <c r="BD276" s="634">
        <f t="shared" ref="BD276" si="1772">SUM(BD268:BD275)</f>
        <v>0</v>
      </c>
      <c r="BE276" s="634">
        <f t="shared" ref="BE276" si="1773">SUM(BE268:BE275)</f>
        <v>0</v>
      </c>
      <c r="BF276" s="634">
        <f t="shared" ref="BF276" si="1774">SUM(BF268:BF275)</f>
        <v>0</v>
      </c>
      <c r="BG276" s="634">
        <f t="shared" ref="BG276" si="1775">SUM(BG268:BG275)</f>
        <v>0</v>
      </c>
      <c r="BH276" s="634">
        <f t="shared" ref="BH276" si="1776">SUM(BH268:BH275)</f>
        <v>0</v>
      </c>
      <c r="BI276" s="634">
        <f t="shared" ref="BI276" si="1777">SUM(BI268:BI275)</f>
        <v>0</v>
      </c>
      <c r="BJ276" s="634">
        <f t="shared" ref="BJ276" si="1778">SUM(BJ268:BJ275)</f>
        <v>0</v>
      </c>
      <c r="BK276" s="634">
        <f t="shared" ref="BK276" si="1779">SUM(BK268:BK275)</f>
        <v>0</v>
      </c>
      <c r="BL276" s="634">
        <f t="shared" ref="BL276" si="1780">SUM(BL268:BL275)</f>
        <v>0</v>
      </c>
      <c r="BM276" s="634">
        <f t="shared" ref="BM276" si="1781">SUM(BM268:BM275)</f>
        <v>0</v>
      </c>
      <c r="BN276" s="634">
        <f t="shared" ref="BN276" si="1782">SUM(BN268:BN275)</f>
        <v>0</v>
      </c>
      <c r="BO276" s="634">
        <f t="shared" ref="BO276" si="1783">SUM(BO268:BO275)</f>
        <v>0</v>
      </c>
      <c r="BP276" s="634">
        <f t="shared" ref="BP276" si="1784">SUM(BP268:BP275)</f>
        <v>0</v>
      </c>
      <c r="BQ276" s="634">
        <f t="shared" ref="BQ276" si="1785">SUM(BQ268:BQ275)</f>
        <v>0</v>
      </c>
      <c r="BR276" s="634">
        <f t="shared" ref="BR276" si="1786">SUM(BR268:BR275)</f>
        <v>0</v>
      </c>
      <c r="BS276" s="634">
        <f t="shared" ref="BS276" si="1787">SUM(BS268:BS275)</f>
        <v>0</v>
      </c>
      <c r="BT276" s="634">
        <f t="shared" ref="BT276" si="1788">SUM(BT268:BT275)</f>
        <v>0</v>
      </c>
      <c r="BU276" s="634">
        <f t="shared" ref="BU276" si="1789">SUM(BU268:BU275)</f>
        <v>0</v>
      </c>
      <c r="BV276" s="634">
        <f t="shared" ref="BV276" si="1790">SUM(BV268:BV275)</f>
        <v>0</v>
      </c>
      <c r="BW276" s="634">
        <f t="shared" ref="BW276" si="1791">SUM(BW268:BW275)</f>
        <v>0</v>
      </c>
      <c r="BX276" s="634">
        <f t="shared" ref="BX276" si="1792">SUM(BX268:BX275)</f>
        <v>0</v>
      </c>
      <c r="BY276" s="634">
        <f t="shared" ref="BY276" si="1793">SUM(BY268:BY275)</f>
        <v>0</v>
      </c>
      <c r="BZ276" s="634">
        <f t="shared" ref="BZ276" si="1794">SUM(BZ268:BZ275)</f>
        <v>0</v>
      </c>
      <c r="CA276" s="634">
        <f t="shared" ref="CA276" si="1795">SUM(CA268:CA275)</f>
        <v>0</v>
      </c>
      <c r="CB276" s="634">
        <f t="shared" ref="CB276" si="1796">SUM(CB268:CB275)</f>
        <v>0</v>
      </c>
      <c r="CC276" s="634">
        <f t="shared" ref="CC276" si="1797">SUM(CC268:CC275)</f>
        <v>0</v>
      </c>
      <c r="CD276" s="634">
        <f t="shared" ref="CD276" si="1798">SUM(CD268:CD275)</f>
        <v>0</v>
      </c>
      <c r="CE276" s="634">
        <f t="shared" ref="CE276" si="1799">SUM(CE268:CE275)</f>
        <v>0</v>
      </c>
      <c r="CF276" s="634">
        <f t="shared" ref="CF276" si="1800">SUM(CF268:CF275)</f>
        <v>0</v>
      </c>
      <c r="CG276" s="634">
        <f t="shared" ref="CG276" si="1801">SUM(CG268:CG275)</f>
        <v>0</v>
      </c>
      <c r="CH276" s="634">
        <f t="shared" ref="CH276" si="1802">SUM(CH268:CH275)</f>
        <v>0</v>
      </c>
      <c r="CI276" s="634">
        <f t="shared" ref="CI276" si="1803">SUM(CI268:CI275)</f>
        <v>0</v>
      </c>
      <c r="CJ276" s="634">
        <f t="shared" ref="CJ276" si="1804">SUM(CJ268:CJ275)</f>
        <v>0</v>
      </c>
      <c r="CK276" s="634">
        <f t="shared" ref="CK276" si="1805">SUM(CK268:CK275)</f>
        <v>0</v>
      </c>
      <c r="CL276" s="634">
        <f t="shared" ref="CL276" si="1806">SUM(CL268:CL275)</f>
        <v>0</v>
      </c>
      <c r="CM276" s="634">
        <f t="shared" ref="CM276" si="1807">SUM(CM268:CM275)</f>
        <v>0</v>
      </c>
      <c r="CN276" s="634">
        <f t="shared" ref="CN276" si="1808">SUM(CN268:CN275)</f>
        <v>0</v>
      </c>
      <c r="CO276" s="634">
        <f t="shared" ref="CO276" si="1809">SUM(CO268:CO275)</f>
        <v>0</v>
      </c>
      <c r="CP276" s="634">
        <f t="shared" ref="CP276" si="1810">SUM(CP268:CP275)</f>
        <v>0</v>
      </c>
      <c r="CQ276" s="634">
        <f t="shared" ref="CQ276" si="1811">SUM(CQ268:CQ275)</f>
        <v>0</v>
      </c>
      <c r="CR276" s="634">
        <f t="shared" ref="CR276" si="1812">SUM(CR268:CR275)</f>
        <v>0</v>
      </c>
      <c r="CS276" s="634">
        <f t="shared" ref="CS276" si="1813">SUM(CS268:CS275)</f>
        <v>0</v>
      </c>
      <c r="CT276" s="634">
        <f t="shared" ref="CT276" si="1814">SUM(CT268:CT275)</f>
        <v>0</v>
      </c>
      <c r="CU276" s="634">
        <f t="shared" ref="CU276" si="1815">SUM(CU268:CU275)</f>
        <v>0</v>
      </c>
      <c r="CV276" s="634">
        <f t="shared" ref="CV276" si="1816">SUM(CV268:CV275)</f>
        <v>0</v>
      </c>
      <c r="CW276" s="634">
        <f t="shared" ref="CW276" si="1817">SUM(CW268:CW275)</f>
        <v>0</v>
      </c>
      <c r="CX276" s="634">
        <f t="shared" ref="CX276" si="1818">SUM(CX268:CX275)</f>
        <v>0</v>
      </c>
      <c r="CY276" s="634">
        <f t="shared" ref="CY276" si="1819">SUM(CY268:CY275)</f>
        <v>0</v>
      </c>
      <c r="CZ276" s="634">
        <f t="shared" ref="CZ276" si="1820">SUM(CZ268:CZ275)</f>
        <v>0</v>
      </c>
      <c r="DA276" s="634">
        <f t="shared" ref="DA276" si="1821">SUM(DA268:DA275)</f>
        <v>0</v>
      </c>
      <c r="DB276" s="634">
        <f t="shared" ref="DB276" si="1822">SUM(DB268:DB275)</f>
        <v>0</v>
      </c>
      <c r="DC276" s="634">
        <f t="shared" ref="DC276" si="1823">SUM(DC268:DC275)</f>
        <v>0</v>
      </c>
      <c r="DD276" s="634">
        <f t="shared" ref="DD276" si="1824">SUM(DD268:DD275)</f>
        <v>0</v>
      </c>
      <c r="DE276" s="634">
        <f t="shared" ref="DE276" si="1825">SUM(DE268:DE275)</f>
        <v>0</v>
      </c>
      <c r="DF276" s="634">
        <f t="shared" ref="DF276" si="1826">SUM(DF268:DF275)</f>
        <v>0</v>
      </c>
      <c r="DG276" s="634">
        <f t="shared" ref="DG276" si="1827">SUM(DG268:DG275)</f>
        <v>0</v>
      </c>
      <c r="DH276" s="634">
        <f t="shared" ref="DH276" si="1828">SUM(DH268:DH275)</f>
        <v>0</v>
      </c>
      <c r="DI276" s="634">
        <f t="shared" ref="DI276" si="1829">SUM(DI268:DI275)</f>
        <v>0</v>
      </c>
      <c r="DJ276" s="634">
        <f t="shared" ref="DJ276" si="1830">SUM(DJ268:DJ275)</f>
        <v>0</v>
      </c>
      <c r="DK276" s="634">
        <f t="shared" ref="DK276" si="1831">SUM(DK268:DK275)</f>
        <v>0</v>
      </c>
      <c r="DL276" s="634">
        <f t="shared" ref="DL276" si="1832">SUM(DL268:DL275)</f>
        <v>0</v>
      </c>
      <c r="DM276" s="634">
        <f t="shared" ref="DM276" si="1833">SUM(DM268:DM275)</f>
        <v>0</v>
      </c>
      <c r="DN276" s="634">
        <f t="shared" ref="DN276" si="1834">SUM(DN268:DN275)</f>
        <v>0</v>
      </c>
      <c r="DO276" s="634">
        <f t="shared" ref="DO276" si="1835">SUM(DO268:DO275)</f>
        <v>0</v>
      </c>
      <c r="DP276" s="666"/>
      <c r="DQ276" s="638" t="e">
        <f>XIRR(S276:DO276,$S$267:$DO$267)</f>
        <v>#NUM!</v>
      </c>
      <c r="DR276" s="636">
        <f t="shared" ref="DR276:EA276" si="1836">SUM(DR268:DR275)</f>
        <v>0</v>
      </c>
      <c r="DS276" s="636">
        <f t="shared" si="1836"/>
        <v>0</v>
      </c>
      <c r="DT276" s="636">
        <f t="shared" si="1836"/>
        <v>0</v>
      </c>
      <c r="DU276" s="636">
        <f t="shared" si="1836"/>
        <v>0</v>
      </c>
      <c r="DV276" s="636">
        <f t="shared" si="1836"/>
        <v>0</v>
      </c>
      <c r="DW276" s="636">
        <f t="shared" si="1836"/>
        <v>0</v>
      </c>
      <c r="DX276" s="636">
        <f t="shared" si="1836"/>
        <v>0</v>
      </c>
      <c r="DY276" s="636">
        <f t="shared" si="1836"/>
        <v>0</v>
      </c>
      <c r="DZ276" s="636">
        <f t="shared" si="1836"/>
        <v>0</v>
      </c>
      <c r="EA276" s="636">
        <f t="shared" si="1836"/>
        <v>0</v>
      </c>
    </row>
    <row r="277" spans="1:131" ht="14.25" thickBot="1">
      <c r="A277" s="172"/>
      <c r="B277" s="667"/>
      <c r="C277" s="592" t="s">
        <v>3607</v>
      </c>
      <c r="D277" s="648">
        <f>D265+1</f>
        <v>19</v>
      </c>
      <c r="E277" s="649"/>
      <c r="F277" s="603"/>
      <c r="G277" s="603"/>
      <c r="I277" s="650" t="b">
        <f>I288=DR279</f>
        <v>1</v>
      </c>
      <c r="J277" s="172"/>
      <c r="K277" s="172"/>
      <c r="L277" s="172"/>
      <c r="M277" s="172"/>
      <c r="N277" s="172"/>
      <c r="O277" s="172"/>
      <c r="P277" s="172"/>
      <c r="Q277" s="639" t="str">
        <f>IF(Q288=NAV!E903,"자본금과 일치","자본금과 불일치")</f>
        <v>자본금과 일치</v>
      </c>
      <c r="R277" s="172"/>
      <c r="S277" s="172"/>
      <c r="T277" s="172"/>
      <c r="U277" s="172"/>
      <c r="V277" s="172"/>
      <c r="W277" s="172"/>
      <c r="X277" s="172"/>
      <c r="Y277" s="172"/>
      <c r="Z277" s="172"/>
      <c r="AA277" s="172"/>
      <c r="AB277" s="172"/>
      <c r="AC277" s="172"/>
      <c r="AD277" s="172"/>
      <c r="AE277" s="172"/>
      <c r="AF277" s="172"/>
      <c r="AG277" s="172"/>
      <c r="AH277" s="172"/>
      <c r="AI277" s="172"/>
      <c r="AJ277" s="172"/>
      <c r="AK277" s="172"/>
      <c r="AL277" s="172"/>
      <c r="AM277" s="172"/>
      <c r="AN277" s="172"/>
      <c r="AO277" s="172"/>
      <c r="AP277" s="172"/>
      <c r="AQ277" s="172"/>
      <c r="AR277" s="172"/>
      <c r="AS277" s="172"/>
      <c r="AT277" s="172"/>
      <c r="AU277" s="172"/>
      <c r="AV277" s="172"/>
      <c r="AW277" s="172"/>
      <c r="AX277" s="172"/>
      <c r="AY277" s="172"/>
      <c r="AZ277" s="172"/>
      <c r="BA277" s="172"/>
      <c r="BB277" s="172"/>
      <c r="BC277" s="172"/>
      <c r="BD277" s="172"/>
      <c r="BE277" s="172"/>
      <c r="BF277" s="172"/>
      <c r="BG277" s="172"/>
      <c r="BH277" s="172"/>
      <c r="BI277" s="172"/>
      <c r="BJ277" s="172"/>
      <c r="BK277" s="172"/>
      <c r="BL277" s="172"/>
      <c r="BM277" s="172"/>
      <c r="BN277" s="172"/>
      <c r="BO277" s="172"/>
      <c r="BP277" s="172"/>
      <c r="BQ277" s="172"/>
      <c r="BR277" s="172"/>
      <c r="BS277" s="172"/>
      <c r="BT277" s="172"/>
      <c r="BU277" s="172"/>
      <c r="BV277" s="172"/>
      <c r="BW277" s="172"/>
      <c r="BX277" s="172"/>
      <c r="BY277" s="172"/>
      <c r="BZ277" s="172"/>
      <c r="CA277" s="172"/>
      <c r="CB277" s="172"/>
      <c r="CC277" s="172"/>
      <c r="CD277" s="172"/>
      <c r="CE277" s="172"/>
      <c r="CF277" s="172"/>
      <c r="CG277" s="172"/>
      <c r="CH277" s="172"/>
      <c r="CI277" s="172"/>
      <c r="CJ277" s="172"/>
      <c r="CK277" s="172"/>
      <c r="CL277" s="172"/>
      <c r="CM277" s="172"/>
      <c r="CN277" s="172"/>
      <c r="CO277" s="172"/>
      <c r="CP277" s="172"/>
      <c r="CQ277" s="172"/>
      <c r="CR277" s="172"/>
      <c r="CS277" s="172"/>
      <c r="CT277" s="172"/>
      <c r="CU277" s="172"/>
      <c r="CV277" s="172"/>
      <c r="CW277" s="172"/>
      <c r="CX277" s="172"/>
      <c r="CY277" s="172"/>
      <c r="CZ277" s="172"/>
      <c r="DA277" s="172"/>
      <c r="DB277" s="172"/>
      <c r="DC277" s="172"/>
      <c r="DD277" s="172"/>
      <c r="DE277" s="172"/>
      <c r="DF277" s="172"/>
      <c r="DG277" s="172"/>
      <c r="DH277" s="172"/>
      <c r="DI277" s="172"/>
      <c r="DJ277" s="172"/>
      <c r="DK277" s="172"/>
      <c r="DL277" s="172"/>
      <c r="DM277" s="172"/>
      <c r="DN277" s="172"/>
      <c r="DO277" s="588" t="s">
        <v>219</v>
      </c>
      <c r="DP277" s="588" t="str">
        <f>IF(ROUND(_xlfn.AGGREGATE(9,6,DP280:DP287),5)=ROUND(_xlfn.AGGREGATE(9,6,DQ280:DQ287),5),"이상없음","기준수익률확인")</f>
        <v>이상없음</v>
      </c>
      <c r="DQ277" s="172"/>
      <c r="DR277" s="651" t="s">
        <v>3406</v>
      </c>
      <c r="DS277" s="172"/>
      <c r="DT277" s="615"/>
      <c r="DU277" s="615"/>
      <c r="DV277" s="172"/>
      <c r="DW277" s="172"/>
      <c r="DX277" s="615"/>
      <c r="DY277" s="172"/>
      <c r="DZ277" s="172"/>
      <c r="EA277" s="172"/>
    </row>
    <row r="278" spans="1:131" ht="13.5">
      <c r="A278" s="652" t="str">
        <f t="shared" ref="A278:A286" si="1837">$B$277&amp;B278</f>
        <v>SPC명</v>
      </c>
      <c r="B278" s="653" t="s">
        <v>349</v>
      </c>
      <c r="C278" s="780"/>
      <c r="D278" s="780"/>
      <c r="E278" s="780"/>
      <c r="F278" s="230"/>
      <c r="G278" s="230"/>
      <c r="I278" s="776" t="s">
        <v>3393</v>
      </c>
      <c r="J278" s="776" t="s">
        <v>3394</v>
      </c>
      <c r="K278" s="774" t="s">
        <v>3395</v>
      </c>
      <c r="L278" s="774" t="s">
        <v>3396</v>
      </c>
      <c r="M278" s="774" t="s">
        <v>203</v>
      </c>
      <c r="N278" s="774" t="s">
        <v>211</v>
      </c>
      <c r="O278" s="774" t="s">
        <v>3399</v>
      </c>
      <c r="P278" s="776" t="s">
        <v>239</v>
      </c>
      <c r="Q278" s="774" t="s">
        <v>3401</v>
      </c>
      <c r="R278" s="774" t="s">
        <v>3402</v>
      </c>
      <c r="S278" s="593"/>
      <c r="T278" s="593"/>
      <c r="U278" s="593"/>
      <c r="V278" s="593"/>
      <c r="W278" s="593"/>
      <c r="X278" s="593"/>
      <c r="Y278" s="593"/>
      <c r="Z278" s="593"/>
      <c r="AA278" s="593"/>
      <c r="AB278" s="593"/>
      <c r="AC278" s="593"/>
      <c r="AD278" s="593"/>
      <c r="AE278" s="593"/>
      <c r="AF278" s="593"/>
      <c r="AG278" s="593"/>
      <c r="AH278" s="593"/>
      <c r="AI278" s="593"/>
      <c r="AJ278" s="593"/>
      <c r="AK278" s="593"/>
      <c r="AL278" s="593"/>
      <c r="AM278" s="593"/>
      <c r="AN278" s="593"/>
      <c r="AO278" s="593"/>
      <c r="AP278" s="593"/>
      <c r="AQ278" s="593"/>
      <c r="AR278" s="593"/>
      <c r="AS278" s="593"/>
      <c r="AT278" s="593"/>
      <c r="AU278" s="593"/>
      <c r="AV278" s="593"/>
      <c r="AW278" s="593"/>
      <c r="AX278" s="593"/>
      <c r="AY278" s="593"/>
      <c r="AZ278" s="593"/>
      <c r="BA278" s="593"/>
      <c r="BB278" s="593"/>
      <c r="BC278" s="593"/>
      <c r="BD278" s="593"/>
      <c r="BE278" s="593"/>
      <c r="BF278" s="593"/>
      <c r="BG278" s="593"/>
      <c r="BH278" s="593"/>
      <c r="BI278" s="593"/>
      <c r="BJ278" s="593"/>
      <c r="BK278" s="593"/>
      <c r="BL278" s="593"/>
      <c r="BM278" s="593"/>
      <c r="BN278" s="593"/>
      <c r="BO278" s="593"/>
      <c r="BP278" s="593"/>
      <c r="BQ278" s="593"/>
      <c r="BR278" s="593"/>
      <c r="BS278" s="593"/>
      <c r="BT278" s="593"/>
      <c r="BU278" s="593"/>
      <c r="BV278" s="593"/>
      <c r="BW278" s="593"/>
      <c r="BX278" s="593"/>
      <c r="BY278" s="593"/>
      <c r="BZ278" s="593"/>
      <c r="CA278" s="593"/>
      <c r="CB278" s="593"/>
      <c r="CC278" s="593"/>
      <c r="CD278" s="593"/>
      <c r="CE278" s="593"/>
      <c r="CF278" s="593"/>
      <c r="CG278" s="593"/>
      <c r="CH278" s="593"/>
      <c r="CI278" s="593"/>
      <c r="CJ278" s="593"/>
      <c r="CK278" s="593"/>
      <c r="CL278" s="593"/>
      <c r="CM278" s="593"/>
      <c r="CN278" s="593"/>
      <c r="CO278" s="593"/>
      <c r="CP278" s="593"/>
      <c r="CQ278" s="593"/>
      <c r="CR278" s="593"/>
      <c r="CS278" s="593"/>
      <c r="CT278" s="593"/>
      <c r="CU278" s="593"/>
      <c r="CV278" s="593"/>
      <c r="CW278" s="593"/>
      <c r="CX278" s="593"/>
      <c r="CY278" s="593"/>
      <c r="CZ278" s="593"/>
      <c r="DA278" s="593"/>
      <c r="DB278" s="593"/>
      <c r="DC278" s="593"/>
      <c r="DD278" s="593"/>
      <c r="DE278" s="593"/>
      <c r="DF278" s="593"/>
      <c r="DG278" s="593"/>
      <c r="DH278" s="593"/>
      <c r="DI278" s="593"/>
      <c r="DJ278" s="593"/>
      <c r="DK278" s="593"/>
      <c r="DL278" s="593"/>
      <c r="DM278" s="593"/>
      <c r="DN278" s="593"/>
      <c r="DO278" s="594" t="s">
        <v>220</v>
      </c>
      <c r="DP278" s="774" t="s">
        <v>218</v>
      </c>
      <c r="DQ278" s="774" t="s">
        <v>222</v>
      </c>
      <c r="DR278" s="594"/>
      <c r="DS278" s="594"/>
      <c r="DT278" s="594"/>
      <c r="DU278" s="594"/>
      <c r="DV278" s="594"/>
      <c r="DW278" s="594"/>
      <c r="DX278" s="594"/>
      <c r="DY278" s="594"/>
      <c r="DZ278" s="594"/>
      <c r="EA278" s="602"/>
    </row>
    <row r="279" spans="1:131" ht="14.25" thickBot="1">
      <c r="A279" s="652" t="str">
        <f t="shared" si="1837"/>
        <v>유형</v>
      </c>
      <c r="B279" s="653" t="s">
        <v>350</v>
      </c>
      <c r="C279" s="780"/>
      <c r="D279" s="780"/>
      <c r="E279" s="780"/>
      <c r="F279" s="230"/>
      <c r="G279" s="230"/>
      <c r="I279" s="777"/>
      <c r="J279" s="777"/>
      <c r="K279" s="775"/>
      <c r="L279" s="775"/>
      <c r="M279" s="775"/>
      <c r="N279" s="775"/>
      <c r="O279" s="775"/>
      <c r="P279" s="777"/>
      <c r="Q279" s="775"/>
      <c r="R279" s="775"/>
      <c r="S279" s="601"/>
      <c r="T279" s="601"/>
      <c r="U279" s="601"/>
      <c r="V279" s="601"/>
      <c r="W279" s="601"/>
      <c r="X279" s="601"/>
      <c r="Y279" s="601"/>
      <c r="Z279" s="601"/>
      <c r="AA279" s="601"/>
      <c r="AB279" s="601"/>
      <c r="AC279" s="601"/>
      <c r="AD279" s="601"/>
      <c r="AE279" s="601"/>
      <c r="AF279" s="601"/>
      <c r="AG279" s="601"/>
      <c r="AH279" s="601"/>
      <c r="AI279" s="601"/>
      <c r="AJ279" s="601"/>
      <c r="AK279" s="601"/>
      <c r="AL279" s="601"/>
      <c r="AM279" s="601"/>
      <c r="AN279" s="601"/>
      <c r="AO279" s="601"/>
      <c r="AP279" s="601"/>
      <c r="AQ279" s="601"/>
      <c r="AR279" s="601"/>
      <c r="AS279" s="601"/>
      <c r="AT279" s="601"/>
      <c r="AU279" s="601"/>
      <c r="AV279" s="601"/>
      <c r="AW279" s="601"/>
      <c r="AX279" s="601"/>
      <c r="AY279" s="601"/>
      <c r="AZ279" s="601"/>
      <c r="BA279" s="601"/>
      <c r="BB279" s="601"/>
      <c r="BC279" s="601"/>
      <c r="BD279" s="601"/>
      <c r="BE279" s="601"/>
      <c r="BF279" s="601"/>
      <c r="BG279" s="601"/>
      <c r="BH279" s="601"/>
      <c r="BI279" s="601"/>
      <c r="BJ279" s="601"/>
      <c r="BK279" s="601"/>
      <c r="BL279" s="601"/>
      <c r="BM279" s="601"/>
      <c r="BN279" s="601"/>
      <c r="BO279" s="601"/>
      <c r="BP279" s="601"/>
      <c r="BQ279" s="601"/>
      <c r="BR279" s="601"/>
      <c r="BS279" s="601"/>
      <c r="BT279" s="601"/>
      <c r="BU279" s="601"/>
      <c r="BV279" s="601"/>
      <c r="BW279" s="601"/>
      <c r="BX279" s="601"/>
      <c r="BY279" s="601"/>
      <c r="BZ279" s="601"/>
      <c r="CA279" s="601"/>
      <c r="CB279" s="601"/>
      <c r="CC279" s="601"/>
      <c r="CD279" s="601"/>
      <c r="CE279" s="601"/>
      <c r="CF279" s="601"/>
      <c r="CG279" s="601"/>
      <c r="CH279" s="601"/>
      <c r="CI279" s="601"/>
      <c r="CJ279" s="601"/>
      <c r="CK279" s="601"/>
      <c r="CL279" s="601"/>
      <c r="CM279" s="601"/>
      <c r="CN279" s="601"/>
      <c r="CO279" s="601"/>
      <c r="CP279" s="601"/>
      <c r="CQ279" s="601"/>
      <c r="CR279" s="601"/>
      <c r="CS279" s="601"/>
      <c r="CT279" s="601"/>
      <c r="CU279" s="601"/>
      <c r="CV279" s="601"/>
      <c r="CW279" s="601"/>
      <c r="CX279" s="601"/>
      <c r="CY279" s="601"/>
      <c r="CZ279" s="601"/>
      <c r="DA279" s="601"/>
      <c r="DB279" s="601"/>
      <c r="DC279" s="601"/>
      <c r="DD279" s="601"/>
      <c r="DE279" s="601"/>
      <c r="DF279" s="601"/>
      <c r="DG279" s="601"/>
      <c r="DH279" s="601"/>
      <c r="DI279" s="601"/>
      <c r="DJ279" s="601"/>
      <c r="DK279" s="601"/>
      <c r="DL279" s="601"/>
      <c r="DM279" s="601"/>
      <c r="DN279" s="601"/>
      <c r="DO279" s="654">
        <f>$DO$7</f>
        <v>45473</v>
      </c>
      <c r="DP279" s="775"/>
      <c r="DQ279" s="775"/>
      <c r="DR279" s="595">
        <f>NAV!E909</f>
        <v>0</v>
      </c>
      <c r="DS279" s="596">
        <f>DR279-DR288</f>
        <v>0</v>
      </c>
      <c r="DT279" s="596"/>
      <c r="DU279" s="596"/>
      <c r="DV279" s="597"/>
      <c r="DW279" s="596"/>
      <c r="DX279" s="596"/>
      <c r="DY279" s="596"/>
      <c r="DZ279" s="655"/>
      <c r="EA279" s="656"/>
    </row>
    <row r="280" spans="1:131" ht="13.5">
      <c r="A280" s="652" t="str">
        <f t="shared" si="1837"/>
        <v>설정일</v>
      </c>
      <c r="B280" s="653" t="s">
        <v>351</v>
      </c>
      <c r="C280" s="781"/>
      <c r="D280" s="780"/>
      <c r="E280" s="780"/>
      <c r="F280" s="230"/>
      <c r="G280" s="230"/>
      <c r="I280" s="657">
        <f>SUM(DR280:EA280)</f>
        <v>0</v>
      </c>
      <c r="J280" s="606" t="str">
        <f>IFERROR(I280/(Q280/$C$282),"N/A")</f>
        <v>N/A</v>
      </c>
      <c r="K280" s="471"/>
      <c r="L280" s="607"/>
      <c r="M280" s="300"/>
      <c r="N280" s="608"/>
      <c r="O280" s="609">
        <f t="shared" ref="O280:O287" si="1838">-(SUMIF($S$278:$DN$278,"최초출자",S280:DN280)+SUMIF($S$278:$DN$278,"추가출자",S280:DN280))</f>
        <v>0</v>
      </c>
      <c r="P280" s="609">
        <f t="shared" ref="P280:P287" si="1839">SUMIF($S$278:$DN$278,"이익분배",S280:DN280)+SUMIF($S$278:$DN$278,"원본분배",S280:DN280)</f>
        <v>0</v>
      </c>
      <c r="Q280" s="609">
        <f t="shared" ref="Q280:Q287" si="1840">-(SUMIF($S$278:$DN$278,"최초출자",S280:DN280)+SUMIF($S$278:$DN$278,"추가출자",S280:DN280)+SUMIF($S$278:$DN$278,"원본분배",S280:DN280))</f>
        <v>0</v>
      </c>
      <c r="R280" s="610" t="str">
        <f>IFERROR(Q280/Q288,"")</f>
        <v/>
      </c>
      <c r="S280" s="658"/>
      <c r="T280" s="658"/>
      <c r="U280" s="658"/>
      <c r="V280" s="658"/>
      <c r="W280" s="658"/>
      <c r="X280" s="658"/>
      <c r="Y280" s="658"/>
      <c r="Z280" s="658"/>
      <c r="AA280" s="658"/>
      <c r="AB280" s="658"/>
      <c r="AC280" s="658"/>
      <c r="AD280" s="658"/>
      <c r="AE280" s="658"/>
      <c r="AF280" s="658"/>
      <c r="AG280" s="658"/>
      <c r="AH280" s="658"/>
      <c r="AI280" s="658"/>
      <c r="AJ280" s="658"/>
      <c r="AK280" s="658"/>
      <c r="AL280" s="658"/>
      <c r="AM280" s="658"/>
      <c r="AN280" s="658"/>
      <c r="AO280" s="658"/>
      <c r="AP280" s="658"/>
      <c r="AQ280" s="658"/>
      <c r="AR280" s="658"/>
      <c r="AS280" s="658"/>
      <c r="AT280" s="658"/>
      <c r="AU280" s="658"/>
      <c r="AV280" s="658"/>
      <c r="AW280" s="658"/>
      <c r="AX280" s="658"/>
      <c r="AY280" s="658"/>
      <c r="AZ280" s="658"/>
      <c r="BA280" s="658"/>
      <c r="BB280" s="658"/>
      <c r="BC280" s="658"/>
      <c r="BD280" s="658"/>
      <c r="BE280" s="658"/>
      <c r="BF280" s="658"/>
      <c r="BG280" s="658"/>
      <c r="BH280" s="658"/>
      <c r="BI280" s="658"/>
      <c r="BJ280" s="658"/>
      <c r="BK280" s="658"/>
      <c r="BL280" s="658"/>
      <c r="BM280" s="658"/>
      <c r="BN280" s="658"/>
      <c r="BO280" s="658"/>
      <c r="BP280" s="658"/>
      <c r="BQ280" s="658"/>
      <c r="BR280" s="658"/>
      <c r="BS280" s="658"/>
      <c r="BT280" s="658"/>
      <c r="BU280" s="658"/>
      <c r="BV280" s="658"/>
      <c r="BW280" s="658"/>
      <c r="BX280" s="658"/>
      <c r="BY280" s="658"/>
      <c r="BZ280" s="658"/>
      <c r="CA280" s="658"/>
      <c r="CB280" s="658"/>
      <c r="CC280" s="658"/>
      <c r="CD280" s="658"/>
      <c r="CE280" s="658"/>
      <c r="CF280" s="658"/>
      <c r="CG280" s="658"/>
      <c r="CH280" s="658"/>
      <c r="CI280" s="658"/>
      <c r="CJ280" s="658"/>
      <c r="CK280" s="658"/>
      <c r="CL280" s="658"/>
      <c r="CM280" s="658"/>
      <c r="CN280" s="658"/>
      <c r="CO280" s="658"/>
      <c r="CP280" s="658"/>
      <c r="CQ280" s="658"/>
      <c r="CR280" s="658"/>
      <c r="CS280" s="658"/>
      <c r="CT280" s="658"/>
      <c r="CU280" s="658"/>
      <c r="CV280" s="658"/>
      <c r="CW280" s="658"/>
      <c r="CX280" s="658"/>
      <c r="CY280" s="658"/>
      <c r="CZ280" s="658"/>
      <c r="DA280" s="658"/>
      <c r="DB280" s="658"/>
      <c r="DC280" s="658"/>
      <c r="DD280" s="658"/>
      <c r="DE280" s="658"/>
      <c r="DF280" s="658"/>
      <c r="DG280" s="658"/>
      <c r="DH280" s="658"/>
      <c r="DI280" s="658"/>
      <c r="DJ280" s="658"/>
      <c r="DK280" s="658"/>
      <c r="DL280" s="658"/>
      <c r="DM280" s="658"/>
      <c r="DN280" s="658"/>
      <c r="DO280" s="177">
        <f>IF(M280="",0,-XNPV(DP280,S280,S$279)*(1+DP280)^YEARFRAC($S$279,$DO$279,3))</f>
        <v>0</v>
      </c>
      <c r="DP280" s="612" t="e">
        <f>IF(HLOOKUP(L280,$C$287:$E$288,2,0)=0,1E-24%,HLOOKUP(L280,$C$287:$E$288,2,FALSE))</f>
        <v>#N/A</v>
      </c>
      <c r="DQ280" s="612" t="e">
        <f t="shared" ref="DQ280:DQ287" si="1841">XIRR(S280:DO280,$S$279:$DO$279)</f>
        <v>#NUM!</v>
      </c>
      <c r="DR280" s="177"/>
      <c r="DS280" s="177"/>
      <c r="DT280" s="177"/>
      <c r="DU280" s="177"/>
      <c r="DV280" s="177"/>
      <c r="DW280" s="177"/>
      <c r="DX280" s="177"/>
      <c r="DY280" s="177"/>
      <c r="DZ280" s="177"/>
      <c r="EA280" s="613"/>
    </row>
    <row r="281" spans="1:131" ht="13.5">
      <c r="A281" s="652" t="str">
        <f t="shared" si="1837"/>
        <v>출자잔액</v>
      </c>
      <c r="B281" s="653" t="s">
        <v>352</v>
      </c>
      <c r="C281" s="782"/>
      <c r="D281" s="782"/>
      <c r="E281" s="782"/>
      <c r="F281" s="230"/>
      <c r="G281" s="230"/>
      <c r="I281" s="657">
        <f t="shared" ref="I281:I287" si="1842">SUM(DR281:EA281)</f>
        <v>0</v>
      </c>
      <c r="J281" s="606" t="str">
        <f t="shared" ref="J281:J287" si="1843">IFERROR(I281/(Q281/$C$282),"N/A")</f>
        <v>N/A</v>
      </c>
      <c r="K281" s="471"/>
      <c r="L281" s="607"/>
      <c r="M281" s="300"/>
      <c r="N281" s="608"/>
      <c r="O281" s="609">
        <f t="shared" si="1838"/>
        <v>0</v>
      </c>
      <c r="P281" s="609">
        <f t="shared" si="1839"/>
        <v>0</v>
      </c>
      <c r="Q281" s="609">
        <f t="shared" si="1840"/>
        <v>0</v>
      </c>
      <c r="R281" s="610" t="str">
        <f>IFERROR(Q281/Q288,"")</f>
        <v/>
      </c>
      <c r="S281" s="658"/>
      <c r="T281" s="658"/>
      <c r="U281" s="658"/>
      <c r="V281" s="658"/>
      <c r="W281" s="658"/>
      <c r="X281" s="658"/>
      <c r="Y281" s="658"/>
      <c r="Z281" s="658"/>
      <c r="AA281" s="658"/>
      <c r="AB281" s="658"/>
      <c r="AC281" s="658"/>
      <c r="AD281" s="658"/>
      <c r="AE281" s="658"/>
      <c r="AF281" s="658"/>
      <c r="AG281" s="658"/>
      <c r="AH281" s="658"/>
      <c r="AI281" s="658"/>
      <c r="AJ281" s="658"/>
      <c r="AK281" s="658"/>
      <c r="AL281" s="658"/>
      <c r="AM281" s="658"/>
      <c r="AN281" s="658"/>
      <c r="AO281" s="658"/>
      <c r="AP281" s="658"/>
      <c r="AQ281" s="658"/>
      <c r="AR281" s="658"/>
      <c r="AS281" s="658"/>
      <c r="AT281" s="658"/>
      <c r="AU281" s="658"/>
      <c r="AV281" s="658"/>
      <c r="AW281" s="658"/>
      <c r="AX281" s="658"/>
      <c r="AY281" s="658"/>
      <c r="AZ281" s="658"/>
      <c r="BA281" s="658"/>
      <c r="BB281" s="658"/>
      <c r="BC281" s="658"/>
      <c r="BD281" s="658"/>
      <c r="BE281" s="658"/>
      <c r="BF281" s="658"/>
      <c r="BG281" s="658"/>
      <c r="BH281" s="658"/>
      <c r="BI281" s="658"/>
      <c r="BJ281" s="658"/>
      <c r="BK281" s="658"/>
      <c r="BL281" s="658"/>
      <c r="BM281" s="658"/>
      <c r="BN281" s="658"/>
      <c r="BO281" s="658"/>
      <c r="BP281" s="658"/>
      <c r="BQ281" s="658"/>
      <c r="BR281" s="658"/>
      <c r="BS281" s="658"/>
      <c r="BT281" s="658"/>
      <c r="BU281" s="658"/>
      <c r="BV281" s="658"/>
      <c r="BW281" s="658"/>
      <c r="BX281" s="658"/>
      <c r="BY281" s="658"/>
      <c r="BZ281" s="658"/>
      <c r="CA281" s="658"/>
      <c r="CB281" s="658"/>
      <c r="CC281" s="658"/>
      <c r="CD281" s="658"/>
      <c r="CE281" s="658"/>
      <c r="CF281" s="658"/>
      <c r="CG281" s="658"/>
      <c r="CH281" s="658"/>
      <c r="CI281" s="658"/>
      <c r="CJ281" s="658"/>
      <c r="CK281" s="658"/>
      <c r="CL281" s="658"/>
      <c r="CM281" s="658"/>
      <c r="CN281" s="658"/>
      <c r="CO281" s="658"/>
      <c r="CP281" s="658"/>
      <c r="CQ281" s="658"/>
      <c r="CR281" s="658"/>
      <c r="CS281" s="658"/>
      <c r="CT281" s="658"/>
      <c r="CU281" s="658"/>
      <c r="CV281" s="658"/>
      <c r="CW281" s="658"/>
      <c r="CX281" s="658"/>
      <c r="CY281" s="658"/>
      <c r="CZ281" s="658"/>
      <c r="DA281" s="658"/>
      <c r="DB281" s="658"/>
      <c r="DC281" s="658"/>
      <c r="DD281" s="658"/>
      <c r="DE281" s="658"/>
      <c r="DF281" s="658"/>
      <c r="DG281" s="658"/>
      <c r="DH281" s="658"/>
      <c r="DI281" s="658"/>
      <c r="DJ281" s="658"/>
      <c r="DK281" s="658"/>
      <c r="DL281" s="658"/>
      <c r="DM281" s="658"/>
      <c r="DN281" s="658"/>
      <c r="DO281" s="177">
        <f t="shared" ref="DO281:DO287" si="1844">IF(M281="",0,-XNPV(DP281,S281,S$279)*(1+DP281)^YEARFRAC($S$279,$DO$279,3))</f>
        <v>0</v>
      </c>
      <c r="DP281" s="612" t="e">
        <f t="shared" ref="DP281:DP287" si="1845">IF(HLOOKUP(L281,$C$287:$E$288,2,0)=0,1E-24%,HLOOKUP(L281,$C$287:$E$288,2,FALSE))</f>
        <v>#N/A</v>
      </c>
      <c r="DQ281" s="612" t="e">
        <f t="shared" si="1841"/>
        <v>#NUM!</v>
      </c>
      <c r="DR281" s="177"/>
      <c r="DS281" s="177"/>
      <c r="DT281" s="177"/>
      <c r="DU281" s="177"/>
      <c r="DV281" s="177"/>
      <c r="DW281" s="177"/>
      <c r="DX281" s="177"/>
      <c r="DY281" s="177"/>
      <c r="DZ281" s="177"/>
      <c r="EA281" s="613"/>
    </row>
    <row r="282" spans="1:131" ht="13.5">
      <c r="A282" s="652" t="str">
        <f t="shared" si="1837"/>
        <v>1좌당 금액</v>
      </c>
      <c r="B282" s="653" t="s">
        <v>353</v>
      </c>
      <c r="C282" s="783"/>
      <c r="D282" s="783"/>
      <c r="E282" s="783"/>
      <c r="F282" s="230"/>
      <c r="G282" s="230"/>
      <c r="I282" s="657">
        <f t="shared" si="1842"/>
        <v>0</v>
      </c>
      <c r="J282" s="606" t="str">
        <f t="shared" si="1843"/>
        <v>N/A</v>
      </c>
      <c r="K282" s="471"/>
      <c r="L282" s="607"/>
      <c r="M282" s="300"/>
      <c r="N282" s="608"/>
      <c r="O282" s="609">
        <f t="shared" si="1838"/>
        <v>0</v>
      </c>
      <c r="P282" s="609">
        <f t="shared" si="1839"/>
        <v>0</v>
      </c>
      <c r="Q282" s="609">
        <f t="shared" si="1840"/>
        <v>0</v>
      </c>
      <c r="R282" s="610" t="str">
        <f>IFERROR(Q282/Q288,"")</f>
        <v/>
      </c>
      <c r="S282" s="658"/>
      <c r="T282" s="658"/>
      <c r="U282" s="658"/>
      <c r="V282" s="658"/>
      <c r="W282" s="658"/>
      <c r="X282" s="658"/>
      <c r="Y282" s="658"/>
      <c r="Z282" s="658"/>
      <c r="AA282" s="658"/>
      <c r="AB282" s="658"/>
      <c r="AC282" s="658"/>
      <c r="AD282" s="658"/>
      <c r="AE282" s="658"/>
      <c r="AF282" s="658"/>
      <c r="AG282" s="658"/>
      <c r="AH282" s="658"/>
      <c r="AI282" s="658"/>
      <c r="AJ282" s="658"/>
      <c r="AK282" s="658"/>
      <c r="AL282" s="658"/>
      <c r="AM282" s="658"/>
      <c r="AN282" s="658"/>
      <c r="AO282" s="658"/>
      <c r="AP282" s="658"/>
      <c r="AQ282" s="658"/>
      <c r="AR282" s="658"/>
      <c r="AS282" s="658"/>
      <c r="AT282" s="658"/>
      <c r="AU282" s="658"/>
      <c r="AV282" s="658"/>
      <c r="AW282" s="658"/>
      <c r="AX282" s="658"/>
      <c r="AY282" s="658"/>
      <c r="AZ282" s="658"/>
      <c r="BA282" s="658"/>
      <c r="BB282" s="658"/>
      <c r="BC282" s="658"/>
      <c r="BD282" s="658"/>
      <c r="BE282" s="658"/>
      <c r="BF282" s="658"/>
      <c r="BG282" s="658"/>
      <c r="BH282" s="658"/>
      <c r="BI282" s="658"/>
      <c r="BJ282" s="658"/>
      <c r="BK282" s="658"/>
      <c r="BL282" s="658"/>
      <c r="BM282" s="658"/>
      <c r="BN282" s="658"/>
      <c r="BO282" s="658"/>
      <c r="BP282" s="658"/>
      <c r="BQ282" s="658"/>
      <c r="BR282" s="658"/>
      <c r="BS282" s="658"/>
      <c r="BT282" s="658"/>
      <c r="BU282" s="658"/>
      <c r="BV282" s="658"/>
      <c r="BW282" s="658"/>
      <c r="BX282" s="658"/>
      <c r="BY282" s="658"/>
      <c r="BZ282" s="658"/>
      <c r="CA282" s="658"/>
      <c r="CB282" s="658"/>
      <c r="CC282" s="658"/>
      <c r="CD282" s="658"/>
      <c r="CE282" s="658"/>
      <c r="CF282" s="658"/>
      <c r="CG282" s="658"/>
      <c r="CH282" s="658"/>
      <c r="CI282" s="658"/>
      <c r="CJ282" s="658"/>
      <c r="CK282" s="658"/>
      <c r="CL282" s="658"/>
      <c r="CM282" s="658"/>
      <c r="CN282" s="658"/>
      <c r="CO282" s="658"/>
      <c r="CP282" s="658"/>
      <c r="CQ282" s="658"/>
      <c r="CR282" s="658"/>
      <c r="CS282" s="658"/>
      <c r="CT282" s="658"/>
      <c r="CU282" s="658"/>
      <c r="CV282" s="658"/>
      <c r="CW282" s="658"/>
      <c r="CX282" s="658"/>
      <c r="CY282" s="658"/>
      <c r="CZ282" s="658"/>
      <c r="DA282" s="658"/>
      <c r="DB282" s="658"/>
      <c r="DC282" s="658"/>
      <c r="DD282" s="658"/>
      <c r="DE282" s="658"/>
      <c r="DF282" s="658"/>
      <c r="DG282" s="658"/>
      <c r="DH282" s="658"/>
      <c r="DI282" s="658"/>
      <c r="DJ282" s="658"/>
      <c r="DK282" s="658"/>
      <c r="DL282" s="658"/>
      <c r="DM282" s="658"/>
      <c r="DN282" s="658"/>
      <c r="DO282" s="177">
        <f t="shared" si="1844"/>
        <v>0</v>
      </c>
      <c r="DP282" s="612" t="e">
        <f t="shared" si="1845"/>
        <v>#N/A</v>
      </c>
      <c r="DQ282" s="612" t="e">
        <f t="shared" si="1841"/>
        <v>#NUM!</v>
      </c>
      <c r="DR282" s="177"/>
      <c r="DS282" s="177"/>
      <c r="DT282" s="177"/>
      <c r="DU282" s="177"/>
      <c r="DV282" s="177"/>
      <c r="DW282" s="177"/>
      <c r="DX282" s="177"/>
      <c r="DY282" s="177"/>
      <c r="DZ282" s="177"/>
      <c r="EA282" s="613"/>
    </row>
    <row r="283" spans="1:131" ht="13.5">
      <c r="A283" s="652" t="str">
        <f t="shared" si="1837"/>
        <v>기준수익률</v>
      </c>
      <c r="B283" s="653" t="s">
        <v>354</v>
      </c>
      <c r="C283" s="784"/>
      <c r="D283" s="785"/>
      <c r="E283" s="785"/>
      <c r="F283" s="230"/>
      <c r="G283" s="230"/>
      <c r="I283" s="657">
        <f t="shared" si="1842"/>
        <v>0</v>
      </c>
      <c r="J283" s="606" t="str">
        <f t="shared" si="1843"/>
        <v>N/A</v>
      </c>
      <c r="K283" s="471"/>
      <c r="L283" s="607"/>
      <c r="M283" s="300"/>
      <c r="N283" s="608"/>
      <c r="O283" s="609">
        <f t="shared" si="1838"/>
        <v>0</v>
      </c>
      <c r="P283" s="609">
        <f t="shared" si="1839"/>
        <v>0</v>
      </c>
      <c r="Q283" s="609">
        <f t="shared" si="1840"/>
        <v>0</v>
      </c>
      <c r="R283" s="610" t="str">
        <f>IFERROR(Q283/Q288,"")</f>
        <v/>
      </c>
      <c r="S283" s="658"/>
      <c r="T283" s="658"/>
      <c r="U283" s="658"/>
      <c r="V283" s="658"/>
      <c r="W283" s="658"/>
      <c r="X283" s="658"/>
      <c r="Y283" s="658"/>
      <c r="Z283" s="658"/>
      <c r="AA283" s="658"/>
      <c r="AB283" s="658"/>
      <c r="AC283" s="658"/>
      <c r="AD283" s="658"/>
      <c r="AE283" s="658"/>
      <c r="AF283" s="658"/>
      <c r="AG283" s="658"/>
      <c r="AH283" s="658"/>
      <c r="AI283" s="658"/>
      <c r="AJ283" s="658"/>
      <c r="AK283" s="658"/>
      <c r="AL283" s="658"/>
      <c r="AM283" s="658"/>
      <c r="AN283" s="658"/>
      <c r="AO283" s="658"/>
      <c r="AP283" s="658"/>
      <c r="AQ283" s="658"/>
      <c r="AR283" s="658"/>
      <c r="AS283" s="658"/>
      <c r="AT283" s="658"/>
      <c r="AU283" s="658"/>
      <c r="AV283" s="658"/>
      <c r="AW283" s="658"/>
      <c r="AX283" s="658"/>
      <c r="AY283" s="658"/>
      <c r="AZ283" s="658"/>
      <c r="BA283" s="658"/>
      <c r="BB283" s="658"/>
      <c r="BC283" s="658"/>
      <c r="BD283" s="658"/>
      <c r="BE283" s="658"/>
      <c r="BF283" s="658"/>
      <c r="BG283" s="658"/>
      <c r="BH283" s="658"/>
      <c r="BI283" s="658"/>
      <c r="BJ283" s="658"/>
      <c r="BK283" s="658"/>
      <c r="BL283" s="658"/>
      <c r="BM283" s="658"/>
      <c r="BN283" s="658"/>
      <c r="BO283" s="658"/>
      <c r="BP283" s="658"/>
      <c r="BQ283" s="658"/>
      <c r="BR283" s="658"/>
      <c r="BS283" s="658"/>
      <c r="BT283" s="658"/>
      <c r="BU283" s="658"/>
      <c r="BV283" s="658"/>
      <c r="BW283" s="658"/>
      <c r="BX283" s="658"/>
      <c r="BY283" s="658"/>
      <c r="BZ283" s="658"/>
      <c r="CA283" s="658"/>
      <c r="CB283" s="658"/>
      <c r="CC283" s="658"/>
      <c r="CD283" s="658"/>
      <c r="CE283" s="658"/>
      <c r="CF283" s="658"/>
      <c r="CG283" s="658"/>
      <c r="CH283" s="658"/>
      <c r="CI283" s="658"/>
      <c r="CJ283" s="658"/>
      <c r="CK283" s="658"/>
      <c r="CL283" s="658"/>
      <c r="CM283" s="658"/>
      <c r="CN283" s="658"/>
      <c r="CO283" s="658"/>
      <c r="CP283" s="658"/>
      <c r="CQ283" s="658"/>
      <c r="CR283" s="658"/>
      <c r="CS283" s="658"/>
      <c r="CT283" s="658"/>
      <c r="CU283" s="658"/>
      <c r="CV283" s="658"/>
      <c r="CW283" s="658"/>
      <c r="CX283" s="658"/>
      <c r="CY283" s="658"/>
      <c r="CZ283" s="658"/>
      <c r="DA283" s="658"/>
      <c r="DB283" s="658"/>
      <c r="DC283" s="658"/>
      <c r="DD283" s="658"/>
      <c r="DE283" s="658"/>
      <c r="DF283" s="658"/>
      <c r="DG283" s="658"/>
      <c r="DH283" s="658"/>
      <c r="DI283" s="658"/>
      <c r="DJ283" s="658"/>
      <c r="DK283" s="658"/>
      <c r="DL283" s="658"/>
      <c r="DM283" s="658"/>
      <c r="DN283" s="658"/>
      <c r="DO283" s="177">
        <f t="shared" si="1844"/>
        <v>0</v>
      </c>
      <c r="DP283" s="612" t="e">
        <f t="shared" si="1845"/>
        <v>#N/A</v>
      </c>
      <c r="DQ283" s="612" t="e">
        <f t="shared" si="1841"/>
        <v>#NUM!</v>
      </c>
      <c r="DR283" s="177"/>
      <c r="DS283" s="177"/>
      <c r="DT283" s="177"/>
      <c r="DU283" s="177"/>
      <c r="DV283" s="177"/>
      <c r="DW283" s="177"/>
      <c r="DX283" s="177"/>
      <c r="DY283" s="177"/>
      <c r="DZ283" s="177"/>
      <c r="EA283" s="613"/>
    </row>
    <row r="284" spans="1:131" ht="13.5">
      <c r="A284" s="652" t="str">
        <f t="shared" si="1837"/>
        <v>평가방법론</v>
      </c>
      <c r="B284" s="653" t="s">
        <v>7</v>
      </c>
      <c r="C284" s="786"/>
      <c r="D284" s="786"/>
      <c r="E284" s="786"/>
      <c r="F284" s="230"/>
      <c r="G284" s="230"/>
      <c r="I284" s="657">
        <f t="shared" si="1842"/>
        <v>0</v>
      </c>
      <c r="J284" s="606" t="str">
        <f t="shared" si="1843"/>
        <v>N/A</v>
      </c>
      <c r="K284" s="471"/>
      <c r="L284" s="607"/>
      <c r="M284" s="300"/>
      <c r="N284" s="608"/>
      <c r="O284" s="609">
        <f t="shared" si="1838"/>
        <v>0</v>
      </c>
      <c r="P284" s="609">
        <f t="shared" si="1839"/>
        <v>0</v>
      </c>
      <c r="Q284" s="609">
        <f t="shared" si="1840"/>
        <v>0</v>
      </c>
      <c r="R284" s="610" t="str">
        <f>IFERROR(Q284/Q288,"")</f>
        <v/>
      </c>
      <c r="S284" s="658"/>
      <c r="T284" s="658"/>
      <c r="U284" s="658"/>
      <c r="V284" s="658"/>
      <c r="W284" s="658"/>
      <c r="X284" s="658"/>
      <c r="Y284" s="658"/>
      <c r="Z284" s="658"/>
      <c r="AA284" s="658"/>
      <c r="AB284" s="658"/>
      <c r="AC284" s="658"/>
      <c r="AD284" s="658"/>
      <c r="AE284" s="658"/>
      <c r="AF284" s="658"/>
      <c r="AG284" s="658"/>
      <c r="AH284" s="658"/>
      <c r="AI284" s="658"/>
      <c r="AJ284" s="658"/>
      <c r="AK284" s="658"/>
      <c r="AL284" s="658"/>
      <c r="AM284" s="658"/>
      <c r="AN284" s="658"/>
      <c r="AO284" s="658"/>
      <c r="AP284" s="658"/>
      <c r="AQ284" s="658"/>
      <c r="AR284" s="658"/>
      <c r="AS284" s="658"/>
      <c r="AT284" s="658"/>
      <c r="AU284" s="658"/>
      <c r="AV284" s="658"/>
      <c r="AW284" s="658"/>
      <c r="AX284" s="658"/>
      <c r="AY284" s="658"/>
      <c r="AZ284" s="658"/>
      <c r="BA284" s="658"/>
      <c r="BB284" s="658"/>
      <c r="BC284" s="658"/>
      <c r="BD284" s="658"/>
      <c r="BE284" s="658"/>
      <c r="BF284" s="658"/>
      <c r="BG284" s="658"/>
      <c r="BH284" s="658"/>
      <c r="BI284" s="658"/>
      <c r="BJ284" s="658"/>
      <c r="BK284" s="658"/>
      <c r="BL284" s="658"/>
      <c r="BM284" s="658"/>
      <c r="BN284" s="658"/>
      <c r="BO284" s="658"/>
      <c r="BP284" s="658"/>
      <c r="BQ284" s="658"/>
      <c r="BR284" s="658"/>
      <c r="BS284" s="658"/>
      <c r="BT284" s="658"/>
      <c r="BU284" s="658"/>
      <c r="BV284" s="658"/>
      <c r="BW284" s="658"/>
      <c r="BX284" s="658"/>
      <c r="BY284" s="658"/>
      <c r="BZ284" s="658"/>
      <c r="CA284" s="658"/>
      <c r="CB284" s="658"/>
      <c r="CC284" s="658"/>
      <c r="CD284" s="658"/>
      <c r="CE284" s="658"/>
      <c r="CF284" s="658"/>
      <c r="CG284" s="658"/>
      <c r="CH284" s="658"/>
      <c r="CI284" s="658"/>
      <c r="CJ284" s="658"/>
      <c r="CK284" s="658"/>
      <c r="CL284" s="658"/>
      <c r="CM284" s="658"/>
      <c r="CN284" s="658"/>
      <c r="CO284" s="658"/>
      <c r="CP284" s="658"/>
      <c r="CQ284" s="658"/>
      <c r="CR284" s="658"/>
      <c r="CS284" s="658"/>
      <c r="CT284" s="658"/>
      <c r="CU284" s="658"/>
      <c r="CV284" s="658"/>
      <c r="CW284" s="658"/>
      <c r="CX284" s="658"/>
      <c r="CY284" s="658"/>
      <c r="CZ284" s="658"/>
      <c r="DA284" s="658"/>
      <c r="DB284" s="658"/>
      <c r="DC284" s="658"/>
      <c r="DD284" s="658"/>
      <c r="DE284" s="658"/>
      <c r="DF284" s="658"/>
      <c r="DG284" s="658"/>
      <c r="DH284" s="658"/>
      <c r="DI284" s="658"/>
      <c r="DJ284" s="658"/>
      <c r="DK284" s="658"/>
      <c r="DL284" s="658"/>
      <c r="DM284" s="658"/>
      <c r="DN284" s="658"/>
      <c r="DO284" s="177">
        <f t="shared" si="1844"/>
        <v>0</v>
      </c>
      <c r="DP284" s="612" t="e">
        <f t="shared" si="1845"/>
        <v>#N/A</v>
      </c>
      <c r="DQ284" s="612" t="e">
        <f t="shared" si="1841"/>
        <v>#NUM!</v>
      </c>
      <c r="DR284" s="177"/>
      <c r="DS284" s="177"/>
      <c r="DT284" s="177"/>
      <c r="DU284" s="177"/>
      <c r="DV284" s="177"/>
      <c r="DW284" s="177"/>
      <c r="DX284" s="177"/>
      <c r="DY284" s="177"/>
      <c r="DZ284" s="177"/>
      <c r="EA284" s="613"/>
    </row>
    <row r="285" spans="1:131" ht="13.5">
      <c r="A285" s="652" t="str">
        <f t="shared" si="1837"/>
        <v>분배 조항 여부</v>
      </c>
      <c r="B285" s="653" t="s">
        <v>355</v>
      </c>
      <c r="C285" s="786"/>
      <c r="D285" s="786"/>
      <c r="E285" s="786"/>
      <c r="F285" s="230"/>
      <c r="G285" s="230"/>
      <c r="I285" s="657">
        <f t="shared" si="1842"/>
        <v>0</v>
      </c>
      <c r="J285" s="606" t="str">
        <f t="shared" si="1843"/>
        <v>N/A</v>
      </c>
      <c r="K285" s="471"/>
      <c r="L285" s="607"/>
      <c r="M285" s="300"/>
      <c r="N285" s="608"/>
      <c r="O285" s="609">
        <f t="shared" si="1838"/>
        <v>0</v>
      </c>
      <c r="P285" s="609">
        <f t="shared" si="1839"/>
        <v>0</v>
      </c>
      <c r="Q285" s="609">
        <f t="shared" si="1840"/>
        <v>0</v>
      </c>
      <c r="R285" s="610" t="str">
        <f>IFERROR(Q285/Q288,"")</f>
        <v/>
      </c>
      <c r="S285" s="658"/>
      <c r="T285" s="658"/>
      <c r="U285" s="658"/>
      <c r="V285" s="658"/>
      <c r="W285" s="658"/>
      <c r="X285" s="658"/>
      <c r="Y285" s="658"/>
      <c r="Z285" s="658"/>
      <c r="AA285" s="658"/>
      <c r="AB285" s="658"/>
      <c r="AC285" s="658"/>
      <c r="AD285" s="658"/>
      <c r="AE285" s="658"/>
      <c r="AF285" s="658"/>
      <c r="AG285" s="658"/>
      <c r="AH285" s="658"/>
      <c r="AI285" s="658"/>
      <c r="AJ285" s="658"/>
      <c r="AK285" s="658"/>
      <c r="AL285" s="658"/>
      <c r="AM285" s="658"/>
      <c r="AN285" s="658"/>
      <c r="AO285" s="658"/>
      <c r="AP285" s="658"/>
      <c r="AQ285" s="658"/>
      <c r="AR285" s="658"/>
      <c r="AS285" s="658"/>
      <c r="AT285" s="658"/>
      <c r="AU285" s="658"/>
      <c r="AV285" s="658"/>
      <c r="AW285" s="658"/>
      <c r="AX285" s="658"/>
      <c r="AY285" s="658"/>
      <c r="AZ285" s="658"/>
      <c r="BA285" s="658"/>
      <c r="BB285" s="658"/>
      <c r="BC285" s="658"/>
      <c r="BD285" s="658"/>
      <c r="BE285" s="658"/>
      <c r="BF285" s="658"/>
      <c r="BG285" s="658"/>
      <c r="BH285" s="658"/>
      <c r="BI285" s="658"/>
      <c r="BJ285" s="658"/>
      <c r="BK285" s="658"/>
      <c r="BL285" s="658"/>
      <c r="BM285" s="658"/>
      <c r="BN285" s="658"/>
      <c r="BO285" s="658"/>
      <c r="BP285" s="658"/>
      <c r="BQ285" s="658"/>
      <c r="BR285" s="658"/>
      <c r="BS285" s="658"/>
      <c r="BT285" s="658"/>
      <c r="BU285" s="658"/>
      <c r="BV285" s="658"/>
      <c r="BW285" s="658"/>
      <c r="BX285" s="658"/>
      <c r="BY285" s="658"/>
      <c r="BZ285" s="658"/>
      <c r="CA285" s="658"/>
      <c r="CB285" s="658"/>
      <c r="CC285" s="658"/>
      <c r="CD285" s="658"/>
      <c r="CE285" s="658"/>
      <c r="CF285" s="658"/>
      <c r="CG285" s="658"/>
      <c r="CH285" s="658"/>
      <c r="CI285" s="658"/>
      <c r="CJ285" s="658"/>
      <c r="CK285" s="658"/>
      <c r="CL285" s="658"/>
      <c r="CM285" s="658"/>
      <c r="CN285" s="658"/>
      <c r="CO285" s="658"/>
      <c r="CP285" s="658"/>
      <c r="CQ285" s="658"/>
      <c r="CR285" s="658"/>
      <c r="CS285" s="658"/>
      <c r="CT285" s="658"/>
      <c r="CU285" s="658"/>
      <c r="CV285" s="658"/>
      <c r="CW285" s="658"/>
      <c r="CX285" s="658"/>
      <c r="CY285" s="658"/>
      <c r="CZ285" s="658"/>
      <c r="DA285" s="658"/>
      <c r="DB285" s="658"/>
      <c r="DC285" s="658"/>
      <c r="DD285" s="658"/>
      <c r="DE285" s="658"/>
      <c r="DF285" s="658"/>
      <c r="DG285" s="658"/>
      <c r="DH285" s="658"/>
      <c r="DI285" s="658"/>
      <c r="DJ285" s="658"/>
      <c r="DK285" s="658"/>
      <c r="DL285" s="658"/>
      <c r="DM285" s="658"/>
      <c r="DN285" s="658"/>
      <c r="DO285" s="177">
        <f t="shared" si="1844"/>
        <v>0</v>
      </c>
      <c r="DP285" s="612" t="e">
        <f t="shared" si="1845"/>
        <v>#N/A</v>
      </c>
      <c r="DQ285" s="612" t="e">
        <f t="shared" si="1841"/>
        <v>#NUM!</v>
      </c>
      <c r="DR285" s="177"/>
      <c r="DS285" s="177"/>
      <c r="DT285" s="177"/>
      <c r="DU285" s="177"/>
      <c r="DV285" s="177"/>
      <c r="DW285" s="177"/>
      <c r="DX285" s="177"/>
      <c r="DY285" s="177"/>
      <c r="DZ285" s="177"/>
      <c r="EA285" s="613"/>
    </row>
    <row r="286" spans="1:131" ht="14.25" thickBot="1">
      <c r="A286" s="652" t="str">
        <f t="shared" si="1837"/>
        <v>모펀드 출자 지분율</v>
      </c>
      <c r="B286" s="660" t="s">
        <v>356</v>
      </c>
      <c r="C286" s="787"/>
      <c r="D286" s="787"/>
      <c r="E286" s="787"/>
      <c r="F286" s="230"/>
      <c r="G286" s="230"/>
      <c r="I286" s="657">
        <f t="shared" si="1842"/>
        <v>0</v>
      </c>
      <c r="J286" s="606" t="str">
        <f t="shared" si="1843"/>
        <v>N/A</v>
      </c>
      <c r="K286" s="471"/>
      <c r="L286" s="607"/>
      <c r="M286" s="300"/>
      <c r="N286" s="608"/>
      <c r="O286" s="609">
        <f t="shared" si="1838"/>
        <v>0</v>
      </c>
      <c r="P286" s="609">
        <f t="shared" si="1839"/>
        <v>0</v>
      </c>
      <c r="Q286" s="609">
        <f t="shared" si="1840"/>
        <v>0</v>
      </c>
      <c r="R286" s="610" t="str">
        <f>IFERROR(Q286/Q288,"")</f>
        <v/>
      </c>
      <c r="S286" s="658"/>
      <c r="T286" s="658"/>
      <c r="U286" s="658"/>
      <c r="V286" s="658"/>
      <c r="W286" s="658"/>
      <c r="X286" s="658"/>
      <c r="Y286" s="658"/>
      <c r="Z286" s="658"/>
      <c r="AA286" s="658"/>
      <c r="AB286" s="658"/>
      <c r="AC286" s="658"/>
      <c r="AD286" s="658"/>
      <c r="AE286" s="658"/>
      <c r="AF286" s="658"/>
      <c r="AG286" s="658"/>
      <c r="AH286" s="658"/>
      <c r="AI286" s="658"/>
      <c r="AJ286" s="658"/>
      <c r="AK286" s="658"/>
      <c r="AL286" s="658"/>
      <c r="AM286" s="658"/>
      <c r="AN286" s="658"/>
      <c r="AO286" s="658"/>
      <c r="AP286" s="658"/>
      <c r="AQ286" s="658"/>
      <c r="AR286" s="658"/>
      <c r="AS286" s="658"/>
      <c r="AT286" s="658"/>
      <c r="AU286" s="658"/>
      <c r="AV286" s="658"/>
      <c r="AW286" s="658"/>
      <c r="AX286" s="658"/>
      <c r="AY286" s="658"/>
      <c r="AZ286" s="658"/>
      <c r="BA286" s="658"/>
      <c r="BB286" s="658"/>
      <c r="BC286" s="658"/>
      <c r="BD286" s="658"/>
      <c r="BE286" s="658"/>
      <c r="BF286" s="658"/>
      <c r="BG286" s="658"/>
      <c r="BH286" s="658"/>
      <c r="BI286" s="658"/>
      <c r="BJ286" s="658"/>
      <c r="BK286" s="658"/>
      <c r="BL286" s="658"/>
      <c r="BM286" s="658"/>
      <c r="BN286" s="658"/>
      <c r="BO286" s="658"/>
      <c r="BP286" s="658"/>
      <c r="BQ286" s="658"/>
      <c r="BR286" s="658"/>
      <c r="BS286" s="658"/>
      <c r="BT286" s="658"/>
      <c r="BU286" s="658"/>
      <c r="BV286" s="658"/>
      <c r="BW286" s="658"/>
      <c r="BX286" s="658"/>
      <c r="BY286" s="658"/>
      <c r="BZ286" s="658"/>
      <c r="CA286" s="658"/>
      <c r="CB286" s="658"/>
      <c r="CC286" s="658"/>
      <c r="CD286" s="658"/>
      <c r="CE286" s="658"/>
      <c r="CF286" s="658"/>
      <c r="CG286" s="658"/>
      <c r="CH286" s="658"/>
      <c r="CI286" s="658"/>
      <c r="CJ286" s="658"/>
      <c r="CK286" s="658"/>
      <c r="CL286" s="658"/>
      <c r="CM286" s="658"/>
      <c r="CN286" s="658"/>
      <c r="CO286" s="658"/>
      <c r="CP286" s="658"/>
      <c r="CQ286" s="658"/>
      <c r="CR286" s="658"/>
      <c r="CS286" s="658"/>
      <c r="CT286" s="658"/>
      <c r="CU286" s="658"/>
      <c r="CV286" s="658"/>
      <c r="CW286" s="658"/>
      <c r="CX286" s="658"/>
      <c r="CY286" s="658"/>
      <c r="CZ286" s="658"/>
      <c r="DA286" s="658"/>
      <c r="DB286" s="658"/>
      <c r="DC286" s="658"/>
      <c r="DD286" s="658"/>
      <c r="DE286" s="658"/>
      <c r="DF286" s="658"/>
      <c r="DG286" s="658"/>
      <c r="DH286" s="658"/>
      <c r="DI286" s="658"/>
      <c r="DJ286" s="658"/>
      <c r="DK286" s="658"/>
      <c r="DL286" s="658"/>
      <c r="DM286" s="658"/>
      <c r="DN286" s="658"/>
      <c r="DO286" s="177">
        <f t="shared" si="1844"/>
        <v>0</v>
      </c>
      <c r="DP286" s="612" t="e">
        <f t="shared" si="1845"/>
        <v>#N/A</v>
      </c>
      <c r="DQ286" s="612" t="e">
        <f t="shared" si="1841"/>
        <v>#NUM!</v>
      </c>
      <c r="DR286" s="177"/>
      <c r="DS286" s="177"/>
      <c r="DT286" s="177"/>
      <c r="DU286" s="177"/>
      <c r="DV286" s="177"/>
      <c r="DW286" s="177"/>
      <c r="DX286" s="177"/>
      <c r="DY286" s="177"/>
      <c r="DZ286" s="177"/>
      <c r="EA286" s="613"/>
    </row>
    <row r="287" spans="1:131" ht="14.25" thickBot="1">
      <c r="B287" s="778" t="s">
        <v>3404</v>
      </c>
      <c r="C287" s="616" t="s">
        <v>223</v>
      </c>
      <c r="D287" s="616" t="s">
        <v>224</v>
      </c>
      <c r="E287" s="616" t="s">
        <v>225</v>
      </c>
      <c r="F287" s="230"/>
      <c r="G287" s="230"/>
      <c r="I287" s="657">
        <f t="shared" si="1842"/>
        <v>0</v>
      </c>
      <c r="J287" s="606" t="str">
        <f t="shared" si="1843"/>
        <v>N/A</v>
      </c>
      <c r="K287" s="471"/>
      <c r="L287" s="607"/>
      <c r="M287" s="300"/>
      <c r="N287" s="608"/>
      <c r="O287" s="609">
        <f t="shared" si="1838"/>
        <v>0</v>
      </c>
      <c r="P287" s="609">
        <f t="shared" si="1839"/>
        <v>0</v>
      </c>
      <c r="Q287" s="609">
        <f t="shared" si="1840"/>
        <v>0</v>
      </c>
      <c r="R287" s="610" t="str">
        <f>IFERROR(Q287/Q288,"")</f>
        <v/>
      </c>
      <c r="S287" s="658"/>
      <c r="T287" s="658"/>
      <c r="U287" s="658"/>
      <c r="V287" s="658"/>
      <c r="W287" s="658"/>
      <c r="X287" s="658"/>
      <c r="Y287" s="658"/>
      <c r="Z287" s="658"/>
      <c r="AA287" s="658"/>
      <c r="AB287" s="658"/>
      <c r="AC287" s="658"/>
      <c r="AD287" s="658"/>
      <c r="AE287" s="658"/>
      <c r="AF287" s="658"/>
      <c r="AG287" s="658"/>
      <c r="AH287" s="658"/>
      <c r="AI287" s="658"/>
      <c r="AJ287" s="658"/>
      <c r="AK287" s="658"/>
      <c r="AL287" s="658"/>
      <c r="AM287" s="658"/>
      <c r="AN287" s="658"/>
      <c r="AO287" s="658"/>
      <c r="AP287" s="658"/>
      <c r="AQ287" s="658"/>
      <c r="AR287" s="658"/>
      <c r="AS287" s="658"/>
      <c r="AT287" s="658"/>
      <c r="AU287" s="658"/>
      <c r="AV287" s="658"/>
      <c r="AW287" s="658"/>
      <c r="AX287" s="658"/>
      <c r="AY287" s="658"/>
      <c r="AZ287" s="658"/>
      <c r="BA287" s="658"/>
      <c r="BB287" s="658"/>
      <c r="BC287" s="658"/>
      <c r="BD287" s="658"/>
      <c r="BE287" s="658"/>
      <c r="BF287" s="658"/>
      <c r="BG287" s="658"/>
      <c r="BH287" s="658"/>
      <c r="BI287" s="658"/>
      <c r="BJ287" s="658"/>
      <c r="BK287" s="658"/>
      <c r="BL287" s="658"/>
      <c r="BM287" s="658"/>
      <c r="BN287" s="658"/>
      <c r="BO287" s="658"/>
      <c r="BP287" s="658"/>
      <c r="BQ287" s="658"/>
      <c r="BR287" s="658"/>
      <c r="BS287" s="658"/>
      <c r="BT287" s="658"/>
      <c r="BU287" s="658"/>
      <c r="BV287" s="658"/>
      <c r="BW287" s="658"/>
      <c r="BX287" s="658"/>
      <c r="BY287" s="658"/>
      <c r="BZ287" s="658"/>
      <c r="CA287" s="658"/>
      <c r="CB287" s="658"/>
      <c r="CC287" s="658"/>
      <c r="CD287" s="658"/>
      <c r="CE287" s="658"/>
      <c r="CF287" s="658"/>
      <c r="CG287" s="658"/>
      <c r="CH287" s="658"/>
      <c r="CI287" s="658"/>
      <c r="CJ287" s="658"/>
      <c r="CK287" s="658"/>
      <c r="CL287" s="658"/>
      <c r="CM287" s="658"/>
      <c r="CN287" s="658"/>
      <c r="CO287" s="658"/>
      <c r="CP287" s="658"/>
      <c r="CQ287" s="658"/>
      <c r="CR287" s="658"/>
      <c r="CS287" s="658"/>
      <c r="CT287" s="658"/>
      <c r="CU287" s="658"/>
      <c r="CV287" s="658"/>
      <c r="CW287" s="658"/>
      <c r="CX287" s="658"/>
      <c r="CY287" s="658"/>
      <c r="CZ287" s="658"/>
      <c r="DA287" s="658"/>
      <c r="DB287" s="658"/>
      <c r="DC287" s="658"/>
      <c r="DD287" s="658"/>
      <c r="DE287" s="658"/>
      <c r="DF287" s="658"/>
      <c r="DG287" s="658"/>
      <c r="DH287" s="658"/>
      <c r="DI287" s="658"/>
      <c r="DJ287" s="658"/>
      <c r="DK287" s="658"/>
      <c r="DL287" s="658"/>
      <c r="DM287" s="658"/>
      <c r="DN287" s="658"/>
      <c r="DO287" s="177">
        <f t="shared" si="1844"/>
        <v>0</v>
      </c>
      <c r="DP287" s="612" t="e">
        <f t="shared" si="1845"/>
        <v>#N/A</v>
      </c>
      <c r="DQ287" s="612" t="e">
        <f t="shared" si="1841"/>
        <v>#NUM!</v>
      </c>
      <c r="DR287" s="177"/>
      <c r="DS287" s="177"/>
      <c r="DT287" s="177"/>
      <c r="DU287" s="177"/>
      <c r="DV287" s="177"/>
      <c r="DW287" s="177"/>
      <c r="DX287" s="177"/>
      <c r="DY287" s="177"/>
      <c r="DZ287" s="177"/>
      <c r="EA287" s="613"/>
    </row>
    <row r="288" spans="1:131" ht="14.25" thickBot="1">
      <c r="A288" s="317"/>
      <c r="B288" s="779"/>
      <c r="C288" s="661"/>
      <c r="D288" s="661"/>
      <c r="E288" s="661"/>
      <c r="F288" s="662"/>
      <c r="G288" s="662"/>
      <c r="H288" s="317"/>
      <c r="I288" s="634">
        <f>SUM(I280:I287)</f>
        <v>0</v>
      </c>
      <c r="J288" s="663"/>
      <c r="K288" s="664"/>
      <c r="L288" s="664"/>
      <c r="M288" s="664"/>
      <c r="N288" s="634">
        <f t="shared" ref="N288:R288" si="1846">SUM(N280:N287)</f>
        <v>0</v>
      </c>
      <c r="O288" s="634">
        <f t="shared" si="1846"/>
        <v>0</v>
      </c>
      <c r="P288" s="634">
        <f t="shared" si="1846"/>
        <v>0</v>
      </c>
      <c r="Q288" s="634">
        <f t="shared" si="1846"/>
        <v>0</v>
      </c>
      <c r="R288" s="665">
        <f t="shared" si="1846"/>
        <v>0</v>
      </c>
      <c r="S288" s="634">
        <f>SUM(S280:S287)</f>
        <v>0</v>
      </c>
      <c r="T288" s="634">
        <f t="shared" ref="T288" si="1847">SUM(T280:T287)</f>
        <v>0</v>
      </c>
      <c r="U288" s="634">
        <f t="shared" ref="U288" si="1848">SUM(U280:U287)</f>
        <v>0</v>
      </c>
      <c r="V288" s="634">
        <f t="shared" ref="V288" si="1849">SUM(V280:V287)</f>
        <v>0</v>
      </c>
      <c r="W288" s="634">
        <f t="shared" ref="W288" si="1850">SUM(W280:W287)</f>
        <v>0</v>
      </c>
      <c r="X288" s="634">
        <f t="shared" ref="X288" si="1851">SUM(X280:X287)</f>
        <v>0</v>
      </c>
      <c r="Y288" s="634">
        <f t="shared" ref="Y288" si="1852">SUM(Y280:Y287)</f>
        <v>0</v>
      </c>
      <c r="Z288" s="634">
        <f t="shared" ref="Z288" si="1853">SUM(Z280:Z287)</f>
        <v>0</v>
      </c>
      <c r="AA288" s="634">
        <f t="shared" ref="AA288" si="1854">SUM(AA280:AA287)</f>
        <v>0</v>
      </c>
      <c r="AB288" s="634">
        <f t="shared" ref="AB288" si="1855">SUM(AB280:AB287)</f>
        <v>0</v>
      </c>
      <c r="AC288" s="634">
        <f t="shared" ref="AC288" si="1856">SUM(AC280:AC287)</f>
        <v>0</v>
      </c>
      <c r="AD288" s="634">
        <f t="shared" ref="AD288" si="1857">SUM(AD280:AD287)</f>
        <v>0</v>
      </c>
      <c r="AE288" s="634">
        <f t="shared" ref="AE288" si="1858">SUM(AE280:AE287)</f>
        <v>0</v>
      </c>
      <c r="AF288" s="634">
        <f t="shared" ref="AF288" si="1859">SUM(AF280:AF287)</f>
        <v>0</v>
      </c>
      <c r="AG288" s="634">
        <f t="shared" ref="AG288" si="1860">SUM(AG280:AG287)</f>
        <v>0</v>
      </c>
      <c r="AH288" s="634">
        <f t="shared" ref="AH288" si="1861">SUM(AH280:AH287)</f>
        <v>0</v>
      </c>
      <c r="AI288" s="634">
        <f t="shared" ref="AI288" si="1862">SUM(AI280:AI287)</f>
        <v>0</v>
      </c>
      <c r="AJ288" s="634">
        <f t="shared" ref="AJ288" si="1863">SUM(AJ280:AJ287)</f>
        <v>0</v>
      </c>
      <c r="AK288" s="634">
        <f t="shared" ref="AK288" si="1864">SUM(AK280:AK287)</f>
        <v>0</v>
      </c>
      <c r="AL288" s="634">
        <f t="shared" ref="AL288" si="1865">SUM(AL280:AL287)</f>
        <v>0</v>
      </c>
      <c r="AM288" s="634">
        <f t="shared" ref="AM288" si="1866">SUM(AM280:AM287)</f>
        <v>0</v>
      </c>
      <c r="AN288" s="634">
        <f t="shared" ref="AN288" si="1867">SUM(AN280:AN287)</f>
        <v>0</v>
      </c>
      <c r="AO288" s="634">
        <f t="shared" ref="AO288" si="1868">SUM(AO280:AO287)</f>
        <v>0</v>
      </c>
      <c r="AP288" s="634">
        <f t="shared" ref="AP288" si="1869">SUM(AP280:AP287)</f>
        <v>0</v>
      </c>
      <c r="AQ288" s="634">
        <f t="shared" ref="AQ288" si="1870">SUM(AQ280:AQ287)</f>
        <v>0</v>
      </c>
      <c r="AR288" s="634">
        <f t="shared" ref="AR288" si="1871">SUM(AR280:AR287)</f>
        <v>0</v>
      </c>
      <c r="AS288" s="634">
        <f t="shared" ref="AS288" si="1872">SUM(AS280:AS287)</f>
        <v>0</v>
      </c>
      <c r="AT288" s="634">
        <f t="shared" ref="AT288" si="1873">SUM(AT280:AT287)</f>
        <v>0</v>
      </c>
      <c r="AU288" s="634">
        <f t="shared" ref="AU288" si="1874">SUM(AU280:AU287)</f>
        <v>0</v>
      </c>
      <c r="AV288" s="634">
        <f t="shared" ref="AV288" si="1875">SUM(AV280:AV287)</f>
        <v>0</v>
      </c>
      <c r="AW288" s="634">
        <f t="shared" ref="AW288" si="1876">SUM(AW280:AW287)</f>
        <v>0</v>
      </c>
      <c r="AX288" s="634">
        <f t="shared" ref="AX288" si="1877">SUM(AX280:AX287)</f>
        <v>0</v>
      </c>
      <c r="AY288" s="634">
        <f t="shared" ref="AY288" si="1878">SUM(AY280:AY287)</f>
        <v>0</v>
      </c>
      <c r="AZ288" s="634">
        <f t="shared" ref="AZ288" si="1879">SUM(AZ280:AZ287)</f>
        <v>0</v>
      </c>
      <c r="BA288" s="634">
        <f t="shared" ref="BA288" si="1880">SUM(BA280:BA287)</f>
        <v>0</v>
      </c>
      <c r="BB288" s="634">
        <f t="shared" ref="BB288" si="1881">SUM(BB280:BB287)</f>
        <v>0</v>
      </c>
      <c r="BC288" s="634">
        <f t="shared" ref="BC288" si="1882">SUM(BC280:BC287)</f>
        <v>0</v>
      </c>
      <c r="BD288" s="634">
        <f t="shared" ref="BD288" si="1883">SUM(BD280:BD287)</f>
        <v>0</v>
      </c>
      <c r="BE288" s="634">
        <f t="shared" ref="BE288" si="1884">SUM(BE280:BE287)</f>
        <v>0</v>
      </c>
      <c r="BF288" s="634">
        <f t="shared" ref="BF288" si="1885">SUM(BF280:BF287)</f>
        <v>0</v>
      </c>
      <c r="BG288" s="634">
        <f t="shared" ref="BG288" si="1886">SUM(BG280:BG287)</f>
        <v>0</v>
      </c>
      <c r="BH288" s="634">
        <f t="shared" ref="BH288" si="1887">SUM(BH280:BH287)</f>
        <v>0</v>
      </c>
      <c r="BI288" s="634">
        <f t="shared" ref="BI288" si="1888">SUM(BI280:BI287)</f>
        <v>0</v>
      </c>
      <c r="BJ288" s="634">
        <f t="shared" ref="BJ288" si="1889">SUM(BJ280:BJ287)</f>
        <v>0</v>
      </c>
      <c r="BK288" s="634">
        <f t="shared" ref="BK288" si="1890">SUM(BK280:BK287)</f>
        <v>0</v>
      </c>
      <c r="BL288" s="634">
        <f t="shared" ref="BL288" si="1891">SUM(BL280:BL287)</f>
        <v>0</v>
      </c>
      <c r="BM288" s="634">
        <f t="shared" ref="BM288" si="1892">SUM(BM280:BM287)</f>
        <v>0</v>
      </c>
      <c r="BN288" s="634">
        <f t="shared" ref="BN288" si="1893">SUM(BN280:BN287)</f>
        <v>0</v>
      </c>
      <c r="BO288" s="634">
        <f t="shared" ref="BO288" si="1894">SUM(BO280:BO287)</f>
        <v>0</v>
      </c>
      <c r="BP288" s="634">
        <f t="shared" ref="BP288" si="1895">SUM(BP280:BP287)</f>
        <v>0</v>
      </c>
      <c r="BQ288" s="634">
        <f t="shared" ref="BQ288" si="1896">SUM(BQ280:BQ287)</f>
        <v>0</v>
      </c>
      <c r="BR288" s="634">
        <f t="shared" ref="BR288" si="1897">SUM(BR280:BR287)</f>
        <v>0</v>
      </c>
      <c r="BS288" s="634">
        <f t="shared" ref="BS288" si="1898">SUM(BS280:BS287)</f>
        <v>0</v>
      </c>
      <c r="BT288" s="634">
        <f t="shared" ref="BT288" si="1899">SUM(BT280:BT287)</f>
        <v>0</v>
      </c>
      <c r="BU288" s="634">
        <f t="shared" ref="BU288" si="1900">SUM(BU280:BU287)</f>
        <v>0</v>
      </c>
      <c r="BV288" s="634">
        <f t="shared" ref="BV288" si="1901">SUM(BV280:BV287)</f>
        <v>0</v>
      </c>
      <c r="BW288" s="634">
        <f t="shared" ref="BW288" si="1902">SUM(BW280:BW287)</f>
        <v>0</v>
      </c>
      <c r="BX288" s="634">
        <f t="shared" ref="BX288" si="1903">SUM(BX280:BX287)</f>
        <v>0</v>
      </c>
      <c r="BY288" s="634">
        <f t="shared" ref="BY288" si="1904">SUM(BY280:BY287)</f>
        <v>0</v>
      </c>
      <c r="BZ288" s="634">
        <f t="shared" ref="BZ288" si="1905">SUM(BZ280:BZ287)</f>
        <v>0</v>
      </c>
      <c r="CA288" s="634">
        <f t="shared" ref="CA288" si="1906">SUM(CA280:CA287)</f>
        <v>0</v>
      </c>
      <c r="CB288" s="634">
        <f t="shared" ref="CB288" si="1907">SUM(CB280:CB287)</f>
        <v>0</v>
      </c>
      <c r="CC288" s="634">
        <f t="shared" ref="CC288" si="1908">SUM(CC280:CC287)</f>
        <v>0</v>
      </c>
      <c r="CD288" s="634">
        <f t="shared" ref="CD288" si="1909">SUM(CD280:CD287)</f>
        <v>0</v>
      </c>
      <c r="CE288" s="634">
        <f t="shared" ref="CE288" si="1910">SUM(CE280:CE287)</f>
        <v>0</v>
      </c>
      <c r="CF288" s="634">
        <f t="shared" ref="CF288" si="1911">SUM(CF280:CF287)</f>
        <v>0</v>
      </c>
      <c r="CG288" s="634">
        <f t="shared" ref="CG288" si="1912">SUM(CG280:CG287)</f>
        <v>0</v>
      </c>
      <c r="CH288" s="634">
        <f t="shared" ref="CH288" si="1913">SUM(CH280:CH287)</f>
        <v>0</v>
      </c>
      <c r="CI288" s="634">
        <f t="shared" ref="CI288" si="1914">SUM(CI280:CI287)</f>
        <v>0</v>
      </c>
      <c r="CJ288" s="634">
        <f t="shared" ref="CJ288" si="1915">SUM(CJ280:CJ287)</f>
        <v>0</v>
      </c>
      <c r="CK288" s="634">
        <f t="shared" ref="CK288" si="1916">SUM(CK280:CK287)</f>
        <v>0</v>
      </c>
      <c r="CL288" s="634">
        <f t="shared" ref="CL288" si="1917">SUM(CL280:CL287)</f>
        <v>0</v>
      </c>
      <c r="CM288" s="634">
        <f t="shared" ref="CM288" si="1918">SUM(CM280:CM287)</f>
        <v>0</v>
      </c>
      <c r="CN288" s="634">
        <f t="shared" ref="CN288" si="1919">SUM(CN280:CN287)</f>
        <v>0</v>
      </c>
      <c r="CO288" s="634">
        <f t="shared" ref="CO288" si="1920">SUM(CO280:CO287)</f>
        <v>0</v>
      </c>
      <c r="CP288" s="634">
        <f t="shared" ref="CP288" si="1921">SUM(CP280:CP287)</f>
        <v>0</v>
      </c>
      <c r="CQ288" s="634">
        <f t="shared" ref="CQ288" si="1922">SUM(CQ280:CQ287)</f>
        <v>0</v>
      </c>
      <c r="CR288" s="634">
        <f t="shared" ref="CR288" si="1923">SUM(CR280:CR287)</f>
        <v>0</v>
      </c>
      <c r="CS288" s="634">
        <f t="shared" ref="CS288" si="1924">SUM(CS280:CS287)</f>
        <v>0</v>
      </c>
      <c r="CT288" s="634">
        <f t="shared" ref="CT288" si="1925">SUM(CT280:CT287)</f>
        <v>0</v>
      </c>
      <c r="CU288" s="634">
        <f t="shared" ref="CU288" si="1926">SUM(CU280:CU287)</f>
        <v>0</v>
      </c>
      <c r="CV288" s="634">
        <f t="shared" ref="CV288" si="1927">SUM(CV280:CV287)</f>
        <v>0</v>
      </c>
      <c r="CW288" s="634">
        <f t="shared" ref="CW288" si="1928">SUM(CW280:CW287)</f>
        <v>0</v>
      </c>
      <c r="CX288" s="634">
        <f t="shared" ref="CX288" si="1929">SUM(CX280:CX287)</f>
        <v>0</v>
      </c>
      <c r="CY288" s="634">
        <f t="shared" ref="CY288" si="1930">SUM(CY280:CY287)</f>
        <v>0</v>
      </c>
      <c r="CZ288" s="634">
        <f t="shared" ref="CZ288" si="1931">SUM(CZ280:CZ287)</f>
        <v>0</v>
      </c>
      <c r="DA288" s="634">
        <f t="shared" ref="DA288" si="1932">SUM(DA280:DA287)</f>
        <v>0</v>
      </c>
      <c r="DB288" s="634">
        <f t="shared" ref="DB288" si="1933">SUM(DB280:DB287)</f>
        <v>0</v>
      </c>
      <c r="DC288" s="634">
        <f t="shared" ref="DC288" si="1934">SUM(DC280:DC287)</f>
        <v>0</v>
      </c>
      <c r="DD288" s="634">
        <f t="shared" ref="DD288" si="1935">SUM(DD280:DD287)</f>
        <v>0</v>
      </c>
      <c r="DE288" s="634">
        <f t="shared" ref="DE288" si="1936">SUM(DE280:DE287)</f>
        <v>0</v>
      </c>
      <c r="DF288" s="634">
        <f t="shared" ref="DF288" si="1937">SUM(DF280:DF287)</f>
        <v>0</v>
      </c>
      <c r="DG288" s="634">
        <f t="shared" ref="DG288" si="1938">SUM(DG280:DG287)</f>
        <v>0</v>
      </c>
      <c r="DH288" s="634">
        <f t="shared" ref="DH288" si="1939">SUM(DH280:DH287)</f>
        <v>0</v>
      </c>
      <c r="DI288" s="634">
        <f t="shared" ref="DI288" si="1940">SUM(DI280:DI287)</f>
        <v>0</v>
      </c>
      <c r="DJ288" s="634">
        <f t="shared" ref="DJ288" si="1941">SUM(DJ280:DJ287)</f>
        <v>0</v>
      </c>
      <c r="DK288" s="634">
        <f t="shared" ref="DK288" si="1942">SUM(DK280:DK287)</f>
        <v>0</v>
      </c>
      <c r="DL288" s="634">
        <f t="shared" ref="DL288" si="1943">SUM(DL280:DL287)</f>
        <v>0</v>
      </c>
      <c r="DM288" s="634">
        <f t="shared" ref="DM288" si="1944">SUM(DM280:DM287)</f>
        <v>0</v>
      </c>
      <c r="DN288" s="634">
        <f t="shared" ref="DN288" si="1945">SUM(DN280:DN287)</f>
        <v>0</v>
      </c>
      <c r="DO288" s="634">
        <f t="shared" ref="DO288" si="1946">SUM(DO280:DO287)</f>
        <v>0</v>
      </c>
      <c r="DP288" s="666"/>
      <c r="DQ288" s="638" t="e">
        <f>XIRR(S288:DO288,$S$279:$DO$279)</f>
        <v>#NUM!</v>
      </c>
      <c r="DR288" s="636">
        <f t="shared" ref="DR288:DW288" si="1947">SUM(DR280:DR287)</f>
        <v>0</v>
      </c>
      <c r="DS288" s="636">
        <f t="shared" si="1947"/>
        <v>0</v>
      </c>
      <c r="DT288" s="636">
        <f t="shared" si="1947"/>
        <v>0</v>
      </c>
      <c r="DU288" s="636">
        <f t="shared" si="1947"/>
        <v>0</v>
      </c>
      <c r="DV288" s="636">
        <f t="shared" si="1947"/>
        <v>0</v>
      </c>
      <c r="DW288" s="636">
        <f t="shared" si="1947"/>
        <v>0</v>
      </c>
      <c r="DX288" s="636"/>
      <c r="DY288" s="636">
        <f>SUM(DY280:DY287)</f>
        <v>0</v>
      </c>
      <c r="DZ288" s="636">
        <f>SUM(DZ280:DZ287)</f>
        <v>0</v>
      </c>
      <c r="EA288" s="636">
        <f>SUM(EA280:EA287)</f>
        <v>0</v>
      </c>
    </row>
    <row r="289" spans="1:131" ht="14.25" thickBot="1">
      <c r="A289" s="172"/>
      <c r="B289" s="667"/>
      <c r="C289" s="592" t="s">
        <v>3609</v>
      </c>
      <c r="D289" s="648">
        <f>D277+1</f>
        <v>20</v>
      </c>
      <c r="E289" s="649"/>
      <c r="F289" s="603"/>
      <c r="G289" s="603"/>
      <c r="I289" s="650" t="b">
        <f>I300=DR291</f>
        <v>1</v>
      </c>
      <c r="J289" s="172"/>
      <c r="K289" s="172"/>
      <c r="L289" s="172"/>
      <c r="M289" s="172"/>
      <c r="N289" s="172"/>
      <c r="O289" s="172"/>
      <c r="P289" s="172"/>
      <c r="Q289" s="639" t="str">
        <f>IF(Q300=NAV!E941,"자본금과 일치","자본금과 불일치")</f>
        <v>자본금과 일치</v>
      </c>
      <c r="R289" s="172"/>
      <c r="S289" s="172"/>
      <c r="T289" s="172"/>
      <c r="U289" s="172"/>
      <c r="V289" s="172"/>
      <c r="W289" s="172"/>
      <c r="X289" s="172"/>
      <c r="Y289" s="172"/>
      <c r="Z289" s="172"/>
      <c r="AA289" s="172"/>
      <c r="AB289" s="172"/>
      <c r="AC289" s="172"/>
      <c r="AD289" s="172"/>
      <c r="AE289" s="172"/>
      <c r="AF289" s="172"/>
      <c r="AG289" s="172"/>
      <c r="AH289" s="172"/>
      <c r="AI289" s="172"/>
      <c r="AJ289" s="172"/>
      <c r="AK289" s="172"/>
      <c r="AL289" s="172"/>
      <c r="AM289" s="172"/>
      <c r="AN289" s="172"/>
      <c r="AO289" s="172"/>
      <c r="AP289" s="172"/>
      <c r="AQ289" s="172"/>
      <c r="AR289" s="172"/>
      <c r="AS289" s="172"/>
      <c r="AT289" s="172"/>
      <c r="AU289" s="172"/>
      <c r="AV289" s="172"/>
      <c r="AW289" s="172"/>
      <c r="AX289" s="172"/>
      <c r="AY289" s="172"/>
      <c r="AZ289" s="172"/>
      <c r="BA289" s="172"/>
      <c r="BB289" s="172"/>
      <c r="BC289" s="172"/>
      <c r="BD289" s="172"/>
      <c r="BE289" s="172"/>
      <c r="BF289" s="172"/>
      <c r="BG289" s="172"/>
      <c r="BH289" s="172"/>
      <c r="BI289" s="172"/>
      <c r="BJ289" s="172"/>
      <c r="BK289" s="172"/>
      <c r="BL289" s="172"/>
      <c r="BM289" s="172"/>
      <c r="BN289" s="172"/>
      <c r="BO289" s="172"/>
      <c r="BP289" s="172"/>
      <c r="BQ289" s="172"/>
      <c r="BR289" s="172"/>
      <c r="BS289" s="172"/>
      <c r="BT289" s="172"/>
      <c r="BU289" s="172"/>
      <c r="BV289" s="172"/>
      <c r="BW289" s="172"/>
      <c r="BX289" s="172"/>
      <c r="BY289" s="172"/>
      <c r="BZ289" s="172"/>
      <c r="CA289" s="172"/>
      <c r="CB289" s="172"/>
      <c r="CC289" s="172"/>
      <c r="CD289" s="172"/>
      <c r="CE289" s="172"/>
      <c r="CF289" s="172"/>
      <c r="CG289" s="172"/>
      <c r="CH289" s="172"/>
      <c r="CI289" s="172"/>
      <c r="CJ289" s="172"/>
      <c r="CK289" s="172"/>
      <c r="CL289" s="172"/>
      <c r="CM289" s="172"/>
      <c r="CN289" s="172"/>
      <c r="CO289" s="172"/>
      <c r="CP289" s="172"/>
      <c r="CQ289" s="172"/>
      <c r="CR289" s="172"/>
      <c r="CS289" s="172"/>
      <c r="CT289" s="172"/>
      <c r="CU289" s="172"/>
      <c r="CV289" s="172"/>
      <c r="CW289" s="172"/>
      <c r="CX289" s="172"/>
      <c r="CY289" s="172"/>
      <c r="CZ289" s="172"/>
      <c r="DA289" s="172"/>
      <c r="DB289" s="172"/>
      <c r="DC289" s="172"/>
      <c r="DD289" s="172"/>
      <c r="DE289" s="172"/>
      <c r="DF289" s="172"/>
      <c r="DG289" s="172"/>
      <c r="DH289" s="172"/>
      <c r="DI289" s="172"/>
      <c r="DJ289" s="172"/>
      <c r="DK289" s="172"/>
      <c r="DL289" s="172"/>
      <c r="DM289" s="172"/>
      <c r="DN289" s="172"/>
      <c r="DO289" s="588" t="s">
        <v>219</v>
      </c>
      <c r="DP289" s="588" t="str">
        <f>IF(ROUND(_xlfn.AGGREGATE(9,6,DP292:DP299),5)=ROUND(_xlfn.AGGREGATE(9,6,DQ292:DQ299),5),"이상없음","기준수익률확인")</f>
        <v>이상없음</v>
      </c>
      <c r="DQ289" s="172"/>
      <c r="DR289" s="651" t="s">
        <v>3406</v>
      </c>
      <c r="DS289" s="172"/>
      <c r="DT289" s="615"/>
      <c r="DU289" s="615"/>
      <c r="DV289" s="172"/>
      <c r="DW289" s="172"/>
      <c r="DX289" s="615"/>
      <c r="DY289" s="172"/>
      <c r="DZ289" s="172"/>
      <c r="EA289" s="172"/>
    </row>
    <row r="290" spans="1:131" ht="13.5">
      <c r="A290" s="652" t="str">
        <f t="shared" ref="A290:A298" si="1948">$B$289&amp;B290</f>
        <v>SPC명</v>
      </c>
      <c r="B290" s="653" t="s">
        <v>349</v>
      </c>
      <c r="C290" s="780"/>
      <c r="D290" s="780"/>
      <c r="E290" s="780"/>
      <c r="F290" s="230"/>
      <c r="G290" s="230"/>
      <c r="I290" s="776" t="s">
        <v>3393</v>
      </c>
      <c r="J290" s="776" t="s">
        <v>3394</v>
      </c>
      <c r="K290" s="774" t="s">
        <v>3395</v>
      </c>
      <c r="L290" s="774" t="s">
        <v>3396</v>
      </c>
      <c r="M290" s="774" t="s">
        <v>203</v>
      </c>
      <c r="N290" s="774" t="s">
        <v>211</v>
      </c>
      <c r="O290" s="774" t="s">
        <v>3399</v>
      </c>
      <c r="P290" s="776" t="s">
        <v>239</v>
      </c>
      <c r="Q290" s="774" t="s">
        <v>3401</v>
      </c>
      <c r="R290" s="774" t="s">
        <v>3402</v>
      </c>
      <c r="S290" s="593"/>
      <c r="T290" s="593"/>
      <c r="U290" s="593"/>
      <c r="V290" s="593"/>
      <c r="W290" s="593"/>
      <c r="X290" s="593"/>
      <c r="Y290" s="593"/>
      <c r="Z290" s="593"/>
      <c r="AA290" s="593"/>
      <c r="AB290" s="593"/>
      <c r="AC290" s="593"/>
      <c r="AD290" s="593"/>
      <c r="AE290" s="593"/>
      <c r="AF290" s="593"/>
      <c r="AG290" s="593"/>
      <c r="AH290" s="593"/>
      <c r="AI290" s="593"/>
      <c r="AJ290" s="593"/>
      <c r="AK290" s="593"/>
      <c r="AL290" s="593"/>
      <c r="AM290" s="593"/>
      <c r="AN290" s="593"/>
      <c r="AO290" s="593"/>
      <c r="AP290" s="593"/>
      <c r="AQ290" s="593"/>
      <c r="AR290" s="593"/>
      <c r="AS290" s="593"/>
      <c r="AT290" s="593"/>
      <c r="AU290" s="593"/>
      <c r="AV290" s="593"/>
      <c r="AW290" s="593"/>
      <c r="AX290" s="593"/>
      <c r="AY290" s="593"/>
      <c r="AZ290" s="593"/>
      <c r="BA290" s="593"/>
      <c r="BB290" s="593"/>
      <c r="BC290" s="593"/>
      <c r="BD290" s="593"/>
      <c r="BE290" s="593"/>
      <c r="BF290" s="593"/>
      <c r="BG290" s="593"/>
      <c r="BH290" s="593"/>
      <c r="BI290" s="593"/>
      <c r="BJ290" s="593"/>
      <c r="BK290" s="593"/>
      <c r="BL290" s="593"/>
      <c r="BM290" s="593"/>
      <c r="BN290" s="593"/>
      <c r="BO290" s="593"/>
      <c r="BP290" s="593"/>
      <c r="BQ290" s="593"/>
      <c r="BR290" s="593"/>
      <c r="BS290" s="593"/>
      <c r="BT290" s="593"/>
      <c r="BU290" s="593"/>
      <c r="BV290" s="593"/>
      <c r="BW290" s="593"/>
      <c r="BX290" s="593"/>
      <c r="BY290" s="593"/>
      <c r="BZ290" s="593"/>
      <c r="CA290" s="593"/>
      <c r="CB290" s="593"/>
      <c r="CC290" s="593"/>
      <c r="CD290" s="593"/>
      <c r="CE290" s="593"/>
      <c r="CF290" s="593"/>
      <c r="CG290" s="593"/>
      <c r="CH290" s="593"/>
      <c r="CI290" s="593"/>
      <c r="CJ290" s="593"/>
      <c r="CK290" s="593"/>
      <c r="CL290" s="593"/>
      <c r="CM290" s="593"/>
      <c r="CN290" s="593"/>
      <c r="CO290" s="593"/>
      <c r="CP290" s="593"/>
      <c r="CQ290" s="593"/>
      <c r="CR290" s="593"/>
      <c r="CS290" s="593"/>
      <c r="CT290" s="593"/>
      <c r="CU290" s="593"/>
      <c r="CV290" s="593"/>
      <c r="CW290" s="593"/>
      <c r="CX290" s="593"/>
      <c r="CY290" s="593"/>
      <c r="CZ290" s="593"/>
      <c r="DA290" s="593"/>
      <c r="DB290" s="593"/>
      <c r="DC290" s="593"/>
      <c r="DD290" s="593"/>
      <c r="DE290" s="593"/>
      <c r="DF290" s="593"/>
      <c r="DG290" s="593"/>
      <c r="DH290" s="593"/>
      <c r="DI290" s="593"/>
      <c r="DJ290" s="593"/>
      <c r="DK290" s="593"/>
      <c r="DL290" s="593"/>
      <c r="DM290" s="593"/>
      <c r="DN290" s="593"/>
      <c r="DO290" s="594" t="s">
        <v>220</v>
      </c>
      <c r="DP290" s="774" t="s">
        <v>218</v>
      </c>
      <c r="DQ290" s="774" t="s">
        <v>222</v>
      </c>
      <c r="DR290" s="594"/>
      <c r="DS290" s="594"/>
      <c r="DT290" s="594"/>
      <c r="DU290" s="594"/>
      <c r="DV290" s="594"/>
      <c r="DW290" s="594"/>
      <c r="DX290" s="594"/>
      <c r="DY290" s="594"/>
      <c r="DZ290" s="594"/>
      <c r="EA290" s="602"/>
    </row>
    <row r="291" spans="1:131" ht="14.25" thickBot="1">
      <c r="A291" s="652" t="str">
        <f t="shared" si="1948"/>
        <v>유형</v>
      </c>
      <c r="B291" s="653" t="s">
        <v>350</v>
      </c>
      <c r="C291" s="780"/>
      <c r="D291" s="780"/>
      <c r="E291" s="780"/>
      <c r="F291" s="230"/>
      <c r="G291" s="230"/>
      <c r="I291" s="777"/>
      <c r="J291" s="777"/>
      <c r="K291" s="775"/>
      <c r="L291" s="775"/>
      <c r="M291" s="775"/>
      <c r="N291" s="775"/>
      <c r="O291" s="775"/>
      <c r="P291" s="777"/>
      <c r="Q291" s="775"/>
      <c r="R291" s="775"/>
      <c r="S291" s="601"/>
      <c r="T291" s="601"/>
      <c r="U291" s="601"/>
      <c r="V291" s="601"/>
      <c r="W291" s="601"/>
      <c r="X291" s="601"/>
      <c r="Y291" s="601"/>
      <c r="Z291" s="601"/>
      <c r="AA291" s="601"/>
      <c r="AB291" s="601"/>
      <c r="AC291" s="601"/>
      <c r="AD291" s="601"/>
      <c r="AE291" s="601"/>
      <c r="AF291" s="601"/>
      <c r="AG291" s="601"/>
      <c r="AH291" s="601"/>
      <c r="AI291" s="601"/>
      <c r="AJ291" s="601"/>
      <c r="AK291" s="601"/>
      <c r="AL291" s="601"/>
      <c r="AM291" s="601"/>
      <c r="AN291" s="601"/>
      <c r="AO291" s="601"/>
      <c r="AP291" s="601"/>
      <c r="AQ291" s="601"/>
      <c r="AR291" s="601"/>
      <c r="AS291" s="601"/>
      <c r="AT291" s="601"/>
      <c r="AU291" s="601"/>
      <c r="AV291" s="601"/>
      <c r="AW291" s="601"/>
      <c r="AX291" s="601"/>
      <c r="AY291" s="601"/>
      <c r="AZ291" s="601"/>
      <c r="BA291" s="601"/>
      <c r="BB291" s="601"/>
      <c r="BC291" s="601"/>
      <c r="BD291" s="601"/>
      <c r="BE291" s="601"/>
      <c r="BF291" s="601"/>
      <c r="BG291" s="601"/>
      <c r="BH291" s="601"/>
      <c r="BI291" s="601"/>
      <c r="BJ291" s="601"/>
      <c r="BK291" s="601"/>
      <c r="BL291" s="601"/>
      <c r="BM291" s="601"/>
      <c r="BN291" s="601"/>
      <c r="BO291" s="601"/>
      <c r="BP291" s="601"/>
      <c r="BQ291" s="601"/>
      <c r="BR291" s="601"/>
      <c r="BS291" s="601"/>
      <c r="BT291" s="601"/>
      <c r="BU291" s="601"/>
      <c r="BV291" s="601"/>
      <c r="BW291" s="601"/>
      <c r="BX291" s="601"/>
      <c r="BY291" s="601"/>
      <c r="BZ291" s="601"/>
      <c r="CA291" s="601"/>
      <c r="CB291" s="601"/>
      <c r="CC291" s="601"/>
      <c r="CD291" s="601"/>
      <c r="CE291" s="601"/>
      <c r="CF291" s="601"/>
      <c r="CG291" s="601"/>
      <c r="CH291" s="601"/>
      <c r="CI291" s="601"/>
      <c r="CJ291" s="601"/>
      <c r="CK291" s="601"/>
      <c r="CL291" s="601"/>
      <c r="CM291" s="601"/>
      <c r="CN291" s="601"/>
      <c r="CO291" s="601"/>
      <c r="CP291" s="601"/>
      <c r="CQ291" s="601"/>
      <c r="CR291" s="601"/>
      <c r="CS291" s="601"/>
      <c r="CT291" s="601"/>
      <c r="CU291" s="601"/>
      <c r="CV291" s="601"/>
      <c r="CW291" s="601"/>
      <c r="CX291" s="601"/>
      <c r="CY291" s="601"/>
      <c r="CZ291" s="601"/>
      <c r="DA291" s="601"/>
      <c r="DB291" s="601"/>
      <c r="DC291" s="601"/>
      <c r="DD291" s="601"/>
      <c r="DE291" s="601"/>
      <c r="DF291" s="601"/>
      <c r="DG291" s="601"/>
      <c r="DH291" s="601"/>
      <c r="DI291" s="601"/>
      <c r="DJ291" s="601"/>
      <c r="DK291" s="601"/>
      <c r="DL291" s="601"/>
      <c r="DM291" s="601"/>
      <c r="DN291" s="601"/>
      <c r="DO291" s="654">
        <f>$DO$7</f>
        <v>45473</v>
      </c>
      <c r="DP291" s="775"/>
      <c r="DQ291" s="775"/>
      <c r="DR291" s="595">
        <f>NAV!E947</f>
        <v>0</v>
      </c>
      <c r="DS291" s="596">
        <f>DR291-DR300</f>
        <v>0</v>
      </c>
      <c r="DT291" s="596"/>
      <c r="DU291" s="596"/>
      <c r="DV291" s="597"/>
      <c r="DW291" s="596"/>
      <c r="DX291" s="596"/>
      <c r="DY291" s="596"/>
      <c r="DZ291" s="655"/>
      <c r="EA291" s="656"/>
    </row>
    <row r="292" spans="1:131" ht="13.5">
      <c r="A292" s="652" t="str">
        <f t="shared" si="1948"/>
        <v>설정일</v>
      </c>
      <c r="B292" s="653" t="s">
        <v>351</v>
      </c>
      <c r="C292" s="781"/>
      <c r="D292" s="780"/>
      <c r="E292" s="780"/>
      <c r="F292" s="230"/>
      <c r="G292" s="230"/>
      <c r="I292" s="657">
        <f>SUM(DR292:EA292)</f>
        <v>0</v>
      </c>
      <c r="J292" s="606" t="str">
        <f>IFERROR(I292/(Q292/$C$294),"N/A")</f>
        <v>N/A</v>
      </c>
      <c r="K292" s="471"/>
      <c r="L292" s="607"/>
      <c r="M292" s="300"/>
      <c r="N292" s="608"/>
      <c r="O292" s="609">
        <f t="shared" ref="O292:O299" si="1949">-(SUMIF($S$290:$DN$290,"최초출자",S292:DN292)+SUMIF($S$290:$DN$290,"추가출자",S292:DN292))</f>
        <v>0</v>
      </c>
      <c r="P292" s="609">
        <f t="shared" ref="P292:P299" si="1950">SUMIF($S$290:$DN$290,"이익분배",S292:DN292)+SUMIF($S$290:$DN$290,"원본분배",S292:DN292)</f>
        <v>0</v>
      </c>
      <c r="Q292" s="609">
        <f t="shared" ref="Q292:Q299" si="1951">-(SUMIF($S$290:$DN$290,"최초출자",S292:DN292)+SUMIF($S$290:$DN$290,"추가출자",S292:DN292)+SUMIF($S$290:$DN$290,"원본분배",S292:DN292))</f>
        <v>0</v>
      </c>
      <c r="R292" s="610" t="str">
        <f>IFERROR(Q292/Q300,"")</f>
        <v/>
      </c>
      <c r="S292" s="658"/>
      <c r="T292" s="658"/>
      <c r="U292" s="658"/>
      <c r="V292" s="658"/>
      <c r="W292" s="658"/>
      <c r="X292" s="658"/>
      <c r="Y292" s="658"/>
      <c r="Z292" s="658"/>
      <c r="AA292" s="658"/>
      <c r="AB292" s="658"/>
      <c r="AC292" s="658"/>
      <c r="AD292" s="658"/>
      <c r="AE292" s="658"/>
      <c r="AF292" s="658"/>
      <c r="AG292" s="658"/>
      <c r="AH292" s="658"/>
      <c r="AI292" s="658"/>
      <c r="AJ292" s="658"/>
      <c r="AK292" s="658"/>
      <c r="AL292" s="658"/>
      <c r="AM292" s="658"/>
      <c r="AN292" s="658"/>
      <c r="AO292" s="658"/>
      <c r="AP292" s="658"/>
      <c r="AQ292" s="658"/>
      <c r="AR292" s="658"/>
      <c r="AS292" s="658"/>
      <c r="AT292" s="658"/>
      <c r="AU292" s="658"/>
      <c r="AV292" s="658"/>
      <c r="AW292" s="658"/>
      <c r="AX292" s="658"/>
      <c r="AY292" s="658"/>
      <c r="AZ292" s="658"/>
      <c r="BA292" s="658"/>
      <c r="BB292" s="658"/>
      <c r="BC292" s="658"/>
      <c r="BD292" s="658"/>
      <c r="BE292" s="658"/>
      <c r="BF292" s="658"/>
      <c r="BG292" s="658"/>
      <c r="BH292" s="658"/>
      <c r="BI292" s="658"/>
      <c r="BJ292" s="658"/>
      <c r="BK292" s="658"/>
      <c r="BL292" s="658"/>
      <c r="BM292" s="658"/>
      <c r="BN292" s="658"/>
      <c r="BO292" s="658"/>
      <c r="BP292" s="658"/>
      <c r="BQ292" s="658"/>
      <c r="BR292" s="658"/>
      <c r="BS292" s="658"/>
      <c r="BT292" s="658"/>
      <c r="BU292" s="658"/>
      <c r="BV292" s="658"/>
      <c r="BW292" s="658"/>
      <c r="BX292" s="658"/>
      <c r="BY292" s="658"/>
      <c r="BZ292" s="658"/>
      <c r="CA292" s="658"/>
      <c r="CB292" s="658"/>
      <c r="CC292" s="658"/>
      <c r="CD292" s="658"/>
      <c r="CE292" s="658"/>
      <c r="CF292" s="658"/>
      <c r="CG292" s="658"/>
      <c r="CH292" s="658"/>
      <c r="CI292" s="658"/>
      <c r="CJ292" s="658"/>
      <c r="CK292" s="658"/>
      <c r="CL292" s="658"/>
      <c r="CM292" s="658"/>
      <c r="CN292" s="658"/>
      <c r="CO292" s="658"/>
      <c r="CP292" s="658"/>
      <c r="CQ292" s="658"/>
      <c r="CR292" s="658"/>
      <c r="CS292" s="658"/>
      <c r="CT292" s="658"/>
      <c r="CU292" s="658"/>
      <c r="CV292" s="658"/>
      <c r="CW292" s="658"/>
      <c r="CX292" s="658"/>
      <c r="CY292" s="658"/>
      <c r="CZ292" s="658"/>
      <c r="DA292" s="658"/>
      <c r="DB292" s="658"/>
      <c r="DC292" s="658"/>
      <c r="DD292" s="658"/>
      <c r="DE292" s="658"/>
      <c r="DF292" s="658"/>
      <c r="DG292" s="658"/>
      <c r="DH292" s="658"/>
      <c r="DI292" s="658"/>
      <c r="DJ292" s="658"/>
      <c r="DK292" s="658"/>
      <c r="DL292" s="658"/>
      <c r="DM292" s="658"/>
      <c r="DN292" s="658"/>
      <c r="DO292" s="177">
        <f>IF(M292="",0,-XNPV(DP292,S292,S$291)*(1+DP292)^YEARFRAC($S$291,$DO$291,3))</f>
        <v>0</v>
      </c>
      <c r="DP292" s="612" t="e">
        <f>IF(HLOOKUP(L292,$C$299:$E$300,2,0)=0,1E-24%,HLOOKUP(L292,$C$299:$E$300,2,FALSE))</f>
        <v>#N/A</v>
      </c>
      <c r="DQ292" s="612" t="e">
        <f t="shared" ref="DQ292:DQ299" si="1952">XIRR(S292:DO292,$S$291:$DO$291)</f>
        <v>#NUM!</v>
      </c>
      <c r="DR292" s="177"/>
      <c r="DS292" s="177"/>
      <c r="DT292" s="177"/>
      <c r="DU292" s="177"/>
      <c r="DV292" s="177"/>
      <c r="DW292" s="177"/>
      <c r="DX292" s="177"/>
      <c r="DY292" s="177"/>
      <c r="DZ292" s="177"/>
      <c r="EA292" s="613"/>
    </row>
    <row r="293" spans="1:131" ht="13.5">
      <c r="A293" s="652" t="str">
        <f t="shared" si="1948"/>
        <v>출자잔액</v>
      </c>
      <c r="B293" s="653" t="s">
        <v>352</v>
      </c>
      <c r="C293" s="782"/>
      <c r="D293" s="782"/>
      <c r="E293" s="782"/>
      <c r="F293" s="230"/>
      <c r="G293" s="230"/>
      <c r="I293" s="657">
        <f t="shared" ref="I293:I299" si="1953">SUM(DR293:EA293)</f>
        <v>0</v>
      </c>
      <c r="J293" s="606" t="str">
        <f t="shared" ref="J293:J299" si="1954">IFERROR(I293/(Q293/$C$294),"N/A")</f>
        <v>N/A</v>
      </c>
      <c r="K293" s="471"/>
      <c r="L293" s="607"/>
      <c r="M293" s="300"/>
      <c r="N293" s="608"/>
      <c r="O293" s="609">
        <f t="shared" si="1949"/>
        <v>0</v>
      </c>
      <c r="P293" s="609">
        <f t="shared" si="1950"/>
        <v>0</v>
      </c>
      <c r="Q293" s="609">
        <f t="shared" si="1951"/>
        <v>0</v>
      </c>
      <c r="R293" s="610" t="str">
        <f>IFERROR(Q293/Q300,"")</f>
        <v/>
      </c>
      <c r="S293" s="658"/>
      <c r="T293" s="658"/>
      <c r="U293" s="658"/>
      <c r="V293" s="658"/>
      <c r="W293" s="658"/>
      <c r="X293" s="658"/>
      <c r="Y293" s="658"/>
      <c r="Z293" s="658"/>
      <c r="AA293" s="658"/>
      <c r="AB293" s="658"/>
      <c r="AC293" s="658"/>
      <c r="AD293" s="658"/>
      <c r="AE293" s="658"/>
      <c r="AF293" s="658"/>
      <c r="AG293" s="658"/>
      <c r="AH293" s="658"/>
      <c r="AI293" s="658"/>
      <c r="AJ293" s="658"/>
      <c r="AK293" s="658"/>
      <c r="AL293" s="658"/>
      <c r="AM293" s="658"/>
      <c r="AN293" s="658"/>
      <c r="AO293" s="658"/>
      <c r="AP293" s="658"/>
      <c r="AQ293" s="658"/>
      <c r="AR293" s="658"/>
      <c r="AS293" s="658"/>
      <c r="AT293" s="658"/>
      <c r="AU293" s="658"/>
      <c r="AV293" s="658"/>
      <c r="AW293" s="658"/>
      <c r="AX293" s="658"/>
      <c r="AY293" s="658"/>
      <c r="AZ293" s="658"/>
      <c r="BA293" s="658"/>
      <c r="BB293" s="658"/>
      <c r="BC293" s="658"/>
      <c r="BD293" s="658"/>
      <c r="BE293" s="658"/>
      <c r="BF293" s="658"/>
      <c r="BG293" s="658"/>
      <c r="BH293" s="658"/>
      <c r="BI293" s="658"/>
      <c r="BJ293" s="658"/>
      <c r="BK293" s="658"/>
      <c r="BL293" s="658"/>
      <c r="BM293" s="658"/>
      <c r="BN293" s="658"/>
      <c r="BO293" s="658"/>
      <c r="BP293" s="658"/>
      <c r="BQ293" s="658"/>
      <c r="BR293" s="658"/>
      <c r="BS293" s="658"/>
      <c r="BT293" s="658"/>
      <c r="BU293" s="658"/>
      <c r="BV293" s="658"/>
      <c r="BW293" s="658"/>
      <c r="BX293" s="658"/>
      <c r="BY293" s="658"/>
      <c r="BZ293" s="658"/>
      <c r="CA293" s="658"/>
      <c r="CB293" s="658"/>
      <c r="CC293" s="658"/>
      <c r="CD293" s="658"/>
      <c r="CE293" s="658"/>
      <c r="CF293" s="658"/>
      <c r="CG293" s="658"/>
      <c r="CH293" s="658"/>
      <c r="CI293" s="658"/>
      <c r="CJ293" s="658"/>
      <c r="CK293" s="658"/>
      <c r="CL293" s="658"/>
      <c r="CM293" s="658"/>
      <c r="CN293" s="658"/>
      <c r="CO293" s="658"/>
      <c r="CP293" s="658"/>
      <c r="CQ293" s="658"/>
      <c r="CR293" s="658"/>
      <c r="CS293" s="658"/>
      <c r="CT293" s="658"/>
      <c r="CU293" s="658"/>
      <c r="CV293" s="658"/>
      <c r="CW293" s="658"/>
      <c r="CX293" s="658"/>
      <c r="CY293" s="658"/>
      <c r="CZ293" s="658"/>
      <c r="DA293" s="658"/>
      <c r="DB293" s="658"/>
      <c r="DC293" s="658"/>
      <c r="DD293" s="658"/>
      <c r="DE293" s="658"/>
      <c r="DF293" s="658"/>
      <c r="DG293" s="658"/>
      <c r="DH293" s="658"/>
      <c r="DI293" s="658"/>
      <c r="DJ293" s="658"/>
      <c r="DK293" s="658"/>
      <c r="DL293" s="658"/>
      <c r="DM293" s="658"/>
      <c r="DN293" s="658"/>
      <c r="DO293" s="177">
        <f t="shared" ref="DO293:DO299" si="1955">IF(M293="",0,-XNPV(DP293,S293,S$291)*(1+DP293)^YEARFRAC($S$291,$DO$291,3))</f>
        <v>0</v>
      </c>
      <c r="DP293" s="612" t="e">
        <f t="shared" ref="DP293:DP299" si="1956">IF(HLOOKUP(L293,$C$299:$E$300,2,0)=0,1E-24%,HLOOKUP(L293,$C$299:$E$300,2,FALSE))</f>
        <v>#N/A</v>
      </c>
      <c r="DQ293" s="612" t="e">
        <f t="shared" si="1952"/>
        <v>#NUM!</v>
      </c>
      <c r="DR293" s="177"/>
      <c r="DS293" s="177"/>
      <c r="DT293" s="177"/>
      <c r="DU293" s="177"/>
      <c r="DV293" s="177"/>
      <c r="DW293" s="177"/>
      <c r="DX293" s="177"/>
      <c r="DY293" s="177"/>
      <c r="DZ293" s="177"/>
      <c r="EA293" s="613"/>
    </row>
    <row r="294" spans="1:131" ht="13.5">
      <c r="A294" s="652" t="str">
        <f t="shared" si="1948"/>
        <v>1좌당 금액</v>
      </c>
      <c r="B294" s="653" t="s">
        <v>353</v>
      </c>
      <c r="C294" s="783"/>
      <c r="D294" s="783"/>
      <c r="E294" s="783"/>
      <c r="F294" s="230"/>
      <c r="G294" s="230"/>
      <c r="I294" s="657">
        <f>SUM(DR294:EA294)</f>
        <v>0</v>
      </c>
      <c r="J294" s="606" t="str">
        <f t="shared" si="1954"/>
        <v>N/A</v>
      </c>
      <c r="K294" s="471"/>
      <c r="L294" s="607"/>
      <c r="M294" s="300"/>
      <c r="N294" s="608"/>
      <c r="O294" s="609">
        <f t="shared" si="1949"/>
        <v>0</v>
      </c>
      <c r="P294" s="609">
        <f t="shared" si="1950"/>
        <v>0</v>
      </c>
      <c r="Q294" s="609">
        <f t="shared" si="1951"/>
        <v>0</v>
      </c>
      <c r="R294" s="610" t="str">
        <f>IFERROR(Q294/Q300,"")</f>
        <v/>
      </c>
      <c r="S294" s="658"/>
      <c r="T294" s="658"/>
      <c r="U294" s="658"/>
      <c r="V294" s="658"/>
      <c r="W294" s="658"/>
      <c r="X294" s="658"/>
      <c r="Y294" s="658"/>
      <c r="Z294" s="658"/>
      <c r="AA294" s="658"/>
      <c r="AB294" s="658"/>
      <c r="AC294" s="658"/>
      <c r="AD294" s="658"/>
      <c r="AE294" s="658"/>
      <c r="AF294" s="658"/>
      <c r="AG294" s="658"/>
      <c r="AH294" s="658"/>
      <c r="AI294" s="658"/>
      <c r="AJ294" s="658"/>
      <c r="AK294" s="658"/>
      <c r="AL294" s="658"/>
      <c r="AM294" s="658"/>
      <c r="AN294" s="658"/>
      <c r="AO294" s="658"/>
      <c r="AP294" s="658"/>
      <c r="AQ294" s="658"/>
      <c r="AR294" s="658"/>
      <c r="AS294" s="658"/>
      <c r="AT294" s="658"/>
      <c r="AU294" s="658"/>
      <c r="AV294" s="658"/>
      <c r="AW294" s="658"/>
      <c r="AX294" s="658"/>
      <c r="AY294" s="658"/>
      <c r="AZ294" s="658"/>
      <c r="BA294" s="658"/>
      <c r="BB294" s="658"/>
      <c r="BC294" s="658"/>
      <c r="BD294" s="658"/>
      <c r="BE294" s="658"/>
      <c r="BF294" s="658"/>
      <c r="BG294" s="658"/>
      <c r="BH294" s="658"/>
      <c r="BI294" s="658"/>
      <c r="BJ294" s="658"/>
      <c r="BK294" s="658"/>
      <c r="BL294" s="658"/>
      <c r="BM294" s="658"/>
      <c r="BN294" s="658"/>
      <c r="BO294" s="658"/>
      <c r="BP294" s="658"/>
      <c r="BQ294" s="658"/>
      <c r="BR294" s="658"/>
      <c r="BS294" s="658"/>
      <c r="BT294" s="658"/>
      <c r="BU294" s="658"/>
      <c r="BV294" s="658"/>
      <c r="BW294" s="658"/>
      <c r="BX294" s="658"/>
      <c r="BY294" s="658"/>
      <c r="BZ294" s="658"/>
      <c r="CA294" s="658"/>
      <c r="CB294" s="658"/>
      <c r="CC294" s="658"/>
      <c r="CD294" s="658"/>
      <c r="CE294" s="658"/>
      <c r="CF294" s="658"/>
      <c r="CG294" s="658"/>
      <c r="CH294" s="658"/>
      <c r="CI294" s="658"/>
      <c r="CJ294" s="658"/>
      <c r="CK294" s="658"/>
      <c r="CL294" s="658"/>
      <c r="CM294" s="658"/>
      <c r="CN294" s="658"/>
      <c r="CO294" s="658"/>
      <c r="CP294" s="658"/>
      <c r="CQ294" s="658"/>
      <c r="CR294" s="658"/>
      <c r="CS294" s="658"/>
      <c r="CT294" s="658"/>
      <c r="CU294" s="658"/>
      <c r="CV294" s="658"/>
      <c r="CW294" s="658"/>
      <c r="CX294" s="658"/>
      <c r="CY294" s="658"/>
      <c r="CZ294" s="658"/>
      <c r="DA294" s="658"/>
      <c r="DB294" s="658"/>
      <c r="DC294" s="658"/>
      <c r="DD294" s="658"/>
      <c r="DE294" s="658"/>
      <c r="DF294" s="658"/>
      <c r="DG294" s="658"/>
      <c r="DH294" s="658"/>
      <c r="DI294" s="658"/>
      <c r="DJ294" s="658"/>
      <c r="DK294" s="658"/>
      <c r="DL294" s="658"/>
      <c r="DM294" s="658"/>
      <c r="DN294" s="658"/>
      <c r="DO294" s="177">
        <f t="shared" si="1955"/>
        <v>0</v>
      </c>
      <c r="DP294" s="612" t="e">
        <f t="shared" si="1956"/>
        <v>#N/A</v>
      </c>
      <c r="DQ294" s="612" t="e">
        <f t="shared" si="1952"/>
        <v>#NUM!</v>
      </c>
      <c r="DR294" s="177"/>
      <c r="DS294" s="177"/>
      <c r="DT294" s="177"/>
      <c r="DU294" s="177"/>
      <c r="DV294" s="177"/>
      <c r="DW294" s="177"/>
      <c r="DX294" s="177"/>
      <c r="DY294" s="177"/>
      <c r="DZ294" s="177"/>
      <c r="EA294" s="613"/>
    </row>
    <row r="295" spans="1:131" ht="13.5">
      <c r="A295" s="652" t="str">
        <f t="shared" si="1948"/>
        <v>기준수익률</v>
      </c>
      <c r="B295" s="653" t="s">
        <v>354</v>
      </c>
      <c r="C295" s="784"/>
      <c r="D295" s="785"/>
      <c r="E295" s="785"/>
      <c r="F295" s="230"/>
      <c r="G295" s="230"/>
      <c r="I295" s="657">
        <f t="shared" si="1953"/>
        <v>0</v>
      </c>
      <c r="J295" s="606" t="str">
        <f t="shared" si="1954"/>
        <v>N/A</v>
      </c>
      <c r="K295" s="471"/>
      <c r="L295" s="607"/>
      <c r="M295" s="300"/>
      <c r="N295" s="608"/>
      <c r="O295" s="609">
        <f t="shared" si="1949"/>
        <v>0</v>
      </c>
      <c r="P295" s="609">
        <f t="shared" si="1950"/>
        <v>0</v>
      </c>
      <c r="Q295" s="609">
        <f t="shared" si="1951"/>
        <v>0</v>
      </c>
      <c r="R295" s="610" t="str">
        <f>IFERROR(Q295/Q300,"")</f>
        <v/>
      </c>
      <c r="S295" s="658"/>
      <c r="T295" s="658"/>
      <c r="U295" s="658"/>
      <c r="V295" s="658"/>
      <c r="W295" s="658"/>
      <c r="X295" s="658"/>
      <c r="Y295" s="658"/>
      <c r="Z295" s="658"/>
      <c r="AA295" s="658"/>
      <c r="AB295" s="658"/>
      <c r="AC295" s="658"/>
      <c r="AD295" s="658"/>
      <c r="AE295" s="658"/>
      <c r="AF295" s="658"/>
      <c r="AG295" s="658"/>
      <c r="AH295" s="658"/>
      <c r="AI295" s="658"/>
      <c r="AJ295" s="658"/>
      <c r="AK295" s="658"/>
      <c r="AL295" s="658"/>
      <c r="AM295" s="658"/>
      <c r="AN295" s="658"/>
      <c r="AO295" s="658"/>
      <c r="AP295" s="658"/>
      <c r="AQ295" s="658"/>
      <c r="AR295" s="658"/>
      <c r="AS295" s="658"/>
      <c r="AT295" s="658"/>
      <c r="AU295" s="658"/>
      <c r="AV295" s="658"/>
      <c r="AW295" s="658"/>
      <c r="AX295" s="658"/>
      <c r="AY295" s="658"/>
      <c r="AZ295" s="658"/>
      <c r="BA295" s="658"/>
      <c r="BB295" s="658"/>
      <c r="BC295" s="658"/>
      <c r="BD295" s="658"/>
      <c r="BE295" s="658"/>
      <c r="BF295" s="658"/>
      <c r="BG295" s="658"/>
      <c r="BH295" s="658"/>
      <c r="BI295" s="658"/>
      <c r="BJ295" s="658"/>
      <c r="BK295" s="658"/>
      <c r="BL295" s="658"/>
      <c r="BM295" s="658"/>
      <c r="BN295" s="658"/>
      <c r="BO295" s="658"/>
      <c r="BP295" s="658"/>
      <c r="BQ295" s="658"/>
      <c r="BR295" s="658"/>
      <c r="BS295" s="658"/>
      <c r="BT295" s="658"/>
      <c r="BU295" s="658"/>
      <c r="BV295" s="658"/>
      <c r="BW295" s="658"/>
      <c r="BX295" s="658"/>
      <c r="BY295" s="658"/>
      <c r="BZ295" s="658"/>
      <c r="CA295" s="658"/>
      <c r="CB295" s="658"/>
      <c r="CC295" s="658"/>
      <c r="CD295" s="658"/>
      <c r="CE295" s="658"/>
      <c r="CF295" s="658"/>
      <c r="CG295" s="658"/>
      <c r="CH295" s="658"/>
      <c r="CI295" s="658"/>
      <c r="CJ295" s="658"/>
      <c r="CK295" s="658"/>
      <c r="CL295" s="658"/>
      <c r="CM295" s="658"/>
      <c r="CN295" s="658"/>
      <c r="CO295" s="658"/>
      <c r="CP295" s="658"/>
      <c r="CQ295" s="658"/>
      <c r="CR295" s="658"/>
      <c r="CS295" s="658"/>
      <c r="CT295" s="658"/>
      <c r="CU295" s="658"/>
      <c r="CV295" s="658"/>
      <c r="CW295" s="658"/>
      <c r="CX295" s="658"/>
      <c r="CY295" s="658"/>
      <c r="CZ295" s="658"/>
      <c r="DA295" s="658"/>
      <c r="DB295" s="658"/>
      <c r="DC295" s="658"/>
      <c r="DD295" s="658"/>
      <c r="DE295" s="658"/>
      <c r="DF295" s="658"/>
      <c r="DG295" s="658"/>
      <c r="DH295" s="658"/>
      <c r="DI295" s="658"/>
      <c r="DJ295" s="658"/>
      <c r="DK295" s="658"/>
      <c r="DL295" s="658"/>
      <c r="DM295" s="658"/>
      <c r="DN295" s="658"/>
      <c r="DO295" s="177">
        <f t="shared" si="1955"/>
        <v>0</v>
      </c>
      <c r="DP295" s="612" t="e">
        <f t="shared" si="1956"/>
        <v>#N/A</v>
      </c>
      <c r="DQ295" s="612" t="e">
        <f t="shared" si="1952"/>
        <v>#NUM!</v>
      </c>
      <c r="DR295" s="177"/>
      <c r="DS295" s="177"/>
      <c r="DT295" s="177"/>
      <c r="DU295" s="177"/>
      <c r="DV295" s="177"/>
      <c r="DW295" s="177"/>
      <c r="DX295" s="177"/>
      <c r="DY295" s="177"/>
      <c r="DZ295" s="177"/>
      <c r="EA295" s="613"/>
    </row>
    <row r="296" spans="1:131" ht="13.5">
      <c r="A296" s="652" t="str">
        <f t="shared" si="1948"/>
        <v>평가방법론</v>
      </c>
      <c r="B296" s="653" t="s">
        <v>7</v>
      </c>
      <c r="C296" s="786"/>
      <c r="D296" s="786"/>
      <c r="E296" s="786"/>
      <c r="F296" s="230"/>
      <c r="G296" s="230"/>
      <c r="I296" s="657">
        <f t="shared" si="1953"/>
        <v>0</v>
      </c>
      <c r="J296" s="606" t="str">
        <f t="shared" si="1954"/>
        <v>N/A</v>
      </c>
      <c r="K296" s="471"/>
      <c r="L296" s="607"/>
      <c r="M296" s="300"/>
      <c r="N296" s="608"/>
      <c r="O296" s="609">
        <f t="shared" si="1949"/>
        <v>0</v>
      </c>
      <c r="P296" s="609">
        <f t="shared" si="1950"/>
        <v>0</v>
      </c>
      <c r="Q296" s="609">
        <f t="shared" si="1951"/>
        <v>0</v>
      </c>
      <c r="R296" s="610" t="str">
        <f>IFERROR(Q296/Q300,"")</f>
        <v/>
      </c>
      <c r="S296" s="658"/>
      <c r="T296" s="658"/>
      <c r="U296" s="658"/>
      <c r="V296" s="658"/>
      <c r="W296" s="658"/>
      <c r="X296" s="658"/>
      <c r="Y296" s="658"/>
      <c r="Z296" s="658"/>
      <c r="AA296" s="658"/>
      <c r="AB296" s="658"/>
      <c r="AC296" s="658"/>
      <c r="AD296" s="658"/>
      <c r="AE296" s="658"/>
      <c r="AF296" s="658"/>
      <c r="AG296" s="658"/>
      <c r="AH296" s="658"/>
      <c r="AI296" s="658"/>
      <c r="AJ296" s="658"/>
      <c r="AK296" s="658"/>
      <c r="AL296" s="658"/>
      <c r="AM296" s="658"/>
      <c r="AN296" s="658"/>
      <c r="AO296" s="658"/>
      <c r="AP296" s="658"/>
      <c r="AQ296" s="658"/>
      <c r="AR296" s="658"/>
      <c r="AS296" s="658"/>
      <c r="AT296" s="658"/>
      <c r="AU296" s="658"/>
      <c r="AV296" s="658"/>
      <c r="AW296" s="658"/>
      <c r="AX296" s="658"/>
      <c r="AY296" s="658"/>
      <c r="AZ296" s="658"/>
      <c r="BA296" s="658"/>
      <c r="BB296" s="658"/>
      <c r="BC296" s="658"/>
      <c r="BD296" s="658"/>
      <c r="BE296" s="658"/>
      <c r="BF296" s="658"/>
      <c r="BG296" s="658"/>
      <c r="BH296" s="658"/>
      <c r="BI296" s="658"/>
      <c r="BJ296" s="658"/>
      <c r="BK296" s="658"/>
      <c r="BL296" s="658"/>
      <c r="BM296" s="658"/>
      <c r="BN296" s="658"/>
      <c r="BO296" s="658"/>
      <c r="BP296" s="658"/>
      <c r="BQ296" s="658"/>
      <c r="BR296" s="658"/>
      <c r="BS296" s="658"/>
      <c r="BT296" s="658"/>
      <c r="BU296" s="658"/>
      <c r="BV296" s="658"/>
      <c r="BW296" s="658"/>
      <c r="BX296" s="658"/>
      <c r="BY296" s="658"/>
      <c r="BZ296" s="658"/>
      <c r="CA296" s="658"/>
      <c r="CB296" s="658"/>
      <c r="CC296" s="658"/>
      <c r="CD296" s="658"/>
      <c r="CE296" s="658"/>
      <c r="CF296" s="658"/>
      <c r="CG296" s="658"/>
      <c r="CH296" s="658"/>
      <c r="CI296" s="658"/>
      <c r="CJ296" s="658"/>
      <c r="CK296" s="658"/>
      <c r="CL296" s="658"/>
      <c r="CM296" s="658"/>
      <c r="CN296" s="658"/>
      <c r="CO296" s="658"/>
      <c r="CP296" s="658"/>
      <c r="CQ296" s="658"/>
      <c r="CR296" s="658"/>
      <c r="CS296" s="658"/>
      <c r="CT296" s="658"/>
      <c r="CU296" s="658"/>
      <c r="CV296" s="658"/>
      <c r="CW296" s="658"/>
      <c r="CX296" s="658"/>
      <c r="CY296" s="658"/>
      <c r="CZ296" s="658"/>
      <c r="DA296" s="658"/>
      <c r="DB296" s="658"/>
      <c r="DC296" s="658"/>
      <c r="DD296" s="658"/>
      <c r="DE296" s="658"/>
      <c r="DF296" s="658"/>
      <c r="DG296" s="658"/>
      <c r="DH296" s="658"/>
      <c r="DI296" s="658"/>
      <c r="DJ296" s="658"/>
      <c r="DK296" s="658"/>
      <c r="DL296" s="658"/>
      <c r="DM296" s="658"/>
      <c r="DN296" s="658"/>
      <c r="DO296" s="177">
        <f t="shared" si="1955"/>
        <v>0</v>
      </c>
      <c r="DP296" s="612" t="e">
        <f t="shared" si="1956"/>
        <v>#N/A</v>
      </c>
      <c r="DQ296" s="612" t="e">
        <f t="shared" si="1952"/>
        <v>#NUM!</v>
      </c>
      <c r="DR296" s="177"/>
      <c r="DS296" s="177"/>
      <c r="DT296" s="177"/>
      <c r="DU296" s="177"/>
      <c r="DV296" s="177"/>
      <c r="DW296" s="177"/>
      <c r="DX296" s="177"/>
      <c r="DY296" s="177"/>
      <c r="DZ296" s="177"/>
      <c r="EA296" s="613"/>
    </row>
    <row r="297" spans="1:131" ht="13.5">
      <c r="A297" s="652" t="str">
        <f t="shared" si="1948"/>
        <v>분배 조항 여부</v>
      </c>
      <c r="B297" s="653" t="s">
        <v>355</v>
      </c>
      <c r="C297" s="786"/>
      <c r="D297" s="786"/>
      <c r="E297" s="786"/>
      <c r="F297" s="230"/>
      <c r="G297" s="230"/>
      <c r="I297" s="657">
        <f t="shared" si="1953"/>
        <v>0</v>
      </c>
      <c r="J297" s="606" t="str">
        <f t="shared" si="1954"/>
        <v>N/A</v>
      </c>
      <c r="K297" s="471"/>
      <c r="L297" s="607"/>
      <c r="M297" s="300"/>
      <c r="N297" s="608"/>
      <c r="O297" s="609">
        <f t="shared" si="1949"/>
        <v>0</v>
      </c>
      <c r="P297" s="609">
        <f t="shared" si="1950"/>
        <v>0</v>
      </c>
      <c r="Q297" s="609">
        <f t="shared" si="1951"/>
        <v>0</v>
      </c>
      <c r="R297" s="610" t="str">
        <f>IFERROR(Q297/Q300,"")</f>
        <v/>
      </c>
      <c r="S297" s="658"/>
      <c r="T297" s="658"/>
      <c r="U297" s="658"/>
      <c r="V297" s="658"/>
      <c r="W297" s="658"/>
      <c r="X297" s="658"/>
      <c r="Y297" s="658"/>
      <c r="Z297" s="658"/>
      <c r="AA297" s="658"/>
      <c r="AB297" s="658"/>
      <c r="AC297" s="658"/>
      <c r="AD297" s="658"/>
      <c r="AE297" s="658"/>
      <c r="AF297" s="658"/>
      <c r="AG297" s="658"/>
      <c r="AH297" s="658"/>
      <c r="AI297" s="658"/>
      <c r="AJ297" s="658"/>
      <c r="AK297" s="658"/>
      <c r="AL297" s="658"/>
      <c r="AM297" s="658"/>
      <c r="AN297" s="658"/>
      <c r="AO297" s="658"/>
      <c r="AP297" s="658"/>
      <c r="AQ297" s="658"/>
      <c r="AR297" s="658"/>
      <c r="AS297" s="658"/>
      <c r="AT297" s="658"/>
      <c r="AU297" s="658"/>
      <c r="AV297" s="658"/>
      <c r="AW297" s="658"/>
      <c r="AX297" s="658"/>
      <c r="AY297" s="658"/>
      <c r="AZ297" s="658"/>
      <c r="BA297" s="658"/>
      <c r="BB297" s="658"/>
      <c r="BC297" s="658"/>
      <c r="BD297" s="658"/>
      <c r="BE297" s="658"/>
      <c r="BF297" s="658"/>
      <c r="BG297" s="658"/>
      <c r="BH297" s="658"/>
      <c r="BI297" s="658"/>
      <c r="BJ297" s="658"/>
      <c r="BK297" s="658"/>
      <c r="BL297" s="658"/>
      <c r="BM297" s="658"/>
      <c r="BN297" s="658"/>
      <c r="BO297" s="658"/>
      <c r="BP297" s="658"/>
      <c r="BQ297" s="658"/>
      <c r="BR297" s="658"/>
      <c r="BS297" s="658"/>
      <c r="BT297" s="658"/>
      <c r="BU297" s="658"/>
      <c r="BV297" s="658"/>
      <c r="BW297" s="658"/>
      <c r="BX297" s="658"/>
      <c r="BY297" s="658"/>
      <c r="BZ297" s="658"/>
      <c r="CA297" s="658"/>
      <c r="CB297" s="658"/>
      <c r="CC297" s="658"/>
      <c r="CD297" s="658"/>
      <c r="CE297" s="658"/>
      <c r="CF297" s="658"/>
      <c r="CG297" s="658"/>
      <c r="CH297" s="658"/>
      <c r="CI297" s="658"/>
      <c r="CJ297" s="658"/>
      <c r="CK297" s="658"/>
      <c r="CL297" s="658"/>
      <c r="CM297" s="658"/>
      <c r="CN297" s="658"/>
      <c r="CO297" s="658"/>
      <c r="CP297" s="658"/>
      <c r="CQ297" s="658"/>
      <c r="CR297" s="658"/>
      <c r="CS297" s="658"/>
      <c r="CT297" s="658"/>
      <c r="CU297" s="658"/>
      <c r="CV297" s="658"/>
      <c r="CW297" s="658"/>
      <c r="CX297" s="658"/>
      <c r="CY297" s="658"/>
      <c r="CZ297" s="658"/>
      <c r="DA297" s="658"/>
      <c r="DB297" s="658"/>
      <c r="DC297" s="658"/>
      <c r="DD297" s="658"/>
      <c r="DE297" s="658"/>
      <c r="DF297" s="658"/>
      <c r="DG297" s="658"/>
      <c r="DH297" s="658"/>
      <c r="DI297" s="658"/>
      <c r="DJ297" s="658"/>
      <c r="DK297" s="658"/>
      <c r="DL297" s="658"/>
      <c r="DM297" s="658"/>
      <c r="DN297" s="658"/>
      <c r="DO297" s="177">
        <f t="shared" si="1955"/>
        <v>0</v>
      </c>
      <c r="DP297" s="612" t="e">
        <f t="shared" si="1956"/>
        <v>#N/A</v>
      </c>
      <c r="DQ297" s="612" t="e">
        <f t="shared" si="1952"/>
        <v>#NUM!</v>
      </c>
      <c r="DR297" s="177"/>
      <c r="DS297" s="177"/>
      <c r="DT297" s="177"/>
      <c r="DU297" s="177"/>
      <c r="DV297" s="177"/>
      <c r="DW297" s="177"/>
      <c r="DX297" s="177"/>
      <c r="DY297" s="177"/>
      <c r="DZ297" s="177"/>
      <c r="EA297" s="613"/>
    </row>
    <row r="298" spans="1:131" ht="14.25" thickBot="1">
      <c r="A298" s="652" t="str">
        <f t="shared" si="1948"/>
        <v>모펀드 출자 지분율</v>
      </c>
      <c r="B298" s="660" t="s">
        <v>356</v>
      </c>
      <c r="C298" s="787"/>
      <c r="D298" s="787"/>
      <c r="E298" s="787"/>
      <c r="F298" s="230"/>
      <c r="G298" s="230"/>
      <c r="I298" s="657">
        <f t="shared" si="1953"/>
        <v>0</v>
      </c>
      <c r="J298" s="606" t="str">
        <f t="shared" si="1954"/>
        <v>N/A</v>
      </c>
      <c r="K298" s="471"/>
      <c r="L298" s="607"/>
      <c r="M298" s="300"/>
      <c r="N298" s="608"/>
      <c r="O298" s="609">
        <f t="shared" si="1949"/>
        <v>0</v>
      </c>
      <c r="P298" s="609">
        <f t="shared" si="1950"/>
        <v>0</v>
      </c>
      <c r="Q298" s="609">
        <f t="shared" si="1951"/>
        <v>0</v>
      </c>
      <c r="R298" s="610" t="str">
        <f>IFERROR(Q298/Q300,"")</f>
        <v/>
      </c>
      <c r="S298" s="658"/>
      <c r="T298" s="658"/>
      <c r="U298" s="658"/>
      <c r="V298" s="658"/>
      <c r="W298" s="658"/>
      <c r="X298" s="658"/>
      <c r="Y298" s="658"/>
      <c r="Z298" s="658"/>
      <c r="AA298" s="658"/>
      <c r="AB298" s="658"/>
      <c r="AC298" s="658"/>
      <c r="AD298" s="658"/>
      <c r="AE298" s="658"/>
      <c r="AF298" s="658"/>
      <c r="AG298" s="658"/>
      <c r="AH298" s="658"/>
      <c r="AI298" s="658"/>
      <c r="AJ298" s="658"/>
      <c r="AK298" s="658"/>
      <c r="AL298" s="658"/>
      <c r="AM298" s="658"/>
      <c r="AN298" s="658"/>
      <c r="AO298" s="658"/>
      <c r="AP298" s="658"/>
      <c r="AQ298" s="658"/>
      <c r="AR298" s="658"/>
      <c r="AS298" s="658"/>
      <c r="AT298" s="658"/>
      <c r="AU298" s="658"/>
      <c r="AV298" s="658"/>
      <c r="AW298" s="658"/>
      <c r="AX298" s="658"/>
      <c r="AY298" s="658"/>
      <c r="AZ298" s="658"/>
      <c r="BA298" s="658"/>
      <c r="BB298" s="658"/>
      <c r="BC298" s="658"/>
      <c r="BD298" s="658"/>
      <c r="BE298" s="658"/>
      <c r="BF298" s="658"/>
      <c r="BG298" s="658"/>
      <c r="BH298" s="658"/>
      <c r="BI298" s="658"/>
      <c r="BJ298" s="658"/>
      <c r="BK298" s="658"/>
      <c r="BL298" s="658"/>
      <c r="BM298" s="658"/>
      <c r="BN298" s="658"/>
      <c r="BO298" s="658"/>
      <c r="BP298" s="658"/>
      <c r="BQ298" s="658"/>
      <c r="BR298" s="658"/>
      <c r="BS298" s="658"/>
      <c r="BT298" s="658"/>
      <c r="BU298" s="658"/>
      <c r="BV298" s="658"/>
      <c r="BW298" s="658"/>
      <c r="BX298" s="658"/>
      <c r="BY298" s="658"/>
      <c r="BZ298" s="658"/>
      <c r="CA298" s="658"/>
      <c r="CB298" s="658"/>
      <c r="CC298" s="658"/>
      <c r="CD298" s="658"/>
      <c r="CE298" s="658"/>
      <c r="CF298" s="658"/>
      <c r="CG298" s="658"/>
      <c r="CH298" s="658"/>
      <c r="CI298" s="658"/>
      <c r="CJ298" s="658"/>
      <c r="CK298" s="658"/>
      <c r="CL298" s="658"/>
      <c r="CM298" s="658"/>
      <c r="CN298" s="658"/>
      <c r="CO298" s="658"/>
      <c r="CP298" s="658"/>
      <c r="CQ298" s="658"/>
      <c r="CR298" s="658"/>
      <c r="CS298" s="658"/>
      <c r="CT298" s="658"/>
      <c r="CU298" s="658"/>
      <c r="CV298" s="658"/>
      <c r="CW298" s="658"/>
      <c r="CX298" s="658"/>
      <c r="CY298" s="658"/>
      <c r="CZ298" s="658"/>
      <c r="DA298" s="658"/>
      <c r="DB298" s="658"/>
      <c r="DC298" s="658"/>
      <c r="DD298" s="658"/>
      <c r="DE298" s="658"/>
      <c r="DF298" s="658"/>
      <c r="DG298" s="658"/>
      <c r="DH298" s="658"/>
      <c r="DI298" s="658"/>
      <c r="DJ298" s="658"/>
      <c r="DK298" s="658"/>
      <c r="DL298" s="658"/>
      <c r="DM298" s="658"/>
      <c r="DN298" s="658"/>
      <c r="DO298" s="177">
        <f t="shared" si="1955"/>
        <v>0</v>
      </c>
      <c r="DP298" s="612" t="e">
        <f t="shared" si="1956"/>
        <v>#N/A</v>
      </c>
      <c r="DQ298" s="612" t="e">
        <f t="shared" si="1952"/>
        <v>#NUM!</v>
      </c>
      <c r="DR298" s="177"/>
      <c r="DS298" s="177"/>
      <c r="DT298" s="177"/>
      <c r="DU298" s="177"/>
      <c r="DV298" s="177"/>
      <c r="DW298" s="177"/>
      <c r="DX298" s="177"/>
      <c r="DY298" s="177"/>
      <c r="DZ298" s="177"/>
      <c r="EA298" s="613"/>
    </row>
    <row r="299" spans="1:131" ht="14.25" thickBot="1">
      <c r="B299" s="778" t="s">
        <v>3404</v>
      </c>
      <c r="C299" s="616" t="s">
        <v>223</v>
      </c>
      <c r="D299" s="616" t="s">
        <v>224</v>
      </c>
      <c r="E299" s="616" t="s">
        <v>225</v>
      </c>
      <c r="F299" s="230"/>
      <c r="G299" s="230"/>
      <c r="I299" s="657">
        <f t="shared" si="1953"/>
        <v>0</v>
      </c>
      <c r="J299" s="606" t="str">
        <f t="shared" si="1954"/>
        <v>N/A</v>
      </c>
      <c r="K299" s="471"/>
      <c r="L299" s="607"/>
      <c r="M299" s="300"/>
      <c r="N299" s="608"/>
      <c r="O299" s="609">
        <f t="shared" si="1949"/>
        <v>0</v>
      </c>
      <c r="P299" s="609">
        <f t="shared" si="1950"/>
        <v>0</v>
      </c>
      <c r="Q299" s="609">
        <f t="shared" si="1951"/>
        <v>0</v>
      </c>
      <c r="R299" s="610" t="str">
        <f>IFERROR(Q299/Q300,"")</f>
        <v/>
      </c>
      <c r="S299" s="658"/>
      <c r="T299" s="658"/>
      <c r="U299" s="658"/>
      <c r="V299" s="658"/>
      <c r="W299" s="658"/>
      <c r="X299" s="658"/>
      <c r="Y299" s="658"/>
      <c r="Z299" s="658"/>
      <c r="AA299" s="658"/>
      <c r="AB299" s="658"/>
      <c r="AC299" s="658"/>
      <c r="AD299" s="658"/>
      <c r="AE299" s="658"/>
      <c r="AF299" s="658"/>
      <c r="AG299" s="658"/>
      <c r="AH299" s="658"/>
      <c r="AI299" s="658"/>
      <c r="AJ299" s="658"/>
      <c r="AK299" s="658"/>
      <c r="AL299" s="658"/>
      <c r="AM299" s="658"/>
      <c r="AN299" s="658"/>
      <c r="AO299" s="658"/>
      <c r="AP299" s="658"/>
      <c r="AQ299" s="658"/>
      <c r="AR299" s="658"/>
      <c r="AS299" s="658"/>
      <c r="AT299" s="658"/>
      <c r="AU299" s="658"/>
      <c r="AV299" s="658"/>
      <c r="AW299" s="658"/>
      <c r="AX299" s="658"/>
      <c r="AY299" s="658"/>
      <c r="AZ299" s="658"/>
      <c r="BA299" s="658"/>
      <c r="BB299" s="658"/>
      <c r="BC299" s="658"/>
      <c r="BD299" s="658"/>
      <c r="BE299" s="658"/>
      <c r="BF299" s="658"/>
      <c r="BG299" s="658"/>
      <c r="BH299" s="658"/>
      <c r="BI299" s="658"/>
      <c r="BJ299" s="658"/>
      <c r="BK299" s="658"/>
      <c r="BL299" s="658"/>
      <c r="BM299" s="658"/>
      <c r="BN299" s="658"/>
      <c r="BO299" s="658"/>
      <c r="BP299" s="658"/>
      <c r="BQ299" s="658"/>
      <c r="BR299" s="658"/>
      <c r="BS299" s="658"/>
      <c r="BT299" s="658"/>
      <c r="BU299" s="658"/>
      <c r="BV299" s="658"/>
      <c r="BW299" s="658"/>
      <c r="BX299" s="658"/>
      <c r="BY299" s="658"/>
      <c r="BZ299" s="658"/>
      <c r="CA299" s="658"/>
      <c r="CB299" s="658"/>
      <c r="CC299" s="658"/>
      <c r="CD299" s="658"/>
      <c r="CE299" s="658"/>
      <c r="CF299" s="658"/>
      <c r="CG299" s="658"/>
      <c r="CH299" s="658"/>
      <c r="CI299" s="658"/>
      <c r="CJ299" s="658"/>
      <c r="CK299" s="658"/>
      <c r="CL299" s="658"/>
      <c r="CM299" s="658"/>
      <c r="CN299" s="658"/>
      <c r="CO299" s="658"/>
      <c r="CP299" s="658"/>
      <c r="CQ299" s="658"/>
      <c r="CR299" s="658"/>
      <c r="CS299" s="658"/>
      <c r="CT299" s="658"/>
      <c r="CU299" s="658"/>
      <c r="CV299" s="658"/>
      <c r="CW299" s="658"/>
      <c r="CX299" s="658"/>
      <c r="CY299" s="658"/>
      <c r="CZ299" s="658"/>
      <c r="DA299" s="658"/>
      <c r="DB299" s="658"/>
      <c r="DC299" s="658"/>
      <c r="DD299" s="658"/>
      <c r="DE299" s="658"/>
      <c r="DF299" s="658"/>
      <c r="DG299" s="658"/>
      <c r="DH299" s="658"/>
      <c r="DI299" s="658"/>
      <c r="DJ299" s="658"/>
      <c r="DK299" s="658"/>
      <c r="DL299" s="658"/>
      <c r="DM299" s="658"/>
      <c r="DN299" s="658"/>
      <c r="DO299" s="177">
        <f t="shared" si="1955"/>
        <v>0</v>
      </c>
      <c r="DP299" s="612" t="e">
        <f t="shared" si="1956"/>
        <v>#N/A</v>
      </c>
      <c r="DQ299" s="612" t="e">
        <f t="shared" si="1952"/>
        <v>#NUM!</v>
      </c>
      <c r="DR299" s="177"/>
      <c r="DS299" s="177"/>
      <c r="DT299" s="177"/>
      <c r="DU299" s="177"/>
      <c r="DV299" s="177"/>
      <c r="DW299" s="177"/>
      <c r="DX299" s="177"/>
      <c r="DY299" s="177"/>
      <c r="DZ299" s="177"/>
      <c r="EA299" s="613"/>
    </row>
    <row r="300" spans="1:131" ht="14.25" thickBot="1">
      <c r="A300" s="317"/>
      <c r="B300" s="779"/>
      <c r="C300" s="661"/>
      <c r="D300" s="661"/>
      <c r="E300" s="661"/>
      <c r="F300" s="662"/>
      <c r="G300" s="662"/>
      <c r="H300" s="317"/>
      <c r="I300" s="634">
        <f>SUM(I292:I299)</f>
        <v>0</v>
      </c>
      <c r="J300" s="663"/>
      <c r="K300" s="664"/>
      <c r="L300" s="664"/>
      <c r="M300" s="664"/>
      <c r="N300" s="634">
        <f t="shared" ref="N300:R300" si="1957">SUM(N292:N299)</f>
        <v>0</v>
      </c>
      <c r="O300" s="634">
        <f t="shared" si="1957"/>
        <v>0</v>
      </c>
      <c r="P300" s="634">
        <f t="shared" si="1957"/>
        <v>0</v>
      </c>
      <c r="Q300" s="634">
        <f t="shared" si="1957"/>
        <v>0</v>
      </c>
      <c r="R300" s="665">
        <f t="shared" si="1957"/>
        <v>0</v>
      </c>
      <c r="S300" s="634">
        <f>SUM(S292:S299)</f>
        <v>0</v>
      </c>
      <c r="T300" s="634">
        <f t="shared" ref="T300" si="1958">SUM(T292:T299)</f>
        <v>0</v>
      </c>
      <c r="U300" s="634">
        <f t="shared" ref="U300" si="1959">SUM(U292:U299)</f>
        <v>0</v>
      </c>
      <c r="V300" s="634">
        <f t="shared" ref="V300" si="1960">SUM(V292:V299)</f>
        <v>0</v>
      </c>
      <c r="W300" s="634">
        <f t="shared" ref="W300" si="1961">SUM(W292:W299)</f>
        <v>0</v>
      </c>
      <c r="X300" s="634">
        <f t="shared" ref="X300" si="1962">SUM(X292:X299)</f>
        <v>0</v>
      </c>
      <c r="Y300" s="634">
        <f t="shared" ref="Y300" si="1963">SUM(Y292:Y299)</f>
        <v>0</v>
      </c>
      <c r="Z300" s="634">
        <f t="shared" ref="Z300" si="1964">SUM(Z292:Z299)</f>
        <v>0</v>
      </c>
      <c r="AA300" s="634">
        <f t="shared" ref="AA300" si="1965">SUM(AA292:AA299)</f>
        <v>0</v>
      </c>
      <c r="AB300" s="634">
        <f t="shared" ref="AB300" si="1966">SUM(AB292:AB299)</f>
        <v>0</v>
      </c>
      <c r="AC300" s="634">
        <f t="shared" ref="AC300" si="1967">SUM(AC292:AC299)</f>
        <v>0</v>
      </c>
      <c r="AD300" s="634">
        <f t="shared" ref="AD300" si="1968">SUM(AD292:AD299)</f>
        <v>0</v>
      </c>
      <c r="AE300" s="634">
        <f t="shared" ref="AE300" si="1969">SUM(AE292:AE299)</f>
        <v>0</v>
      </c>
      <c r="AF300" s="634">
        <f t="shared" ref="AF300" si="1970">SUM(AF292:AF299)</f>
        <v>0</v>
      </c>
      <c r="AG300" s="634">
        <f t="shared" ref="AG300" si="1971">SUM(AG292:AG299)</f>
        <v>0</v>
      </c>
      <c r="AH300" s="634">
        <f t="shared" ref="AH300" si="1972">SUM(AH292:AH299)</f>
        <v>0</v>
      </c>
      <c r="AI300" s="634">
        <f t="shared" ref="AI300" si="1973">SUM(AI292:AI299)</f>
        <v>0</v>
      </c>
      <c r="AJ300" s="634">
        <f t="shared" ref="AJ300" si="1974">SUM(AJ292:AJ299)</f>
        <v>0</v>
      </c>
      <c r="AK300" s="634">
        <f t="shared" ref="AK300" si="1975">SUM(AK292:AK299)</f>
        <v>0</v>
      </c>
      <c r="AL300" s="634">
        <f t="shared" ref="AL300" si="1976">SUM(AL292:AL299)</f>
        <v>0</v>
      </c>
      <c r="AM300" s="634">
        <f t="shared" ref="AM300" si="1977">SUM(AM292:AM299)</f>
        <v>0</v>
      </c>
      <c r="AN300" s="634">
        <f t="shared" ref="AN300" si="1978">SUM(AN292:AN299)</f>
        <v>0</v>
      </c>
      <c r="AO300" s="634">
        <f t="shared" ref="AO300" si="1979">SUM(AO292:AO299)</f>
        <v>0</v>
      </c>
      <c r="AP300" s="634">
        <f t="shared" ref="AP300" si="1980">SUM(AP292:AP299)</f>
        <v>0</v>
      </c>
      <c r="AQ300" s="634">
        <f t="shared" ref="AQ300" si="1981">SUM(AQ292:AQ299)</f>
        <v>0</v>
      </c>
      <c r="AR300" s="634">
        <f t="shared" ref="AR300" si="1982">SUM(AR292:AR299)</f>
        <v>0</v>
      </c>
      <c r="AS300" s="634">
        <f t="shared" ref="AS300" si="1983">SUM(AS292:AS299)</f>
        <v>0</v>
      </c>
      <c r="AT300" s="634">
        <f t="shared" ref="AT300" si="1984">SUM(AT292:AT299)</f>
        <v>0</v>
      </c>
      <c r="AU300" s="634">
        <f t="shared" ref="AU300" si="1985">SUM(AU292:AU299)</f>
        <v>0</v>
      </c>
      <c r="AV300" s="634">
        <f t="shared" ref="AV300" si="1986">SUM(AV292:AV299)</f>
        <v>0</v>
      </c>
      <c r="AW300" s="634">
        <f t="shared" ref="AW300" si="1987">SUM(AW292:AW299)</f>
        <v>0</v>
      </c>
      <c r="AX300" s="634">
        <f t="shared" ref="AX300" si="1988">SUM(AX292:AX299)</f>
        <v>0</v>
      </c>
      <c r="AY300" s="634">
        <f t="shared" ref="AY300" si="1989">SUM(AY292:AY299)</f>
        <v>0</v>
      </c>
      <c r="AZ300" s="634">
        <f t="shared" ref="AZ300" si="1990">SUM(AZ292:AZ299)</f>
        <v>0</v>
      </c>
      <c r="BA300" s="634">
        <f t="shared" ref="BA300" si="1991">SUM(BA292:BA299)</f>
        <v>0</v>
      </c>
      <c r="BB300" s="634">
        <f t="shared" ref="BB300" si="1992">SUM(BB292:BB299)</f>
        <v>0</v>
      </c>
      <c r="BC300" s="634">
        <f t="shared" ref="BC300" si="1993">SUM(BC292:BC299)</f>
        <v>0</v>
      </c>
      <c r="BD300" s="634">
        <f t="shared" ref="BD300" si="1994">SUM(BD292:BD299)</f>
        <v>0</v>
      </c>
      <c r="BE300" s="634">
        <f t="shared" ref="BE300" si="1995">SUM(BE292:BE299)</f>
        <v>0</v>
      </c>
      <c r="BF300" s="634">
        <f t="shared" ref="BF300" si="1996">SUM(BF292:BF299)</f>
        <v>0</v>
      </c>
      <c r="BG300" s="634">
        <f t="shared" ref="BG300" si="1997">SUM(BG292:BG299)</f>
        <v>0</v>
      </c>
      <c r="BH300" s="634">
        <f t="shared" ref="BH300" si="1998">SUM(BH292:BH299)</f>
        <v>0</v>
      </c>
      <c r="BI300" s="634">
        <f t="shared" ref="BI300" si="1999">SUM(BI292:BI299)</f>
        <v>0</v>
      </c>
      <c r="BJ300" s="634">
        <f t="shared" ref="BJ300" si="2000">SUM(BJ292:BJ299)</f>
        <v>0</v>
      </c>
      <c r="BK300" s="634">
        <f t="shared" ref="BK300" si="2001">SUM(BK292:BK299)</f>
        <v>0</v>
      </c>
      <c r="BL300" s="634">
        <f t="shared" ref="BL300" si="2002">SUM(BL292:BL299)</f>
        <v>0</v>
      </c>
      <c r="BM300" s="634">
        <f t="shared" ref="BM300" si="2003">SUM(BM292:BM299)</f>
        <v>0</v>
      </c>
      <c r="BN300" s="634">
        <f t="shared" ref="BN300" si="2004">SUM(BN292:BN299)</f>
        <v>0</v>
      </c>
      <c r="BO300" s="634">
        <f t="shared" ref="BO300" si="2005">SUM(BO292:BO299)</f>
        <v>0</v>
      </c>
      <c r="BP300" s="634">
        <f t="shared" ref="BP300" si="2006">SUM(BP292:BP299)</f>
        <v>0</v>
      </c>
      <c r="BQ300" s="634">
        <f t="shared" ref="BQ300" si="2007">SUM(BQ292:BQ299)</f>
        <v>0</v>
      </c>
      <c r="BR300" s="634">
        <f t="shared" ref="BR300" si="2008">SUM(BR292:BR299)</f>
        <v>0</v>
      </c>
      <c r="BS300" s="634">
        <f t="shared" ref="BS300" si="2009">SUM(BS292:BS299)</f>
        <v>0</v>
      </c>
      <c r="BT300" s="634">
        <f t="shared" ref="BT300" si="2010">SUM(BT292:BT299)</f>
        <v>0</v>
      </c>
      <c r="BU300" s="634">
        <f t="shared" ref="BU300" si="2011">SUM(BU292:BU299)</f>
        <v>0</v>
      </c>
      <c r="BV300" s="634">
        <f t="shared" ref="BV300" si="2012">SUM(BV292:BV299)</f>
        <v>0</v>
      </c>
      <c r="BW300" s="634">
        <f t="shared" ref="BW300" si="2013">SUM(BW292:BW299)</f>
        <v>0</v>
      </c>
      <c r="BX300" s="634">
        <f t="shared" ref="BX300" si="2014">SUM(BX292:BX299)</f>
        <v>0</v>
      </c>
      <c r="BY300" s="634">
        <f t="shared" ref="BY300" si="2015">SUM(BY292:BY299)</f>
        <v>0</v>
      </c>
      <c r="BZ300" s="634">
        <f t="shared" ref="BZ300" si="2016">SUM(BZ292:BZ299)</f>
        <v>0</v>
      </c>
      <c r="CA300" s="634">
        <f t="shared" ref="CA300" si="2017">SUM(CA292:CA299)</f>
        <v>0</v>
      </c>
      <c r="CB300" s="634">
        <f t="shared" ref="CB300" si="2018">SUM(CB292:CB299)</f>
        <v>0</v>
      </c>
      <c r="CC300" s="634">
        <f t="shared" ref="CC300" si="2019">SUM(CC292:CC299)</f>
        <v>0</v>
      </c>
      <c r="CD300" s="634">
        <f t="shared" ref="CD300" si="2020">SUM(CD292:CD299)</f>
        <v>0</v>
      </c>
      <c r="CE300" s="634">
        <f t="shared" ref="CE300" si="2021">SUM(CE292:CE299)</f>
        <v>0</v>
      </c>
      <c r="CF300" s="634">
        <f t="shared" ref="CF300" si="2022">SUM(CF292:CF299)</f>
        <v>0</v>
      </c>
      <c r="CG300" s="634">
        <f t="shared" ref="CG300" si="2023">SUM(CG292:CG299)</f>
        <v>0</v>
      </c>
      <c r="CH300" s="634">
        <f t="shared" ref="CH300" si="2024">SUM(CH292:CH299)</f>
        <v>0</v>
      </c>
      <c r="CI300" s="634">
        <f t="shared" ref="CI300" si="2025">SUM(CI292:CI299)</f>
        <v>0</v>
      </c>
      <c r="CJ300" s="634">
        <f t="shared" ref="CJ300" si="2026">SUM(CJ292:CJ299)</f>
        <v>0</v>
      </c>
      <c r="CK300" s="634">
        <f t="shared" ref="CK300" si="2027">SUM(CK292:CK299)</f>
        <v>0</v>
      </c>
      <c r="CL300" s="634">
        <f t="shared" ref="CL300" si="2028">SUM(CL292:CL299)</f>
        <v>0</v>
      </c>
      <c r="CM300" s="634">
        <f t="shared" ref="CM300" si="2029">SUM(CM292:CM299)</f>
        <v>0</v>
      </c>
      <c r="CN300" s="634">
        <f t="shared" ref="CN300" si="2030">SUM(CN292:CN299)</f>
        <v>0</v>
      </c>
      <c r="CO300" s="634">
        <f t="shared" ref="CO300" si="2031">SUM(CO292:CO299)</f>
        <v>0</v>
      </c>
      <c r="CP300" s="634">
        <f t="shared" ref="CP300" si="2032">SUM(CP292:CP299)</f>
        <v>0</v>
      </c>
      <c r="CQ300" s="634">
        <f t="shared" ref="CQ300" si="2033">SUM(CQ292:CQ299)</f>
        <v>0</v>
      </c>
      <c r="CR300" s="634">
        <f t="shared" ref="CR300" si="2034">SUM(CR292:CR299)</f>
        <v>0</v>
      </c>
      <c r="CS300" s="634">
        <f t="shared" ref="CS300" si="2035">SUM(CS292:CS299)</f>
        <v>0</v>
      </c>
      <c r="CT300" s="634">
        <f t="shared" ref="CT300" si="2036">SUM(CT292:CT299)</f>
        <v>0</v>
      </c>
      <c r="CU300" s="634">
        <f t="shared" ref="CU300" si="2037">SUM(CU292:CU299)</f>
        <v>0</v>
      </c>
      <c r="CV300" s="634">
        <f t="shared" ref="CV300" si="2038">SUM(CV292:CV299)</f>
        <v>0</v>
      </c>
      <c r="CW300" s="634">
        <f t="shared" ref="CW300" si="2039">SUM(CW292:CW299)</f>
        <v>0</v>
      </c>
      <c r="CX300" s="634">
        <f t="shared" ref="CX300" si="2040">SUM(CX292:CX299)</f>
        <v>0</v>
      </c>
      <c r="CY300" s="634">
        <f t="shared" ref="CY300" si="2041">SUM(CY292:CY299)</f>
        <v>0</v>
      </c>
      <c r="CZ300" s="634">
        <f t="shared" ref="CZ300" si="2042">SUM(CZ292:CZ299)</f>
        <v>0</v>
      </c>
      <c r="DA300" s="634">
        <f t="shared" ref="DA300" si="2043">SUM(DA292:DA299)</f>
        <v>0</v>
      </c>
      <c r="DB300" s="634">
        <f t="shared" ref="DB300" si="2044">SUM(DB292:DB299)</f>
        <v>0</v>
      </c>
      <c r="DC300" s="634">
        <f t="shared" ref="DC300" si="2045">SUM(DC292:DC299)</f>
        <v>0</v>
      </c>
      <c r="DD300" s="634">
        <f t="shared" ref="DD300" si="2046">SUM(DD292:DD299)</f>
        <v>0</v>
      </c>
      <c r="DE300" s="634">
        <f t="shared" ref="DE300" si="2047">SUM(DE292:DE299)</f>
        <v>0</v>
      </c>
      <c r="DF300" s="634">
        <f t="shared" ref="DF300" si="2048">SUM(DF292:DF299)</f>
        <v>0</v>
      </c>
      <c r="DG300" s="634">
        <f t="shared" ref="DG300" si="2049">SUM(DG292:DG299)</f>
        <v>0</v>
      </c>
      <c r="DH300" s="634">
        <f t="shared" ref="DH300" si="2050">SUM(DH292:DH299)</f>
        <v>0</v>
      </c>
      <c r="DI300" s="634">
        <f t="shared" ref="DI300" si="2051">SUM(DI292:DI299)</f>
        <v>0</v>
      </c>
      <c r="DJ300" s="634">
        <f t="shared" ref="DJ300" si="2052">SUM(DJ292:DJ299)</f>
        <v>0</v>
      </c>
      <c r="DK300" s="634">
        <f t="shared" ref="DK300" si="2053">SUM(DK292:DK299)</f>
        <v>0</v>
      </c>
      <c r="DL300" s="634">
        <f t="shared" ref="DL300" si="2054">SUM(DL292:DL299)</f>
        <v>0</v>
      </c>
      <c r="DM300" s="634">
        <f t="shared" ref="DM300" si="2055">SUM(DM292:DM299)</f>
        <v>0</v>
      </c>
      <c r="DN300" s="634">
        <f t="shared" ref="DN300" si="2056">SUM(DN292:DN299)</f>
        <v>0</v>
      </c>
      <c r="DO300" s="634">
        <f t="shared" ref="DO300" si="2057">SUM(DO292:DO299)</f>
        <v>0</v>
      </c>
      <c r="DP300" s="666"/>
      <c r="DQ300" s="638" t="e">
        <f>XIRR(S300:DO300,$S$291:$DO$291)</f>
        <v>#NUM!</v>
      </c>
      <c r="DR300" s="636">
        <f t="shared" ref="DR300:DX300" si="2058">SUM(DR292:DR299)</f>
        <v>0</v>
      </c>
      <c r="DS300" s="636">
        <f t="shared" si="2058"/>
        <v>0</v>
      </c>
      <c r="DT300" s="636">
        <f t="shared" si="2058"/>
        <v>0</v>
      </c>
      <c r="DU300" s="636">
        <f t="shared" si="2058"/>
        <v>0</v>
      </c>
      <c r="DV300" s="636">
        <f t="shared" si="2058"/>
        <v>0</v>
      </c>
      <c r="DW300" s="636">
        <f t="shared" si="2058"/>
        <v>0</v>
      </c>
      <c r="DX300" s="636">
        <f t="shared" si="2058"/>
        <v>0</v>
      </c>
      <c r="DY300" s="636">
        <f>SUM(DY292:DY299)</f>
        <v>0</v>
      </c>
      <c r="DZ300" s="636">
        <f>SUM(DZ292:DZ299)</f>
        <v>0</v>
      </c>
      <c r="EA300" s="636">
        <f>SUM(EA292:EA299)</f>
        <v>0</v>
      </c>
    </row>
    <row r="301" spans="1:131" ht="14.25" thickBot="1">
      <c r="A301" s="172"/>
      <c r="B301" s="667"/>
      <c r="C301" s="592" t="s">
        <v>3609</v>
      </c>
      <c r="D301" s="648">
        <f>D289+1</f>
        <v>21</v>
      </c>
      <c r="E301" s="649"/>
      <c r="F301" s="603"/>
      <c r="G301" s="603"/>
      <c r="I301" s="650" t="b">
        <f>I312=DR303</f>
        <v>1</v>
      </c>
      <c r="J301" s="172"/>
      <c r="K301" s="172"/>
      <c r="L301" s="172"/>
      <c r="M301" s="172"/>
      <c r="N301" s="172"/>
      <c r="O301" s="172"/>
      <c r="P301" s="172"/>
      <c r="Q301" s="639" t="str">
        <f>IF(Q312=NAV!E979,"자본금과 일치","자본금과 불일치")</f>
        <v>자본금과 일치</v>
      </c>
      <c r="R301" s="172"/>
      <c r="S301" s="172"/>
      <c r="T301" s="172"/>
      <c r="U301" s="172"/>
      <c r="V301" s="172"/>
      <c r="W301" s="172"/>
      <c r="X301" s="172"/>
      <c r="Y301" s="172"/>
      <c r="Z301" s="172"/>
      <c r="AA301" s="172"/>
      <c r="AB301" s="172"/>
      <c r="AC301" s="172"/>
      <c r="AD301" s="172"/>
      <c r="AE301" s="172"/>
      <c r="AF301" s="172"/>
      <c r="AG301" s="172"/>
      <c r="AH301" s="172"/>
      <c r="AI301" s="172"/>
      <c r="AJ301" s="172"/>
      <c r="AK301" s="172"/>
      <c r="AL301" s="172"/>
      <c r="AM301" s="172"/>
      <c r="AN301" s="172"/>
      <c r="AO301" s="172"/>
      <c r="AP301" s="172"/>
      <c r="AQ301" s="172"/>
      <c r="AR301" s="172"/>
      <c r="AS301" s="172"/>
      <c r="AT301" s="172"/>
      <c r="AU301" s="172"/>
      <c r="AV301" s="172"/>
      <c r="AW301" s="172"/>
      <c r="AX301" s="172"/>
      <c r="AY301" s="172"/>
      <c r="AZ301" s="172"/>
      <c r="BA301" s="172"/>
      <c r="BB301" s="172"/>
      <c r="BC301" s="172"/>
      <c r="BD301" s="172"/>
      <c r="BE301" s="172"/>
      <c r="BF301" s="172"/>
      <c r="BG301" s="172"/>
      <c r="BH301" s="172"/>
      <c r="BI301" s="172"/>
      <c r="BJ301" s="172"/>
      <c r="BK301" s="172"/>
      <c r="BL301" s="172"/>
      <c r="BM301" s="172"/>
      <c r="BN301" s="172"/>
      <c r="BO301" s="172"/>
      <c r="BP301" s="172"/>
      <c r="BQ301" s="172"/>
      <c r="BR301" s="172"/>
      <c r="BS301" s="172"/>
      <c r="BT301" s="172"/>
      <c r="BU301" s="172"/>
      <c r="BV301" s="172"/>
      <c r="BW301" s="172"/>
      <c r="BX301" s="172"/>
      <c r="BY301" s="172"/>
      <c r="BZ301" s="172"/>
      <c r="CA301" s="172"/>
      <c r="CB301" s="172"/>
      <c r="CC301" s="172"/>
      <c r="CD301" s="172"/>
      <c r="CE301" s="172"/>
      <c r="CF301" s="172"/>
      <c r="CG301" s="172"/>
      <c r="CH301" s="172"/>
      <c r="CI301" s="172"/>
      <c r="CJ301" s="172"/>
      <c r="CK301" s="172"/>
      <c r="CL301" s="172"/>
      <c r="CM301" s="172"/>
      <c r="CN301" s="172"/>
      <c r="CO301" s="172"/>
      <c r="CP301" s="172"/>
      <c r="CQ301" s="172"/>
      <c r="CR301" s="172"/>
      <c r="CS301" s="172"/>
      <c r="CT301" s="172"/>
      <c r="CU301" s="172"/>
      <c r="CV301" s="172"/>
      <c r="CW301" s="172"/>
      <c r="CX301" s="172"/>
      <c r="CY301" s="172"/>
      <c r="CZ301" s="172"/>
      <c r="DA301" s="172"/>
      <c r="DB301" s="172"/>
      <c r="DC301" s="172"/>
      <c r="DD301" s="172"/>
      <c r="DE301" s="172"/>
      <c r="DF301" s="172"/>
      <c r="DG301" s="172"/>
      <c r="DH301" s="172"/>
      <c r="DI301" s="172"/>
      <c r="DJ301" s="172"/>
      <c r="DK301" s="172"/>
      <c r="DL301" s="172"/>
      <c r="DM301" s="172"/>
      <c r="DN301" s="172"/>
      <c r="DO301" s="588" t="s">
        <v>219</v>
      </c>
      <c r="DP301" s="588" t="str">
        <f>IF(ROUND(_xlfn.AGGREGATE(9,6,DP304:DP311),5)=ROUND(_xlfn.AGGREGATE(9,6,DQ304:DQ311),5),"이상없음","기준수익률확인")</f>
        <v>이상없음</v>
      </c>
      <c r="DQ301" s="172"/>
      <c r="DR301" s="651" t="s">
        <v>3406</v>
      </c>
      <c r="DS301" s="172"/>
      <c r="DT301" s="615"/>
      <c r="DU301" s="615"/>
      <c r="DV301" s="172"/>
      <c r="DW301" s="172"/>
      <c r="DX301" s="615"/>
      <c r="DY301" s="172"/>
      <c r="DZ301" s="172"/>
      <c r="EA301" s="172"/>
    </row>
    <row r="302" spans="1:131" ht="13.5" customHeight="1">
      <c r="A302" s="652" t="str">
        <f t="shared" ref="A302:A310" si="2059">$B$301&amp;B302</f>
        <v>SPC명</v>
      </c>
      <c r="B302" s="653" t="s">
        <v>349</v>
      </c>
      <c r="C302" s="780"/>
      <c r="D302" s="780"/>
      <c r="E302" s="780"/>
      <c r="F302" s="230"/>
      <c r="G302" s="230"/>
      <c r="I302" s="776" t="s">
        <v>3393</v>
      </c>
      <c r="J302" s="776" t="s">
        <v>3394</v>
      </c>
      <c r="K302" s="774" t="s">
        <v>3395</v>
      </c>
      <c r="L302" s="774" t="s">
        <v>3396</v>
      </c>
      <c r="M302" s="774" t="s">
        <v>203</v>
      </c>
      <c r="N302" s="774" t="s">
        <v>211</v>
      </c>
      <c r="O302" s="774" t="s">
        <v>3399</v>
      </c>
      <c r="P302" s="776" t="s">
        <v>239</v>
      </c>
      <c r="Q302" s="774" t="s">
        <v>3401</v>
      </c>
      <c r="R302" s="774" t="s">
        <v>3402</v>
      </c>
      <c r="S302" s="593"/>
      <c r="T302" s="593"/>
      <c r="U302" s="593"/>
      <c r="V302" s="593"/>
      <c r="W302" s="593"/>
      <c r="X302" s="593"/>
      <c r="Y302" s="593"/>
      <c r="Z302" s="593"/>
      <c r="AA302" s="593"/>
      <c r="AB302" s="593"/>
      <c r="AC302" s="593"/>
      <c r="AD302" s="593"/>
      <c r="AE302" s="593"/>
      <c r="AF302" s="593"/>
      <c r="AG302" s="593"/>
      <c r="AH302" s="593"/>
      <c r="AI302" s="593"/>
      <c r="AJ302" s="593"/>
      <c r="AK302" s="593"/>
      <c r="AL302" s="593"/>
      <c r="AM302" s="593"/>
      <c r="AN302" s="593"/>
      <c r="AO302" s="593"/>
      <c r="AP302" s="593"/>
      <c r="AQ302" s="593"/>
      <c r="AR302" s="593"/>
      <c r="AS302" s="593"/>
      <c r="AT302" s="593"/>
      <c r="AU302" s="593"/>
      <c r="AV302" s="593"/>
      <c r="AW302" s="593"/>
      <c r="AX302" s="593"/>
      <c r="AY302" s="593"/>
      <c r="AZ302" s="593"/>
      <c r="BA302" s="593"/>
      <c r="BB302" s="593"/>
      <c r="BC302" s="593"/>
      <c r="BD302" s="593"/>
      <c r="BE302" s="593"/>
      <c r="BF302" s="593"/>
      <c r="BG302" s="593"/>
      <c r="BH302" s="593"/>
      <c r="BI302" s="593"/>
      <c r="BJ302" s="593"/>
      <c r="BK302" s="593"/>
      <c r="BL302" s="593"/>
      <c r="BM302" s="593"/>
      <c r="BN302" s="593"/>
      <c r="BO302" s="593"/>
      <c r="BP302" s="593"/>
      <c r="BQ302" s="593"/>
      <c r="BR302" s="593"/>
      <c r="BS302" s="593"/>
      <c r="BT302" s="593"/>
      <c r="BU302" s="593"/>
      <c r="BV302" s="593"/>
      <c r="BW302" s="593"/>
      <c r="BX302" s="593"/>
      <c r="BY302" s="593"/>
      <c r="BZ302" s="593"/>
      <c r="CA302" s="593"/>
      <c r="CB302" s="593"/>
      <c r="CC302" s="593"/>
      <c r="CD302" s="593"/>
      <c r="CE302" s="593"/>
      <c r="CF302" s="593"/>
      <c r="CG302" s="593"/>
      <c r="CH302" s="593"/>
      <c r="CI302" s="593"/>
      <c r="CJ302" s="593"/>
      <c r="CK302" s="593"/>
      <c r="CL302" s="593"/>
      <c r="CM302" s="593"/>
      <c r="CN302" s="593"/>
      <c r="CO302" s="593"/>
      <c r="CP302" s="593"/>
      <c r="CQ302" s="593"/>
      <c r="CR302" s="593"/>
      <c r="CS302" s="593"/>
      <c r="CT302" s="593"/>
      <c r="CU302" s="593"/>
      <c r="CV302" s="593"/>
      <c r="CW302" s="593"/>
      <c r="CX302" s="593"/>
      <c r="CY302" s="593"/>
      <c r="CZ302" s="593"/>
      <c r="DA302" s="593"/>
      <c r="DB302" s="593"/>
      <c r="DC302" s="593"/>
      <c r="DD302" s="593"/>
      <c r="DE302" s="593"/>
      <c r="DF302" s="593"/>
      <c r="DG302" s="593"/>
      <c r="DH302" s="593"/>
      <c r="DI302" s="593"/>
      <c r="DJ302" s="593"/>
      <c r="DK302" s="593"/>
      <c r="DL302" s="593"/>
      <c r="DM302" s="593"/>
      <c r="DN302" s="593"/>
      <c r="DO302" s="594" t="s">
        <v>220</v>
      </c>
      <c r="DP302" s="774" t="s">
        <v>218</v>
      </c>
      <c r="DQ302" s="774" t="s">
        <v>222</v>
      </c>
      <c r="DR302" s="594"/>
      <c r="DS302" s="594"/>
      <c r="DT302" s="594"/>
      <c r="DU302" s="594"/>
      <c r="DV302" s="594"/>
      <c r="DW302" s="594"/>
      <c r="DX302" s="594"/>
      <c r="DY302" s="594"/>
      <c r="DZ302" s="594"/>
      <c r="EA302" s="602"/>
    </row>
    <row r="303" spans="1:131" ht="14.25" thickBot="1">
      <c r="A303" s="652" t="str">
        <f t="shared" si="2059"/>
        <v>유형</v>
      </c>
      <c r="B303" s="653" t="s">
        <v>350</v>
      </c>
      <c r="C303" s="780"/>
      <c r="D303" s="780"/>
      <c r="E303" s="780"/>
      <c r="F303" s="230"/>
      <c r="G303" s="230"/>
      <c r="I303" s="777"/>
      <c r="J303" s="777"/>
      <c r="K303" s="775"/>
      <c r="L303" s="775"/>
      <c r="M303" s="775"/>
      <c r="N303" s="775"/>
      <c r="O303" s="775"/>
      <c r="P303" s="777"/>
      <c r="Q303" s="775"/>
      <c r="R303" s="775"/>
      <c r="S303" s="601"/>
      <c r="T303" s="601"/>
      <c r="U303" s="601"/>
      <c r="V303" s="601"/>
      <c r="W303" s="601"/>
      <c r="X303" s="601"/>
      <c r="Y303" s="601"/>
      <c r="Z303" s="601"/>
      <c r="AA303" s="601"/>
      <c r="AB303" s="601"/>
      <c r="AC303" s="601"/>
      <c r="AD303" s="601"/>
      <c r="AE303" s="601"/>
      <c r="AF303" s="601"/>
      <c r="AG303" s="601"/>
      <c r="AH303" s="601"/>
      <c r="AI303" s="601"/>
      <c r="AJ303" s="601"/>
      <c r="AK303" s="601"/>
      <c r="AL303" s="601"/>
      <c r="AM303" s="601"/>
      <c r="AN303" s="601"/>
      <c r="AO303" s="601"/>
      <c r="AP303" s="601"/>
      <c r="AQ303" s="601"/>
      <c r="AR303" s="601"/>
      <c r="AS303" s="601"/>
      <c r="AT303" s="601"/>
      <c r="AU303" s="601"/>
      <c r="AV303" s="601"/>
      <c r="AW303" s="601"/>
      <c r="AX303" s="601"/>
      <c r="AY303" s="601"/>
      <c r="AZ303" s="601"/>
      <c r="BA303" s="601"/>
      <c r="BB303" s="601"/>
      <c r="BC303" s="601"/>
      <c r="BD303" s="601"/>
      <c r="BE303" s="601"/>
      <c r="BF303" s="601"/>
      <c r="BG303" s="601"/>
      <c r="BH303" s="601"/>
      <c r="BI303" s="601"/>
      <c r="BJ303" s="601"/>
      <c r="BK303" s="601"/>
      <c r="BL303" s="601"/>
      <c r="BM303" s="601"/>
      <c r="BN303" s="601"/>
      <c r="BO303" s="601"/>
      <c r="BP303" s="601"/>
      <c r="BQ303" s="601"/>
      <c r="BR303" s="601"/>
      <c r="BS303" s="601"/>
      <c r="BT303" s="601"/>
      <c r="BU303" s="601"/>
      <c r="BV303" s="601"/>
      <c r="BW303" s="601"/>
      <c r="BX303" s="601"/>
      <c r="BY303" s="601"/>
      <c r="BZ303" s="601"/>
      <c r="CA303" s="601"/>
      <c r="CB303" s="601"/>
      <c r="CC303" s="601"/>
      <c r="CD303" s="601"/>
      <c r="CE303" s="601"/>
      <c r="CF303" s="601"/>
      <c r="CG303" s="601"/>
      <c r="CH303" s="601"/>
      <c r="CI303" s="601"/>
      <c r="CJ303" s="601"/>
      <c r="CK303" s="601"/>
      <c r="CL303" s="601"/>
      <c r="CM303" s="601"/>
      <c r="CN303" s="601"/>
      <c r="CO303" s="601"/>
      <c r="CP303" s="601"/>
      <c r="CQ303" s="601"/>
      <c r="CR303" s="601"/>
      <c r="CS303" s="601"/>
      <c r="CT303" s="601"/>
      <c r="CU303" s="601"/>
      <c r="CV303" s="601"/>
      <c r="CW303" s="601"/>
      <c r="CX303" s="601"/>
      <c r="CY303" s="601"/>
      <c r="CZ303" s="601"/>
      <c r="DA303" s="601"/>
      <c r="DB303" s="601"/>
      <c r="DC303" s="601"/>
      <c r="DD303" s="601"/>
      <c r="DE303" s="601"/>
      <c r="DF303" s="601"/>
      <c r="DG303" s="601"/>
      <c r="DH303" s="601"/>
      <c r="DI303" s="601"/>
      <c r="DJ303" s="601"/>
      <c r="DK303" s="601"/>
      <c r="DL303" s="601"/>
      <c r="DM303" s="601"/>
      <c r="DN303" s="601"/>
      <c r="DO303" s="654">
        <f>$DO$7</f>
        <v>45473</v>
      </c>
      <c r="DP303" s="775"/>
      <c r="DQ303" s="775"/>
      <c r="DR303" s="595">
        <f>NAV!E985</f>
        <v>0</v>
      </c>
      <c r="DS303" s="596">
        <f>DR303-DR312</f>
        <v>0</v>
      </c>
      <c r="DT303" s="596"/>
      <c r="DU303" s="596"/>
      <c r="DV303" s="597"/>
      <c r="DW303" s="596"/>
      <c r="DX303" s="596"/>
      <c r="DY303" s="596"/>
      <c r="DZ303" s="655"/>
      <c r="EA303" s="656"/>
    </row>
    <row r="304" spans="1:131" ht="13.5">
      <c r="A304" s="652" t="str">
        <f t="shared" si="2059"/>
        <v>설정일</v>
      </c>
      <c r="B304" s="653" t="s">
        <v>351</v>
      </c>
      <c r="C304" s="781"/>
      <c r="D304" s="780"/>
      <c r="E304" s="780"/>
      <c r="F304" s="230"/>
      <c r="G304" s="230"/>
      <c r="I304" s="657">
        <f>SUM(DR304:EA304)</f>
        <v>0</v>
      </c>
      <c r="J304" s="606" t="str">
        <f>IFERROR(I304/(Q304/$C$306),"N/A")</f>
        <v>N/A</v>
      </c>
      <c r="K304" s="471"/>
      <c r="L304" s="607"/>
      <c r="M304" s="300"/>
      <c r="N304" s="608"/>
      <c r="O304" s="609">
        <f t="shared" ref="O304:O311" si="2060">-(SUMIF($S$302:$DN$302,"최초출자",S304:DN304)+SUMIF($S$302:$DN$302,"추가출자",S304:DN304))</f>
        <v>0</v>
      </c>
      <c r="P304" s="609">
        <f t="shared" ref="P304:P311" si="2061">SUMIF($S$302:$DN$302,"이익분배",S304:DN304)+SUMIF($S$302:$DN$302,"원본분배",S304:DN304)</f>
        <v>0</v>
      </c>
      <c r="Q304" s="609">
        <f t="shared" ref="Q304:Q311" si="2062">-(SUMIF($S$302:$DN$302,"최초출자",S304:DN304)+SUMIF($S$302:$DN$302,"추가출자",S304:DN304)+SUMIF($S$302:$DN$302,"원본분배",S304:DN304))</f>
        <v>0</v>
      </c>
      <c r="R304" s="610" t="str">
        <f>IFERROR(Q304/Q312,"")</f>
        <v/>
      </c>
      <c r="S304" s="658"/>
      <c r="T304" s="658"/>
      <c r="U304" s="658"/>
      <c r="V304" s="658"/>
      <c r="W304" s="658"/>
      <c r="X304" s="658"/>
      <c r="Y304" s="658"/>
      <c r="Z304" s="658"/>
      <c r="AA304" s="658"/>
      <c r="AB304" s="658"/>
      <c r="AC304" s="658"/>
      <c r="AD304" s="658"/>
      <c r="AE304" s="658"/>
      <c r="AF304" s="658"/>
      <c r="AG304" s="658"/>
      <c r="AH304" s="658"/>
      <c r="AI304" s="658"/>
      <c r="AJ304" s="658"/>
      <c r="AK304" s="658"/>
      <c r="AL304" s="658"/>
      <c r="AM304" s="658"/>
      <c r="AN304" s="658"/>
      <c r="AO304" s="658"/>
      <c r="AP304" s="658"/>
      <c r="AQ304" s="658"/>
      <c r="AR304" s="658"/>
      <c r="AS304" s="658"/>
      <c r="AT304" s="658"/>
      <c r="AU304" s="658"/>
      <c r="AV304" s="658"/>
      <c r="AW304" s="658"/>
      <c r="AX304" s="658"/>
      <c r="AY304" s="658"/>
      <c r="AZ304" s="658"/>
      <c r="BA304" s="658"/>
      <c r="BB304" s="658"/>
      <c r="BC304" s="658"/>
      <c r="BD304" s="658"/>
      <c r="BE304" s="658"/>
      <c r="BF304" s="658"/>
      <c r="BG304" s="658"/>
      <c r="BH304" s="658"/>
      <c r="BI304" s="658"/>
      <c r="BJ304" s="658"/>
      <c r="BK304" s="658"/>
      <c r="BL304" s="658"/>
      <c r="BM304" s="658"/>
      <c r="BN304" s="658"/>
      <c r="BO304" s="658"/>
      <c r="BP304" s="658"/>
      <c r="BQ304" s="658"/>
      <c r="BR304" s="658"/>
      <c r="BS304" s="658"/>
      <c r="BT304" s="658"/>
      <c r="BU304" s="658"/>
      <c r="BV304" s="658"/>
      <c r="BW304" s="658"/>
      <c r="BX304" s="658"/>
      <c r="BY304" s="658"/>
      <c r="BZ304" s="658"/>
      <c r="CA304" s="658"/>
      <c r="CB304" s="658"/>
      <c r="CC304" s="658"/>
      <c r="CD304" s="658"/>
      <c r="CE304" s="658"/>
      <c r="CF304" s="658"/>
      <c r="CG304" s="658"/>
      <c r="CH304" s="658"/>
      <c r="CI304" s="658"/>
      <c r="CJ304" s="658"/>
      <c r="CK304" s="658"/>
      <c r="CL304" s="658"/>
      <c r="CM304" s="658"/>
      <c r="CN304" s="658"/>
      <c r="CO304" s="658"/>
      <c r="CP304" s="658"/>
      <c r="CQ304" s="658"/>
      <c r="CR304" s="658"/>
      <c r="CS304" s="658"/>
      <c r="CT304" s="658"/>
      <c r="CU304" s="658"/>
      <c r="CV304" s="658"/>
      <c r="CW304" s="658"/>
      <c r="CX304" s="658"/>
      <c r="CY304" s="658"/>
      <c r="CZ304" s="658"/>
      <c r="DA304" s="658"/>
      <c r="DB304" s="658"/>
      <c r="DC304" s="658"/>
      <c r="DD304" s="658"/>
      <c r="DE304" s="658"/>
      <c r="DF304" s="658"/>
      <c r="DG304" s="658"/>
      <c r="DH304" s="658"/>
      <c r="DI304" s="658"/>
      <c r="DJ304" s="658"/>
      <c r="DK304" s="658"/>
      <c r="DL304" s="658"/>
      <c r="DM304" s="658"/>
      <c r="DN304" s="658"/>
      <c r="DO304" s="177">
        <f>IF(M304="",0,-XNPV(DP304,S304,S$303)*(1+DP304)^YEARFRAC($S$303,$DO$303,3))</f>
        <v>0</v>
      </c>
      <c r="DP304" s="612" t="e">
        <f>IF(HLOOKUP(L304,$C$311:$E$312,2,0)=0,1E-24%,HLOOKUP(L304,$C$311:$E$312,2,FALSE))</f>
        <v>#N/A</v>
      </c>
      <c r="DQ304" s="612" t="e">
        <f t="shared" ref="DQ304:DQ311" si="2063">XIRR(S304:DO304,$S$303:$DO$303)</f>
        <v>#NUM!</v>
      </c>
      <c r="DR304" s="177"/>
      <c r="DS304" s="177"/>
      <c r="DT304" s="177"/>
      <c r="DU304" s="177"/>
      <c r="DV304" s="177"/>
      <c r="DW304" s="177"/>
      <c r="DX304" s="177"/>
      <c r="DY304" s="177"/>
      <c r="DZ304" s="177"/>
      <c r="EA304" s="613"/>
    </row>
    <row r="305" spans="1:131" ht="13.5">
      <c r="A305" s="652" t="str">
        <f t="shared" si="2059"/>
        <v>출자잔액</v>
      </c>
      <c r="B305" s="653" t="s">
        <v>352</v>
      </c>
      <c r="C305" s="782"/>
      <c r="D305" s="782"/>
      <c r="E305" s="782"/>
      <c r="F305" s="230"/>
      <c r="G305" s="230"/>
      <c r="I305" s="657">
        <f t="shared" ref="I305:I311" si="2064">SUM(DR305:EA305)</f>
        <v>0</v>
      </c>
      <c r="J305" s="606" t="str">
        <f t="shared" ref="J305:J311" si="2065">IFERROR(I305/(Q305/$C$306),"N/A")</f>
        <v>N/A</v>
      </c>
      <c r="K305" s="471"/>
      <c r="L305" s="607"/>
      <c r="M305" s="300"/>
      <c r="N305" s="608"/>
      <c r="O305" s="609">
        <f t="shared" si="2060"/>
        <v>0</v>
      </c>
      <c r="P305" s="609">
        <f t="shared" si="2061"/>
        <v>0</v>
      </c>
      <c r="Q305" s="609">
        <f t="shared" si="2062"/>
        <v>0</v>
      </c>
      <c r="R305" s="610" t="str">
        <f>IFERROR(Q305/Q312,"")</f>
        <v/>
      </c>
      <c r="S305" s="658"/>
      <c r="T305" s="658"/>
      <c r="U305" s="658"/>
      <c r="V305" s="658"/>
      <c r="W305" s="658"/>
      <c r="X305" s="658"/>
      <c r="Y305" s="658"/>
      <c r="Z305" s="658"/>
      <c r="AA305" s="658"/>
      <c r="AB305" s="658"/>
      <c r="AC305" s="658"/>
      <c r="AD305" s="658"/>
      <c r="AE305" s="658"/>
      <c r="AF305" s="658"/>
      <c r="AG305" s="658"/>
      <c r="AH305" s="658"/>
      <c r="AI305" s="658"/>
      <c r="AJ305" s="658"/>
      <c r="AK305" s="658"/>
      <c r="AL305" s="658"/>
      <c r="AM305" s="658"/>
      <c r="AN305" s="658"/>
      <c r="AO305" s="658"/>
      <c r="AP305" s="658"/>
      <c r="AQ305" s="658"/>
      <c r="AR305" s="658"/>
      <c r="AS305" s="658"/>
      <c r="AT305" s="658"/>
      <c r="AU305" s="658"/>
      <c r="AV305" s="658"/>
      <c r="AW305" s="658"/>
      <c r="AX305" s="658"/>
      <c r="AY305" s="658"/>
      <c r="AZ305" s="658"/>
      <c r="BA305" s="658"/>
      <c r="BB305" s="658"/>
      <c r="BC305" s="658"/>
      <c r="BD305" s="658"/>
      <c r="BE305" s="658"/>
      <c r="BF305" s="658"/>
      <c r="BG305" s="658"/>
      <c r="BH305" s="658"/>
      <c r="BI305" s="658"/>
      <c r="BJ305" s="658"/>
      <c r="BK305" s="658"/>
      <c r="BL305" s="658"/>
      <c r="BM305" s="658"/>
      <c r="BN305" s="658"/>
      <c r="BO305" s="658"/>
      <c r="BP305" s="658"/>
      <c r="BQ305" s="658"/>
      <c r="BR305" s="658"/>
      <c r="BS305" s="658"/>
      <c r="BT305" s="658"/>
      <c r="BU305" s="658"/>
      <c r="BV305" s="658"/>
      <c r="BW305" s="658"/>
      <c r="BX305" s="658"/>
      <c r="BY305" s="658"/>
      <c r="BZ305" s="658"/>
      <c r="CA305" s="658"/>
      <c r="CB305" s="658"/>
      <c r="CC305" s="658"/>
      <c r="CD305" s="658"/>
      <c r="CE305" s="658"/>
      <c r="CF305" s="658"/>
      <c r="CG305" s="658"/>
      <c r="CH305" s="658"/>
      <c r="CI305" s="658"/>
      <c r="CJ305" s="658"/>
      <c r="CK305" s="658"/>
      <c r="CL305" s="658"/>
      <c r="CM305" s="658"/>
      <c r="CN305" s="658"/>
      <c r="CO305" s="658"/>
      <c r="CP305" s="658"/>
      <c r="CQ305" s="658"/>
      <c r="CR305" s="658"/>
      <c r="CS305" s="658"/>
      <c r="CT305" s="658"/>
      <c r="CU305" s="658"/>
      <c r="CV305" s="658"/>
      <c r="CW305" s="658"/>
      <c r="CX305" s="658"/>
      <c r="CY305" s="658"/>
      <c r="CZ305" s="658"/>
      <c r="DA305" s="658"/>
      <c r="DB305" s="658"/>
      <c r="DC305" s="658"/>
      <c r="DD305" s="658"/>
      <c r="DE305" s="658"/>
      <c r="DF305" s="658"/>
      <c r="DG305" s="658"/>
      <c r="DH305" s="658"/>
      <c r="DI305" s="658"/>
      <c r="DJ305" s="658"/>
      <c r="DK305" s="658"/>
      <c r="DL305" s="658"/>
      <c r="DM305" s="658"/>
      <c r="DN305" s="658"/>
      <c r="DO305" s="177">
        <f t="shared" ref="DO305:DO311" si="2066">IF(M305="",0,-XNPV(DP305,S305,S$303)*(1+DP305)^YEARFRAC($S$303,$DO$303,3))</f>
        <v>0</v>
      </c>
      <c r="DP305" s="612" t="e">
        <f t="shared" ref="DP305:DP311" si="2067">IF(HLOOKUP(L305,$C$311:$E$312,2,0)=0,1E-24%,HLOOKUP(L305,$C$311:$E$312,2,FALSE))</f>
        <v>#N/A</v>
      </c>
      <c r="DQ305" s="612" t="e">
        <f t="shared" si="2063"/>
        <v>#NUM!</v>
      </c>
      <c r="DR305" s="177"/>
      <c r="DS305" s="177"/>
      <c r="DT305" s="177"/>
      <c r="DU305" s="177"/>
      <c r="DV305" s="177"/>
      <c r="DW305" s="177"/>
      <c r="DX305" s="177"/>
      <c r="DY305" s="177"/>
      <c r="DZ305" s="177"/>
      <c r="EA305" s="613"/>
    </row>
    <row r="306" spans="1:131" ht="13.5">
      <c r="A306" s="652" t="str">
        <f t="shared" si="2059"/>
        <v>1좌당 금액</v>
      </c>
      <c r="B306" s="653" t="s">
        <v>353</v>
      </c>
      <c r="C306" s="783"/>
      <c r="D306" s="783"/>
      <c r="E306" s="783"/>
      <c r="F306" s="230"/>
      <c r="G306" s="230"/>
      <c r="I306" s="657">
        <f t="shared" si="2064"/>
        <v>0</v>
      </c>
      <c r="J306" s="606" t="str">
        <f t="shared" si="2065"/>
        <v>N/A</v>
      </c>
      <c r="K306" s="471"/>
      <c r="L306" s="607"/>
      <c r="M306" s="300"/>
      <c r="N306" s="608"/>
      <c r="O306" s="609">
        <f t="shared" si="2060"/>
        <v>0</v>
      </c>
      <c r="P306" s="609">
        <f t="shared" si="2061"/>
        <v>0</v>
      </c>
      <c r="Q306" s="609">
        <f t="shared" si="2062"/>
        <v>0</v>
      </c>
      <c r="R306" s="610" t="str">
        <f>IFERROR(Q306/Q312,"")</f>
        <v/>
      </c>
      <c r="S306" s="658"/>
      <c r="T306" s="658"/>
      <c r="U306" s="658"/>
      <c r="V306" s="658"/>
      <c r="W306" s="658"/>
      <c r="X306" s="658"/>
      <c r="Y306" s="658"/>
      <c r="Z306" s="658"/>
      <c r="AA306" s="658"/>
      <c r="AB306" s="658"/>
      <c r="AC306" s="658"/>
      <c r="AD306" s="658"/>
      <c r="AE306" s="658"/>
      <c r="AF306" s="658"/>
      <c r="AG306" s="658"/>
      <c r="AH306" s="658"/>
      <c r="AI306" s="658"/>
      <c r="AJ306" s="658"/>
      <c r="AK306" s="658"/>
      <c r="AL306" s="658"/>
      <c r="AM306" s="658"/>
      <c r="AN306" s="658"/>
      <c r="AO306" s="658"/>
      <c r="AP306" s="658"/>
      <c r="AQ306" s="658"/>
      <c r="AR306" s="658"/>
      <c r="AS306" s="658"/>
      <c r="AT306" s="658"/>
      <c r="AU306" s="658"/>
      <c r="AV306" s="658"/>
      <c r="AW306" s="658"/>
      <c r="AX306" s="658"/>
      <c r="AY306" s="658"/>
      <c r="AZ306" s="658"/>
      <c r="BA306" s="658"/>
      <c r="BB306" s="658"/>
      <c r="BC306" s="658"/>
      <c r="BD306" s="658"/>
      <c r="BE306" s="658"/>
      <c r="BF306" s="658"/>
      <c r="BG306" s="658"/>
      <c r="BH306" s="658"/>
      <c r="BI306" s="658"/>
      <c r="BJ306" s="658"/>
      <c r="BK306" s="658"/>
      <c r="BL306" s="658"/>
      <c r="BM306" s="658"/>
      <c r="BN306" s="658"/>
      <c r="BO306" s="658"/>
      <c r="BP306" s="658"/>
      <c r="BQ306" s="658"/>
      <c r="BR306" s="658"/>
      <c r="BS306" s="658"/>
      <c r="BT306" s="658"/>
      <c r="BU306" s="658"/>
      <c r="BV306" s="658"/>
      <c r="BW306" s="658"/>
      <c r="BX306" s="658"/>
      <c r="BY306" s="658"/>
      <c r="BZ306" s="658"/>
      <c r="CA306" s="658"/>
      <c r="CB306" s="658"/>
      <c r="CC306" s="658"/>
      <c r="CD306" s="658"/>
      <c r="CE306" s="658"/>
      <c r="CF306" s="658"/>
      <c r="CG306" s="658"/>
      <c r="CH306" s="658"/>
      <c r="CI306" s="658"/>
      <c r="CJ306" s="658"/>
      <c r="CK306" s="658"/>
      <c r="CL306" s="658"/>
      <c r="CM306" s="658"/>
      <c r="CN306" s="658"/>
      <c r="CO306" s="658"/>
      <c r="CP306" s="658"/>
      <c r="CQ306" s="658"/>
      <c r="CR306" s="658"/>
      <c r="CS306" s="658"/>
      <c r="CT306" s="658"/>
      <c r="CU306" s="658"/>
      <c r="CV306" s="658"/>
      <c r="CW306" s="658"/>
      <c r="CX306" s="658"/>
      <c r="CY306" s="658"/>
      <c r="CZ306" s="658"/>
      <c r="DA306" s="658"/>
      <c r="DB306" s="658"/>
      <c r="DC306" s="658"/>
      <c r="DD306" s="658"/>
      <c r="DE306" s="658"/>
      <c r="DF306" s="658"/>
      <c r="DG306" s="658"/>
      <c r="DH306" s="658"/>
      <c r="DI306" s="658"/>
      <c r="DJ306" s="658"/>
      <c r="DK306" s="658"/>
      <c r="DL306" s="658"/>
      <c r="DM306" s="658"/>
      <c r="DN306" s="658"/>
      <c r="DO306" s="177">
        <f t="shared" si="2066"/>
        <v>0</v>
      </c>
      <c r="DP306" s="612" t="e">
        <f t="shared" si="2067"/>
        <v>#N/A</v>
      </c>
      <c r="DQ306" s="612" t="e">
        <f t="shared" si="2063"/>
        <v>#NUM!</v>
      </c>
      <c r="DR306" s="177"/>
      <c r="DS306" s="177"/>
      <c r="DT306" s="177"/>
      <c r="DU306" s="177"/>
      <c r="DV306" s="177"/>
      <c r="DW306" s="177"/>
      <c r="DX306" s="177"/>
      <c r="DY306" s="177"/>
      <c r="DZ306" s="177"/>
      <c r="EA306" s="613"/>
    </row>
    <row r="307" spans="1:131" ht="13.5">
      <c r="A307" s="652" t="str">
        <f t="shared" si="2059"/>
        <v>기준수익률</v>
      </c>
      <c r="B307" s="653" t="s">
        <v>354</v>
      </c>
      <c r="C307" s="784"/>
      <c r="D307" s="785"/>
      <c r="E307" s="785"/>
      <c r="F307" s="230"/>
      <c r="G307" s="230"/>
      <c r="I307" s="657">
        <f t="shared" si="2064"/>
        <v>0</v>
      </c>
      <c r="J307" s="606" t="str">
        <f t="shared" si="2065"/>
        <v>N/A</v>
      </c>
      <c r="K307" s="471"/>
      <c r="L307" s="607"/>
      <c r="M307" s="300"/>
      <c r="N307" s="608"/>
      <c r="O307" s="609">
        <f t="shared" si="2060"/>
        <v>0</v>
      </c>
      <c r="P307" s="609">
        <f t="shared" si="2061"/>
        <v>0</v>
      </c>
      <c r="Q307" s="609">
        <f t="shared" si="2062"/>
        <v>0</v>
      </c>
      <c r="R307" s="610" t="str">
        <f>IFERROR(Q307/Q312,"")</f>
        <v/>
      </c>
      <c r="S307" s="658"/>
      <c r="T307" s="658"/>
      <c r="U307" s="658"/>
      <c r="V307" s="658"/>
      <c r="W307" s="658"/>
      <c r="X307" s="658"/>
      <c r="Y307" s="658"/>
      <c r="Z307" s="658"/>
      <c r="AA307" s="658"/>
      <c r="AB307" s="658"/>
      <c r="AC307" s="658"/>
      <c r="AD307" s="658"/>
      <c r="AE307" s="658"/>
      <c r="AF307" s="658"/>
      <c r="AG307" s="658"/>
      <c r="AH307" s="658"/>
      <c r="AI307" s="658"/>
      <c r="AJ307" s="658"/>
      <c r="AK307" s="658"/>
      <c r="AL307" s="658"/>
      <c r="AM307" s="658"/>
      <c r="AN307" s="658"/>
      <c r="AO307" s="658"/>
      <c r="AP307" s="658"/>
      <c r="AQ307" s="658"/>
      <c r="AR307" s="658"/>
      <c r="AS307" s="658"/>
      <c r="AT307" s="658"/>
      <c r="AU307" s="658"/>
      <c r="AV307" s="658"/>
      <c r="AW307" s="658"/>
      <c r="AX307" s="658"/>
      <c r="AY307" s="658"/>
      <c r="AZ307" s="658"/>
      <c r="BA307" s="658"/>
      <c r="BB307" s="658"/>
      <c r="BC307" s="658"/>
      <c r="BD307" s="658"/>
      <c r="BE307" s="658"/>
      <c r="BF307" s="658"/>
      <c r="BG307" s="658"/>
      <c r="BH307" s="658"/>
      <c r="BI307" s="658"/>
      <c r="BJ307" s="658"/>
      <c r="BK307" s="658"/>
      <c r="BL307" s="658"/>
      <c r="BM307" s="658"/>
      <c r="BN307" s="658"/>
      <c r="BO307" s="658"/>
      <c r="BP307" s="658"/>
      <c r="BQ307" s="658"/>
      <c r="BR307" s="658"/>
      <c r="BS307" s="658"/>
      <c r="BT307" s="658"/>
      <c r="BU307" s="658"/>
      <c r="BV307" s="658"/>
      <c r="BW307" s="658"/>
      <c r="BX307" s="658"/>
      <c r="BY307" s="658"/>
      <c r="BZ307" s="658"/>
      <c r="CA307" s="658"/>
      <c r="CB307" s="658"/>
      <c r="CC307" s="658"/>
      <c r="CD307" s="658"/>
      <c r="CE307" s="658"/>
      <c r="CF307" s="658"/>
      <c r="CG307" s="658"/>
      <c r="CH307" s="658"/>
      <c r="CI307" s="658"/>
      <c r="CJ307" s="658"/>
      <c r="CK307" s="658"/>
      <c r="CL307" s="658"/>
      <c r="CM307" s="658"/>
      <c r="CN307" s="658"/>
      <c r="CO307" s="658"/>
      <c r="CP307" s="658"/>
      <c r="CQ307" s="658"/>
      <c r="CR307" s="658"/>
      <c r="CS307" s="658"/>
      <c r="CT307" s="658"/>
      <c r="CU307" s="658"/>
      <c r="CV307" s="658"/>
      <c r="CW307" s="658"/>
      <c r="CX307" s="658"/>
      <c r="CY307" s="658"/>
      <c r="CZ307" s="658"/>
      <c r="DA307" s="658"/>
      <c r="DB307" s="658"/>
      <c r="DC307" s="658"/>
      <c r="DD307" s="658"/>
      <c r="DE307" s="658"/>
      <c r="DF307" s="658"/>
      <c r="DG307" s="658"/>
      <c r="DH307" s="658"/>
      <c r="DI307" s="658"/>
      <c r="DJ307" s="658"/>
      <c r="DK307" s="658"/>
      <c r="DL307" s="658"/>
      <c r="DM307" s="658"/>
      <c r="DN307" s="658"/>
      <c r="DO307" s="177">
        <f t="shared" si="2066"/>
        <v>0</v>
      </c>
      <c r="DP307" s="612" t="e">
        <f t="shared" si="2067"/>
        <v>#N/A</v>
      </c>
      <c r="DQ307" s="612" t="e">
        <f t="shared" si="2063"/>
        <v>#NUM!</v>
      </c>
      <c r="DR307" s="177"/>
      <c r="DS307" s="177"/>
      <c r="DT307" s="177"/>
      <c r="DU307" s="177"/>
      <c r="DV307" s="177"/>
      <c r="DW307" s="177"/>
      <c r="DX307" s="177"/>
      <c r="DY307" s="177"/>
      <c r="DZ307" s="177"/>
      <c r="EA307" s="613"/>
    </row>
    <row r="308" spans="1:131" ht="13.5">
      <c r="A308" s="652" t="str">
        <f t="shared" si="2059"/>
        <v>평가방법론</v>
      </c>
      <c r="B308" s="653" t="s">
        <v>7</v>
      </c>
      <c r="C308" s="786"/>
      <c r="D308" s="786"/>
      <c r="E308" s="786"/>
      <c r="F308" s="230"/>
      <c r="G308" s="230"/>
      <c r="I308" s="657">
        <f t="shared" si="2064"/>
        <v>0</v>
      </c>
      <c r="J308" s="606" t="str">
        <f t="shared" si="2065"/>
        <v>N/A</v>
      </c>
      <c r="K308" s="471"/>
      <c r="L308" s="607"/>
      <c r="M308" s="300"/>
      <c r="N308" s="608"/>
      <c r="O308" s="609">
        <f t="shared" si="2060"/>
        <v>0</v>
      </c>
      <c r="P308" s="609">
        <f t="shared" si="2061"/>
        <v>0</v>
      </c>
      <c r="Q308" s="609">
        <f t="shared" si="2062"/>
        <v>0</v>
      </c>
      <c r="R308" s="610" t="str">
        <f>IFERROR(Q308/Q312,"")</f>
        <v/>
      </c>
      <c r="S308" s="658"/>
      <c r="T308" s="658"/>
      <c r="U308" s="658"/>
      <c r="V308" s="658"/>
      <c r="W308" s="658"/>
      <c r="X308" s="658"/>
      <c r="Y308" s="658"/>
      <c r="Z308" s="658"/>
      <c r="AA308" s="658"/>
      <c r="AB308" s="658"/>
      <c r="AC308" s="658"/>
      <c r="AD308" s="658"/>
      <c r="AE308" s="658"/>
      <c r="AF308" s="658"/>
      <c r="AG308" s="658"/>
      <c r="AH308" s="658"/>
      <c r="AI308" s="658"/>
      <c r="AJ308" s="658"/>
      <c r="AK308" s="658"/>
      <c r="AL308" s="658"/>
      <c r="AM308" s="658"/>
      <c r="AN308" s="658"/>
      <c r="AO308" s="658"/>
      <c r="AP308" s="658"/>
      <c r="AQ308" s="658"/>
      <c r="AR308" s="658"/>
      <c r="AS308" s="658"/>
      <c r="AT308" s="658"/>
      <c r="AU308" s="658"/>
      <c r="AV308" s="658"/>
      <c r="AW308" s="658"/>
      <c r="AX308" s="658"/>
      <c r="AY308" s="658"/>
      <c r="AZ308" s="658"/>
      <c r="BA308" s="658"/>
      <c r="BB308" s="658"/>
      <c r="BC308" s="658"/>
      <c r="BD308" s="658"/>
      <c r="BE308" s="658"/>
      <c r="BF308" s="658"/>
      <c r="BG308" s="658"/>
      <c r="BH308" s="658"/>
      <c r="BI308" s="658"/>
      <c r="BJ308" s="658"/>
      <c r="BK308" s="658"/>
      <c r="BL308" s="658"/>
      <c r="BM308" s="658"/>
      <c r="BN308" s="658"/>
      <c r="BO308" s="658"/>
      <c r="BP308" s="658"/>
      <c r="BQ308" s="658"/>
      <c r="BR308" s="658"/>
      <c r="BS308" s="658"/>
      <c r="BT308" s="658"/>
      <c r="BU308" s="658"/>
      <c r="BV308" s="658"/>
      <c r="BW308" s="658"/>
      <c r="BX308" s="658"/>
      <c r="BY308" s="658"/>
      <c r="BZ308" s="658"/>
      <c r="CA308" s="658"/>
      <c r="CB308" s="658"/>
      <c r="CC308" s="658"/>
      <c r="CD308" s="658"/>
      <c r="CE308" s="658"/>
      <c r="CF308" s="658"/>
      <c r="CG308" s="658"/>
      <c r="CH308" s="658"/>
      <c r="CI308" s="658"/>
      <c r="CJ308" s="658"/>
      <c r="CK308" s="658"/>
      <c r="CL308" s="658"/>
      <c r="CM308" s="658"/>
      <c r="CN308" s="658"/>
      <c r="CO308" s="658"/>
      <c r="CP308" s="658"/>
      <c r="CQ308" s="658"/>
      <c r="CR308" s="658"/>
      <c r="CS308" s="658"/>
      <c r="CT308" s="658"/>
      <c r="CU308" s="658"/>
      <c r="CV308" s="658"/>
      <c r="CW308" s="658"/>
      <c r="CX308" s="658"/>
      <c r="CY308" s="658"/>
      <c r="CZ308" s="658"/>
      <c r="DA308" s="658"/>
      <c r="DB308" s="658"/>
      <c r="DC308" s="658"/>
      <c r="DD308" s="658"/>
      <c r="DE308" s="658"/>
      <c r="DF308" s="658"/>
      <c r="DG308" s="658"/>
      <c r="DH308" s="658"/>
      <c r="DI308" s="658"/>
      <c r="DJ308" s="658"/>
      <c r="DK308" s="658"/>
      <c r="DL308" s="658"/>
      <c r="DM308" s="658"/>
      <c r="DN308" s="658"/>
      <c r="DO308" s="177">
        <f t="shared" si="2066"/>
        <v>0</v>
      </c>
      <c r="DP308" s="612" t="e">
        <f t="shared" si="2067"/>
        <v>#N/A</v>
      </c>
      <c r="DQ308" s="612" t="e">
        <f t="shared" si="2063"/>
        <v>#NUM!</v>
      </c>
      <c r="DR308" s="177"/>
      <c r="DS308" s="177"/>
      <c r="DT308" s="177"/>
      <c r="DU308" s="177"/>
      <c r="DV308" s="177"/>
      <c r="DW308" s="177"/>
      <c r="DX308" s="177"/>
      <c r="DY308" s="177"/>
      <c r="DZ308" s="177"/>
      <c r="EA308" s="613"/>
    </row>
    <row r="309" spans="1:131" ht="13.5">
      <c r="A309" s="652" t="str">
        <f t="shared" si="2059"/>
        <v>분배 조항 여부</v>
      </c>
      <c r="B309" s="653" t="s">
        <v>355</v>
      </c>
      <c r="C309" s="786"/>
      <c r="D309" s="786"/>
      <c r="E309" s="786"/>
      <c r="F309" s="230"/>
      <c r="G309" s="230"/>
      <c r="I309" s="657">
        <f t="shared" si="2064"/>
        <v>0</v>
      </c>
      <c r="J309" s="606" t="str">
        <f t="shared" si="2065"/>
        <v>N/A</v>
      </c>
      <c r="K309" s="471"/>
      <c r="L309" s="607"/>
      <c r="M309" s="300"/>
      <c r="N309" s="608"/>
      <c r="O309" s="609">
        <f t="shared" si="2060"/>
        <v>0</v>
      </c>
      <c r="P309" s="609">
        <f t="shared" si="2061"/>
        <v>0</v>
      </c>
      <c r="Q309" s="609">
        <f t="shared" si="2062"/>
        <v>0</v>
      </c>
      <c r="R309" s="610" t="str">
        <f>IFERROR(Q309/Q312,"")</f>
        <v/>
      </c>
      <c r="S309" s="658"/>
      <c r="T309" s="658"/>
      <c r="U309" s="658"/>
      <c r="V309" s="658"/>
      <c r="W309" s="658"/>
      <c r="X309" s="658"/>
      <c r="Y309" s="658"/>
      <c r="Z309" s="658"/>
      <c r="AA309" s="658"/>
      <c r="AB309" s="658"/>
      <c r="AC309" s="658"/>
      <c r="AD309" s="658"/>
      <c r="AE309" s="658"/>
      <c r="AF309" s="658"/>
      <c r="AG309" s="658"/>
      <c r="AH309" s="658"/>
      <c r="AI309" s="658"/>
      <c r="AJ309" s="658"/>
      <c r="AK309" s="658"/>
      <c r="AL309" s="658"/>
      <c r="AM309" s="658"/>
      <c r="AN309" s="658"/>
      <c r="AO309" s="658"/>
      <c r="AP309" s="658"/>
      <c r="AQ309" s="658"/>
      <c r="AR309" s="658"/>
      <c r="AS309" s="658"/>
      <c r="AT309" s="658"/>
      <c r="AU309" s="658"/>
      <c r="AV309" s="658"/>
      <c r="AW309" s="658"/>
      <c r="AX309" s="658"/>
      <c r="AY309" s="658"/>
      <c r="AZ309" s="658"/>
      <c r="BA309" s="658"/>
      <c r="BB309" s="658"/>
      <c r="BC309" s="658"/>
      <c r="BD309" s="658"/>
      <c r="BE309" s="658"/>
      <c r="BF309" s="658"/>
      <c r="BG309" s="658"/>
      <c r="BH309" s="658"/>
      <c r="BI309" s="658"/>
      <c r="BJ309" s="658"/>
      <c r="BK309" s="658"/>
      <c r="BL309" s="658"/>
      <c r="BM309" s="658"/>
      <c r="BN309" s="658"/>
      <c r="BO309" s="658"/>
      <c r="BP309" s="658"/>
      <c r="BQ309" s="658"/>
      <c r="BR309" s="658"/>
      <c r="BS309" s="658"/>
      <c r="BT309" s="658"/>
      <c r="BU309" s="658"/>
      <c r="BV309" s="658"/>
      <c r="BW309" s="658"/>
      <c r="BX309" s="658"/>
      <c r="BY309" s="658"/>
      <c r="BZ309" s="658"/>
      <c r="CA309" s="658"/>
      <c r="CB309" s="658"/>
      <c r="CC309" s="658"/>
      <c r="CD309" s="658"/>
      <c r="CE309" s="658"/>
      <c r="CF309" s="658"/>
      <c r="CG309" s="658"/>
      <c r="CH309" s="658"/>
      <c r="CI309" s="658"/>
      <c r="CJ309" s="658"/>
      <c r="CK309" s="658"/>
      <c r="CL309" s="658"/>
      <c r="CM309" s="658"/>
      <c r="CN309" s="658"/>
      <c r="CO309" s="658"/>
      <c r="CP309" s="658"/>
      <c r="CQ309" s="658"/>
      <c r="CR309" s="658"/>
      <c r="CS309" s="658"/>
      <c r="CT309" s="658"/>
      <c r="CU309" s="658"/>
      <c r="CV309" s="658"/>
      <c r="CW309" s="658"/>
      <c r="CX309" s="658"/>
      <c r="CY309" s="658"/>
      <c r="CZ309" s="658"/>
      <c r="DA309" s="658"/>
      <c r="DB309" s="658"/>
      <c r="DC309" s="658"/>
      <c r="DD309" s="658"/>
      <c r="DE309" s="658"/>
      <c r="DF309" s="658"/>
      <c r="DG309" s="658"/>
      <c r="DH309" s="658"/>
      <c r="DI309" s="658"/>
      <c r="DJ309" s="658"/>
      <c r="DK309" s="658"/>
      <c r="DL309" s="658"/>
      <c r="DM309" s="658"/>
      <c r="DN309" s="658"/>
      <c r="DO309" s="177">
        <f t="shared" si="2066"/>
        <v>0</v>
      </c>
      <c r="DP309" s="612" t="e">
        <f t="shared" si="2067"/>
        <v>#N/A</v>
      </c>
      <c r="DQ309" s="612" t="e">
        <f t="shared" si="2063"/>
        <v>#NUM!</v>
      </c>
      <c r="DR309" s="177"/>
      <c r="DS309" s="177"/>
      <c r="DT309" s="177"/>
      <c r="DU309" s="177"/>
      <c r="DV309" s="177"/>
      <c r="DW309" s="177"/>
      <c r="DX309" s="177"/>
      <c r="DY309" s="177"/>
      <c r="DZ309" s="177"/>
      <c r="EA309" s="613"/>
    </row>
    <row r="310" spans="1:131" ht="14.25" thickBot="1">
      <c r="A310" s="652" t="str">
        <f t="shared" si="2059"/>
        <v>모펀드 출자 지분율</v>
      </c>
      <c r="B310" s="660" t="s">
        <v>356</v>
      </c>
      <c r="C310" s="787"/>
      <c r="D310" s="787"/>
      <c r="E310" s="787"/>
      <c r="F310" s="230"/>
      <c r="G310" s="230"/>
      <c r="I310" s="657">
        <f t="shared" si="2064"/>
        <v>0</v>
      </c>
      <c r="J310" s="606" t="str">
        <f t="shared" si="2065"/>
        <v>N/A</v>
      </c>
      <c r="K310" s="471"/>
      <c r="L310" s="607"/>
      <c r="M310" s="300"/>
      <c r="N310" s="608"/>
      <c r="O310" s="609">
        <f t="shared" si="2060"/>
        <v>0</v>
      </c>
      <c r="P310" s="609">
        <f t="shared" si="2061"/>
        <v>0</v>
      </c>
      <c r="Q310" s="609">
        <f t="shared" si="2062"/>
        <v>0</v>
      </c>
      <c r="R310" s="610" t="str">
        <f>IFERROR(Q310/Q312,"")</f>
        <v/>
      </c>
      <c r="S310" s="658"/>
      <c r="T310" s="658"/>
      <c r="U310" s="658"/>
      <c r="V310" s="658"/>
      <c r="W310" s="658"/>
      <c r="X310" s="658"/>
      <c r="Y310" s="658"/>
      <c r="Z310" s="658"/>
      <c r="AA310" s="658"/>
      <c r="AB310" s="658"/>
      <c r="AC310" s="658"/>
      <c r="AD310" s="658"/>
      <c r="AE310" s="658"/>
      <c r="AF310" s="658"/>
      <c r="AG310" s="658"/>
      <c r="AH310" s="658"/>
      <c r="AI310" s="658"/>
      <c r="AJ310" s="658"/>
      <c r="AK310" s="658"/>
      <c r="AL310" s="658"/>
      <c r="AM310" s="658"/>
      <c r="AN310" s="658"/>
      <c r="AO310" s="658"/>
      <c r="AP310" s="658"/>
      <c r="AQ310" s="658"/>
      <c r="AR310" s="658"/>
      <c r="AS310" s="658"/>
      <c r="AT310" s="658"/>
      <c r="AU310" s="658"/>
      <c r="AV310" s="658"/>
      <c r="AW310" s="658"/>
      <c r="AX310" s="658"/>
      <c r="AY310" s="658"/>
      <c r="AZ310" s="658"/>
      <c r="BA310" s="658"/>
      <c r="BB310" s="658"/>
      <c r="BC310" s="658"/>
      <c r="BD310" s="658"/>
      <c r="BE310" s="658"/>
      <c r="BF310" s="658"/>
      <c r="BG310" s="658"/>
      <c r="BH310" s="658"/>
      <c r="BI310" s="658"/>
      <c r="BJ310" s="658"/>
      <c r="BK310" s="658"/>
      <c r="BL310" s="658"/>
      <c r="BM310" s="658"/>
      <c r="BN310" s="658"/>
      <c r="BO310" s="658"/>
      <c r="BP310" s="658"/>
      <c r="BQ310" s="658"/>
      <c r="BR310" s="658"/>
      <c r="BS310" s="658"/>
      <c r="BT310" s="658"/>
      <c r="BU310" s="658"/>
      <c r="BV310" s="658"/>
      <c r="BW310" s="658"/>
      <c r="BX310" s="658"/>
      <c r="BY310" s="658"/>
      <c r="BZ310" s="658"/>
      <c r="CA310" s="658"/>
      <c r="CB310" s="658"/>
      <c r="CC310" s="658"/>
      <c r="CD310" s="658"/>
      <c r="CE310" s="658"/>
      <c r="CF310" s="658"/>
      <c r="CG310" s="658"/>
      <c r="CH310" s="658"/>
      <c r="CI310" s="658"/>
      <c r="CJ310" s="658"/>
      <c r="CK310" s="658"/>
      <c r="CL310" s="658"/>
      <c r="CM310" s="658"/>
      <c r="CN310" s="658"/>
      <c r="CO310" s="658"/>
      <c r="CP310" s="658"/>
      <c r="CQ310" s="658"/>
      <c r="CR310" s="658"/>
      <c r="CS310" s="658"/>
      <c r="CT310" s="658"/>
      <c r="CU310" s="658"/>
      <c r="CV310" s="658"/>
      <c r="CW310" s="658"/>
      <c r="CX310" s="658"/>
      <c r="CY310" s="658"/>
      <c r="CZ310" s="658"/>
      <c r="DA310" s="658"/>
      <c r="DB310" s="658"/>
      <c r="DC310" s="658"/>
      <c r="DD310" s="658"/>
      <c r="DE310" s="658"/>
      <c r="DF310" s="658"/>
      <c r="DG310" s="658"/>
      <c r="DH310" s="658"/>
      <c r="DI310" s="658"/>
      <c r="DJ310" s="658"/>
      <c r="DK310" s="658"/>
      <c r="DL310" s="658"/>
      <c r="DM310" s="658"/>
      <c r="DN310" s="658"/>
      <c r="DO310" s="177">
        <f t="shared" si="2066"/>
        <v>0</v>
      </c>
      <c r="DP310" s="612" t="e">
        <f t="shared" si="2067"/>
        <v>#N/A</v>
      </c>
      <c r="DQ310" s="612" t="e">
        <f t="shared" si="2063"/>
        <v>#NUM!</v>
      </c>
      <c r="DR310" s="177"/>
      <c r="DS310" s="177"/>
      <c r="DT310" s="177"/>
      <c r="DU310" s="177"/>
      <c r="DV310" s="177"/>
      <c r="DW310" s="177"/>
      <c r="DX310" s="177"/>
      <c r="DY310" s="177"/>
      <c r="DZ310" s="177"/>
      <c r="EA310" s="613"/>
    </row>
    <row r="311" spans="1:131" ht="14.25" thickBot="1">
      <c r="B311" s="778" t="s">
        <v>3404</v>
      </c>
      <c r="C311" s="616" t="s">
        <v>223</v>
      </c>
      <c r="D311" s="616" t="s">
        <v>224</v>
      </c>
      <c r="E311" s="616" t="s">
        <v>225</v>
      </c>
      <c r="F311" s="230"/>
      <c r="G311" s="230"/>
      <c r="I311" s="657">
        <f t="shared" si="2064"/>
        <v>0</v>
      </c>
      <c r="J311" s="606" t="str">
        <f t="shared" si="2065"/>
        <v>N/A</v>
      </c>
      <c r="K311" s="471"/>
      <c r="L311" s="607"/>
      <c r="M311" s="300"/>
      <c r="N311" s="608"/>
      <c r="O311" s="609">
        <f t="shared" si="2060"/>
        <v>0</v>
      </c>
      <c r="P311" s="609">
        <f t="shared" si="2061"/>
        <v>0</v>
      </c>
      <c r="Q311" s="609">
        <f t="shared" si="2062"/>
        <v>0</v>
      </c>
      <c r="R311" s="610" t="str">
        <f>IFERROR(Q311/Q312,"")</f>
        <v/>
      </c>
      <c r="S311" s="658"/>
      <c r="T311" s="658"/>
      <c r="U311" s="658"/>
      <c r="V311" s="658"/>
      <c r="W311" s="658"/>
      <c r="X311" s="658"/>
      <c r="Y311" s="658"/>
      <c r="Z311" s="658"/>
      <c r="AA311" s="658"/>
      <c r="AB311" s="658"/>
      <c r="AC311" s="658"/>
      <c r="AD311" s="658"/>
      <c r="AE311" s="658"/>
      <c r="AF311" s="658"/>
      <c r="AG311" s="658"/>
      <c r="AH311" s="658"/>
      <c r="AI311" s="658"/>
      <c r="AJ311" s="658"/>
      <c r="AK311" s="658"/>
      <c r="AL311" s="658"/>
      <c r="AM311" s="658"/>
      <c r="AN311" s="658"/>
      <c r="AO311" s="658"/>
      <c r="AP311" s="658"/>
      <c r="AQ311" s="658"/>
      <c r="AR311" s="658"/>
      <c r="AS311" s="658"/>
      <c r="AT311" s="658"/>
      <c r="AU311" s="658"/>
      <c r="AV311" s="658"/>
      <c r="AW311" s="658"/>
      <c r="AX311" s="658"/>
      <c r="AY311" s="658"/>
      <c r="AZ311" s="658"/>
      <c r="BA311" s="658"/>
      <c r="BB311" s="658"/>
      <c r="BC311" s="658"/>
      <c r="BD311" s="658"/>
      <c r="BE311" s="658"/>
      <c r="BF311" s="658"/>
      <c r="BG311" s="658"/>
      <c r="BH311" s="658"/>
      <c r="BI311" s="658"/>
      <c r="BJ311" s="658"/>
      <c r="BK311" s="658"/>
      <c r="BL311" s="658"/>
      <c r="BM311" s="658"/>
      <c r="BN311" s="658"/>
      <c r="BO311" s="658"/>
      <c r="BP311" s="658"/>
      <c r="BQ311" s="658"/>
      <c r="BR311" s="658"/>
      <c r="BS311" s="658"/>
      <c r="BT311" s="658"/>
      <c r="BU311" s="658"/>
      <c r="BV311" s="658"/>
      <c r="BW311" s="658"/>
      <c r="BX311" s="658"/>
      <c r="BY311" s="658"/>
      <c r="BZ311" s="658"/>
      <c r="CA311" s="658"/>
      <c r="CB311" s="658"/>
      <c r="CC311" s="658"/>
      <c r="CD311" s="658"/>
      <c r="CE311" s="658"/>
      <c r="CF311" s="658"/>
      <c r="CG311" s="658"/>
      <c r="CH311" s="658"/>
      <c r="CI311" s="658"/>
      <c r="CJ311" s="658"/>
      <c r="CK311" s="658"/>
      <c r="CL311" s="658"/>
      <c r="CM311" s="658"/>
      <c r="CN311" s="658"/>
      <c r="CO311" s="658"/>
      <c r="CP311" s="658"/>
      <c r="CQ311" s="658"/>
      <c r="CR311" s="658"/>
      <c r="CS311" s="658"/>
      <c r="CT311" s="658"/>
      <c r="CU311" s="658"/>
      <c r="CV311" s="658"/>
      <c r="CW311" s="658"/>
      <c r="CX311" s="658"/>
      <c r="CY311" s="658"/>
      <c r="CZ311" s="658"/>
      <c r="DA311" s="658"/>
      <c r="DB311" s="658"/>
      <c r="DC311" s="658"/>
      <c r="DD311" s="658"/>
      <c r="DE311" s="658"/>
      <c r="DF311" s="658"/>
      <c r="DG311" s="658"/>
      <c r="DH311" s="658"/>
      <c r="DI311" s="658"/>
      <c r="DJ311" s="658"/>
      <c r="DK311" s="658"/>
      <c r="DL311" s="658"/>
      <c r="DM311" s="658"/>
      <c r="DN311" s="658"/>
      <c r="DO311" s="177">
        <f t="shared" si="2066"/>
        <v>0</v>
      </c>
      <c r="DP311" s="612" t="e">
        <f t="shared" si="2067"/>
        <v>#N/A</v>
      </c>
      <c r="DQ311" s="612" t="e">
        <f t="shared" si="2063"/>
        <v>#NUM!</v>
      </c>
      <c r="DR311" s="177"/>
      <c r="DS311" s="177"/>
      <c r="DT311" s="177"/>
      <c r="DU311" s="177"/>
      <c r="DV311" s="177"/>
      <c r="DW311" s="177"/>
      <c r="DX311" s="177"/>
      <c r="DY311" s="177"/>
      <c r="DZ311" s="177"/>
      <c r="EA311" s="613"/>
    </row>
    <row r="312" spans="1:131" ht="14.25" thickBot="1">
      <c r="A312" s="317"/>
      <c r="B312" s="779"/>
      <c r="C312" s="661"/>
      <c r="D312" s="661"/>
      <c r="E312" s="661"/>
      <c r="F312" s="662"/>
      <c r="G312" s="662"/>
      <c r="H312" s="317"/>
      <c r="I312" s="634">
        <f>SUM(I304:I311)</f>
        <v>0</v>
      </c>
      <c r="J312" s="663"/>
      <c r="K312" s="664"/>
      <c r="L312" s="664"/>
      <c r="M312" s="664"/>
      <c r="N312" s="634">
        <f t="shared" ref="N312:R312" si="2068">SUM(N304:N311)</f>
        <v>0</v>
      </c>
      <c r="O312" s="634">
        <f t="shared" si="2068"/>
        <v>0</v>
      </c>
      <c r="P312" s="634">
        <f t="shared" si="2068"/>
        <v>0</v>
      </c>
      <c r="Q312" s="634">
        <f t="shared" si="2068"/>
        <v>0</v>
      </c>
      <c r="R312" s="665">
        <f t="shared" si="2068"/>
        <v>0</v>
      </c>
      <c r="S312" s="634">
        <f>SUM(S304:S311)</f>
        <v>0</v>
      </c>
      <c r="T312" s="634">
        <f t="shared" ref="T312" si="2069">SUM(T304:T311)</f>
        <v>0</v>
      </c>
      <c r="U312" s="634">
        <f t="shared" ref="U312" si="2070">SUM(U304:U311)</f>
        <v>0</v>
      </c>
      <c r="V312" s="634">
        <f t="shared" ref="V312" si="2071">SUM(V304:V311)</f>
        <v>0</v>
      </c>
      <c r="W312" s="634">
        <f t="shared" ref="W312" si="2072">SUM(W304:W311)</f>
        <v>0</v>
      </c>
      <c r="X312" s="634">
        <f t="shared" ref="X312" si="2073">SUM(X304:X311)</f>
        <v>0</v>
      </c>
      <c r="Y312" s="634">
        <f t="shared" ref="Y312" si="2074">SUM(Y304:Y311)</f>
        <v>0</v>
      </c>
      <c r="Z312" s="634">
        <f t="shared" ref="Z312" si="2075">SUM(Z304:Z311)</f>
        <v>0</v>
      </c>
      <c r="AA312" s="634">
        <f t="shared" ref="AA312" si="2076">SUM(AA304:AA311)</f>
        <v>0</v>
      </c>
      <c r="AB312" s="634">
        <f t="shared" ref="AB312" si="2077">SUM(AB304:AB311)</f>
        <v>0</v>
      </c>
      <c r="AC312" s="634">
        <f t="shared" ref="AC312" si="2078">SUM(AC304:AC311)</f>
        <v>0</v>
      </c>
      <c r="AD312" s="634">
        <f t="shared" ref="AD312" si="2079">SUM(AD304:AD311)</f>
        <v>0</v>
      </c>
      <c r="AE312" s="634">
        <f t="shared" ref="AE312" si="2080">SUM(AE304:AE311)</f>
        <v>0</v>
      </c>
      <c r="AF312" s="634">
        <f t="shared" ref="AF312" si="2081">SUM(AF304:AF311)</f>
        <v>0</v>
      </c>
      <c r="AG312" s="634">
        <f t="shared" ref="AG312" si="2082">SUM(AG304:AG311)</f>
        <v>0</v>
      </c>
      <c r="AH312" s="634">
        <f t="shared" ref="AH312" si="2083">SUM(AH304:AH311)</f>
        <v>0</v>
      </c>
      <c r="AI312" s="634">
        <f t="shared" ref="AI312" si="2084">SUM(AI304:AI311)</f>
        <v>0</v>
      </c>
      <c r="AJ312" s="634">
        <f t="shared" ref="AJ312" si="2085">SUM(AJ304:AJ311)</f>
        <v>0</v>
      </c>
      <c r="AK312" s="634">
        <f t="shared" ref="AK312" si="2086">SUM(AK304:AK311)</f>
        <v>0</v>
      </c>
      <c r="AL312" s="634">
        <f t="shared" ref="AL312" si="2087">SUM(AL304:AL311)</f>
        <v>0</v>
      </c>
      <c r="AM312" s="634">
        <f t="shared" ref="AM312" si="2088">SUM(AM304:AM311)</f>
        <v>0</v>
      </c>
      <c r="AN312" s="634">
        <f t="shared" ref="AN312" si="2089">SUM(AN304:AN311)</f>
        <v>0</v>
      </c>
      <c r="AO312" s="634">
        <f t="shared" ref="AO312" si="2090">SUM(AO304:AO311)</f>
        <v>0</v>
      </c>
      <c r="AP312" s="634">
        <f t="shared" ref="AP312" si="2091">SUM(AP304:AP311)</f>
        <v>0</v>
      </c>
      <c r="AQ312" s="634">
        <f t="shared" ref="AQ312" si="2092">SUM(AQ304:AQ311)</f>
        <v>0</v>
      </c>
      <c r="AR312" s="634">
        <f t="shared" ref="AR312" si="2093">SUM(AR304:AR311)</f>
        <v>0</v>
      </c>
      <c r="AS312" s="634">
        <f t="shared" ref="AS312" si="2094">SUM(AS304:AS311)</f>
        <v>0</v>
      </c>
      <c r="AT312" s="634">
        <f t="shared" ref="AT312" si="2095">SUM(AT304:AT311)</f>
        <v>0</v>
      </c>
      <c r="AU312" s="634">
        <f t="shared" ref="AU312" si="2096">SUM(AU304:AU311)</f>
        <v>0</v>
      </c>
      <c r="AV312" s="634">
        <f t="shared" ref="AV312" si="2097">SUM(AV304:AV311)</f>
        <v>0</v>
      </c>
      <c r="AW312" s="634">
        <f t="shared" ref="AW312" si="2098">SUM(AW304:AW311)</f>
        <v>0</v>
      </c>
      <c r="AX312" s="634">
        <f t="shared" ref="AX312" si="2099">SUM(AX304:AX311)</f>
        <v>0</v>
      </c>
      <c r="AY312" s="634">
        <f t="shared" ref="AY312" si="2100">SUM(AY304:AY311)</f>
        <v>0</v>
      </c>
      <c r="AZ312" s="634">
        <f t="shared" ref="AZ312" si="2101">SUM(AZ304:AZ311)</f>
        <v>0</v>
      </c>
      <c r="BA312" s="634">
        <f t="shared" ref="BA312" si="2102">SUM(BA304:BA311)</f>
        <v>0</v>
      </c>
      <c r="BB312" s="634">
        <f t="shared" ref="BB312" si="2103">SUM(BB304:BB311)</f>
        <v>0</v>
      </c>
      <c r="BC312" s="634">
        <f t="shared" ref="BC312" si="2104">SUM(BC304:BC311)</f>
        <v>0</v>
      </c>
      <c r="BD312" s="634">
        <f t="shared" ref="BD312" si="2105">SUM(BD304:BD311)</f>
        <v>0</v>
      </c>
      <c r="BE312" s="634">
        <f t="shared" ref="BE312" si="2106">SUM(BE304:BE311)</f>
        <v>0</v>
      </c>
      <c r="BF312" s="634">
        <f t="shared" ref="BF312" si="2107">SUM(BF304:BF311)</f>
        <v>0</v>
      </c>
      <c r="BG312" s="634">
        <f t="shared" ref="BG312" si="2108">SUM(BG304:BG311)</f>
        <v>0</v>
      </c>
      <c r="BH312" s="634">
        <f t="shared" ref="BH312" si="2109">SUM(BH304:BH311)</f>
        <v>0</v>
      </c>
      <c r="BI312" s="634">
        <f t="shared" ref="BI312" si="2110">SUM(BI304:BI311)</f>
        <v>0</v>
      </c>
      <c r="BJ312" s="634">
        <f t="shared" ref="BJ312" si="2111">SUM(BJ304:BJ311)</f>
        <v>0</v>
      </c>
      <c r="BK312" s="634">
        <f t="shared" ref="BK312" si="2112">SUM(BK304:BK311)</f>
        <v>0</v>
      </c>
      <c r="BL312" s="634">
        <f t="shared" ref="BL312" si="2113">SUM(BL304:BL311)</f>
        <v>0</v>
      </c>
      <c r="BM312" s="634">
        <f t="shared" ref="BM312" si="2114">SUM(BM304:BM311)</f>
        <v>0</v>
      </c>
      <c r="BN312" s="634">
        <f t="shared" ref="BN312" si="2115">SUM(BN304:BN311)</f>
        <v>0</v>
      </c>
      <c r="BO312" s="634">
        <f t="shared" ref="BO312" si="2116">SUM(BO304:BO311)</f>
        <v>0</v>
      </c>
      <c r="BP312" s="634">
        <f t="shared" ref="BP312" si="2117">SUM(BP304:BP311)</f>
        <v>0</v>
      </c>
      <c r="BQ312" s="634">
        <f t="shared" ref="BQ312" si="2118">SUM(BQ304:BQ311)</f>
        <v>0</v>
      </c>
      <c r="BR312" s="634">
        <f t="shared" ref="BR312" si="2119">SUM(BR304:BR311)</f>
        <v>0</v>
      </c>
      <c r="BS312" s="634">
        <f t="shared" ref="BS312" si="2120">SUM(BS304:BS311)</f>
        <v>0</v>
      </c>
      <c r="BT312" s="634">
        <f t="shared" ref="BT312" si="2121">SUM(BT304:BT311)</f>
        <v>0</v>
      </c>
      <c r="BU312" s="634">
        <f t="shared" ref="BU312" si="2122">SUM(BU304:BU311)</f>
        <v>0</v>
      </c>
      <c r="BV312" s="634">
        <f t="shared" ref="BV312" si="2123">SUM(BV304:BV311)</f>
        <v>0</v>
      </c>
      <c r="BW312" s="634">
        <f t="shared" ref="BW312" si="2124">SUM(BW304:BW311)</f>
        <v>0</v>
      </c>
      <c r="BX312" s="634">
        <f t="shared" ref="BX312" si="2125">SUM(BX304:BX311)</f>
        <v>0</v>
      </c>
      <c r="BY312" s="634">
        <f t="shared" ref="BY312" si="2126">SUM(BY304:BY311)</f>
        <v>0</v>
      </c>
      <c r="BZ312" s="634">
        <f t="shared" ref="BZ312" si="2127">SUM(BZ304:BZ311)</f>
        <v>0</v>
      </c>
      <c r="CA312" s="634">
        <f t="shared" ref="CA312" si="2128">SUM(CA304:CA311)</f>
        <v>0</v>
      </c>
      <c r="CB312" s="634">
        <f t="shared" ref="CB312" si="2129">SUM(CB304:CB311)</f>
        <v>0</v>
      </c>
      <c r="CC312" s="634">
        <f t="shared" ref="CC312" si="2130">SUM(CC304:CC311)</f>
        <v>0</v>
      </c>
      <c r="CD312" s="634">
        <f t="shared" ref="CD312" si="2131">SUM(CD304:CD311)</f>
        <v>0</v>
      </c>
      <c r="CE312" s="634">
        <f t="shared" ref="CE312" si="2132">SUM(CE304:CE311)</f>
        <v>0</v>
      </c>
      <c r="CF312" s="634">
        <f t="shared" ref="CF312" si="2133">SUM(CF304:CF311)</f>
        <v>0</v>
      </c>
      <c r="CG312" s="634">
        <f t="shared" ref="CG312" si="2134">SUM(CG304:CG311)</f>
        <v>0</v>
      </c>
      <c r="CH312" s="634">
        <f t="shared" ref="CH312" si="2135">SUM(CH304:CH311)</f>
        <v>0</v>
      </c>
      <c r="CI312" s="634">
        <f t="shared" ref="CI312" si="2136">SUM(CI304:CI311)</f>
        <v>0</v>
      </c>
      <c r="CJ312" s="634">
        <f t="shared" ref="CJ312" si="2137">SUM(CJ304:CJ311)</f>
        <v>0</v>
      </c>
      <c r="CK312" s="634">
        <f t="shared" ref="CK312" si="2138">SUM(CK304:CK311)</f>
        <v>0</v>
      </c>
      <c r="CL312" s="634">
        <f t="shared" ref="CL312" si="2139">SUM(CL304:CL311)</f>
        <v>0</v>
      </c>
      <c r="CM312" s="634">
        <f t="shared" ref="CM312" si="2140">SUM(CM304:CM311)</f>
        <v>0</v>
      </c>
      <c r="CN312" s="634">
        <f t="shared" ref="CN312" si="2141">SUM(CN304:CN311)</f>
        <v>0</v>
      </c>
      <c r="CO312" s="634">
        <f t="shared" ref="CO312" si="2142">SUM(CO304:CO311)</f>
        <v>0</v>
      </c>
      <c r="CP312" s="634">
        <f t="shared" ref="CP312" si="2143">SUM(CP304:CP311)</f>
        <v>0</v>
      </c>
      <c r="CQ312" s="634">
        <f t="shared" ref="CQ312" si="2144">SUM(CQ304:CQ311)</f>
        <v>0</v>
      </c>
      <c r="CR312" s="634">
        <f t="shared" ref="CR312" si="2145">SUM(CR304:CR311)</f>
        <v>0</v>
      </c>
      <c r="CS312" s="634">
        <f t="shared" ref="CS312" si="2146">SUM(CS304:CS311)</f>
        <v>0</v>
      </c>
      <c r="CT312" s="634">
        <f t="shared" ref="CT312" si="2147">SUM(CT304:CT311)</f>
        <v>0</v>
      </c>
      <c r="CU312" s="634">
        <f t="shared" ref="CU312" si="2148">SUM(CU304:CU311)</f>
        <v>0</v>
      </c>
      <c r="CV312" s="634">
        <f t="shared" ref="CV312" si="2149">SUM(CV304:CV311)</f>
        <v>0</v>
      </c>
      <c r="CW312" s="634">
        <f t="shared" ref="CW312" si="2150">SUM(CW304:CW311)</f>
        <v>0</v>
      </c>
      <c r="CX312" s="634">
        <f t="shared" ref="CX312" si="2151">SUM(CX304:CX311)</f>
        <v>0</v>
      </c>
      <c r="CY312" s="634">
        <f t="shared" ref="CY312" si="2152">SUM(CY304:CY311)</f>
        <v>0</v>
      </c>
      <c r="CZ312" s="634">
        <f t="shared" ref="CZ312" si="2153">SUM(CZ304:CZ311)</f>
        <v>0</v>
      </c>
      <c r="DA312" s="634">
        <f t="shared" ref="DA312" si="2154">SUM(DA304:DA311)</f>
        <v>0</v>
      </c>
      <c r="DB312" s="634">
        <f t="shared" ref="DB312" si="2155">SUM(DB304:DB311)</f>
        <v>0</v>
      </c>
      <c r="DC312" s="634">
        <f t="shared" ref="DC312" si="2156">SUM(DC304:DC311)</f>
        <v>0</v>
      </c>
      <c r="DD312" s="634">
        <f t="shared" ref="DD312" si="2157">SUM(DD304:DD311)</f>
        <v>0</v>
      </c>
      <c r="DE312" s="634">
        <f t="shared" ref="DE312" si="2158">SUM(DE304:DE311)</f>
        <v>0</v>
      </c>
      <c r="DF312" s="634">
        <f t="shared" ref="DF312" si="2159">SUM(DF304:DF311)</f>
        <v>0</v>
      </c>
      <c r="DG312" s="634">
        <f t="shared" ref="DG312" si="2160">SUM(DG304:DG311)</f>
        <v>0</v>
      </c>
      <c r="DH312" s="634">
        <f t="shared" ref="DH312" si="2161">SUM(DH304:DH311)</f>
        <v>0</v>
      </c>
      <c r="DI312" s="634">
        <f t="shared" ref="DI312" si="2162">SUM(DI304:DI311)</f>
        <v>0</v>
      </c>
      <c r="DJ312" s="634">
        <f t="shared" ref="DJ312" si="2163">SUM(DJ304:DJ311)</f>
        <v>0</v>
      </c>
      <c r="DK312" s="634">
        <f t="shared" ref="DK312" si="2164">SUM(DK304:DK311)</f>
        <v>0</v>
      </c>
      <c r="DL312" s="634">
        <f t="shared" ref="DL312" si="2165">SUM(DL304:DL311)</f>
        <v>0</v>
      </c>
      <c r="DM312" s="634">
        <f t="shared" ref="DM312" si="2166">SUM(DM304:DM311)</f>
        <v>0</v>
      </c>
      <c r="DN312" s="634">
        <f t="shared" ref="DN312" si="2167">SUM(DN304:DN311)</f>
        <v>0</v>
      </c>
      <c r="DO312" s="634">
        <f t="shared" ref="DO312" si="2168">SUM(DO304:DO311)</f>
        <v>0</v>
      </c>
      <c r="DP312" s="666"/>
      <c r="DQ312" s="638" t="e">
        <f>XIRR(S312:DO312,$S$303:$DO$303)</f>
        <v>#NUM!</v>
      </c>
      <c r="DR312" s="636">
        <f t="shared" ref="DR312:DX312" si="2169">SUM(DR304:DR311)</f>
        <v>0</v>
      </c>
      <c r="DS312" s="636">
        <f t="shared" si="2169"/>
        <v>0</v>
      </c>
      <c r="DT312" s="636">
        <f t="shared" si="2169"/>
        <v>0</v>
      </c>
      <c r="DU312" s="636">
        <f t="shared" si="2169"/>
        <v>0</v>
      </c>
      <c r="DV312" s="636">
        <f t="shared" si="2169"/>
        <v>0</v>
      </c>
      <c r="DW312" s="636">
        <f t="shared" si="2169"/>
        <v>0</v>
      </c>
      <c r="DX312" s="636">
        <f t="shared" si="2169"/>
        <v>0</v>
      </c>
      <c r="DY312" s="636">
        <f>SUM(DY304:DY311)</f>
        <v>0</v>
      </c>
      <c r="DZ312" s="636">
        <f>SUM(DZ304:DZ311)</f>
        <v>0</v>
      </c>
      <c r="EA312" s="636">
        <f>SUM(EA304:EA311)</f>
        <v>0</v>
      </c>
    </row>
    <row r="313" spans="1:131" ht="14.25" thickBot="1">
      <c r="A313" s="172"/>
      <c r="B313" s="667"/>
      <c r="C313" s="592" t="s">
        <v>3608</v>
      </c>
      <c r="D313" s="648">
        <f>D301+1</f>
        <v>22</v>
      </c>
      <c r="E313" s="649"/>
      <c r="F313" s="603"/>
      <c r="G313" s="603"/>
      <c r="I313" s="650" t="b">
        <f>I324=DR315</f>
        <v>1</v>
      </c>
      <c r="J313" s="172"/>
      <c r="K313" s="172"/>
      <c r="L313" s="172"/>
      <c r="M313" s="172"/>
      <c r="N313" s="172"/>
      <c r="O313" s="172"/>
      <c r="P313" s="172"/>
      <c r="Q313" s="639" t="str">
        <f>IF(Q324=NAV!E1017,"자본금과 일치","자본금과 불일치")</f>
        <v>자본금과 일치</v>
      </c>
      <c r="R313" s="172"/>
      <c r="S313" s="172"/>
      <c r="T313" s="172"/>
      <c r="U313" s="172"/>
      <c r="V313" s="172"/>
      <c r="W313" s="172"/>
      <c r="X313" s="172"/>
      <c r="Y313" s="172"/>
      <c r="Z313" s="172"/>
      <c r="AA313" s="172"/>
      <c r="AB313" s="172"/>
      <c r="AC313" s="172"/>
      <c r="AD313" s="172"/>
      <c r="AE313" s="172"/>
      <c r="AF313" s="172"/>
      <c r="AG313" s="172"/>
      <c r="AH313" s="172"/>
      <c r="AI313" s="172"/>
      <c r="AJ313" s="172"/>
      <c r="AK313" s="172"/>
      <c r="AL313" s="172"/>
      <c r="AM313" s="172"/>
      <c r="AN313" s="172"/>
      <c r="AO313" s="172"/>
      <c r="AP313" s="172"/>
      <c r="AQ313" s="172"/>
      <c r="AR313" s="172"/>
      <c r="AS313" s="172"/>
      <c r="AT313" s="172"/>
      <c r="AU313" s="172"/>
      <c r="AV313" s="172"/>
      <c r="AW313" s="172"/>
      <c r="AX313" s="172"/>
      <c r="AY313" s="172"/>
      <c r="AZ313" s="172"/>
      <c r="BA313" s="172"/>
      <c r="BB313" s="172"/>
      <c r="BC313" s="172"/>
      <c r="BD313" s="172"/>
      <c r="BE313" s="172"/>
      <c r="BF313" s="172"/>
      <c r="BG313" s="172"/>
      <c r="BH313" s="172"/>
      <c r="BI313" s="172"/>
      <c r="BJ313" s="172"/>
      <c r="BK313" s="172"/>
      <c r="BL313" s="172"/>
      <c r="BM313" s="172"/>
      <c r="BN313" s="172"/>
      <c r="BO313" s="172"/>
      <c r="BP313" s="172"/>
      <c r="BQ313" s="172"/>
      <c r="BR313" s="172"/>
      <c r="BS313" s="172"/>
      <c r="BT313" s="172"/>
      <c r="BU313" s="172"/>
      <c r="BV313" s="172"/>
      <c r="BW313" s="172"/>
      <c r="BX313" s="172"/>
      <c r="BY313" s="172"/>
      <c r="BZ313" s="172"/>
      <c r="CA313" s="172"/>
      <c r="CB313" s="172"/>
      <c r="CC313" s="172"/>
      <c r="CD313" s="172"/>
      <c r="CE313" s="172"/>
      <c r="CF313" s="172"/>
      <c r="CG313" s="172"/>
      <c r="CH313" s="172"/>
      <c r="CI313" s="172"/>
      <c r="CJ313" s="172"/>
      <c r="CK313" s="172"/>
      <c r="CL313" s="172"/>
      <c r="CM313" s="172"/>
      <c r="CN313" s="172"/>
      <c r="CO313" s="172"/>
      <c r="CP313" s="172"/>
      <c r="CQ313" s="172"/>
      <c r="CR313" s="172"/>
      <c r="CS313" s="172"/>
      <c r="CT313" s="172"/>
      <c r="CU313" s="172"/>
      <c r="CV313" s="172"/>
      <c r="CW313" s="172"/>
      <c r="CX313" s="172"/>
      <c r="CY313" s="172"/>
      <c r="CZ313" s="172"/>
      <c r="DA313" s="172"/>
      <c r="DB313" s="172"/>
      <c r="DC313" s="172"/>
      <c r="DD313" s="172"/>
      <c r="DE313" s="172"/>
      <c r="DF313" s="172"/>
      <c r="DG313" s="172"/>
      <c r="DH313" s="172"/>
      <c r="DI313" s="172"/>
      <c r="DJ313" s="172"/>
      <c r="DK313" s="172"/>
      <c r="DL313" s="172"/>
      <c r="DM313" s="172"/>
      <c r="DN313" s="172"/>
      <c r="DO313" s="588" t="s">
        <v>219</v>
      </c>
      <c r="DP313" s="588" t="str">
        <f>IF(ROUND(_xlfn.AGGREGATE(9,6,DP316:DP323),5)=ROUND(_xlfn.AGGREGATE(9,6,DQ316:DQ323),5),"이상없음","기준수익률확인")</f>
        <v>이상없음</v>
      </c>
      <c r="DQ313" s="172"/>
      <c r="DR313" s="651" t="s">
        <v>3406</v>
      </c>
      <c r="DS313" s="172"/>
      <c r="DT313" s="615"/>
      <c r="DU313" s="615"/>
      <c r="DV313" s="172"/>
      <c r="DW313" s="172"/>
      <c r="DX313" s="615"/>
      <c r="DY313" s="172"/>
      <c r="DZ313" s="172"/>
      <c r="EA313" s="172"/>
    </row>
    <row r="314" spans="1:131" ht="13.5">
      <c r="A314" s="652" t="str">
        <f t="shared" ref="A314:A322" si="2170">$B$313&amp;B314</f>
        <v>SPC명</v>
      </c>
      <c r="B314" s="653" t="s">
        <v>349</v>
      </c>
      <c r="C314" s="780"/>
      <c r="D314" s="780"/>
      <c r="E314" s="780"/>
      <c r="F314" s="230"/>
      <c r="G314" s="230"/>
      <c r="I314" s="776" t="s">
        <v>3393</v>
      </c>
      <c r="J314" s="776" t="s">
        <v>3428</v>
      </c>
      <c r="K314" s="774" t="s">
        <v>3395</v>
      </c>
      <c r="L314" s="774" t="s">
        <v>3396</v>
      </c>
      <c r="M314" s="774" t="s">
        <v>203</v>
      </c>
      <c r="N314" s="774" t="s">
        <v>211</v>
      </c>
      <c r="O314" s="774" t="s">
        <v>3399</v>
      </c>
      <c r="P314" s="776" t="s">
        <v>239</v>
      </c>
      <c r="Q314" s="774" t="s">
        <v>3401</v>
      </c>
      <c r="R314" s="774" t="s">
        <v>3402</v>
      </c>
      <c r="S314" s="593"/>
      <c r="T314" s="593"/>
      <c r="U314" s="593"/>
      <c r="V314" s="593"/>
      <c r="W314" s="593"/>
      <c r="X314" s="593"/>
      <c r="Y314" s="593"/>
      <c r="Z314" s="593"/>
      <c r="AA314" s="593"/>
      <c r="AB314" s="593"/>
      <c r="AC314" s="593"/>
      <c r="AD314" s="593"/>
      <c r="AE314" s="593"/>
      <c r="AF314" s="593"/>
      <c r="AG314" s="593"/>
      <c r="AH314" s="593"/>
      <c r="AI314" s="593"/>
      <c r="AJ314" s="593"/>
      <c r="AK314" s="593"/>
      <c r="AL314" s="593"/>
      <c r="AM314" s="593"/>
      <c r="AN314" s="593"/>
      <c r="AO314" s="593"/>
      <c r="AP314" s="593"/>
      <c r="AQ314" s="593"/>
      <c r="AR314" s="593"/>
      <c r="AS314" s="593"/>
      <c r="AT314" s="593"/>
      <c r="AU314" s="593"/>
      <c r="AV314" s="593"/>
      <c r="AW314" s="593"/>
      <c r="AX314" s="593"/>
      <c r="AY314" s="593"/>
      <c r="AZ314" s="593"/>
      <c r="BA314" s="593"/>
      <c r="BB314" s="593"/>
      <c r="BC314" s="593"/>
      <c r="BD314" s="593"/>
      <c r="BE314" s="593"/>
      <c r="BF314" s="593"/>
      <c r="BG314" s="593"/>
      <c r="BH314" s="593"/>
      <c r="BI314" s="593"/>
      <c r="BJ314" s="593"/>
      <c r="BK314" s="593"/>
      <c r="BL314" s="593"/>
      <c r="BM314" s="593"/>
      <c r="BN314" s="593"/>
      <c r="BO314" s="593"/>
      <c r="BP314" s="593"/>
      <c r="BQ314" s="593"/>
      <c r="BR314" s="593"/>
      <c r="BS314" s="593"/>
      <c r="BT314" s="593"/>
      <c r="BU314" s="593"/>
      <c r="BV314" s="593"/>
      <c r="BW314" s="593"/>
      <c r="BX314" s="593"/>
      <c r="BY314" s="593"/>
      <c r="BZ314" s="593"/>
      <c r="CA314" s="593"/>
      <c r="CB314" s="593"/>
      <c r="CC314" s="593"/>
      <c r="CD314" s="593"/>
      <c r="CE314" s="593"/>
      <c r="CF314" s="593"/>
      <c r="CG314" s="593"/>
      <c r="CH314" s="593"/>
      <c r="CI314" s="593"/>
      <c r="CJ314" s="593"/>
      <c r="CK314" s="593"/>
      <c r="CL314" s="593"/>
      <c r="CM314" s="593"/>
      <c r="CN314" s="593"/>
      <c r="CO314" s="593"/>
      <c r="CP314" s="593"/>
      <c r="CQ314" s="593"/>
      <c r="CR314" s="593"/>
      <c r="CS314" s="593"/>
      <c r="CT314" s="593"/>
      <c r="CU314" s="593"/>
      <c r="CV314" s="593"/>
      <c r="CW314" s="593"/>
      <c r="CX314" s="593"/>
      <c r="CY314" s="593"/>
      <c r="CZ314" s="593"/>
      <c r="DA314" s="593"/>
      <c r="DB314" s="593"/>
      <c r="DC314" s="593"/>
      <c r="DD314" s="593"/>
      <c r="DE314" s="593"/>
      <c r="DF314" s="593"/>
      <c r="DG314" s="593"/>
      <c r="DH314" s="593"/>
      <c r="DI314" s="593"/>
      <c r="DJ314" s="593"/>
      <c r="DK314" s="593"/>
      <c r="DL314" s="593"/>
      <c r="DM314" s="593"/>
      <c r="DN314" s="593"/>
      <c r="DO314" s="594" t="s">
        <v>220</v>
      </c>
      <c r="DP314" s="774" t="s">
        <v>218</v>
      </c>
      <c r="DQ314" s="774" t="s">
        <v>222</v>
      </c>
      <c r="DR314" s="594"/>
      <c r="DS314" s="594"/>
      <c r="DT314" s="594"/>
      <c r="DU314" s="594"/>
      <c r="DV314" s="594"/>
      <c r="DW314" s="594"/>
      <c r="DX314" s="594"/>
      <c r="DY314" s="594"/>
      <c r="DZ314" s="594"/>
      <c r="EA314" s="602"/>
    </row>
    <row r="315" spans="1:131" ht="14.25" thickBot="1">
      <c r="A315" s="652" t="str">
        <f t="shared" si="2170"/>
        <v>유형</v>
      </c>
      <c r="B315" s="653" t="s">
        <v>350</v>
      </c>
      <c r="C315" s="780"/>
      <c r="D315" s="780"/>
      <c r="E315" s="780"/>
      <c r="F315" s="230"/>
      <c r="G315" s="230"/>
      <c r="I315" s="777"/>
      <c r="J315" s="777"/>
      <c r="K315" s="775"/>
      <c r="L315" s="775"/>
      <c r="M315" s="775"/>
      <c r="N315" s="775"/>
      <c r="O315" s="775"/>
      <c r="P315" s="777"/>
      <c r="Q315" s="775"/>
      <c r="R315" s="775"/>
      <c r="S315" s="601"/>
      <c r="T315" s="601"/>
      <c r="U315" s="601"/>
      <c r="V315" s="601"/>
      <c r="W315" s="601"/>
      <c r="X315" s="601"/>
      <c r="Y315" s="601"/>
      <c r="Z315" s="601"/>
      <c r="AA315" s="601"/>
      <c r="AB315" s="601"/>
      <c r="AC315" s="601"/>
      <c r="AD315" s="601"/>
      <c r="AE315" s="601"/>
      <c r="AF315" s="601"/>
      <c r="AG315" s="601"/>
      <c r="AH315" s="601"/>
      <c r="AI315" s="601"/>
      <c r="AJ315" s="601"/>
      <c r="AK315" s="601"/>
      <c r="AL315" s="601"/>
      <c r="AM315" s="601"/>
      <c r="AN315" s="601"/>
      <c r="AO315" s="601"/>
      <c r="AP315" s="601"/>
      <c r="AQ315" s="601"/>
      <c r="AR315" s="601"/>
      <c r="AS315" s="601"/>
      <c r="AT315" s="601"/>
      <c r="AU315" s="601"/>
      <c r="AV315" s="601"/>
      <c r="AW315" s="601"/>
      <c r="AX315" s="601"/>
      <c r="AY315" s="601"/>
      <c r="AZ315" s="601"/>
      <c r="BA315" s="601"/>
      <c r="BB315" s="601"/>
      <c r="BC315" s="601"/>
      <c r="BD315" s="601"/>
      <c r="BE315" s="601"/>
      <c r="BF315" s="601"/>
      <c r="BG315" s="601"/>
      <c r="BH315" s="601"/>
      <c r="BI315" s="601"/>
      <c r="BJ315" s="601"/>
      <c r="BK315" s="601"/>
      <c r="BL315" s="601"/>
      <c r="BM315" s="601"/>
      <c r="BN315" s="601"/>
      <c r="BO315" s="601"/>
      <c r="BP315" s="601"/>
      <c r="BQ315" s="601"/>
      <c r="BR315" s="601"/>
      <c r="BS315" s="601"/>
      <c r="BT315" s="601"/>
      <c r="BU315" s="601"/>
      <c r="BV315" s="601"/>
      <c r="BW315" s="601"/>
      <c r="BX315" s="601"/>
      <c r="BY315" s="601"/>
      <c r="BZ315" s="601"/>
      <c r="CA315" s="601"/>
      <c r="CB315" s="601"/>
      <c r="CC315" s="601"/>
      <c r="CD315" s="601"/>
      <c r="CE315" s="601"/>
      <c r="CF315" s="601"/>
      <c r="CG315" s="601"/>
      <c r="CH315" s="601"/>
      <c r="CI315" s="601"/>
      <c r="CJ315" s="601"/>
      <c r="CK315" s="601"/>
      <c r="CL315" s="601"/>
      <c r="CM315" s="601"/>
      <c r="CN315" s="601"/>
      <c r="CO315" s="601"/>
      <c r="CP315" s="601"/>
      <c r="CQ315" s="601"/>
      <c r="CR315" s="601"/>
      <c r="CS315" s="601"/>
      <c r="CT315" s="601"/>
      <c r="CU315" s="601"/>
      <c r="CV315" s="601"/>
      <c r="CW315" s="601"/>
      <c r="CX315" s="601"/>
      <c r="CY315" s="601"/>
      <c r="CZ315" s="601"/>
      <c r="DA315" s="601"/>
      <c r="DB315" s="601"/>
      <c r="DC315" s="601"/>
      <c r="DD315" s="601"/>
      <c r="DE315" s="601"/>
      <c r="DF315" s="601"/>
      <c r="DG315" s="601"/>
      <c r="DH315" s="601"/>
      <c r="DI315" s="601"/>
      <c r="DJ315" s="601"/>
      <c r="DK315" s="601"/>
      <c r="DL315" s="601"/>
      <c r="DM315" s="601"/>
      <c r="DN315" s="601"/>
      <c r="DO315" s="654">
        <f>$DO$7</f>
        <v>45473</v>
      </c>
      <c r="DP315" s="775"/>
      <c r="DQ315" s="775"/>
      <c r="DR315" s="595">
        <f>NAV!E1023</f>
        <v>0</v>
      </c>
      <c r="DS315" s="596">
        <f>DR315-DR324</f>
        <v>0</v>
      </c>
      <c r="DT315" s="596"/>
      <c r="DU315" s="596"/>
      <c r="DV315" s="597"/>
      <c r="DW315" s="596"/>
      <c r="DX315" s="596"/>
      <c r="DY315" s="596"/>
      <c r="DZ315" s="655"/>
      <c r="EA315" s="656"/>
    </row>
    <row r="316" spans="1:131" ht="13.5">
      <c r="A316" s="652" t="str">
        <f t="shared" si="2170"/>
        <v>설정일</v>
      </c>
      <c r="B316" s="653" t="s">
        <v>351</v>
      </c>
      <c r="C316" s="781"/>
      <c r="D316" s="780"/>
      <c r="E316" s="780"/>
      <c r="F316" s="230"/>
      <c r="G316" s="230"/>
      <c r="I316" s="657">
        <f>SUM(DR316:EA316)</f>
        <v>0</v>
      </c>
      <c r="J316" s="606" t="str">
        <f>IFERROR(I316/(Q316/$C$318),"N/A")</f>
        <v>N/A</v>
      </c>
      <c r="K316" s="471"/>
      <c r="L316" s="607"/>
      <c r="M316" s="300"/>
      <c r="N316" s="608"/>
      <c r="O316" s="609">
        <f t="shared" ref="O316:O323" si="2171">-(SUMIF($S$314:$DN$314,"최초출자",S316:DN316)+SUMIF($S$314:$DN$314,"추가출자",S316:DN316))</f>
        <v>0</v>
      </c>
      <c r="P316" s="609">
        <f t="shared" ref="P316:P323" si="2172">SUMIF($S$314:$DN$314,"이익분배",S316:DN316)+SUMIF($S$314:$DN$314,"원본분배",S316:DN316)</f>
        <v>0</v>
      </c>
      <c r="Q316" s="609">
        <f t="shared" ref="Q316:Q323" si="2173">-(SUMIF($S$314:$DN$314,"최초출자",S316:DN316)+SUMIF($S$314:$DN$314,"추가출자",S316:DN316)+SUMIF($S$314:$DN$314,"원본분배",S316:DN316))</f>
        <v>0</v>
      </c>
      <c r="R316" s="610" t="str">
        <f>IFERROR(Q316/Q324,"")</f>
        <v/>
      </c>
      <c r="S316" s="658"/>
      <c r="T316" s="658"/>
      <c r="U316" s="658"/>
      <c r="V316" s="658"/>
      <c r="W316" s="658"/>
      <c r="X316" s="658"/>
      <c r="Y316" s="658"/>
      <c r="Z316" s="658"/>
      <c r="AA316" s="658"/>
      <c r="AB316" s="658"/>
      <c r="AC316" s="658"/>
      <c r="AD316" s="658"/>
      <c r="AE316" s="658"/>
      <c r="AF316" s="658"/>
      <c r="AG316" s="658"/>
      <c r="AH316" s="658"/>
      <c r="AI316" s="658"/>
      <c r="AJ316" s="658"/>
      <c r="AK316" s="658"/>
      <c r="AL316" s="658"/>
      <c r="AM316" s="658"/>
      <c r="AN316" s="658"/>
      <c r="AO316" s="658"/>
      <c r="AP316" s="658"/>
      <c r="AQ316" s="658"/>
      <c r="AR316" s="658"/>
      <c r="AS316" s="658"/>
      <c r="AT316" s="658"/>
      <c r="AU316" s="658"/>
      <c r="AV316" s="658"/>
      <c r="AW316" s="658"/>
      <c r="AX316" s="658"/>
      <c r="AY316" s="658"/>
      <c r="AZ316" s="658"/>
      <c r="BA316" s="658"/>
      <c r="BB316" s="658"/>
      <c r="BC316" s="658"/>
      <c r="BD316" s="658"/>
      <c r="BE316" s="658"/>
      <c r="BF316" s="658"/>
      <c r="BG316" s="658"/>
      <c r="BH316" s="658"/>
      <c r="BI316" s="658"/>
      <c r="BJ316" s="658"/>
      <c r="BK316" s="658"/>
      <c r="BL316" s="658"/>
      <c r="BM316" s="658"/>
      <c r="BN316" s="658"/>
      <c r="BO316" s="658"/>
      <c r="BP316" s="658"/>
      <c r="BQ316" s="658"/>
      <c r="BR316" s="658"/>
      <c r="BS316" s="658"/>
      <c r="BT316" s="658"/>
      <c r="BU316" s="658"/>
      <c r="BV316" s="658"/>
      <c r="BW316" s="658"/>
      <c r="BX316" s="658"/>
      <c r="BY316" s="658"/>
      <c r="BZ316" s="658"/>
      <c r="CA316" s="658"/>
      <c r="CB316" s="658"/>
      <c r="CC316" s="658"/>
      <c r="CD316" s="658"/>
      <c r="CE316" s="658"/>
      <c r="CF316" s="658"/>
      <c r="CG316" s="658"/>
      <c r="CH316" s="658"/>
      <c r="CI316" s="658"/>
      <c r="CJ316" s="658"/>
      <c r="CK316" s="658"/>
      <c r="CL316" s="658"/>
      <c r="CM316" s="658"/>
      <c r="CN316" s="658"/>
      <c r="CO316" s="658"/>
      <c r="CP316" s="658"/>
      <c r="CQ316" s="658"/>
      <c r="CR316" s="658"/>
      <c r="CS316" s="658"/>
      <c r="CT316" s="658"/>
      <c r="CU316" s="658"/>
      <c r="CV316" s="658"/>
      <c r="CW316" s="658"/>
      <c r="CX316" s="658"/>
      <c r="CY316" s="658"/>
      <c r="CZ316" s="658"/>
      <c r="DA316" s="658"/>
      <c r="DB316" s="658"/>
      <c r="DC316" s="658"/>
      <c r="DD316" s="658"/>
      <c r="DE316" s="658"/>
      <c r="DF316" s="658"/>
      <c r="DG316" s="658"/>
      <c r="DH316" s="658"/>
      <c r="DI316" s="658"/>
      <c r="DJ316" s="658"/>
      <c r="DK316" s="658"/>
      <c r="DL316" s="658"/>
      <c r="DM316" s="658"/>
      <c r="DN316" s="658"/>
      <c r="DO316" s="177">
        <f>IF(M316="",0,-XNPV(DP316,S316,S$315)*(1+DP316)^YEARFRAC($S$315,$DO$315,3))</f>
        <v>0</v>
      </c>
      <c r="DP316" s="612" t="e">
        <f>IF(HLOOKUP(L316,$C$323:$E$324,2,0)=0,1E-24%,HLOOKUP(L316,$C$323:$E$324,2,FALSE))</f>
        <v>#N/A</v>
      </c>
      <c r="DQ316" s="612" t="e">
        <f t="shared" ref="DQ316:DQ323" si="2174">XIRR(S316:DO316,$S$315:$DO$315)</f>
        <v>#NUM!</v>
      </c>
      <c r="DR316" s="177"/>
      <c r="DS316" s="177"/>
      <c r="DT316" s="177"/>
      <c r="DU316" s="177"/>
      <c r="DV316" s="177"/>
      <c r="DW316" s="177"/>
      <c r="DX316" s="177"/>
      <c r="DY316" s="177"/>
      <c r="DZ316" s="177"/>
      <c r="EA316" s="613"/>
    </row>
    <row r="317" spans="1:131" ht="13.5">
      <c r="A317" s="652" t="str">
        <f t="shared" si="2170"/>
        <v>출자잔액</v>
      </c>
      <c r="B317" s="653" t="s">
        <v>352</v>
      </c>
      <c r="C317" s="782"/>
      <c r="D317" s="782"/>
      <c r="E317" s="782"/>
      <c r="F317" s="230"/>
      <c r="G317" s="230"/>
      <c r="I317" s="657">
        <f t="shared" ref="I317:I323" si="2175">SUM(DR317:EA317)</f>
        <v>0</v>
      </c>
      <c r="J317" s="606" t="str">
        <f t="shared" ref="J317:J323" si="2176">IFERROR(I317/(Q317/$C$318),"N/A")</f>
        <v>N/A</v>
      </c>
      <c r="K317" s="471"/>
      <c r="L317" s="607"/>
      <c r="M317" s="300"/>
      <c r="N317" s="608"/>
      <c r="O317" s="609">
        <f t="shared" si="2171"/>
        <v>0</v>
      </c>
      <c r="P317" s="609">
        <f t="shared" si="2172"/>
        <v>0</v>
      </c>
      <c r="Q317" s="609">
        <f t="shared" si="2173"/>
        <v>0</v>
      </c>
      <c r="R317" s="610" t="str">
        <f>IFERROR(Q317/Q324,"")</f>
        <v/>
      </c>
      <c r="S317" s="658"/>
      <c r="T317" s="658"/>
      <c r="U317" s="658"/>
      <c r="V317" s="658"/>
      <c r="W317" s="658"/>
      <c r="X317" s="658"/>
      <c r="Y317" s="658"/>
      <c r="Z317" s="658"/>
      <c r="AA317" s="658"/>
      <c r="AB317" s="658"/>
      <c r="AC317" s="658"/>
      <c r="AD317" s="658"/>
      <c r="AE317" s="658"/>
      <c r="AF317" s="658"/>
      <c r="AG317" s="658"/>
      <c r="AH317" s="658"/>
      <c r="AI317" s="658"/>
      <c r="AJ317" s="658"/>
      <c r="AK317" s="658"/>
      <c r="AL317" s="658"/>
      <c r="AM317" s="658"/>
      <c r="AN317" s="658"/>
      <c r="AO317" s="658"/>
      <c r="AP317" s="658"/>
      <c r="AQ317" s="658"/>
      <c r="AR317" s="658"/>
      <c r="AS317" s="658"/>
      <c r="AT317" s="658"/>
      <c r="AU317" s="658"/>
      <c r="AV317" s="658"/>
      <c r="AW317" s="658"/>
      <c r="AX317" s="658"/>
      <c r="AY317" s="658"/>
      <c r="AZ317" s="658"/>
      <c r="BA317" s="658"/>
      <c r="BB317" s="658"/>
      <c r="BC317" s="658"/>
      <c r="BD317" s="658"/>
      <c r="BE317" s="658"/>
      <c r="BF317" s="658"/>
      <c r="BG317" s="658"/>
      <c r="BH317" s="658"/>
      <c r="BI317" s="658"/>
      <c r="BJ317" s="658"/>
      <c r="BK317" s="658"/>
      <c r="BL317" s="658"/>
      <c r="BM317" s="658"/>
      <c r="BN317" s="658"/>
      <c r="BO317" s="658"/>
      <c r="BP317" s="658"/>
      <c r="BQ317" s="658"/>
      <c r="BR317" s="658"/>
      <c r="BS317" s="658"/>
      <c r="BT317" s="658"/>
      <c r="BU317" s="658"/>
      <c r="BV317" s="658"/>
      <c r="BW317" s="658"/>
      <c r="BX317" s="658"/>
      <c r="BY317" s="658"/>
      <c r="BZ317" s="658"/>
      <c r="CA317" s="658"/>
      <c r="CB317" s="658"/>
      <c r="CC317" s="658"/>
      <c r="CD317" s="658"/>
      <c r="CE317" s="658"/>
      <c r="CF317" s="658"/>
      <c r="CG317" s="658"/>
      <c r="CH317" s="658"/>
      <c r="CI317" s="658"/>
      <c r="CJ317" s="658"/>
      <c r="CK317" s="658"/>
      <c r="CL317" s="658"/>
      <c r="CM317" s="658"/>
      <c r="CN317" s="658"/>
      <c r="CO317" s="658"/>
      <c r="CP317" s="658"/>
      <c r="CQ317" s="658"/>
      <c r="CR317" s="658"/>
      <c r="CS317" s="658"/>
      <c r="CT317" s="658"/>
      <c r="CU317" s="658"/>
      <c r="CV317" s="658"/>
      <c r="CW317" s="658"/>
      <c r="CX317" s="658"/>
      <c r="CY317" s="658"/>
      <c r="CZ317" s="658"/>
      <c r="DA317" s="658"/>
      <c r="DB317" s="658"/>
      <c r="DC317" s="658"/>
      <c r="DD317" s="658"/>
      <c r="DE317" s="658"/>
      <c r="DF317" s="658"/>
      <c r="DG317" s="658"/>
      <c r="DH317" s="658"/>
      <c r="DI317" s="658"/>
      <c r="DJ317" s="658"/>
      <c r="DK317" s="658"/>
      <c r="DL317" s="658"/>
      <c r="DM317" s="658"/>
      <c r="DN317" s="658"/>
      <c r="DO317" s="177">
        <f t="shared" ref="DO317:DO323" si="2177">IF(M317="",0,-XNPV(DP317,S317,S$315)*(1+DP317)^YEARFRAC($S$315,$DO$315,3))</f>
        <v>0</v>
      </c>
      <c r="DP317" s="612" t="e">
        <f t="shared" ref="DP317:DP323" si="2178">IF(HLOOKUP(L317,$C$323:$E$324,2,0)=0,1E-24%,HLOOKUP(L317,$C$323:$E$324,2,FALSE))</f>
        <v>#N/A</v>
      </c>
      <c r="DQ317" s="612" t="e">
        <f t="shared" si="2174"/>
        <v>#NUM!</v>
      </c>
      <c r="DR317" s="177"/>
      <c r="DS317" s="177"/>
      <c r="DT317" s="177"/>
      <c r="DU317" s="177"/>
      <c r="DV317" s="177"/>
      <c r="DW317" s="177"/>
      <c r="DX317" s="177"/>
      <c r="DY317" s="177"/>
      <c r="DZ317" s="177"/>
      <c r="EA317" s="613"/>
    </row>
    <row r="318" spans="1:131" ht="13.5">
      <c r="A318" s="652" t="str">
        <f t="shared" si="2170"/>
        <v>1좌당 금액</v>
      </c>
      <c r="B318" s="653" t="s">
        <v>353</v>
      </c>
      <c r="C318" s="783"/>
      <c r="D318" s="783"/>
      <c r="E318" s="783"/>
      <c r="F318" s="230"/>
      <c r="G318" s="230"/>
      <c r="I318" s="657">
        <f t="shared" si="2175"/>
        <v>0</v>
      </c>
      <c r="J318" s="606" t="str">
        <f t="shared" si="2176"/>
        <v>N/A</v>
      </c>
      <c r="K318" s="471"/>
      <c r="L318" s="607"/>
      <c r="M318" s="300"/>
      <c r="N318" s="608"/>
      <c r="O318" s="609">
        <f t="shared" si="2171"/>
        <v>0</v>
      </c>
      <c r="P318" s="609">
        <f t="shared" si="2172"/>
        <v>0</v>
      </c>
      <c r="Q318" s="609">
        <f t="shared" si="2173"/>
        <v>0</v>
      </c>
      <c r="R318" s="610" t="str">
        <f>IFERROR(Q318/Q324,"")</f>
        <v/>
      </c>
      <c r="S318" s="658"/>
      <c r="T318" s="658"/>
      <c r="U318" s="658"/>
      <c r="V318" s="658"/>
      <c r="W318" s="658"/>
      <c r="X318" s="658"/>
      <c r="Y318" s="658"/>
      <c r="Z318" s="658"/>
      <c r="AA318" s="658"/>
      <c r="AB318" s="658"/>
      <c r="AC318" s="658"/>
      <c r="AD318" s="658"/>
      <c r="AE318" s="658"/>
      <c r="AF318" s="658"/>
      <c r="AG318" s="658"/>
      <c r="AH318" s="658"/>
      <c r="AI318" s="658"/>
      <c r="AJ318" s="658"/>
      <c r="AK318" s="658"/>
      <c r="AL318" s="658"/>
      <c r="AM318" s="658"/>
      <c r="AN318" s="658"/>
      <c r="AO318" s="658"/>
      <c r="AP318" s="658"/>
      <c r="AQ318" s="658"/>
      <c r="AR318" s="658"/>
      <c r="AS318" s="658"/>
      <c r="AT318" s="658"/>
      <c r="AU318" s="658"/>
      <c r="AV318" s="658"/>
      <c r="AW318" s="658"/>
      <c r="AX318" s="658"/>
      <c r="AY318" s="658"/>
      <c r="AZ318" s="658"/>
      <c r="BA318" s="658"/>
      <c r="BB318" s="658"/>
      <c r="BC318" s="658"/>
      <c r="BD318" s="658"/>
      <c r="BE318" s="658"/>
      <c r="BF318" s="658"/>
      <c r="BG318" s="658"/>
      <c r="BH318" s="658"/>
      <c r="BI318" s="658"/>
      <c r="BJ318" s="658"/>
      <c r="BK318" s="658"/>
      <c r="BL318" s="658"/>
      <c r="BM318" s="658"/>
      <c r="BN318" s="658"/>
      <c r="BO318" s="658"/>
      <c r="BP318" s="658"/>
      <c r="BQ318" s="658"/>
      <c r="BR318" s="658"/>
      <c r="BS318" s="658"/>
      <c r="BT318" s="658"/>
      <c r="BU318" s="658"/>
      <c r="BV318" s="658"/>
      <c r="BW318" s="658"/>
      <c r="BX318" s="658"/>
      <c r="BY318" s="658"/>
      <c r="BZ318" s="658"/>
      <c r="CA318" s="658"/>
      <c r="CB318" s="658"/>
      <c r="CC318" s="658"/>
      <c r="CD318" s="658"/>
      <c r="CE318" s="658"/>
      <c r="CF318" s="658"/>
      <c r="CG318" s="658"/>
      <c r="CH318" s="658"/>
      <c r="CI318" s="658"/>
      <c r="CJ318" s="658"/>
      <c r="CK318" s="658"/>
      <c r="CL318" s="658"/>
      <c r="CM318" s="658"/>
      <c r="CN318" s="658"/>
      <c r="CO318" s="658"/>
      <c r="CP318" s="658"/>
      <c r="CQ318" s="658"/>
      <c r="CR318" s="658"/>
      <c r="CS318" s="658"/>
      <c r="CT318" s="658"/>
      <c r="CU318" s="658"/>
      <c r="CV318" s="658"/>
      <c r="CW318" s="658"/>
      <c r="CX318" s="658"/>
      <c r="CY318" s="658"/>
      <c r="CZ318" s="658"/>
      <c r="DA318" s="658"/>
      <c r="DB318" s="658"/>
      <c r="DC318" s="658"/>
      <c r="DD318" s="658"/>
      <c r="DE318" s="658"/>
      <c r="DF318" s="658"/>
      <c r="DG318" s="658"/>
      <c r="DH318" s="658"/>
      <c r="DI318" s="658"/>
      <c r="DJ318" s="658"/>
      <c r="DK318" s="658"/>
      <c r="DL318" s="658"/>
      <c r="DM318" s="658"/>
      <c r="DN318" s="658"/>
      <c r="DO318" s="177">
        <f t="shared" si="2177"/>
        <v>0</v>
      </c>
      <c r="DP318" s="612" t="e">
        <f t="shared" si="2178"/>
        <v>#N/A</v>
      </c>
      <c r="DQ318" s="612" t="e">
        <f t="shared" si="2174"/>
        <v>#NUM!</v>
      </c>
      <c r="DR318" s="177"/>
      <c r="DS318" s="177"/>
      <c r="DT318" s="177"/>
      <c r="DU318" s="177"/>
      <c r="DV318" s="177"/>
      <c r="DW318" s="177"/>
      <c r="DX318" s="177"/>
      <c r="DY318" s="177"/>
      <c r="DZ318" s="177"/>
      <c r="EA318" s="613"/>
    </row>
    <row r="319" spans="1:131" ht="13.5">
      <c r="A319" s="652" t="str">
        <f t="shared" si="2170"/>
        <v>기준수익률</v>
      </c>
      <c r="B319" s="653" t="s">
        <v>354</v>
      </c>
      <c r="C319" s="784"/>
      <c r="D319" s="785"/>
      <c r="E319" s="785"/>
      <c r="F319" s="230"/>
      <c r="G319" s="230"/>
      <c r="I319" s="657">
        <f t="shared" si="2175"/>
        <v>0</v>
      </c>
      <c r="J319" s="606" t="str">
        <f t="shared" si="2176"/>
        <v>N/A</v>
      </c>
      <c r="K319" s="471"/>
      <c r="L319" s="607"/>
      <c r="M319" s="300"/>
      <c r="N319" s="608"/>
      <c r="O319" s="609">
        <f t="shared" si="2171"/>
        <v>0</v>
      </c>
      <c r="P319" s="609">
        <f t="shared" si="2172"/>
        <v>0</v>
      </c>
      <c r="Q319" s="609">
        <f t="shared" si="2173"/>
        <v>0</v>
      </c>
      <c r="R319" s="610" t="str">
        <f>IFERROR(Q319/Q324,"")</f>
        <v/>
      </c>
      <c r="S319" s="658"/>
      <c r="T319" s="658"/>
      <c r="U319" s="658"/>
      <c r="V319" s="658"/>
      <c r="W319" s="658"/>
      <c r="X319" s="658"/>
      <c r="Y319" s="658"/>
      <c r="Z319" s="658"/>
      <c r="AA319" s="658"/>
      <c r="AB319" s="658"/>
      <c r="AC319" s="658"/>
      <c r="AD319" s="658"/>
      <c r="AE319" s="658"/>
      <c r="AF319" s="658"/>
      <c r="AG319" s="658"/>
      <c r="AH319" s="658"/>
      <c r="AI319" s="658"/>
      <c r="AJ319" s="658"/>
      <c r="AK319" s="658"/>
      <c r="AL319" s="658"/>
      <c r="AM319" s="658"/>
      <c r="AN319" s="658"/>
      <c r="AO319" s="658"/>
      <c r="AP319" s="658"/>
      <c r="AQ319" s="658"/>
      <c r="AR319" s="658"/>
      <c r="AS319" s="658"/>
      <c r="AT319" s="658"/>
      <c r="AU319" s="658"/>
      <c r="AV319" s="658"/>
      <c r="AW319" s="658"/>
      <c r="AX319" s="658"/>
      <c r="AY319" s="658"/>
      <c r="AZ319" s="658"/>
      <c r="BA319" s="658"/>
      <c r="BB319" s="658"/>
      <c r="BC319" s="658"/>
      <c r="BD319" s="658"/>
      <c r="BE319" s="658"/>
      <c r="BF319" s="658"/>
      <c r="BG319" s="658"/>
      <c r="BH319" s="658"/>
      <c r="BI319" s="658"/>
      <c r="BJ319" s="658"/>
      <c r="BK319" s="658"/>
      <c r="BL319" s="658"/>
      <c r="BM319" s="658"/>
      <c r="BN319" s="658"/>
      <c r="BO319" s="658"/>
      <c r="BP319" s="658"/>
      <c r="BQ319" s="658"/>
      <c r="BR319" s="658"/>
      <c r="BS319" s="658"/>
      <c r="BT319" s="658"/>
      <c r="BU319" s="658"/>
      <c r="BV319" s="658"/>
      <c r="BW319" s="658"/>
      <c r="BX319" s="658"/>
      <c r="BY319" s="658"/>
      <c r="BZ319" s="658"/>
      <c r="CA319" s="658"/>
      <c r="CB319" s="658"/>
      <c r="CC319" s="658"/>
      <c r="CD319" s="658"/>
      <c r="CE319" s="658"/>
      <c r="CF319" s="658"/>
      <c r="CG319" s="658"/>
      <c r="CH319" s="658"/>
      <c r="CI319" s="658"/>
      <c r="CJ319" s="658"/>
      <c r="CK319" s="658"/>
      <c r="CL319" s="658"/>
      <c r="CM319" s="658"/>
      <c r="CN319" s="658"/>
      <c r="CO319" s="658"/>
      <c r="CP319" s="658"/>
      <c r="CQ319" s="658"/>
      <c r="CR319" s="658"/>
      <c r="CS319" s="658"/>
      <c r="CT319" s="658"/>
      <c r="CU319" s="658"/>
      <c r="CV319" s="658"/>
      <c r="CW319" s="658"/>
      <c r="CX319" s="658"/>
      <c r="CY319" s="658"/>
      <c r="CZ319" s="658"/>
      <c r="DA319" s="658"/>
      <c r="DB319" s="658"/>
      <c r="DC319" s="658"/>
      <c r="DD319" s="658"/>
      <c r="DE319" s="658"/>
      <c r="DF319" s="658"/>
      <c r="DG319" s="658"/>
      <c r="DH319" s="658"/>
      <c r="DI319" s="658"/>
      <c r="DJ319" s="658"/>
      <c r="DK319" s="658"/>
      <c r="DL319" s="658"/>
      <c r="DM319" s="658"/>
      <c r="DN319" s="658"/>
      <c r="DO319" s="177">
        <f t="shared" si="2177"/>
        <v>0</v>
      </c>
      <c r="DP319" s="612" t="e">
        <f t="shared" si="2178"/>
        <v>#N/A</v>
      </c>
      <c r="DQ319" s="612" t="e">
        <f t="shared" si="2174"/>
        <v>#NUM!</v>
      </c>
      <c r="DR319" s="177"/>
      <c r="DS319" s="177"/>
      <c r="DT319" s="177"/>
      <c r="DU319" s="177"/>
      <c r="DV319" s="177"/>
      <c r="DW319" s="177"/>
      <c r="DX319" s="177"/>
      <c r="DY319" s="177"/>
      <c r="DZ319" s="177"/>
      <c r="EA319" s="613"/>
    </row>
    <row r="320" spans="1:131" ht="13.5">
      <c r="A320" s="652" t="str">
        <f t="shared" si="2170"/>
        <v>평가방법론</v>
      </c>
      <c r="B320" s="653" t="s">
        <v>7</v>
      </c>
      <c r="C320" s="786"/>
      <c r="D320" s="786"/>
      <c r="E320" s="786"/>
      <c r="F320" s="230"/>
      <c r="G320" s="230"/>
      <c r="I320" s="657">
        <f t="shared" si="2175"/>
        <v>0</v>
      </c>
      <c r="J320" s="606" t="str">
        <f t="shared" si="2176"/>
        <v>N/A</v>
      </c>
      <c r="K320" s="471"/>
      <c r="L320" s="607"/>
      <c r="M320" s="300"/>
      <c r="N320" s="608"/>
      <c r="O320" s="609">
        <f t="shared" si="2171"/>
        <v>0</v>
      </c>
      <c r="P320" s="609">
        <f t="shared" si="2172"/>
        <v>0</v>
      </c>
      <c r="Q320" s="609">
        <f t="shared" si="2173"/>
        <v>0</v>
      </c>
      <c r="R320" s="610" t="str">
        <f>IFERROR(Q320/Q324,"")</f>
        <v/>
      </c>
      <c r="S320" s="658"/>
      <c r="T320" s="658"/>
      <c r="U320" s="658"/>
      <c r="V320" s="658"/>
      <c r="W320" s="658"/>
      <c r="X320" s="658"/>
      <c r="Y320" s="658"/>
      <c r="Z320" s="658"/>
      <c r="AA320" s="658"/>
      <c r="AB320" s="658"/>
      <c r="AC320" s="658"/>
      <c r="AD320" s="658"/>
      <c r="AE320" s="658"/>
      <c r="AF320" s="658"/>
      <c r="AG320" s="658"/>
      <c r="AH320" s="658"/>
      <c r="AI320" s="658"/>
      <c r="AJ320" s="658"/>
      <c r="AK320" s="658"/>
      <c r="AL320" s="658"/>
      <c r="AM320" s="658"/>
      <c r="AN320" s="658"/>
      <c r="AO320" s="658"/>
      <c r="AP320" s="658"/>
      <c r="AQ320" s="658"/>
      <c r="AR320" s="658"/>
      <c r="AS320" s="658"/>
      <c r="AT320" s="658"/>
      <c r="AU320" s="658"/>
      <c r="AV320" s="658"/>
      <c r="AW320" s="658"/>
      <c r="AX320" s="658"/>
      <c r="AY320" s="658"/>
      <c r="AZ320" s="658"/>
      <c r="BA320" s="658"/>
      <c r="BB320" s="658"/>
      <c r="BC320" s="658"/>
      <c r="BD320" s="658"/>
      <c r="BE320" s="658"/>
      <c r="BF320" s="658"/>
      <c r="BG320" s="658"/>
      <c r="BH320" s="658"/>
      <c r="BI320" s="658"/>
      <c r="BJ320" s="658"/>
      <c r="BK320" s="658"/>
      <c r="BL320" s="658"/>
      <c r="BM320" s="658"/>
      <c r="BN320" s="658"/>
      <c r="BO320" s="658"/>
      <c r="BP320" s="658"/>
      <c r="BQ320" s="658"/>
      <c r="BR320" s="658"/>
      <c r="BS320" s="658"/>
      <c r="BT320" s="658"/>
      <c r="BU320" s="658"/>
      <c r="BV320" s="658"/>
      <c r="BW320" s="658"/>
      <c r="BX320" s="658"/>
      <c r="BY320" s="658"/>
      <c r="BZ320" s="658"/>
      <c r="CA320" s="658"/>
      <c r="CB320" s="658"/>
      <c r="CC320" s="658"/>
      <c r="CD320" s="658"/>
      <c r="CE320" s="658"/>
      <c r="CF320" s="658"/>
      <c r="CG320" s="658"/>
      <c r="CH320" s="658"/>
      <c r="CI320" s="658"/>
      <c r="CJ320" s="658"/>
      <c r="CK320" s="658"/>
      <c r="CL320" s="658"/>
      <c r="CM320" s="658"/>
      <c r="CN320" s="658"/>
      <c r="CO320" s="658"/>
      <c r="CP320" s="658"/>
      <c r="CQ320" s="658"/>
      <c r="CR320" s="658"/>
      <c r="CS320" s="658"/>
      <c r="CT320" s="658"/>
      <c r="CU320" s="658"/>
      <c r="CV320" s="658"/>
      <c r="CW320" s="658"/>
      <c r="CX320" s="658"/>
      <c r="CY320" s="658"/>
      <c r="CZ320" s="658"/>
      <c r="DA320" s="658"/>
      <c r="DB320" s="658"/>
      <c r="DC320" s="658"/>
      <c r="DD320" s="658"/>
      <c r="DE320" s="658"/>
      <c r="DF320" s="658"/>
      <c r="DG320" s="658"/>
      <c r="DH320" s="658"/>
      <c r="DI320" s="658"/>
      <c r="DJ320" s="658"/>
      <c r="DK320" s="658"/>
      <c r="DL320" s="658"/>
      <c r="DM320" s="658"/>
      <c r="DN320" s="658"/>
      <c r="DO320" s="177">
        <f t="shared" si="2177"/>
        <v>0</v>
      </c>
      <c r="DP320" s="612" t="e">
        <f t="shared" si="2178"/>
        <v>#N/A</v>
      </c>
      <c r="DQ320" s="612" t="e">
        <f t="shared" si="2174"/>
        <v>#NUM!</v>
      </c>
      <c r="DR320" s="177"/>
      <c r="DS320" s="177"/>
      <c r="DT320" s="177"/>
      <c r="DU320" s="177"/>
      <c r="DV320" s="177"/>
      <c r="DW320" s="177"/>
      <c r="DX320" s="177"/>
      <c r="DY320" s="177"/>
      <c r="DZ320" s="177"/>
      <c r="EA320" s="613"/>
    </row>
    <row r="321" spans="1:131" ht="13.5">
      <c r="A321" s="652" t="str">
        <f t="shared" si="2170"/>
        <v>분배 조항 여부</v>
      </c>
      <c r="B321" s="653" t="s">
        <v>355</v>
      </c>
      <c r="C321" s="786"/>
      <c r="D321" s="786"/>
      <c r="E321" s="786"/>
      <c r="F321" s="230"/>
      <c r="G321" s="230"/>
      <c r="I321" s="657">
        <f t="shared" si="2175"/>
        <v>0</v>
      </c>
      <c r="J321" s="606" t="str">
        <f>IFERROR(I321/(Q321/$C$318),"N/A")</f>
        <v>N/A</v>
      </c>
      <c r="K321" s="471"/>
      <c r="L321" s="607"/>
      <c r="M321" s="300"/>
      <c r="N321" s="608"/>
      <c r="O321" s="609">
        <f t="shared" si="2171"/>
        <v>0</v>
      </c>
      <c r="P321" s="609">
        <f t="shared" si="2172"/>
        <v>0</v>
      </c>
      <c r="Q321" s="609">
        <f t="shared" si="2173"/>
        <v>0</v>
      </c>
      <c r="R321" s="610" t="str">
        <f>IFERROR(Q321/Q324,"")</f>
        <v/>
      </c>
      <c r="S321" s="658"/>
      <c r="T321" s="658"/>
      <c r="U321" s="658"/>
      <c r="V321" s="658"/>
      <c r="W321" s="658"/>
      <c r="X321" s="658"/>
      <c r="Y321" s="658"/>
      <c r="Z321" s="658"/>
      <c r="AA321" s="658"/>
      <c r="AB321" s="658"/>
      <c r="AC321" s="658"/>
      <c r="AD321" s="658"/>
      <c r="AE321" s="658"/>
      <c r="AF321" s="658"/>
      <c r="AG321" s="658"/>
      <c r="AH321" s="658"/>
      <c r="AI321" s="658"/>
      <c r="AJ321" s="658"/>
      <c r="AK321" s="658"/>
      <c r="AL321" s="658"/>
      <c r="AM321" s="658"/>
      <c r="AN321" s="658"/>
      <c r="AO321" s="658"/>
      <c r="AP321" s="658"/>
      <c r="AQ321" s="658"/>
      <c r="AR321" s="658"/>
      <c r="AS321" s="658"/>
      <c r="AT321" s="658"/>
      <c r="AU321" s="658"/>
      <c r="AV321" s="658"/>
      <c r="AW321" s="658"/>
      <c r="AX321" s="658"/>
      <c r="AY321" s="658"/>
      <c r="AZ321" s="658"/>
      <c r="BA321" s="658"/>
      <c r="BB321" s="658"/>
      <c r="BC321" s="658"/>
      <c r="BD321" s="658"/>
      <c r="BE321" s="658"/>
      <c r="BF321" s="658"/>
      <c r="BG321" s="658"/>
      <c r="BH321" s="658"/>
      <c r="BI321" s="658"/>
      <c r="BJ321" s="658"/>
      <c r="BK321" s="658"/>
      <c r="BL321" s="658"/>
      <c r="BM321" s="658"/>
      <c r="BN321" s="658"/>
      <c r="BO321" s="658"/>
      <c r="BP321" s="658"/>
      <c r="BQ321" s="658"/>
      <c r="BR321" s="658"/>
      <c r="BS321" s="658"/>
      <c r="BT321" s="658"/>
      <c r="BU321" s="658"/>
      <c r="BV321" s="658"/>
      <c r="BW321" s="658"/>
      <c r="BX321" s="658"/>
      <c r="BY321" s="658"/>
      <c r="BZ321" s="658"/>
      <c r="CA321" s="658"/>
      <c r="CB321" s="658"/>
      <c r="CC321" s="658"/>
      <c r="CD321" s="658"/>
      <c r="CE321" s="658"/>
      <c r="CF321" s="658"/>
      <c r="CG321" s="658"/>
      <c r="CH321" s="658"/>
      <c r="CI321" s="658"/>
      <c r="CJ321" s="658"/>
      <c r="CK321" s="658"/>
      <c r="CL321" s="658"/>
      <c r="CM321" s="658"/>
      <c r="CN321" s="658"/>
      <c r="CO321" s="658"/>
      <c r="CP321" s="658"/>
      <c r="CQ321" s="658"/>
      <c r="CR321" s="658"/>
      <c r="CS321" s="658"/>
      <c r="CT321" s="658"/>
      <c r="CU321" s="658"/>
      <c r="CV321" s="658"/>
      <c r="CW321" s="658"/>
      <c r="CX321" s="658"/>
      <c r="CY321" s="658"/>
      <c r="CZ321" s="658"/>
      <c r="DA321" s="658"/>
      <c r="DB321" s="658"/>
      <c r="DC321" s="658"/>
      <c r="DD321" s="658"/>
      <c r="DE321" s="658"/>
      <c r="DF321" s="658"/>
      <c r="DG321" s="658"/>
      <c r="DH321" s="658"/>
      <c r="DI321" s="658"/>
      <c r="DJ321" s="658"/>
      <c r="DK321" s="658"/>
      <c r="DL321" s="658"/>
      <c r="DM321" s="658"/>
      <c r="DN321" s="658"/>
      <c r="DO321" s="177">
        <f t="shared" si="2177"/>
        <v>0</v>
      </c>
      <c r="DP321" s="612" t="e">
        <f t="shared" si="2178"/>
        <v>#N/A</v>
      </c>
      <c r="DQ321" s="612" t="e">
        <f t="shared" si="2174"/>
        <v>#NUM!</v>
      </c>
      <c r="DR321" s="177"/>
      <c r="DS321" s="177"/>
      <c r="DT321" s="177"/>
      <c r="DU321" s="177"/>
      <c r="DV321" s="177"/>
      <c r="DW321" s="177"/>
      <c r="DX321" s="177"/>
      <c r="DY321" s="177"/>
      <c r="DZ321" s="177"/>
      <c r="EA321" s="613"/>
    </row>
    <row r="322" spans="1:131" ht="14.25" thickBot="1">
      <c r="A322" s="652" t="str">
        <f t="shared" si="2170"/>
        <v>모펀드 출자 지분율</v>
      </c>
      <c r="B322" s="660" t="s">
        <v>356</v>
      </c>
      <c r="C322" s="787"/>
      <c r="D322" s="787"/>
      <c r="E322" s="787"/>
      <c r="F322" s="230"/>
      <c r="G322" s="230"/>
      <c r="I322" s="657">
        <f t="shared" si="2175"/>
        <v>0</v>
      </c>
      <c r="J322" s="606" t="str">
        <f t="shared" si="2176"/>
        <v>N/A</v>
      </c>
      <c r="K322" s="471"/>
      <c r="L322" s="607"/>
      <c r="M322" s="300"/>
      <c r="N322" s="608"/>
      <c r="O322" s="609">
        <f t="shared" si="2171"/>
        <v>0</v>
      </c>
      <c r="P322" s="609">
        <f t="shared" si="2172"/>
        <v>0</v>
      </c>
      <c r="Q322" s="609">
        <f t="shared" si="2173"/>
        <v>0</v>
      </c>
      <c r="R322" s="610" t="str">
        <f>IFERROR(Q322/Q324,"")</f>
        <v/>
      </c>
      <c r="S322" s="658"/>
      <c r="T322" s="658"/>
      <c r="U322" s="658"/>
      <c r="V322" s="658"/>
      <c r="W322" s="658"/>
      <c r="X322" s="658"/>
      <c r="Y322" s="658"/>
      <c r="Z322" s="658"/>
      <c r="AA322" s="658"/>
      <c r="AB322" s="658"/>
      <c r="AC322" s="658"/>
      <c r="AD322" s="658"/>
      <c r="AE322" s="658"/>
      <c r="AF322" s="658"/>
      <c r="AG322" s="658"/>
      <c r="AH322" s="658"/>
      <c r="AI322" s="658"/>
      <c r="AJ322" s="658"/>
      <c r="AK322" s="658"/>
      <c r="AL322" s="658"/>
      <c r="AM322" s="658"/>
      <c r="AN322" s="658"/>
      <c r="AO322" s="658"/>
      <c r="AP322" s="658"/>
      <c r="AQ322" s="658"/>
      <c r="AR322" s="658"/>
      <c r="AS322" s="658"/>
      <c r="AT322" s="658"/>
      <c r="AU322" s="658"/>
      <c r="AV322" s="658"/>
      <c r="AW322" s="658"/>
      <c r="AX322" s="658"/>
      <c r="AY322" s="658"/>
      <c r="AZ322" s="658"/>
      <c r="BA322" s="658"/>
      <c r="BB322" s="658"/>
      <c r="BC322" s="658"/>
      <c r="BD322" s="658"/>
      <c r="BE322" s="658"/>
      <c r="BF322" s="658"/>
      <c r="BG322" s="658"/>
      <c r="BH322" s="658"/>
      <c r="BI322" s="658"/>
      <c r="BJ322" s="658"/>
      <c r="BK322" s="658"/>
      <c r="BL322" s="658"/>
      <c r="BM322" s="658"/>
      <c r="BN322" s="658"/>
      <c r="BO322" s="658"/>
      <c r="BP322" s="658"/>
      <c r="BQ322" s="658"/>
      <c r="BR322" s="658"/>
      <c r="BS322" s="658"/>
      <c r="BT322" s="658"/>
      <c r="BU322" s="658"/>
      <c r="BV322" s="658"/>
      <c r="BW322" s="658"/>
      <c r="BX322" s="658"/>
      <c r="BY322" s="658"/>
      <c r="BZ322" s="658"/>
      <c r="CA322" s="658"/>
      <c r="CB322" s="658"/>
      <c r="CC322" s="658"/>
      <c r="CD322" s="658"/>
      <c r="CE322" s="658"/>
      <c r="CF322" s="658"/>
      <c r="CG322" s="658"/>
      <c r="CH322" s="658"/>
      <c r="CI322" s="658"/>
      <c r="CJ322" s="658"/>
      <c r="CK322" s="658"/>
      <c r="CL322" s="658"/>
      <c r="CM322" s="658"/>
      <c r="CN322" s="658"/>
      <c r="CO322" s="658"/>
      <c r="CP322" s="658"/>
      <c r="CQ322" s="658"/>
      <c r="CR322" s="658"/>
      <c r="CS322" s="658"/>
      <c r="CT322" s="658"/>
      <c r="CU322" s="658"/>
      <c r="CV322" s="658"/>
      <c r="CW322" s="658"/>
      <c r="CX322" s="658"/>
      <c r="CY322" s="658"/>
      <c r="CZ322" s="658"/>
      <c r="DA322" s="658"/>
      <c r="DB322" s="658"/>
      <c r="DC322" s="658"/>
      <c r="DD322" s="658"/>
      <c r="DE322" s="658"/>
      <c r="DF322" s="658"/>
      <c r="DG322" s="658"/>
      <c r="DH322" s="658"/>
      <c r="DI322" s="658"/>
      <c r="DJ322" s="658"/>
      <c r="DK322" s="658"/>
      <c r="DL322" s="658"/>
      <c r="DM322" s="658"/>
      <c r="DN322" s="658"/>
      <c r="DO322" s="177">
        <f t="shared" si="2177"/>
        <v>0</v>
      </c>
      <c r="DP322" s="612" t="e">
        <f t="shared" si="2178"/>
        <v>#N/A</v>
      </c>
      <c r="DQ322" s="612" t="e">
        <f t="shared" si="2174"/>
        <v>#NUM!</v>
      </c>
      <c r="DR322" s="177"/>
      <c r="DS322" s="177"/>
      <c r="DT322" s="177"/>
      <c r="DU322" s="177"/>
      <c r="DV322" s="177"/>
      <c r="DW322" s="177"/>
      <c r="DX322" s="177"/>
      <c r="DY322" s="177"/>
      <c r="DZ322" s="177"/>
      <c r="EA322" s="613"/>
    </row>
    <row r="323" spans="1:131" ht="14.25" thickBot="1">
      <c r="B323" s="778" t="s">
        <v>3404</v>
      </c>
      <c r="C323" s="616" t="s">
        <v>223</v>
      </c>
      <c r="D323" s="616" t="s">
        <v>224</v>
      </c>
      <c r="E323" s="616" t="s">
        <v>225</v>
      </c>
      <c r="F323" s="230"/>
      <c r="G323" s="230"/>
      <c r="I323" s="657">
        <f t="shared" si="2175"/>
        <v>0</v>
      </c>
      <c r="J323" s="606" t="str">
        <f t="shared" si="2176"/>
        <v>N/A</v>
      </c>
      <c r="K323" s="471"/>
      <c r="L323" s="607"/>
      <c r="M323" s="300"/>
      <c r="N323" s="608"/>
      <c r="O323" s="609">
        <f t="shared" si="2171"/>
        <v>0</v>
      </c>
      <c r="P323" s="609">
        <f t="shared" si="2172"/>
        <v>0</v>
      </c>
      <c r="Q323" s="609">
        <f t="shared" si="2173"/>
        <v>0</v>
      </c>
      <c r="R323" s="610" t="str">
        <f>IFERROR(Q323/Q324,"")</f>
        <v/>
      </c>
      <c r="S323" s="658"/>
      <c r="T323" s="658"/>
      <c r="U323" s="658"/>
      <c r="V323" s="658"/>
      <c r="W323" s="658"/>
      <c r="X323" s="658"/>
      <c r="Y323" s="658"/>
      <c r="Z323" s="658"/>
      <c r="AA323" s="658"/>
      <c r="AB323" s="658"/>
      <c r="AC323" s="658"/>
      <c r="AD323" s="658"/>
      <c r="AE323" s="658"/>
      <c r="AF323" s="658"/>
      <c r="AG323" s="658"/>
      <c r="AH323" s="658"/>
      <c r="AI323" s="658"/>
      <c r="AJ323" s="658"/>
      <c r="AK323" s="658"/>
      <c r="AL323" s="658"/>
      <c r="AM323" s="658"/>
      <c r="AN323" s="658"/>
      <c r="AO323" s="658"/>
      <c r="AP323" s="658"/>
      <c r="AQ323" s="658"/>
      <c r="AR323" s="658"/>
      <c r="AS323" s="658"/>
      <c r="AT323" s="658"/>
      <c r="AU323" s="658"/>
      <c r="AV323" s="658"/>
      <c r="AW323" s="658"/>
      <c r="AX323" s="658"/>
      <c r="AY323" s="658"/>
      <c r="AZ323" s="658"/>
      <c r="BA323" s="658"/>
      <c r="BB323" s="658"/>
      <c r="BC323" s="658"/>
      <c r="BD323" s="658"/>
      <c r="BE323" s="658"/>
      <c r="BF323" s="658"/>
      <c r="BG323" s="658"/>
      <c r="BH323" s="658"/>
      <c r="BI323" s="658"/>
      <c r="BJ323" s="658"/>
      <c r="BK323" s="658"/>
      <c r="BL323" s="658"/>
      <c r="BM323" s="658"/>
      <c r="BN323" s="658"/>
      <c r="BO323" s="658"/>
      <c r="BP323" s="658"/>
      <c r="BQ323" s="658"/>
      <c r="BR323" s="658"/>
      <c r="BS323" s="658"/>
      <c r="BT323" s="658"/>
      <c r="BU323" s="658"/>
      <c r="BV323" s="658"/>
      <c r="BW323" s="658"/>
      <c r="BX323" s="658"/>
      <c r="BY323" s="658"/>
      <c r="BZ323" s="658"/>
      <c r="CA323" s="658"/>
      <c r="CB323" s="658"/>
      <c r="CC323" s="658"/>
      <c r="CD323" s="658"/>
      <c r="CE323" s="658"/>
      <c r="CF323" s="658"/>
      <c r="CG323" s="658"/>
      <c r="CH323" s="658"/>
      <c r="CI323" s="658"/>
      <c r="CJ323" s="658"/>
      <c r="CK323" s="658"/>
      <c r="CL323" s="658"/>
      <c r="CM323" s="658"/>
      <c r="CN323" s="658"/>
      <c r="CO323" s="658"/>
      <c r="CP323" s="658"/>
      <c r="CQ323" s="658"/>
      <c r="CR323" s="658"/>
      <c r="CS323" s="658"/>
      <c r="CT323" s="658"/>
      <c r="CU323" s="658"/>
      <c r="CV323" s="658"/>
      <c r="CW323" s="658"/>
      <c r="CX323" s="658"/>
      <c r="CY323" s="658"/>
      <c r="CZ323" s="658"/>
      <c r="DA323" s="658"/>
      <c r="DB323" s="658"/>
      <c r="DC323" s="658"/>
      <c r="DD323" s="658"/>
      <c r="DE323" s="658"/>
      <c r="DF323" s="658"/>
      <c r="DG323" s="658"/>
      <c r="DH323" s="658"/>
      <c r="DI323" s="658"/>
      <c r="DJ323" s="658"/>
      <c r="DK323" s="658"/>
      <c r="DL323" s="658"/>
      <c r="DM323" s="658"/>
      <c r="DN323" s="658"/>
      <c r="DO323" s="177">
        <f t="shared" si="2177"/>
        <v>0</v>
      </c>
      <c r="DP323" s="612" t="e">
        <f t="shared" si="2178"/>
        <v>#N/A</v>
      </c>
      <c r="DQ323" s="612" t="e">
        <f t="shared" si="2174"/>
        <v>#NUM!</v>
      </c>
      <c r="DR323" s="177"/>
      <c r="DS323" s="177"/>
      <c r="DT323" s="177"/>
      <c r="DU323" s="177"/>
      <c r="DV323" s="177"/>
      <c r="DW323" s="177"/>
      <c r="DX323" s="177"/>
      <c r="DY323" s="177"/>
      <c r="DZ323" s="177"/>
      <c r="EA323" s="613"/>
    </row>
    <row r="324" spans="1:131" ht="14.25" thickBot="1">
      <c r="A324" s="317"/>
      <c r="B324" s="779"/>
      <c r="C324" s="661"/>
      <c r="D324" s="661"/>
      <c r="E324" s="661"/>
      <c r="F324" s="662"/>
      <c r="G324" s="662"/>
      <c r="H324" s="317"/>
      <c r="I324" s="634">
        <f>SUM(I316:I323)</f>
        <v>0</v>
      </c>
      <c r="J324" s="663"/>
      <c r="K324" s="664"/>
      <c r="L324" s="664"/>
      <c r="M324" s="664"/>
      <c r="N324" s="634">
        <f t="shared" ref="N324:R324" si="2179">SUM(N316:N323)</f>
        <v>0</v>
      </c>
      <c r="O324" s="634">
        <f t="shared" si="2179"/>
        <v>0</v>
      </c>
      <c r="P324" s="634">
        <f t="shared" si="2179"/>
        <v>0</v>
      </c>
      <c r="Q324" s="634">
        <f t="shared" si="2179"/>
        <v>0</v>
      </c>
      <c r="R324" s="665">
        <f t="shared" si="2179"/>
        <v>0</v>
      </c>
      <c r="S324" s="634">
        <f>SUM(S316:S323)</f>
        <v>0</v>
      </c>
      <c r="T324" s="634">
        <f t="shared" ref="T324" si="2180">SUM(T316:T323)</f>
        <v>0</v>
      </c>
      <c r="U324" s="634">
        <f t="shared" ref="U324" si="2181">SUM(U316:U323)</f>
        <v>0</v>
      </c>
      <c r="V324" s="634">
        <f t="shared" ref="V324" si="2182">SUM(V316:V323)</f>
        <v>0</v>
      </c>
      <c r="W324" s="634">
        <f t="shared" ref="W324" si="2183">SUM(W316:W323)</f>
        <v>0</v>
      </c>
      <c r="X324" s="634">
        <f t="shared" ref="X324" si="2184">SUM(X316:X323)</f>
        <v>0</v>
      </c>
      <c r="Y324" s="634">
        <f t="shared" ref="Y324" si="2185">SUM(Y316:Y323)</f>
        <v>0</v>
      </c>
      <c r="Z324" s="634">
        <f t="shared" ref="Z324" si="2186">SUM(Z316:Z323)</f>
        <v>0</v>
      </c>
      <c r="AA324" s="634">
        <f t="shared" ref="AA324" si="2187">SUM(AA316:AA323)</f>
        <v>0</v>
      </c>
      <c r="AB324" s="634">
        <f t="shared" ref="AB324" si="2188">SUM(AB316:AB323)</f>
        <v>0</v>
      </c>
      <c r="AC324" s="634">
        <f t="shared" ref="AC324" si="2189">SUM(AC316:AC323)</f>
        <v>0</v>
      </c>
      <c r="AD324" s="634">
        <f t="shared" ref="AD324" si="2190">SUM(AD316:AD323)</f>
        <v>0</v>
      </c>
      <c r="AE324" s="634">
        <f t="shared" ref="AE324" si="2191">SUM(AE316:AE323)</f>
        <v>0</v>
      </c>
      <c r="AF324" s="634">
        <f t="shared" ref="AF324" si="2192">SUM(AF316:AF323)</f>
        <v>0</v>
      </c>
      <c r="AG324" s="634">
        <f t="shared" ref="AG324" si="2193">SUM(AG316:AG323)</f>
        <v>0</v>
      </c>
      <c r="AH324" s="634">
        <f t="shared" ref="AH324" si="2194">SUM(AH316:AH323)</f>
        <v>0</v>
      </c>
      <c r="AI324" s="634">
        <f t="shared" ref="AI324" si="2195">SUM(AI316:AI323)</f>
        <v>0</v>
      </c>
      <c r="AJ324" s="634">
        <f t="shared" ref="AJ324" si="2196">SUM(AJ316:AJ323)</f>
        <v>0</v>
      </c>
      <c r="AK324" s="634">
        <f t="shared" ref="AK324" si="2197">SUM(AK316:AK323)</f>
        <v>0</v>
      </c>
      <c r="AL324" s="634">
        <f t="shared" ref="AL324" si="2198">SUM(AL316:AL323)</f>
        <v>0</v>
      </c>
      <c r="AM324" s="634">
        <f t="shared" ref="AM324" si="2199">SUM(AM316:AM323)</f>
        <v>0</v>
      </c>
      <c r="AN324" s="634">
        <f t="shared" ref="AN324" si="2200">SUM(AN316:AN323)</f>
        <v>0</v>
      </c>
      <c r="AO324" s="634">
        <f t="shared" ref="AO324" si="2201">SUM(AO316:AO323)</f>
        <v>0</v>
      </c>
      <c r="AP324" s="634">
        <f t="shared" ref="AP324" si="2202">SUM(AP316:AP323)</f>
        <v>0</v>
      </c>
      <c r="AQ324" s="634">
        <f t="shared" ref="AQ324" si="2203">SUM(AQ316:AQ323)</f>
        <v>0</v>
      </c>
      <c r="AR324" s="634">
        <f t="shared" ref="AR324" si="2204">SUM(AR316:AR323)</f>
        <v>0</v>
      </c>
      <c r="AS324" s="634">
        <f t="shared" ref="AS324" si="2205">SUM(AS316:AS323)</f>
        <v>0</v>
      </c>
      <c r="AT324" s="634">
        <f t="shared" ref="AT324" si="2206">SUM(AT316:AT323)</f>
        <v>0</v>
      </c>
      <c r="AU324" s="634">
        <f t="shared" ref="AU324" si="2207">SUM(AU316:AU323)</f>
        <v>0</v>
      </c>
      <c r="AV324" s="634">
        <f t="shared" ref="AV324" si="2208">SUM(AV316:AV323)</f>
        <v>0</v>
      </c>
      <c r="AW324" s="634">
        <f t="shared" ref="AW324" si="2209">SUM(AW316:AW323)</f>
        <v>0</v>
      </c>
      <c r="AX324" s="634">
        <f t="shared" ref="AX324" si="2210">SUM(AX316:AX323)</f>
        <v>0</v>
      </c>
      <c r="AY324" s="634">
        <f t="shared" ref="AY324" si="2211">SUM(AY316:AY323)</f>
        <v>0</v>
      </c>
      <c r="AZ324" s="634">
        <f t="shared" ref="AZ324" si="2212">SUM(AZ316:AZ323)</f>
        <v>0</v>
      </c>
      <c r="BA324" s="634">
        <f t="shared" ref="BA324" si="2213">SUM(BA316:BA323)</f>
        <v>0</v>
      </c>
      <c r="BB324" s="634">
        <f t="shared" ref="BB324" si="2214">SUM(BB316:BB323)</f>
        <v>0</v>
      </c>
      <c r="BC324" s="634">
        <f t="shared" ref="BC324" si="2215">SUM(BC316:BC323)</f>
        <v>0</v>
      </c>
      <c r="BD324" s="634">
        <f t="shared" ref="BD324" si="2216">SUM(BD316:BD323)</f>
        <v>0</v>
      </c>
      <c r="BE324" s="634">
        <f t="shared" ref="BE324" si="2217">SUM(BE316:BE323)</f>
        <v>0</v>
      </c>
      <c r="BF324" s="634">
        <f t="shared" ref="BF324" si="2218">SUM(BF316:BF323)</f>
        <v>0</v>
      </c>
      <c r="BG324" s="634">
        <f t="shared" ref="BG324" si="2219">SUM(BG316:BG323)</f>
        <v>0</v>
      </c>
      <c r="BH324" s="634">
        <f t="shared" ref="BH324" si="2220">SUM(BH316:BH323)</f>
        <v>0</v>
      </c>
      <c r="BI324" s="634">
        <f t="shared" ref="BI324" si="2221">SUM(BI316:BI323)</f>
        <v>0</v>
      </c>
      <c r="BJ324" s="634">
        <f t="shared" ref="BJ324" si="2222">SUM(BJ316:BJ323)</f>
        <v>0</v>
      </c>
      <c r="BK324" s="634">
        <f t="shared" ref="BK324" si="2223">SUM(BK316:BK323)</f>
        <v>0</v>
      </c>
      <c r="BL324" s="634">
        <f t="shared" ref="BL324" si="2224">SUM(BL316:BL323)</f>
        <v>0</v>
      </c>
      <c r="BM324" s="634">
        <f t="shared" ref="BM324" si="2225">SUM(BM316:BM323)</f>
        <v>0</v>
      </c>
      <c r="BN324" s="634">
        <f t="shared" ref="BN324" si="2226">SUM(BN316:BN323)</f>
        <v>0</v>
      </c>
      <c r="BO324" s="634">
        <f t="shared" ref="BO324" si="2227">SUM(BO316:BO323)</f>
        <v>0</v>
      </c>
      <c r="BP324" s="634">
        <f t="shared" ref="BP324" si="2228">SUM(BP316:BP323)</f>
        <v>0</v>
      </c>
      <c r="BQ324" s="634">
        <f t="shared" ref="BQ324" si="2229">SUM(BQ316:BQ323)</f>
        <v>0</v>
      </c>
      <c r="BR324" s="634">
        <f t="shared" ref="BR324" si="2230">SUM(BR316:BR323)</f>
        <v>0</v>
      </c>
      <c r="BS324" s="634">
        <f t="shared" ref="BS324" si="2231">SUM(BS316:BS323)</f>
        <v>0</v>
      </c>
      <c r="BT324" s="634">
        <f t="shared" ref="BT324" si="2232">SUM(BT316:BT323)</f>
        <v>0</v>
      </c>
      <c r="BU324" s="634">
        <f t="shared" ref="BU324" si="2233">SUM(BU316:BU323)</f>
        <v>0</v>
      </c>
      <c r="BV324" s="634">
        <f t="shared" ref="BV324" si="2234">SUM(BV316:BV323)</f>
        <v>0</v>
      </c>
      <c r="BW324" s="634">
        <f t="shared" ref="BW324" si="2235">SUM(BW316:BW323)</f>
        <v>0</v>
      </c>
      <c r="BX324" s="634">
        <f t="shared" ref="BX324" si="2236">SUM(BX316:BX323)</f>
        <v>0</v>
      </c>
      <c r="BY324" s="634">
        <f t="shared" ref="BY324" si="2237">SUM(BY316:BY323)</f>
        <v>0</v>
      </c>
      <c r="BZ324" s="634">
        <f t="shared" ref="BZ324" si="2238">SUM(BZ316:BZ323)</f>
        <v>0</v>
      </c>
      <c r="CA324" s="634">
        <f t="shared" ref="CA324" si="2239">SUM(CA316:CA323)</f>
        <v>0</v>
      </c>
      <c r="CB324" s="634">
        <f t="shared" ref="CB324" si="2240">SUM(CB316:CB323)</f>
        <v>0</v>
      </c>
      <c r="CC324" s="634">
        <f t="shared" ref="CC324" si="2241">SUM(CC316:CC323)</f>
        <v>0</v>
      </c>
      <c r="CD324" s="634">
        <f t="shared" ref="CD324" si="2242">SUM(CD316:CD323)</f>
        <v>0</v>
      </c>
      <c r="CE324" s="634">
        <f t="shared" ref="CE324" si="2243">SUM(CE316:CE323)</f>
        <v>0</v>
      </c>
      <c r="CF324" s="634">
        <f t="shared" ref="CF324" si="2244">SUM(CF316:CF323)</f>
        <v>0</v>
      </c>
      <c r="CG324" s="634">
        <f t="shared" ref="CG324" si="2245">SUM(CG316:CG323)</f>
        <v>0</v>
      </c>
      <c r="CH324" s="634">
        <f t="shared" ref="CH324" si="2246">SUM(CH316:CH323)</f>
        <v>0</v>
      </c>
      <c r="CI324" s="634">
        <f t="shared" ref="CI324" si="2247">SUM(CI316:CI323)</f>
        <v>0</v>
      </c>
      <c r="CJ324" s="634">
        <f t="shared" ref="CJ324" si="2248">SUM(CJ316:CJ323)</f>
        <v>0</v>
      </c>
      <c r="CK324" s="634">
        <f t="shared" ref="CK324" si="2249">SUM(CK316:CK323)</f>
        <v>0</v>
      </c>
      <c r="CL324" s="634">
        <f t="shared" ref="CL324" si="2250">SUM(CL316:CL323)</f>
        <v>0</v>
      </c>
      <c r="CM324" s="634">
        <f t="shared" ref="CM324" si="2251">SUM(CM316:CM323)</f>
        <v>0</v>
      </c>
      <c r="CN324" s="634">
        <f t="shared" ref="CN324" si="2252">SUM(CN316:CN323)</f>
        <v>0</v>
      </c>
      <c r="CO324" s="634">
        <f t="shared" ref="CO324" si="2253">SUM(CO316:CO323)</f>
        <v>0</v>
      </c>
      <c r="CP324" s="634">
        <f t="shared" ref="CP324" si="2254">SUM(CP316:CP323)</f>
        <v>0</v>
      </c>
      <c r="CQ324" s="634">
        <f t="shared" ref="CQ324" si="2255">SUM(CQ316:CQ323)</f>
        <v>0</v>
      </c>
      <c r="CR324" s="634">
        <f t="shared" ref="CR324" si="2256">SUM(CR316:CR323)</f>
        <v>0</v>
      </c>
      <c r="CS324" s="634">
        <f t="shared" ref="CS324" si="2257">SUM(CS316:CS323)</f>
        <v>0</v>
      </c>
      <c r="CT324" s="634">
        <f t="shared" ref="CT324" si="2258">SUM(CT316:CT323)</f>
        <v>0</v>
      </c>
      <c r="CU324" s="634">
        <f t="shared" ref="CU324" si="2259">SUM(CU316:CU323)</f>
        <v>0</v>
      </c>
      <c r="CV324" s="634">
        <f t="shared" ref="CV324" si="2260">SUM(CV316:CV323)</f>
        <v>0</v>
      </c>
      <c r="CW324" s="634">
        <f t="shared" ref="CW324" si="2261">SUM(CW316:CW323)</f>
        <v>0</v>
      </c>
      <c r="CX324" s="634">
        <f t="shared" ref="CX324" si="2262">SUM(CX316:CX323)</f>
        <v>0</v>
      </c>
      <c r="CY324" s="634">
        <f t="shared" ref="CY324" si="2263">SUM(CY316:CY323)</f>
        <v>0</v>
      </c>
      <c r="CZ324" s="634">
        <f t="shared" ref="CZ324" si="2264">SUM(CZ316:CZ323)</f>
        <v>0</v>
      </c>
      <c r="DA324" s="634">
        <f t="shared" ref="DA324" si="2265">SUM(DA316:DA323)</f>
        <v>0</v>
      </c>
      <c r="DB324" s="634">
        <f t="shared" ref="DB324" si="2266">SUM(DB316:DB323)</f>
        <v>0</v>
      </c>
      <c r="DC324" s="634">
        <f t="shared" ref="DC324" si="2267">SUM(DC316:DC323)</f>
        <v>0</v>
      </c>
      <c r="DD324" s="634">
        <f t="shared" ref="DD324" si="2268">SUM(DD316:DD323)</f>
        <v>0</v>
      </c>
      <c r="DE324" s="634">
        <f t="shared" ref="DE324" si="2269">SUM(DE316:DE323)</f>
        <v>0</v>
      </c>
      <c r="DF324" s="634">
        <f t="shared" ref="DF324" si="2270">SUM(DF316:DF323)</f>
        <v>0</v>
      </c>
      <c r="DG324" s="634">
        <f t="shared" ref="DG324" si="2271">SUM(DG316:DG323)</f>
        <v>0</v>
      </c>
      <c r="DH324" s="634">
        <f t="shared" ref="DH324" si="2272">SUM(DH316:DH323)</f>
        <v>0</v>
      </c>
      <c r="DI324" s="634">
        <f t="shared" ref="DI324" si="2273">SUM(DI316:DI323)</f>
        <v>0</v>
      </c>
      <c r="DJ324" s="634">
        <f t="shared" ref="DJ324" si="2274">SUM(DJ316:DJ323)</f>
        <v>0</v>
      </c>
      <c r="DK324" s="634">
        <f t="shared" ref="DK324" si="2275">SUM(DK316:DK323)</f>
        <v>0</v>
      </c>
      <c r="DL324" s="634">
        <f t="shared" ref="DL324" si="2276">SUM(DL316:DL323)</f>
        <v>0</v>
      </c>
      <c r="DM324" s="634">
        <f t="shared" ref="DM324" si="2277">SUM(DM316:DM323)</f>
        <v>0</v>
      </c>
      <c r="DN324" s="634">
        <f t="shared" ref="DN324" si="2278">SUM(DN316:DN323)</f>
        <v>0</v>
      </c>
      <c r="DO324" s="634">
        <f t="shared" ref="DO324" si="2279">SUM(DO316:DO323)</f>
        <v>0</v>
      </c>
      <c r="DP324" s="666"/>
      <c r="DQ324" s="638" t="e">
        <f>XIRR(S324:DO324,$S$315:$DO$315)</f>
        <v>#NUM!</v>
      </c>
      <c r="DR324" s="636">
        <f t="shared" ref="DR324:DX324" si="2280">SUM(DR316:DR323)</f>
        <v>0</v>
      </c>
      <c r="DS324" s="636">
        <f t="shared" si="2280"/>
        <v>0</v>
      </c>
      <c r="DT324" s="636">
        <f t="shared" si="2280"/>
        <v>0</v>
      </c>
      <c r="DU324" s="636">
        <f t="shared" si="2280"/>
        <v>0</v>
      </c>
      <c r="DV324" s="636">
        <f t="shared" si="2280"/>
        <v>0</v>
      </c>
      <c r="DW324" s="636">
        <f t="shared" si="2280"/>
        <v>0</v>
      </c>
      <c r="DX324" s="636">
        <f t="shared" si="2280"/>
        <v>0</v>
      </c>
      <c r="DY324" s="636">
        <f>SUM(DY316:DY323)</f>
        <v>0</v>
      </c>
      <c r="DZ324" s="636">
        <f>SUM(DZ316:DZ323)</f>
        <v>0</v>
      </c>
      <c r="EA324" s="636">
        <f>SUM(EA316:EA323)</f>
        <v>0</v>
      </c>
    </row>
    <row r="325" spans="1:131" ht="14.25" thickBot="1">
      <c r="A325" s="172"/>
      <c r="B325" s="667"/>
      <c r="C325" s="592" t="s">
        <v>3609</v>
      </c>
      <c r="D325" s="648">
        <f>D313+1</f>
        <v>23</v>
      </c>
      <c r="E325" s="649"/>
      <c r="F325" s="603"/>
      <c r="G325" s="603"/>
      <c r="I325" s="650" t="b">
        <f>I336=DR327</f>
        <v>1</v>
      </c>
      <c r="J325" s="172"/>
      <c r="K325" s="172"/>
      <c r="L325" s="172"/>
      <c r="M325" s="172"/>
      <c r="N325" s="172"/>
      <c r="O325" s="172"/>
      <c r="P325" s="172"/>
      <c r="Q325" s="639" t="str">
        <f>IF(Q336=NAV!E1055,"자본금과 일치","자본금과 불일치")</f>
        <v>자본금과 일치</v>
      </c>
      <c r="R325" s="172"/>
      <c r="S325" s="172"/>
      <c r="T325" s="172"/>
      <c r="U325" s="172"/>
      <c r="V325" s="172"/>
      <c r="W325" s="172"/>
      <c r="X325" s="172"/>
      <c r="Y325" s="172"/>
      <c r="Z325" s="172"/>
      <c r="AA325" s="172"/>
      <c r="AB325" s="172"/>
      <c r="AC325" s="172"/>
      <c r="AD325" s="172"/>
      <c r="AE325" s="172"/>
      <c r="AF325" s="172"/>
      <c r="AG325" s="172"/>
      <c r="AH325" s="172"/>
      <c r="AI325" s="172"/>
      <c r="AJ325" s="172"/>
      <c r="AK325" s="172"/>
      <c r="AL325" s="172"/>
      <c r="AM325" s="172"/>
      <c r="AN325" s="172"/>
      <c r="AO325" s="172"/>
      <c r="AP325" s="172"/>
      <c r="AQ325" s="172"/>
      <c r="AR325" s="172"/>
      <c r="AS325" s="172"/>
      <c r="AT325" s="172"/>
      <c r="AU325" s="172"/>
      <c r="AV325" s="172"/>
      <c r="AW325" s="172"/>
      <c r="AX325" s="172"/>
      <c r="AY325" s="172"/>
      <c r="AZ325" s="172"/>
      <c r="BA325" s="172"/>
      <c r="BB325" s="172"/>
      <c r="BC325" s="172"/>
      <c r="BD325" s="172"/>
      <c r="BE325" s="172"/>
      <c r="BF325" s="172"/>
      <c r="BG325" s="172"/>
      <c r="BH325" s="172"/>
      <c r="BI325" s="172"/>
      <c r="BJ325" s="172"/>
      <c r="BK325" s="172"/>
      <c r="BL325" s="172"/>
      <c r="BM325" s="172"/>
      <c r="BN325" s="172"/>
      <c r="BO325" s="172"/>
      <c r="BP325" s="172"/>
      <c r="BQ325" s="172"/>
      <c r="BR325" s="172"/>
      <c r="BS325" s="172"/>
      <c r="BT325" s="172"/>
      <c r="BU325" s="172"/>
      <c r="BV325" s="172"/>
      <c r="BW325" s="172"/>
      <c r="BX325" s="172"/>
      <c r="BY325" s="172"/>
      <c r="BZ325" s="172"/>
      <c r="CA325" s="172"/>
      <c r="CB325" s="172"/>
      <c r="CC325" s="172"/>
      <c r="CD325" s="172"/>
      <c r="CE325" s="172"/>
      <c r="CF325" s="172"/>
      <c r="CG325" s="172"/>
      <c r="CH325" s="172"/>
      <c r="CI325" s="172"/>
      <c r="CJ325" s="172"/>
      <c r="CK325" s="172"/>
      <c r="CL325" s="172"/>
      <c r="CM325" s="172"/>
      <c r="CN325" s="172"/>
      <c r="CO325" s="172"/>
      <c r="CP325" s="172"/>
      <c r="CQ325" s="172"/>
      <c r="CR325" s="172"/>
      <c r="CS325" s="172"/>
      <c r="CT325" s="172"/>
      <c r="CU325" s="172"/>
      <c r="CV325" s="172"/>
      <c r="CW325" s="172"/>
      <c r="CX325" s="172"/>
      <c r="CY325" s="172"/>
      <c r="CZ325" s="172"/>
      <c r="DA325" s="172"/>
      <c r="DB325" s="172"/>
      <c r="DC325" s="172"/>
      <c r="DD325" s="172"/>
      <c r="DE325" s="172"/>
      <c r="DF325" s="172"/>
      <c r="DG325" s="172"/>
      <c r="DH325" s="172"/>
      <c r="DI325" s="172"/>
      <c r="DJ325" s="172"/>
      <c r="DK325" s="172"/>
      <c r="DL325" s="172"/>
      <c r="DM325" s="172"/>
      <c r="DN325" s="172"/>
      <c r="DO325" s="588" t="s">
        <v>219</v>
      </c>
      <c r="DP325" s="588" t="str">
        <f>IF(ROUND(_xlfn.AGGREGATE(9,6,DP328:DP335),5)=ROUND(_xlfn.AGGREGATE(9,6,DQ328:DQ335),5),"이상없음","기준수익률확인")</f>
        <v>이상없음</v>
      </c>
      <c r="DQ325" s="172"/>
      <c r="DR325" s="651" t="s">
        <v>3406</v>
      </c>
      <c r="DS325" s="172"/>
      <c r="DT325" s="615"/>
      <c r="DU325" s="615"/>
      <c r="DV325" s="172"/>
      <c r="DW325" s="172"/>
      <c r="DX325" s="615"/>
      <c r="DY325" s="172"/>
      <c r="DZ325" s="172"/>
      <c r="EA325" s="172"/>
    </row>
    <row r="326" spans="1:131" ht="13.5">
      <c r="A326" s="652" t="str">
        <f t="shared" ref="A326:A334" si="2281">$B$325&amp;B326</f>
        <v>SPC명</v>
      </c>
      <c r="B326" s="653" t="s">
        <v>349</v>
      </c>
      <c r="C326" s="780"/>
      <c r="D326" s="780"/>
      <c r="E326" s="780"/>
      <c r="F326" s="230"/>
      <c r="G326" s="230"/>
      <c r="I326" s="776" t="s">
        <v>3393</v>
      </c>
      <c r="J326" s="776" t="s">
        <v>3394</v>
      </c>
      <c r="K326" s="774" t="s">
        <v>3395</v>
      </c>
      <c r="L326" s="774" t="s">
        <v>3396</v>
      </c>
      <c r="M326" s="774" t="s">
        <v>203</v>
      </c>
      <c r="N326" s="774" t="s">
        <v>211</v>
      </c>
      <c r="O326" s="774" t="s">
        <v>3399</v>
      </c>
      <c r="P326" s="776" t="s">
        <v>239</v>
      </c>
      <c r="Q326" s="774" t="s">
        <v>3401</v>
      </c>
      <c r="R326" s="774" t="s">
        <v>3402</v>
      </c>
      <c r="S326" s="593"/>
      <c r="T326" s="593"/>
      <c r="U326" s="593"/>
      <c r="V326" s="593"/>
      <c r="W326" s="593"/>
      <c r="X326" s="593"/>
      <c r="Y326" s="593"/>
      <c r="Z326" s="593"/>
      <c r="AA326" s="593"/>
      <c r="AB326" s="593"/>
      <c r="AC326" s="593"/>
      <c r="AD326" s="593"/>
      <c r="AE326" s="593"/>
      <c r="AF326" s="593"/>
      <c r="AG326" s="593"/>
      <c r="AH326" s="593"/>
      <c r="AI326" s="593"/>
      <c r="AJ326" s="593"/>
      <c r="AK326" s="593"/>
      <c r="AL326" s="593"/>
      <c r="AM326" s="593"/>
      <c r="AN326" s="593"/>
      <c r="AO326" s="593"/>
      <c r="AP326" s="593"/>
      <c r="AQ326" s="593"/>
      <c r="AR326" s="593"/>
      <c r="AS326" s="593"/>
      <c r="AT326" s="593"/>
      <c r="AU326" s="593"/>
      <c r="AV326" s="593"/>
      <c r="AW326" s="593"/>
      <c r="AX326" s="593"/>
      <c r="AY326" s="593"/>
      <c r="AZ326" s="593"/>
      <c r="BA326" s="593"/>
      <c r="BB326" s="593"/>
      <c r="BC326" s="593"/>
      <c r="BD326" s="593"/>
      <c r="BE326" s="593"/>
      <c r="BF326" s="593"/>
      <c r="BG326" s="593"/>
      <c r="BH326" s="593"/>
      <c r="BI326" s="593"/>
      <c r="BJ326" s="593"/>
      <c r="BK326" s="593"/>
      <c r="BL326" s="593"/>
      <c r="BM326" s="593"/>
      <c r="BN326" s="593"/>
      <c r="BO326" s="593"/>
      <c r="BP326" s="593"/>
      <c r="BQ326" s="593"/>
      <c r="BR326" s="593"/>
      <c r="BS326" s="593"/>
      <c r="BT326" s="593"/>
      <c r="BU326" s="593"/>
      <c r="BV326" s="593"/>
      <c r="BW326" s="593"/>
      <c r="BX326" s="593"/>
      <c r="BY326" s="593"/>
      <c r="BZ326" s="593"/>
      <c r="CA326" s="593"/>
      <c r="CB326" s="593"/>
      <c r="CC326" s="593"/>
      <c r="CD326" s="593"/>
      <c r="CE326" s="593"/>
      <c r="CF326" s="593"/>
      <c r="CG326" s="593"/>
      <c r="CH326" s="593"/>
      <c r="CI326" s="593"/>
      <c r="CJ326" s="593"/>
      <c r="CK326" s="593"/>
      <c r="CL326" s="593"/>
      <c r="CM326" s="593"/>
      <c r="CN326" s="593"/>
      <c r="CO326" s="593"/>
      <c r="CP326" s="593"/>
      <c r="CQ326" s="593"/>
      <c r="CR326" s="593"/>
      <c r="CS326" s="593"/>
      <c r="CT326" s="593"/>
      <c r="CU326" s="593"/>
      <c r="CV326" s="593"/>
      <c r="CW326" s="593"/>
      <c r="CX326" s="593"/>
      <c r="CY326" s="593"/>
      <c r="CZ326" s="593"/>
      <c r="DA326" s="593"/>
      <c r="DB326" s="593"/>
      <c r="DC326" s="593"/>
      <c r="DD326" s="593"/>
      <c r="DE326" s="593"/>
      <c r="DF326" s="593"/>
      <c r="DG326" s="593"/>
      <c r="DH326" s="593"/>
      <c r="DI326" s="593"/>
      <c r="DJ326" s="593"/>
      <c r="DK326" s="593"/>
      <c r="DL326" s="593"/>
      <c r="DM326" s="593"/>
      <c r="DN326" s="593"/>
      <c r="DO326" s="594" t="s">
        <v>220</v>
      </c>
      <c r="DP326" s="774" t="s">
        <v>218</v>
      </c>
      <c r="DQ326" s="774" t="s">
        <v>222</v>
      </c>
      <c r="DR326" s="594"/>
      <c r="DS326" s="594"/>
      <c r="DT326" s="594"/>
      <c r="DU326" s="594"/>
      <c r="DV326" s="594"/>
      <c r="DW326" s="594"/>
      <c r="DX326" s="594"/>
      <c r="DY326" s="594"/>
      <c r="DZ326" s="594"/>
      <c r="EA326" s="602"/>
    </row>
    <row r="327" spans="1:131" ht="14.25" thickBot="1">
      <c r="A327" s="652" t="str">
        <f t="shared" si="2281"/>
        <v>유형</v>
      </c>
      <c r="B327" s="653" t="s">
        <v>350</v>
      </c>
      <c r="C327" s="780"/>
      <c r="D327" s="780"/>
      <c r="E327" s="780"/>
      <c r="F327" s="230"/>
      <c r="G327" s="230"/>
      <c r="I327" s="777"/>
      <c r="J327" s="777"/>
      <c r="K327" s="775"/>
      <c r="L327" s="775"/>
      <c r="M327" s="775"/>
      <c r="N327" s="775"/>
      <c r="O327" s="775"/>
      <c r="P327" s="777"/>
      <c r="Q327" s="775"/>
      <c r="R327" s="775"/>
      <c r="S327" s="601"/>
      <c r="T327" s="601"/>
      <c r="U327" s="601"/>
      <c r="V327" s="601"/>
      <c r="W327" s="601"/>
      <c r="X327" s="601"/>
      <c r="Y327" s="601"/>
      <c r="Z327" s="601"/>
      <c r="AA327" s="601"/>
      <c r="AB327" s="601"/>
      <c r="AC327" s="601"/>
      <c r="AD327" s="601"/>
      <c r="AE327" s="601"/>
      <c r="AF327" s="601"/>
      <c r="AG327" s="601"/>
      <c r="AH327" s="601"/>
      <c r="AI327" s="601"/>
      <c r="AJ327" s="601"/>
      <c r="AK327" s="601"/>
      <c r="AL327" s="601"/>
      <c r="AM327" s="601"/>
      <c r="AN327" s="601"/>
      <c r="AO327" s="601"/>
      <c r="AP327" s="601"/>
      <c r="AQ327" s="601"/>
      <c r="AR327" s="601"/>
      <c r="AS327" s="601"/>
      <c r="AT327" s="601"/>
      <c r="AU327" s="601"/>
      <c r="AV327" s="601"/>
      <c r="AW327" s="601"/>
      <c r="AX327" s="601"/>
      <c r="AY327" s="601"/>
      <c r="AZ327" s="601"/>
      <c r="BA327" s="601"/>
      <c r="BB327" s="601"/>
      <c r="BC327" s="601"/>
      <c r="BD327" s="601"/>
      <c r="BE327" s="601"/>
      <c r="BF327" s="601"/>
      <c r="BG327" s="601"/>
      <c r="BH327" s="601"/>
      <c r="BI327" s="601"/>
      <c r="BJ327" s="601"/>
      <c r="BK327" s="601"/>
      <c r="BL327" s="601"/>
      <c r="BM327" s="601"/>
      <c r="BN327" s="601"/>
      <c r="BO327" s="601"/>
      <c r="BP327" s="601"/>
      <c r="BQ327" s="601"/>
      <c r="BR327" s="601"/>
      <c r="BS327" s="601"/>
      <c r="BT327" s="601"/>
      <c r="BU327" s="601"/>
      <c r="BV327" s="601"/>
      <c r="BW327" s="601"/>
      <c r="BX327" s="601"/>
      <c r="BY327" s="601"/>
      <c r="BZ327" s="601"/>
      <c r="CA327" s="601"/>
      <c r="CB327" s="601"/>
      <c r="CC327" s="601"/>
      <c r="CD327" s="601"/>
      <c r="CE327" s="601"/>
      <c r="CF327" s="601"/>
      <c r="CG327" s="601"/>
      <c r="CH327" s="601"/>
      <c r="CI327" s="601"/>
      <c r="CJ327" s="601"/>
      <c r="CK327" s="601"/>
      <c r="CL327" s="601"/>
      <c r="CM327" s="601"/>
      <c r="CN327" s="601"/>
      <c r="CO327" s="601"/>
      <c r="CP327" s="601"/>
      <c r="CQ327" s="601"/>
      <c r="CR327" s="601"/>
      <c r="CS327" s="601"/>
      <c r="CT327" s="601"/>
      <c r="CU327" s="601"/>
      <c r="CV327" s="601"/>
      <c r="CW327" s="601"/>
      <c r="CX327" s="601"/>
      <c r="CY327" s="601"/>
      <c r="CZ327" s="601"/>
      <c r="DA327" s="601"/>
      <c r="DB327" s="601"/>
      <c r="DC327" s="601"/>
      <c r="DD327" s="601"/>
      <c r="DE327" s="601"/>
      <c r="DF327" s="601"/>
      <c r="DG327" s="601"/>
      <c r="DH327" s="601"/>
      <c r="DI327" s="601"/>
      <c r="DJ327" s="601"/>
      <c r="DK327" s="601"/>
      <c r="DL327" s="601"/>
      <c r="DM327" s="601"/>
      <c r="DN327" s="601"/>
      <c r="DO327" s="654">
        <f>$DO$7</f>
        <v>45473</v>
      </c>
      <c r="DP327" s="775"/>
      <c r="DQ327" s="775"/>
      <c r="DR327" s="595">
        <f>NAV!E1061</f>
        <v>0</v>
      </c>
      <c r="DS327" s="596">
        <f>DR327-DR336</f>
        <v>0</v>
      </c>
      <c r="DT327" s="596"/>
      <c r="DU327" s="596"/>
      <c r="DV327" s="597"/>
      <c r="DW327" s="596"/>
      <c r="DX327" s="596"/>
      <c r="DY327" s="596"/>
      <c r="DZ327" s="655"/>
      <c r="EA327" s="656"/>
    </row>
    <row r="328" spans="1:131" ht="13.5">
      <c r="A328" s="652" t="str">
        <f t="shared" si="2281"/>
        <v>설정일</v>
      </c>
      <c r="B328" s="653" t="s">
        <v>351</v>
      </c>
      <c r="C328" s="781"/>
      <c r="D328" s="780"/>
      <c r="E328" s="780"/>
      <c r="F328" s="230"/>
      <c r="G328" s="230"/>
      <c r="I328" s="657">
        <f>SUM(DR328:EA328)</f>
        <v>0</v>
      </c>
      <c r="J328" s="606" t="str">
        <f>IFERROR(I328/(Q328/$C$330),"N/A")</f>
        <v>N/A</v>
      </c>
      <c r="K328" s="471"/>
      <c r="L328" s="607"/>
      <c r="M328" s="300"/>
      <c r="N328" s="608"/>
      <c r="O328" s="609">
        <f t="shared" ref="O328:O335" si="2282">-(SUMIF($S$326:$DN$326,"최초출자",S328:DN328)+SUMIF($S$326:$DN$326,"추가출자",S328:DN328))</f>
        <v>0</v>
      </c>
      <c r="P328" s="609">
        <f t="shared" ref="P328:P335" si="2283">SUMIF($S$326:$DN$326,"이익분배",S328:DN328)+SUMIF($S$326:$DN$326,"원본분배",S328:DN328)</f>
        <v>0</v>
      </c>
      <c r="Q328" s="609">
        <f t="shared" ref="Q328:Q335" si="2284">-(SUMIF($S$326:$DN$326,"최초출자",S328:DN328)+SUMIF($S$326:$DN$326,"추가출자",S328:DN328)+SUMIF($S$326:$DN$326,"원본분배",S328:DN328))</f>
        <v>0</v>
      </c>
      <c r="R328" s="610" t="str">
        <f>IFERROR(Q328/Q336,"")</f>
        <v/>
      </c>
      <c r="S328" s="658"/>
      <c r="T328" s="658"/>
      <c r="U328" s="658"/>
      <c r="V328" s="658"/>
      <c r="W328" s="658"/>
      <c r="X328" s="658"/>
      <c r="Y328" s="658"/>
      <c r="Z328" s="658"/>
      <c r="AA328" s="658"/>
      <c r="AB328" s="658"/>
      <c r="AC328" s="658"/>
      <c r="AD328" s="658"/>
      <c r="AE328" s="658"/>
      <c r="AF328" s="658"/>
      <c r="AG328" s="658"/>
      <c r="AH328" s="658"/>
      <c r="AI328" s="658"/>
      <c r="AJ328" s="658"/>
      <c r="AK328" s="658"/>
      <c r="AL328" s="658"/>
      <c r="AM328" s="658"/>
      <c r="AN328" s="658"/>
      <c r="AO328" s="658"/>
      <c r="AP328" s="658"/>
      <c r="AQ328" s="658"/>
      <c r="AR328" s="658"/>
      <c r="AS328" s="658"/>
      <c r="AT328" s="658"/>
      <c r="AU328" s="658"/>
      <c r="AV328" s="658"/>
      <c r="AW328" s="658"/>
      <c r="AX328" s="658"/>
      <c r="AY328" s="658"/>
      <c r="AZ328" s="658"/>
      <c r="BA328" s="658"/>
      <c r="BB328" s="658"/>
      <c r="BC328" s="658"/>
      <c r="BD328" s="658"/>
      <c r="BE328" s="658"/>
      <c r="BF328" s="658"/>
      <c r="BG328" s="658"/>
      <c r="BH328" s="658"/>
      <c r="BI328" s="658"/>
      <c r="BJ328" s="658"/>
      <c r="BK328" s="658"/>
      <c r="BL328" s="658"/>
      <c r="BM328" s="658"/>
      <c r="BN328" s="658"/>
      <c r="BO328" s="658"/>
      <c r="BP328" s="658"/>
      <c r="BQ328" s="658"/>
      <c r="BR328" s="658"/>
      <c r="BS328" s="658"/>
      <c r="BT328" s="658"/>
      <c r="BU328" s="658"/>
      <c r="BV328" s="658"/>
      <c r="BW328" s="658"/>
      <c r="BX328" s="658"/>
      <c r="BY328" s="658"/>
      <c r="BZ328" s="658"/>
      <c r="CA328" s="658"/>
      <c r="CB328" s="658"/>
      <c r="CC328" s="658"/>
      <c r="CD328" s="658"/>
      <c r="CE328" s="658"/>
      <c r="CF328" s="658"/>
      <c r="CG328" s="658"/>
      <c r="CH328" s="658"/>
      <c r="CI328" s="658"/>
      <c r="CJ328" s="658"/>
      <c r="CK328" s="658"/>
      <c r="CL328" s="658"/>
      <c r="CM328" s="658"/>
      <c r="CN328" s="658"/>
      <c r="CO328" s="658"/>
      <c r="CP328" s="658"/>
      <c r="CQ328" s="658"/>
      <c r="CR328" s="658"/>
      <c r="CS328" s="658"/>
      <c r="CT328" s="658"/>
      <c r="CU328" s="658"/>
      <c r="CV328" s="658"/>
      <c r="CW328" s="658"/>
      <c r="CX328" s="658"/>
      <c r="CY328" s="658"/>
      <c r="CZ328" s="658"/>
      <c r="DA328" s="658"/>
      <c r="DB328" s="658"/>
      <c r="DC328" s="658"/>
      <c r="DD328" s="658"/>
      <c r="DE328" s="658"/>
      <c r="DF328" s="658"/>
      <c r="DG328" s="658"/>
      <c r="DH328" s="658"/>
      <c r="DI328" s="658"/>
      <c r="DJ328" s="658"/>
      <c r="DK328" s="658"/>
      <c r="DL328" s="658"/>
      <c r="DM328" s="658"/>
      <c r="DN328" s="658"/>
      <c r="DO328" s="177">
        <f>IF(M328="",0,-XNPV(DP328,S328,S$327)*(1+DP328)^YEARFRAC($S$327,$DO$327,3))</f>
        <v>0</v>
      </c>
      <c r="DP328" s="612" t="e">
        <f>IF(HLOOKUP(L328,$C$335:$E$336,2,0)=0,1E-24%,HLOOKUP(L328,$C$335:$E$336,2,FALSE))</f>
        <v>#N/A</v>
      </c>
      <c r="DQ328" s="612" t="e">
        <f t="shared" ref="DQ328:DQ335" si="2285">XIRR(S328:DO328,$S$327:$DO$327)</f>
        <v>#NUM!</v>
      </c>
      <c r="DR328" s="177"/>
      <c r="DS328" s="177"/>
      <c r="DT328" s="177"/>
      <c r="DU328" s="177"/>
      <c r="DV328" s="177"/>
      <c r="DW328" s="177"/>
      <c r="DX328" s="177"/>
      <c r="DY328" s="177"/>
      <c r="DZ328" s="177"/>
      <c r="EA328" s="613"/>
    </row>
    <row r="329" spans="1:131" ht="13.5">
      <c r="A329" s="652" t="str">
        <f t="shared" si="2281"/>
        <v>출자잔액</v>
      </c>
      <c r="B329" s="653" t="s">
        <v>352</v>
      </c>
      <c r="C329" s="782"/>
      <c r="D329" s="782"/>
      <c r="E329" s="782"/>
      <c r="F329" s="230"/>
      <c r="G329" s="230"/>
      <c r="I329" s="657">
        <f t="shared" ref="I329:I335" si="2286">SUM(DR329:EA329)</f>
        <v>0</v>
      </c>
      <c r="J329" s="606" t="str">
        <f t="shared" ref="J329:J335" si="2287">IFERROR(I329/(Q329/$C$330),"N/A")</f>
        <v>N/A</v>
      </c>
      <c r="K329" s="471"/>
      <c r="L329" s="607"/>
      <c r="M329" s="300"/>
      <c r="N329" s="608"/>
      <c r="O329" s="609">
        <f t="shared" si="2282"/>
        <v>0</v>
      </c>
      <c r="P329" s="609">
        <f t="shared" si="2283"/>
        <v>0</v>
      </c>
      <c r="Q329" s="609">
        <f t="shared" si="2284"/>
        <v>0</v>
      </c>
      <c r="R329" s="610" t="str">
        <f>IFERROR(Q329/Q336,"")</f>
        <v/>
      </c>
      <c r="S329" s="658"/>
      <c r="T329" s="658"/>
      <c r="U329" s="658"/>
      <c r="V329" s="658"/>
      <c r="W329" s="658"/>
      <c r="X329" s="658"/>
      <c r="Y329" s="658"/>
      <c r="Z329" s="658"/>
      <c r="AA329" s="658"/>
      <c r="AB329" s="658"/>
      <c r="AC329" s="658"/>
      <c r="AD329" s="658"/>
      <c r="AE329" s="658"/>
      <c r="AF329" s="658"/>
      <c r="AG329" s="658"/>
      <c r="AH329" s="658"/>
      <c r="AI329" s="658"/>
      <c r="AJ329" s="658"/>
      <c r="AK329" s="658"/>
      <c r="AL329" s="658"/>
      <c r="AM329" s="658"/>
      <c r="AN329" s="658"/>
      <c r="AO329" s="658"/>
      <c r="AP329" s="658"/>
      <c r="AQ329" s="658"/>
      <c r="AR329" s="658"/>
      <c r="AS329" s="658"/>
      <c r="AT329" s="658"/>
      <c r="AU329" s="658"/>
      <c r="AV329" s="658"/>
      <c r="AW329" s="658"/>
      <c r="AX329" s="658"/>
      <c r="AY329" s="658"/>
      <c r="AZ329" s="658"/>
      <c r="BA329" s="658"/>
      <c r="BB329" s="658"/>
      <c r="BC329" s="658"/>
      <c r="BD329" s="658"/>
      <c r="BE329" s="658"/>
      <c r="BF329" s="658"/>
      <c r="BG329" s="658"/>
      <c r="BH329" s="658"/>
      <c r="BI329" s="658"/>
      <c r="BJ329" s="658"/>
      <c r="BK329" s="658"/>
      <c r="BL329" s="658"/>
      <c r="BM329" s="658"/>
      <c r="BN329" s="658"/>
      <c r="BO329" s="658"/>
      <c r="BP329" s="658"/>
      <c r="BQ329" s="658"/>
      <c r="BR329" s="658"/>
      <c r="BS329" s="658"/>
      <c r="BT329" s="658"/>
      <c r="BU329" s="658"/>
      <c r="BV329" s="658"/>
      <c r="BW329" s="658"/>
      <c r="BX329" s="658"/>
      <c r="BY329" s="658"/>
      <c r="BZ329" s="658"/>
      <c r="CA329" s="658"/>
      <c r="CB329" s="658"/>
      <c r="CC329" s="658"/>
      <c r="CD329" s="658"/>
      <c r="CE329" s="658"/>
      <c r="CF329" s="658"/>
      <c r="CG329" s="658"/>
      <c r="CH329" s="658"/>
      <c r="CI329" s="658"/>
      <c r="CJ329" s="658"/>
      <c r="CK329" s="658"/>
      <c r="CL329" s="658"/>
      <c r="CM329" s="658"/>
      <c r="CN329" s="658"/>
      <c r="CO329" s="658"/>
      <c r="CP329" s="658"/>
      <c r="CQ329" s="658"/>
      <c r="CR329" s="658"/>
      <c r="CS329" s="658"/>
      <c r="CT329" s="658"/>
      <c r="CU329" s="658"/>
      <c r="CV329" s="658"/>
      <c r="CW329" s="658"/>
      <c r="CX329" s="658"/>
      <c r="CY329" s="658"/>
      <c r="CZ329" s="658"/>
      <c r="DA329" s="658"/>
      <c r="DB329" s="658"/>
      <c r="DC329" s="658"/>
      <c r="DD329" s="658"/>
      <c r="DE329" s="658"/>
      <c r="DF329" s="658"/>
      <c r="DG329" s="658"/>
      <c r="DH329" s="658"/>
      <c r="DI329" s="658"/>
      <c r="DJ329" s="658"/>
      <c r="DK329" s="658"/>
      <c r="DL329" s="658"/>
      <c r="DM329" s="658"/>
      <c r="DN329" s="658"/>
      <c r="DO329" s="177">
        <f t="shared" ref="DO329:DO335" si="2288">IF(M329="",0,-XNPV(DP329,S329,S$327)*(1+DP329)^YEARFRAC($S$327,$DO$327,3))</f>
        <v>0</v>
      </c>
      <c r="DP329" s="612" t="e">
        <f t="shared" ref="DP329:DP335" si="2289">IF(HLOOKUP(L329,$C$335:$E$336,2,0)=0,1E-24%,HLOOKUP(L329,$C$335:$E$336,2,FALSE))</f>
        <v>#N/A</v>
      </c>
      <c r="DQ329" s="612" t="e">
        <f t="shared" si="2285"/>
        <v>#NUM!</v>
      </c>
      <c r="DR329" s="177"/>
      <c r="DS329" s="177"/>
      <c r="DT329" s="177"/>
      <c r="DU329" s="177"/>
      <c r="DV329" s="177"/>
      <c r="DW329" s="177"/>
      <c r="DX329" s="177"/>
      <c r="DY329" s="177"/>
      <c r="DZ329" s="177"/>
      <c r="EA329" s="613"/>
    </row>
    <row r="330" spans="1:131" ht="13.5">
      <c r="A330" s="652" t="str">
        <f t="shared" si="2281"/>
        <v>1좌당 금액</v>
      </c>
      <c r="B330" s="653" t="s">
        <v>353</v>
      </c>
      <c r="C330" s="783"/>
      <c r="D330" s="783"/>
      <c r="E330" s="783"/>
      <c r="F330" s="230"/>
      <c r="G330" s="230"/>
      <c r="I330" s="657">
        <f t="shared" si="2286"/>
        <v>0</v>
      </c>
      <c r="J330" s="606" t="str">
        <f t="shared" si="2287"/>
        <v>N/A</v>
      </c>
      <c r="K330" s="471"/>
      <c r="L330" s="607"/>
      <c r="M330" s="300"/>
      <c r="N330" s="608"/>
      <c r="O330" s="609">
        <f t="shared" si="2282"/>
        <v>0</v>
      </c>
      <c r="P330" s="609">
        <f t="shared" si="2283"/>
        <v>0</v>
      </c>
      <c r="Q330" s="609">
        <f t="shared" si="2284"/>
        <v>0</v>
      </c>
      <c r="R330" s="610" t="str">
        <f>IFERROR(Q330/Q336,"")</f>
        <v/>
      </c>
      <c r="S330" s="658"/>
      <c r="T330" s="658"/>
      <c r="U330" s="658"/>
      <c r="V330" s="658"/>
      <c r="W330" s="658"/>
      <c r="X330" s="658"/>
      <c r="Y330" s="658"/>
      <c r="Z330" s="658"/>
      <c r="AA330" s="658"/>
      <c r="AB330" s="658"/>
      <c r="AC330" s="658"/>
      <c r="AD330" s="658"/>
      <c r="AE330" s="658"/>
      <c r="AF330" s="658"/>
      <c r="AG330" s="658"/>
      <c r="AH330" s="658"/>
      <c r="AI330" s="658"/>
      <c r="AJ330" s="658"/>
      <c r="AK330" s="658"/>
      <c r="AL330" s="658"/>
      <c r="AM330" s="658"/>
      <c r="AN330" s="658"/>
      <c r="AO330" s="658"/>
      <c r="AP330" s="658"/>
      <c r="AQ330" s="658"/>
      <c r="AR330" s="658"/>
      <c r="AS330" s="658"/>
      <c r="AT330" s="658"/>
      <c r="AU330" s="658"/>
      <c r="AV330" s="658"/>
      <c r="AW330" s="658"/>
      <c r="AX330" s="658"/>
      <c r="AY330" s="658"/>
      <c r="AZ330" s="658"/>
      <c r="BA330" s="658"/>
      <c r="BB330" s="658"/>
      <c r="BC330" s="658"/>
      <c r="BD330" s="658"/>
      <c r="BE330" s="658"/>
      <c r="BF330" s="658"/>
      <c r="BG330" s="658"/>
      <c r="BH330" s="658"/>
      <c r="BI330" s="658"/>
      <c r="BJ330" s="658"/>
      <c r="BK330" s="658"/>
      <c r="BL330" s="658"/>
      <c r="BM330" s="658"/>
      <c r="BN330" s="658"/>
      <c r="BO330" s="658"/>
      <c r="BP330" s="658"/>
      <c r="BQ330" s="658"/>
      <c r="BR330" s="658"/>
      <c r="BS330" s="658"/>
      <c r="BT330" s="658"/>
      <c r="BU330" s="658"/>
      <c r="BV330" s="658"/>
      <c r="BW330" s="658"/>
      <c r="BX330" s="658"/>
      <c r="BY330" s="658"/>
      <c r="BZ330" s="658"/>
      <c r="CA330" s="658"/>
      <c r="CB330" s="658"/>
      <c r="CC330" s="658"/>
      <c r="CD330" s="658"/>
      <c r="CE330" s="658"/>
      <c r="CF330" s="658"/>
      <c r="CG330" s="658"/>
      <c r="CH330" s="658"/>
      <c r="CI330" s="658"/>
      <c r="CJ330" s="658"/>
      <c r="CK330" s="658"/>
      <c r="CL330" s="658"/>
      <c r="CM330" s="658"/>
      <c r="CN330" s="658"/>
      <c r="CO330" s="658"/>
      <c r="CP330" s="658"/>
      <c r="CQ330" s="658"/>
      <c r="CR330" s="658"/>
      <c r="CS330" s="658"/>
      <c r="CT330" s="658"/>
      <c r="CU330" s="658"/>
      <c r="CV330" s="658"/>
      <c r="CW330" s="658"/>
      <c r="CX330" s="658"/>
      <c r="CY330" s="658"/>
      <c r="CZ330" s="658"/>
      <c r="DA330" s="658"/>
      <c r="DB330" s="658"/>
      <c r="DC330" s="658"/>
      <c r="DD330" s="658"/>
      <c r="DE330" s="658"/>
      <c r="DF330" s="658"/>
      <c r="DG330" s="658"/>
      <c r="DH330" s="658"/>
      <c r="DI330" s="658"/>
      <c r="DJ330" s="658"/>
      <c r="DK330" s="658"/>
      <c r="DL330" s="658"/>
      <c r="DM330" s="658"/>
      <c r="DN330" s="658"/>
      <c r="DO330" s="177">
        <f t="shared" si="2288"/>
        <v>0</v>
      </c>
      <c r="DP330" s="612" t="e">
        <f t="shared" si="2289"/>
        <v>#N/A</v>
      </c>
      <c r="DQ330" s="612" t="e">
        <f t="shared" si="2285"/>
        <v>#NUM!</v>
      </c>
      <c r="DR330" s="177"/>
      <c r="DS330" s="177"/>
      <c r="DT330" s="177"/>
      <c r="DU330" s="177"/>
      <c r="DV330" s="177"/>
      <c r="DW330" s="177"/>
      <c r="DX330" s="177"/>
      <c r="DY330" s="177"/>
      <c r="DZ330" s="177"/>
      <c r="EA330" s="613"/>
    </row>
    <row r="331" spans="1:131" ht="13.5">
      <c r="A331" s="652" t="str">
        <f t="shared" si="2281"/>
        <v>기준수익률</v>
      </c>
      <c r="B331" s="653" t="s">
        <v>354</v>
      </c>
      <c r="C331" s="784"/>
      <c r="D331" s="785"/>
      <c r="E331" s="785"/>
      <c r="F331" s="230"/>
      <c r="G331" s="230"/>
      <c r="I331" s="657">
        <f t="shared" si="2286"/>
        <v>0</v>
      </c>
      <c r="J331" s="606" t="str">
        <f t="shared" si="2287"/>
        <v>N/A</v>
      </c>
      <c r="K331" s="471"/>
      <c r="L331" s="607"/>
      <c r="M331" s="300"/>
      <c r="N331" s="608"/>
      <c r="O331" s="609">
        <f t="shared" si="2282"/>
        <v>0</v>
      </c>
      <c r="P331" s="609">
        <f t="shared" si="2283"/>
        <v>0</v>
      </c>
      <c r="Q331" s="609">
        <f t="shared" si="2284"/>
        <v>0</v>
      </c>
      <c r="R331" s="610" t="str">
        <f>IFERROR(Q331/Q336,"")</f>
        <v/>
      </c>
      <c r="S331" s="658"/>
      <c r="T331" s="658"/>
      <c r="U331" s="658"/>
      <c r="V331" s="658"/>
      <c r="W331" s="658"/>
      <c r="X331" s="658"/>
      <c r="Y331" s="658"/>
      <c r="Z331" s="658"/>
      <c r="AA331" s="658"/>
      <c r="AB331" s="658"/>
      <c r="AC331" s="658"/>
      <c r="AD331" s="658"/>
      <c r="AE331" s="658"/>
      <c r="AF331" s="658"/>
      <c r="AG331" s="658"/>
      <c r="AH331" s="658"/>
      <c r="AI331" s="658"/>
      <c r="AJ331" s="658"/>
      <c r="AK331" s="658"/>
      <c r="AL331" s="658"/>
      <c r="AM331" s="658"/>
      <c r="AN331" s="658"/>
      <c r="AO331" s="658"/>
      <c r="AP331" s="658"/>
      <c r="AQ331" s="658"/>
      <c r="AR331" s="658"/>
      <c r="AS331" s="658"/>
      <c r="AT331" s="658"/>
      <c r="AU331" s="658"/>
      <c r="AV331" s="658"/>
      <c r="AW331" s="658"/>
      <c r="AX331" s="658"/>
      <c r="AY331" s="658"/>
      <c r="AZ331" s="658"/>
      <c r="BA331" s="658"/>
      <c r="BB331" s="658"/>
      <c r="BC331" s="658"/>
      <c r="BD331" s="658"/>
      <c r="BE331" s="658"/>
      <c r="BF331" s="658"/>
      <c r="BG331" s="658"/>
      <c r="BH331" s="658"/>
      <c r="BI331" s="658"/>
      <c r="BJ331" s="658"/>
      <c r="BK331" s="658"/>
      <c r="BL331" s="658"/>
      <c r="BM331" s="658"/>
      <c r="BN331" s="658"/>
      <c r="BO331" s="658"/>
      <c r="BP331" s="658"/>
      <c r="BQ331" s="658"/>
      <c r="BR331" s="658"/>
      <c r="BS331" s="658"/>
      <c r="BT331" s="658"/>
      <c r="BU331" s="658"/>
      <c r="BV331" s="658"/>
      <c r="BW331" s="658"/>
      <c r="BX331" s="658"/>
      <c r="BY331" s="658"/>
      <c r="BZ331" s="658"/>
      <c r="CA331" s="658"/>
      <c r="CB331" s="658"/>
      <c r="CC331" s="658"/>
      <c r="CD331" s="658"/>
      <c r="CE331" s="658"/>
      <c r="CF331" s="658"/>
      <c r="CG331" s="658"/>
      <c r="CH331" s="658"/>
      <c r="CI331" s="658"/>
      <c r="CJ331" s="658"/>
      <c r="CK331" s="658"/>
      <c r="CL331" s="658"/>
      <c r="CM331" s="658"/>
      <c r="CN331" s="658"/>
      <c r="CO331" s="658"/>
      <c r="CP331" s="658"/>
      <c r="CQ331" s="658"/>
      <c r="CR331" s="658"/>
      <c r="CS331" s="658"/>
      <c r="CT331" s="658"/>
      <c r="CU331" s="658"/>
      <c r="CV331" s="658"/>
      <c r="CW331" s="658"/>
      <c r="CX331" s="658"/>
      <c r="CY331" s="658"/>
      <c r="CZ331" s="658"/>
      <c r="DA331" s="658"/>
      <c r="DB331" s="658"/>
      <c r="DC331" s="658"/>
      <c r="DD331" s="658"/>
      <c r="DE331" s="658"/>
      <c r="DF331" s="658"/>
      <c r="DG331" s="658"/>
      <c r="DH331" s="658"/>
      <c r="DI331" s="658"/>
      <c r="DJ331" s="658"/>
      <c r="DK331" s="658"/>
      <c r="DL331" s="658"/>
      <c r="DM331" s="658"/>
      <c r="DN331" s="658"/>
      <c r="DO331" s="177">
        <f t="shared" si="2288"/>
        <v>0</v>
      </c>
      <c r="DP331" s="612" t="e">
        <f t="shared" si="2289"/>
        <v>#N/A</v>
      </c>
      <c r="DQ331" s="612" t="e">
        <f t="shared" si="2285"/>
        <v>#NUM!</v>
      </c>
      <c r="DR331" s="177"/>
      <c r="DS331" s="177"/>
      <c r="DT331" s="177"/>
      <c r="DU331" s="177"/>
      <c r="DV331" s="177"/>
      <c r="DW331" s="177"/>
      <c r="DX331" s="177"/>
      <c r="DY331" s="177"/>
      <c r="DZ331" s="177"/>
      <c r="EA331" s="613"/>
    </row>
    <row r="332" spans="1:131" ht="13.5">
      <c r="A332" s="652" t="str">
        <f t="shared" si="2281"/>
        <v>평가방법론</v>
      </c>
      <c r="B332" s="653" t="s">
        <v>7</v>
      </c>
      <c r="C332" s="786"/>
      <c r="D332" s="786"/>
      <c r="E332" s="786"/>
      <c r="F332" s="230"/>
      <c r="G332" s="230"/>
      <c r="I332" s="657">
        <f t="shared" si="2286"/>
        <v>0</v>
      </c>
      <c r="J332" s="606" t="str">
        <f t="shared" si="2287"/>
        <v>N/A</v>
      </c>
      <c r="K332" s="471"/>
      <c r="L332" s="607"/>
      <c r="M332" s="300"/>
      <c r="N332" s="608"/>
      <c r="O332" s="609">
        <f t="shared" si="2282"/>
        <v>0</v>
      </c>
      <c r="P332" s="609">
        <f t="shared" si="2283"/>
        <v>0</v>
      </c>
      <c r="Q332" s="609">
        <f t="shared" si="2284"/>
        <v>0</v>
      </c>
      <c r="R332" s="610" t="str">
        <f>IFERROR(Q332/Q336,"")</f>
        <v/>
      </c>
      <c r="S332" s="658"/>
      <c r="T332" s="658"/>
      <c r="U332" s="658"/>
      <c r="V332" s="658"/>
      <c r="W332" s="658"/>
      <c r="X332" s="658"/>
      <c r="Y332" s="658"/>
      <c r="Z332" s="658"/>
      <c r="AA332" s="658"/>
      <c r="AB332" s="658"/>
      <c r="AC332" s="658"/>
      <c r="AD332" s="658"/>
      <c r="AE332" s="658"/>
      <c r="AF332" s="658"/>
      <c r="AG332" s="658"/>
      <c r="AH332" s="658"/>
      <c r="AI332" s="658"/>
      <c r="AJ332" s="658"/>
      <c r="AK332" s="658"/>
      <c r="AL332" s="658"/>
      <c r="AM332" s="658"/>
      <c r="AN332" s="658"/>
      <c r="AO332" s="658"/>
      <c r="AP332" s="658"/>
      <c r="AQ332" s="658"/>
      <c r="AR332" s="658"/>
      <c r="AS332" s="658"/>
      <c r="AT332" s="658"/>
      <c r="AU332" s="658"/>
      <c r="AV332" s="658"/>
      <c r="AW332" s="658"/>
      <c r="AX332" s="658"/>
      <c r="AY332" s="658"/>
      <c r="AZ332" s="658"/>
      <c r="BA332" s="658"/>
      <c r="BB332" s="658"/>
      <c r="BC332" s="658"/>
      <c r="BD332" s="658"/>
      <c r="BE332" s="658"/>
      <c r="BF332" s="658"/>
      <c r="BG332" s="658"/>
      <c r="BH332" s="658"/>
      <c r="BI332" s="658"/>
      <c r="BJ332" s="658"/>
      <c r="BK332" s="658"/>
      <c r="BL332" s="658"/>
      <c r="BM332" s="658"/>
      <c r="BN332" s="658"/>
      <c r="BO332" s="658"/>
      <c r="BP332" s="658"/>
      <c r="BQ332" s="658"/>
      <c r="BR332" s="658"/>
      <c r="BS332" s="658"/>
      <c r="BT332" s="658"/>
      <c r="BU332" s="658"/>
      <c r="BV332" s="658"/>
      <c r="BW332" s="658"/>
      <c r="BX332" s="658"/>
      <c r="BY332" s="658"/>
      <c r="BZ332" s="658"/>
      <c r="CA332" s="658"/>
      <c r="CB332" s="658"/>
      <c r="CC332" s="658"/>
      <c r="CD332" s="658"/>
      <c r="CE332" s="658"/>
      <c r="CF332" s="658"/>
      <c r="CG332" s="658"/>
      <c r="CH332" s="658"/>
      <c r="CI332" s="658"/>
      <c r="CJ332" s="658"/>
      <c r="CK332" s="658"/>
      <c r="CL332" s="658"/>
      <c r="CM332" s="658"/>
      <c r="CN332" s="658"/>
      <c r="CO332" s="658"/>
      <c r="CP332" s="658"/>
      <c r="CQ332" s="658"/>
      <c r="CR332" s="658"/>
      <c r="CS332" s="658"/>
      <c r="CT332" s="658"/>
      <c r="CU332" s="658"/>
      <c r="CV332" s="658"/>
      <c r="CW332" s="658"/>
      <c r="CX332" s="658"/>
      <c r="CY332" s="658"/>
      <c r="CZ332" s="658"/>
      <c r="DA332" s="658"/>
      <c r="DB332" s="658"/>
      <c r="DC332" s="658"/>
      <c r="DD332" s="658"/>
      <c r="DE332" s="658"/>
      <c r="DF332" s="658"/>
      <c r="DG332" s="658"/>
      <c r="DH332" s="658"/>
      <c r="DI332" s="658"/>
      <c r="DJ332" s="658"/>
      <c r="DK332" s="658"/>
      <c r="DL332" s="658"/>
      <c r="DM332" s="658"/>
      <c r="DN332" s="658"/>
      <c r="DO332" s="177">
        <f t="shared" si="2288"/>
        <v>0</v>
      </c>
      <c r="DP332" s="612" t="e">
        <f t="shared" si="2289"/>
        <v>#N/A</v>
      </c>
      <c r="DQ332" s="612" t="e">
        <f t="shared" si="2285"/>
        <v>#NUM!</v>
      </c>
      <c r="DR332" s="177"/>
      <c r="DS332" s="177"/>
      <c r="DT332" s="177"/>
      <c r="DU332" s="177"/>
      <c r="DV332" s="177"/>
      <c r="DW332" s="177"/>
      <c r="DX332" s="177"/>
      <c r="DY332" s="177"/>
      <c r="DZ332" s="177"/>
      <c r="EA332" s="613"/>
    </row>
    <row r="333" spans="1:131" ht="13.5">
      <c r="A333" s="652" t="str">
        <f t="shared" si="2281"/>
        <v>분배 조항 여부</v>
      </c>
      <c r="B333" s="653" t="s">
        <v>355</v>
      </c>
      <c r="C333" s="786"/>
      <c r="D333" s="786"/>
      <c r="E333" s="786"/>
      <c r="F333" s="230"/>
      <c r="G333" s="230"/>
      <c r="I333" s="657">
        <f t="shared" si="2286"/>
        <v>0</v>
      </c>
      <c r="J333" s="606" t="str">
        <f t="shared" si="2287"/>
        <v>N/A</v>
      </c>
      <c r="K333" s="471"/>
      <c r="L333" s="607"/>
      <c r="M333" s="300"/>
      <c r="N333" s="608"/>
      <c r="O333" s="609">
        <f t="shared" si="2282"/>
        <v>0</v>
      </c>
      <c r="P333" s="609">
        <f t="shared" si="2283"/>
        <v>0</v>
      </c>
      <c r="Q333" s="609">
        <f t="shared" si="2284"/>
        <v>0</v>
      </c>
      <c r="R333" s="610" t="str">
        <f>IFERROR(Q333/Q336,"")</f>
        <v/>
      </c>
      <c r="S333" s="658"/>
      <c r="T333" s="658"/>
      <c r="U333" s="658"/>
      <c r="V333" s="658"/>
      <c r="W333" s="658"/>
      <c r="X333" s="658"/>
      <c r="Y333" s="658"/>
      <c r="Z333" s="658"/>
      <c r="AA333" s="658"/>
      <c r="AB333" s="658"/>
      <c r="AC333" s="658"/>
      <c r="AD333" s="658"/>
      <c r="AE333" s="658"/>
      <c r="AF333" s="658"/>
      <c r="AG333" s="658"/>
      <c r="AH333" s="658"/>
      <c r="AI333" s="658"/>
      <c r="AJ333" s="658"/>
      <c r="AK333" s="658"/>
      <c r="AL333" s="658"/>
      <c r="AM333" s="658"/>
      <c r="AN333" s="658"/>
      <c r="AO333" s="658"/>
      <c r="AP333" s="658"/>
      <c r="AQ333" s="658"/>
      <c r="AR333" s="658"/>
      <c r="AS333" s="658"/>
      <c r="AT333" s="658"/>
      <c r="AU333" s="658"/>
      <c r="AV333" s="658"/>
      <c r="AW333" s="658"/>
      <c r="AX333" s="658"/>
      <c r="AY333" s="658"/>
      <c r="AZ333" s="658"/>
      <c r="BA333" s="658"/>
      <c r="BB333" s="658"/>
      <c r="BC333" s="658"/>
      <c r="BD333" s="658"/>
      <c r="BE333" s="658"/>
      <c r="BF333" s="658"/>
      <c r="BG333" s="658"/>
      <c r="BH333" s="658"/>
      <c r="BI333" s="658"/>
      <c r="BJ333" s="658"/>
      <c r="BK333" s="658"/>
      <c r="BL333" s="658"/>
      <c r="BM333" s="658"/>
      <c r="BN333" s="658"/>
      <c r="BO333" s="658"/>
      <c r="BP333" s="658"/>
      <c r="BQ333" s="658"/>
      <c r="BR333" s="658"/>
      <c r="BS333" s="658"/>
      <c r="BT333" s="658"/>
      <c r="BU333" s="658"/>
      <c r="BV333" s="658"/>
      <c r="BW333" s="658"/>
      <c r="BX333" s="658"/>
      <c r="BY333" s="658"/>
      <c r="BZ333" s="658"/>
      <c r="CA333" s="658"/>
      <c r="CB333" s="658"/>
      <c r="CC333" s="658"/>
      <c r="CD333" s="658"/>
      <c r="CE333" s="658"/>
      <c r="CF333" s="658"/>
      <c r="CG333" s="658"/>
      <c r="CH333" s="658"/>
      <c r="CI333" s="658"/>
      <c r="CJ333" s="658"/>
      <c r="CK333" s="658"/>
      <c r="CL333" s="658"/>
      <c r="CM333" s="658"/>
      <c r="CN333" s="658"/>
      <c r="CO333" s="658"/>
      <c r="CP333" s="658"/>
      <c r="CQ333" s="658"/>
      <c r="CR333" s="658"/>
      <c r="CS333" s="658"/>
      <c r="CT333" s="658"/>
      <c r="CU333" s="658"/>
      <c r="CV333" s="658"/>
      <c r="CW333" s="658"/>
      <c r="CX333" s="658"/>
      <c r="CY333" s="658"/>
      <c r="CZ333" s="658"/>
      <c r="DA333" s="658"/>
      <c r="DB333" s="658"/>
      <c r="DC333" s="658"/>
      <c r="DD333" s="658"/>
      <c r="DE333" s="658"/>
      <c r="DF333" s="658"/>
      <c r="DG333" s="658"/>
      <c r="DH333" s="658"/>
      <c r="DI333" s="658"/>
      <c r="DJ333" s="658"/>
      <c r="DK333" s="658"/>
      <c r="DL333" s="658"/>
      <c r="DM333" s="658"/>
      <c r="DN333" s="658"/>
      <c r="DO333" s="177">
        <f t="shared" si="2288"/>
        <v>0</v>
      </c>
      <c r="DP333" s="612" t="e">
        <f t="shared" si="2289"/>
        <v>#N/A</v>
      </c>
      <c r="DQ333" s="612" t="e">
        <f t="shared" si="2285"/>
        <v>#NUM!</v>
      </c>
      <c r="DR333" s="177"/>
      <c r="DS333" s="177"/>
      <c r="DT333" s="177"/>
      <c r="DU333" s="177"/>
      <c r="DV333" s="177"/>
      <c r="DW333" s="177"/>
      <c r="DX333" s="177"/>
      <c r="DY333" s="177"/>
      <c r="DZ333" s="177"/>
      <c r="EA333" s="613"/>
    </row>
    <row r="334" spans="1:131" ht="14.25" thickBot="1">
      <c r="A334" s="652" t="str">
        <f t="shared" si="2281"/>
        <v>모펀드 출자 지분율</v>
      </c>
      <c r="B334" s="660" t="s">
        <v>356</v>
      </c>
      <c r="C334" s="787"/>
      <c r="D334" s="787"/>
      <c r="E334" s="787"/>
      <c r="F334" s="230"/>
      <c r="G334" s="230"/>
      <c r="I334" s="657">
        <f t="shared" si="2286"/>
        <v>0</v>
      </c>
      <c r="J334" s="606" t="str">
        <f t="shared" si="2287"/>
        <v>N/A</v>
      </c>
      <c r="K334" s="471"/>
      <c r="L334" s="607"/>
      <c r="M334" s="300"/>
      <c r="N334" s="608"/>
      <c r="O334" s="609">
        <f t="shared" si="2282"/>
        <v>0</v>
      </c>
      <c r="P334" s="609">
        <f t="shared" si="2283"/>
        <v>0</v>
      </c>
      <c r="Q334" s="609">
        <f t="shared" si="2284"/>
        <v>0</v>
      </c>
      <c r="R334" s="610" t="str">
        <f>IFERROR(Q334/Q336,"")</f>
        <v/>
      </c>
      <c r="S334" s="658"/>
      <c r="T334" s="658"/>
      <c r="U334" s="658"/>
      <c r="V334" s="658"/>
      <c r="W334" s="658"/>
      <c r="X334" s="658"/>
      <c r="Y334" s="658"/>
      <c r="Z334" s="658"/>
      <c r="AA334" s="658"/>
      <c r="AB334" s="658"/>
      <c r="AC334" s="658"/>
      <c r="AD334" s="658"/>
      <c r="AE334" s="658"/>
      <c r="AF334" s="658"/>
      <c r="AG334" s="658"/>
      <c r="AH334" s="658"/>
      <c r="AI334" s="658"/>
      <c r="AJ334" s="658"/>
      <c r="AK334" s="658"/>
      <c r="AL334" s="658"/>
      <c r="AM334" s="658"/>
      <c r="AN334" s="658"/>
      <c r="AO334" s="658"/>
      <c r="AP334" s="658"/>
      <c r="AQ334" s="658"/>
      <c r="AR334" s="658"/>
      <c r="AS334" s="658"/>
      <c r="AT334" s="658"/>
      <c r="AU334" s="658"/>
      <c r="AV334" s="658"/>
      <c r="AW334" s="658"/>
      <c r="AX334" s="658"/>
      <c r="AY334" s="658"/>
      <c r="AZ334" s="658"/>
      <c r="BA334" s="658"/>
      <c r="BB334" s="658"/>
      <c r="BC334" s="658"/>
      <c r="BD334" s="658"/>
      <c r="BE334" s="658"/>
      <c r="BF334" s="658"/>
      <c r="BG334" s="658"/>
      <c r="BH334" s="658"/>
      <c r="BI334" s="658"/>
      <c r="BJ334" s="658"/>
      <c r="BK334" s="658"/>
      <c r="BL334" s="658"/>
      <c r="BM334" s="658"/>
      <c r="BN334" s="658"/>
      <c r="BO334" s="658"/>
      <c r="BP334" s="658"/>
      <c r="BQ334" s="658"/>
      <c r="BR334" s="658"/>
      <c r="BS334" s="658"/>
      <c r="BT334" s="658"/>
      <c r="BU334" s="658"/>
      <c r="BV334" s="658"/>
      <c r="BW334" s="658"/>
      <c r="BX334" s="658"/>
      <c r="BY334" s="658"/>
      <c r="BZ334" s="658"/>
      <c r="CA334" s="658"/>
      <c r="CB334" s="658"/>
      <c r="CC334" s="658"/>
      <c r="CD334" s="658"/>
      <c r="CE334" s="658"/>
      <c r="CF334" s="658"/>
      <c r="CG334" s="658"/>
      <c r="CH334" s="658"/>
      <c r="CI334" s="658"/>
      <c r="CJ334" s="658"/>
      <c r="CK334" s="658"/>
      <c r="CL334" s="658"/>
      <c r="CM334" s="658"/>
      <c r="CN334" s="658"/>
      <c r="CO334" s="658"/>
      <c r="CP334" s="658"/>
      <c r="CQ334" s="658"/>
      <c r="CR334" s="658"/>
      <c r="CS334" s="658"/>
      <c r="CT334" s="658"/>
      <c r="CU334" s="658"/>
      <c r="CV334" s="658"/>
      <c r="CW334" s="658"/>
      <c r="CX334" s="658"/>
      <c r="CY334" s="658"/>
      <c r="CZ334" s="658"/>
      <c r="DA334" s="658"/>
      <c r="DB334" s="658"/>
      <c r="DC334" s="658"/>
      <c r="DD334" s="658"/>
      <c r="DE334" s="658"/>
      <c r="DF334" s="658"/>
      <c r="DG334" s="658"/>
      <c r="DH334" s="658"/>
      <c r="DI334" s="658"/>
      <c r="DJ334" s="658"/>
      <c r="DK334" s="658"/>
      <c r="DL334" s="658"/>
      <c r="DM334" s="658"/>
      <c r="DN334" s="658"/>
      <c r="DO334" s="177">
        <f t="shared" si="2288"/>
        <v>0</v>
      </c>
      <c r="DP334" s="612" t="e">
        <f t="shared" si="2289"/>
        <v>#N/A</v>
      </c>
      <c r="DQ334" s="612" t="e">
        <f t="shared" si="2285"/>
        <v>#NUM!</v>
      </c>
      <c r="DR334" s="177"/>
      <c r="DS334" s="177"/>
      <c r="DT334" s="177"/>
      <c r="DU334" s="177"/>
      <c r="DV334" s="177"/>
      <c r="DW334" s="177"/>
      <c r="DX334" s="177"/>
      <c r="DY334" s="177"/>
      <c r="DZ334" s="177"/>
      <c r="EA334" s="613"/>
    </row>
    <row r="335" spans="1:131" ht="14.25" thickBot="1">
      <c r="B335" s="778" t="s">
        <v>3404</v>
      </c>
      <c r="C335" s="616" t="s">
        <v>223</v>
      </c>
      <c r="D335" s="616" t="s">
        <v>224</v>
      </c>
      <c r="E335" s="616" t="s">
        <v>225</v>
      </c>
      <c r="F335" s="230"/>
      <c r="G335" s="230"/>
      <c r="I335" s="657">
        <f t="shared" si="2286"/>
        <v>0</v>
      </c>
      <c r="J335" s="606" t="str">
        <f t="shared" si="2287"/>
        <v>N/A</v>
      </c>
      <c r="K335" s="471"/>
      <c r="L335" s="607"/>
      <c r="M335" s="300"/>
      <c r="N335" s="608"/>
      <c r="O335" s="609">
        <f t="shared" si="2282"/>
        <v>0</v>
      </c>
      <c r="P335" s="609">
        <f t="shared" si="2283"/>
        <v>0</v>
      </c>
      <c r="Q335" s="609">
        <f t="shared" si="2284"/>
        <v>0</v>
      </c>
      <c r="R335" s="610" t="str">
        <f>IFERROR(Q335/Q336,"")</f>
        <v/>
      </c>
      <c r="S335" s="658"/>
      <c r="T335" s="658"/>
      <c r="U335" s="658"/>
      <c r="V335" s="658"/>
      <c r="W335" s="658"/>
      <c r="X335" s="658"/>
      <c r="Y335" s="658"/>
      <c r="Z335" s="658"/>
      <c r="AA335" s="658"/>
      <c r="AB335" s="658"/>
      <c r="AC335" s="658"/>
      <c r="AD335" s="658"/>
      <c r="AE335" s="658"/>
      <c r="AF335" s="658"/>
      <c r="AG335" s="658"/>
      <c r="AH335" s="658"/>
      <c r="AI335" s="658"/>
      <c r="AJ335" s="658"/>
      <c r="AK335" s="658"/>
      <c r="AL335" s="658"/>
      <c r="AM335" s="658"/>
      <c r="AN335" s="658"/>
      <c r="AO335" s="658"/>
      <c r="AP335" s="658"/>
      <c r="AQ335" s="658"/>
      <c r="AR335" s="658"/>
      <c r="AS335" s="658"/>
      <c r="AT335" s="658"/>
      <c r="AU335" s="658"/>
      <c r="AV335" s="658"/>
      <c r="AW335" s="658"/>
      <c r="AX335" s="658"/>
      <c r="AY335" s="658"/>
      <c r="AZ335" s="658"/>
      <c r="BA335" s="658"/>
      <c r="BB335" s="658"/>
      <c r="BC335" s="658"/>
      <c r="BD335" s="658"/>
      <c r="BE335" s="658"/>
      <c r="BF335" s="658"/>
      <c r="BG335" s="658"/>
      <c r="BH335" s="658"/>
      <c r="BI335" s="658"/>
      <c r="BJ335" s="658"/>
      <c r="BK335" s="658"/>
      <c r="BL335" s="658"/>
      <c r="BM335" s="658"/>
      <c r="BN335" s="658"/>
      <c r="BO335" s="658"/>
      <c r="BP335" s="658"/>
      <c r="BQ335" s="658"/>
      <c r="BR335" s="658"/>
      <c r="BS335" s="658"/>
      <c r="BT335" s="658"/>
      <c r="BU335" s="658"/>
      <c r="BV335" s="658"/>
      <c r="BW335" s="658"/>
      <c r="BX335" s="658"/>
      <c r="BY335" s="658"/>
      <c r="BZ335" s="658"/>
      <c r="CA335" s="658"/>
      <c r="CB335" s="658"/>
      <c r="CC335" s="658"/>
      <c r="CD335" s="658"/>
      <c r="CE335" s="658"/>
      <c r="CF335" s="658"/>
      <c r="CG335" s="658"/>
      <c r="CH335" s="658"/>
      <c r="CI335" s="658"/>
      <c r="CJ335" s="658"/>
      <c r="CK335" s="658"/>
      <c r="CL335" s="658"/>
      <c r="CM335" s="658"/>
      <c r="CN335" s="658"/>
      <c r="CO335" s="658"/>
      <c r="CP335" s="658"/>
      <c r="CQ335" s="658"/>
      <c r="CR335" s="658"/>
      <c r="CS335" s="658"/>
      <c r="CT335" s="658"/>
      <c r="CU335" s="658"/>
      <c r="CV335" s="658"/>
      <c r="CW335" s="658"/>
      <c r="CX335" s="658"/>
      <c r="CY335" s="658"/>
      <c r="CZ335" s="658"/>
      <c r="DA335" s="658"/>
      <c r="DB335" s="658"/>
      <c r="DC335" s="658"/>
      <c r="DD335" s="658"/>
      <c r="DE335" s="658"/>
      <c r="DF335" s="658"/>
      <c r="DG335" s="658"/>
      <c r="DH335" s="658"/>
      <c r="DI335" s="658"/>
      <c r="DJ335" s="658"/>
      <c r="DK335" s="658"/>
      <c r="DL335" s="658"/>
      <c r="DM335" s="658"/>
      <c r="DN335" s="658"/>
      <c r="DO335" s="177">
        <f t="shared" si="2288"/>
        <v>0</v>
      </c>
      <c r="DP335" s="612" t="e">
        <f t="shared" si="2289"/>
        <v>#N/A</v>
      </c>
      <c r="DQ335" s="612" t="e">
        <f t="shared" si="2285"/>
        <v>#NUM!</v>
      </c>
      <c r="DR335" s="177"/>
      <c r="DS335" s="177"/>
      <c r="DT335" s="177"/>
      <c r="DU335" s="177"/>
      <c r="DV335" s="177"/>
      <c r="DW335" s="177"/>
      <c r="DX335" s="177"/>
      <c r="DY335" s="177"/>
      <c r="DZ335" s="177"/>
      <c r="EA335" s="613"/>
    </row>
    <row r="336" spans="1:131" s="603" customFormat="1" ht="14.25" thickBot="1">
      <c r="A336" s="649"/>
      <c r="B336" s="779"/>
      <c r="C336" s="661"/>
      <c r="D336" s="661"/>
      <c r="E336" s="661"/>
      <c r="F336" s="662"/>
      <c r="G336" s="662"/>
      <c r="H336" s="317"/>
      <c r="I336" s="634">
        <f>SUM(I328:I335)</f>
        <v>0</v>
      </c>
      <c r="J336" s="663"/>
      <c r="K336" s="664"/>
      <c r="L336" s="664"/>
      <c r="M336" s="664"/>
      <c r="N336" s="634">
        <f t="shared" ref="N336:R336" si="2290">SUM(N328:N335)</f>
        <v>0</v>
      </c>
      <c r="O336" s="634">
        <f t="shared" si="2290"/>
        <v>0</v>
      </c>
      <c r="P336" s="634">
        <f t="shared" si="2290"/>
        <v>0</v>
      </c>
      <c r="Q336" s="634">
        <f t="shared" si="2290"/>
        <v>0</v>
      </c>
      <c r="R336" s="665">
        <f t="shared" si="2290"/>
        <v>0</v>
      </c>
      <c r="S336" s="634">
        <f>SUM(S328:S335)</f>
        <v>0</v>
      </c>
      <c r="T336" s="634">
        <f t="shared" ref="T336" si="2291">SUM(T328:T335)</f>
        <v>0</v>
      </c>
      <c r="U336" s="634">
        <f t="shared" ref="U336" si="2292">SUM(U328:U335)</f>
        <v>0</v>
      </c>
      <c r="V336" s="634">
        <f t="shared" ref="V336" si="2293">SUM(V328:V335)</f>
        <v>0</v>
      </c>
      <c r="W336" s="634">
        <f t="shared" ref="W336" si="2294">SUM(W328:W335)</f>
        <v>0</v>
      </c>
      <c r="X336" s="634">
        <f t="shared" ref="X336" si="2295">SUM(X328:X335)</f>
        <v>0</v>
      </c>
      <c r="Y336" s="634">
        <f t="shared" ref="Y336" si="2296">SUM(Y328:Y335)</f>
        <v>0</v>
      </c>
      <c r="Z336" s="634">
        <f t="shared" ref="Z336" si="2297">SUM(Z328:Z335)</f>
        <v>0</v>
      </c>
      <c r="AA336" s="634">
        <f t="shared" ref="AA336" si="2298">SUM(AA328:AA335)</f>
        <v>0</v>
      </c>
      <c r="AB336" s="634">
        <f t="shared" ref="AB336" si="2299">SUM(AB328:AB335)</f>
        <v>0</v>
      </c>
      <c r="AC336" s="634">
        <f t="shared" ref="AC336" si="2300">SUM(AC328:AC335)</f>
        <v>0</v>
      </c>
      <c r="AD336" s="634">
        <f t="shared" ref="AD336" si="2301">SUM(AD328:AD335)</f>
        <v>0</v>
      </c>
      <c r="AE336" s="634">
        <f t="shared" ref="AE336" si="2302">SUM(AE328:AE335)</f>
        <v>0</v>
      </c>
      <c r="AF336" s="634">
        <f t="shared" ref="AF336" si="2303">SUM(AF328:AF335)</f>
        <v>0</v>
      </c>
      <c r="AG336" s="634">
        <f t="shared" ref="AG336" si="2304">SUM(AG328:AG335)</f>
        <v>0</v>
      </c>
      <c r="AH336" s="634">
        <f t="shared" ref="AH336" si="2305">SUM(AH328:AH335)</f>
        <v>0</v>
      </c>
      <c r="AI336" s="634">
        <f t="shared" ref="AI336" si="2306">SUM(AI328:AI335)</f>
        <v>0</v>
      </c>
      <c r="AJ336" s="634">
        <f t="shared" ref="AJ336" si="2307">SUM(AJ328:AJ335)</f>
        <v>0</v>
      </c>
      <c r="AK336" s="634">
        <f t="shared" ref="AK336" si="2308">SUM(AK328:AK335)</f>
        <v>0</v>
      </c>
      <c r="AL336" s="634">
        <f t="shared" ref="AL336" si="2309">SUM(AL328:AL335)</f>
        <v>0</v>
      </c>
      <c r="AM336" s="634">
        <f t="shared" ref="AM336" si="2310">SUM(AM328:AM335)</f>
        <v>0</v>
      </c>
      <c r="AN336" s="634">
        <f t="shared" ref="AN336" si="2311">SUM(AN328:AN335)</f>
        <v>0</v>
      </c>
      <c r="AO336" s="634">
        <f t="shared" ref="AO336" si="2312">SUM(AO328:AO335)</f>
        <v>0</v>
      </c>
      <c r="AP336" s="634">
        <f t="shared" ref="AP336" si="2313">SUM(AP328:AP335)</f>
        <v>0</v>
      </c>
      <c r="AQ336" s="634">
        <f t="shared" ref="AQ336" si="2314">SUM(AQ328:AQ335)</f>
        <v>0</v>
      </c>
      <c r="AR336" s="634">
        <f t="shared" ref="AR336" si="2315">SUM(AR328:AR335)</f>
        <v>0</v>
      </c>
      <c r="AS336" s="634">
        <f t="shared" ref="AS336" si="2316">SUM(AS328:AS335)</f>
        <v>0</v>
      </c>
      <c r="AT336" s="634">
        <f t="shared" ref="AT336" si="2317">SUM(AT328:AT335)</f>
        <v>0</v>
      </c>
      <c r="AU336" s="634">
        <f t="shared" ref="AU336" si="2318">SUM(AU328:AU335)</f>
        <v>0</v>
      </c>
      <c r="AV336" s="634">
        <f t="shared" ref="AV336" si="2319">SUM(AV328:AV335)</f>
        <v>0</v>
      </c>
      <c r="AW336" s="634">
        <f t="shared" ref="AW336" si="2320">SUM(AW328:AW335)</f>
        <v>0</v>
      </c>
      <c r="AX336" s="634">
        <f t="shared" ref="AX336" si="2321">SUM(AX328:AX335)</f>
        <v>0</v>
      </c>
      <c r="AY336" s="634">
        <f t="shared" ref="AY336" si="2322">SUM(AY328:AY335)</f>
        <v>0</v>
      </c>
      <c r="AZ336" s="634">
        <f t="shared" ref="AZ336" si="2323">SUM(AZ328:AZ335)</f>
        <v>0</v>
      </c>
      <c r="BA336" s="634">
        <f t="shared" ref="BA336" si="2324">SUM(BA328:BA335)</f>
        <v>0</v>
      </c>
      <c r="BB336" s="634">
        <f t="shared" ref="BB336" si="2325">SUM(BB328:BB335)</f>
        <v>0</v>
      </c>
      <c r="BC336" s="634">
        <f t="shared" ref="BC336" si="2326">SUM(BC328:BC335)</f>
        <v>0</v>
      </c>
      <c r="BD336" s="634">
        <f t="shared" ref="BD336" si="2327">SUM(BD328:BD335)</f>
        <v>0</v>
      </c>
      <c r="BE336" s="634">
        <f t="shared" ref="BE336" si="2328">SUM(BE328:BE335)</f>
        <v>0</v>
      </c>
      <c r="BF336" s="634">
        <f t="shared" ref="BF336" si="2329">SUM(BF328:BF335)</f>
        <v>0</v>
      </c>
      <c r="BG336" s="634">
        <f t="shared" ref="BG336" si="2330">SUM(BG328:BG335)</f>
        <v>0</v>
      </c>
      <c r="BH336" s="634">
        <f t="shared" ref="BH336" si="2331">SUM(BH328:BH335)</f>
        <v>0</v>
      </c>
      <c r="BI336" s="634">
        <f t="shared" ref="BI336" si="2332">SUM(BI328:BI335)</f>
        <v>0</v>
      </c>
      <c r="BJ336" s="634">
        <f t="shared" ref="BJ336" si="2333">SUM(BJ328:BJ335)</f>
        <v>0</v>
      </c>
      <c r="BK336" s="634">
        <f t="shared" ref="BK336" si="2334">SUM(BK328:BK335)</f>
        <v>0</v>
      </c>
      <c r="BL336" s="634">
        <f t="shared" ref="BL336" si="2335">SUM(BL328:BL335)</f>
        <v>0</v>
      </c>
      <c r="BM336" s="634">
        <f t="shared" ref="BM336" si="2336">SUM(BM328:BM335)</f>
        <v>0</v>
      </c>
      <c r="BN336" s="634">
        <f t="shared" ref="BN336" si="2337">SUM(BN328:BN335)</f>
        <v>0</v>
      </c>
      <c r="BO336" s="634">
        <f t="shared" ref="BO336" si="2338">SUM(BO328:BO335)</f>
        <v>0</v>
      </c>
      <c r="BP336" s="634">
        <f t="shared" ref="BP336" si="2339">SUM(BP328:BP335)</f>
        <v>0</v>
      </c>
      <c r="BQ336" s="634">
        <f t="shared" ref="BQ336" si="2340">SUM(BQ328:BQ335)</f>
        <v>0</v>
      </c>
      <c r="BR336" s="634">
        <f t="shared" ref="BR336" si="2341">SUM(BR328:BR335)</f>
        <v>0</v>
      </c>
      <c r="BS336" s="634">
        <f t="shared" ref="BS336" si="2342">SUM(BS328:BS335)</f>
        <v>0</v>
      </c>
      <c r="BT336" s="634">
        <f t="shared" ref="BT336" si="2343">SUM(BT328:BT335)</f>
        <v>0</v>
      </c>
      <c r="BU336" s="634">
        <f t="shared" ref="BU336" si="2344">SUM(BU328:BU335)</f>
        <v>0</v>
      </c>
      <c r="BV336" s="634">
        <f t="shared" ref="BV336" si="2345">SUM(BV328:BV335)</f>
        <v>0</v>
      </c>
      <c r="BW336" s="634">
        <f t="shared" ref="BW336" si="2346">SUM(BW328:BW335)</f>
        <v>0</v>
      </c>
      <c r="BX336" s="634">
        <f t="shared" ref="BX336" si="2347">SUM(BX328:BX335)</f>
        <v>0</v>
      </c>
      <c r="BY336" s="634">
        <f t="shared" ref="BY336" si="2348">SUM(BY328:BY335)</f>
        <v>0</v>
      </c>
      <c r="BZ336" s="634">
        <f t="shared" ref="BZ336" si="2349">SUM(BZ328:BZ335)</f>
        <v>0</v>
      </c>
      <c r="CA336" s="634">
        <f t="shared" ref="CA336" si="2350">SUM(CA328:CA335)</f>
        <v>0</v>
      </c>
      <c r="CB336" s="634">
        <f t="shared" ref="CB336" si="2351">SUM(CB328:CB335)</f>
        <v>0</v>
      </c>
      <c r="CC336" s="634">
        <f t="shared" ref="CC336" si="2352">SUM(CC328:CC335)</f>
        <v>0</v>
      </c>
      <c r="CD336" s="634">
        <f t="shared" ref="CD336" si="2353">SUM(CD328:CD335)</f>
        <v>0</v>
      </c>
      <c r="CE336" s="634">
        <f t="shared" ref="CE336" si="2354">SUM(CE328:CE335)</f>
        <v>0</v>
      </c>
      <c r="CF336" s="634">
        <f t="shared" ref="CF336" si="2355">SUM(CF328:CF335)</f>
        <v>0</v>
      </c>
      <c r="CG336" s="634">
        <f t="shared" ref="CG336" si="2356">SUM(CG328:CG335)</f>
        <v>0</v>
      </c>
      <c r="CH336" s="634">
        <f t="shared" ref="CH336" si="2357">SUM(CH328:CH335)</f>
        <v>0</v>
      </c>
      <c r="CI336" s="634">
        <f t="shared" ref="CI336" si="2358">SUM(CI328:CI335)</f>
        <v>0</v>
      </c>
      <c r="CJ336" s="634">
        <f t="shared" ref="CJ336" si="2359">SUM(CJ328:CJ335)</f>
        <v>0</v>
      </c>
      <c r="CK336" s="634">
        <f t="shared" ref="CK336" si="2360">SUM(CK328:CK335)</f>
        <v>0</v>
      </c>
      <c r="CL336" s="634">
        <f t="shared" ref="CL336" si="2361">SUM(CL328:CL335)</f>
        <v>0</v>
      </c>
      <c r="CM336" s="634">
        <f t="shared" ref="CM336" si="2362">SUM(CM328:CM335)</f>
        <v>0</v>
      </c>
      <c r="CN336" s="634">
        <f t="shared" ref="CN336" si="2363">SUM(CN328:CN335)</f>
        <v>0</v>
      </c>
      <c r="CO336" s="634">
        <f t="shared" ref="CO336" si="2364">SUM(CO328:CO335)</f>
        <v>0</v>
      </c>
      <c r="CP336" s="634">
        <f t="shared" ref="CP336" si="2365">SUM(CP328:CP335)</f>
        <v>0</v>
      </c>
      <c r="CQ336" s="634">
        <f t="shared" ref="CQ336" si="2366">SUM(CQ328:CQ335)</f>
        <v>0</v>
      </c>
      <c r="CR336" s="634">
        <f t="shared" ref="CR336" si="2367">SUM(CR328:CR335)</f>
        <v>0</v>
      </c>
      <c r="CS336" s="634">
        <f t="shared" ref="CS336" si="2368">SUM(CS328:CS335)</f>
        <v>0</v>
      </c>
      <c r="CT336" s="634">
        <f t="shared" ref="CT336" si="2369">SUM(CT328:CT335)</f>
        <v>0</v>
      </c>
      <c r="CU336" s="634">
        <f t="shared" ref="CU336" si="2370">SUM(CU328:CU335)</f>
        <v>0</v>
      </c>
      <c r="CV336" s="634">
        <f t="shared" ref="CV336" si="2371">SUM(CV328:CV335)</f>
        <v>0</v>
      </c>
      <c r="CW336" s="634">
        <f t="shared" ref="CW336" si="2372">SUM(CW328:CW335)</f>
        <v>0</v>
      </c>
      <c r="CX336" s="634">
        <f t="shared" ref="CX336" si="2373">SUM(CX328:CX335)</f>
        <v>0</v>
      </c>
      <c r="CY336" s="634">
        <f t="shared" ref="CY336" si="2374">SUM(CY328:CY335)</f>
        <v>0</v>
      </c>
      <c r="CZ336" s="634">
        <f t="shared" ref="CZ336" si="2375">SUM(CZ328:CZ335)</f>
        <v>0</v>
      </c>
      <c r="DA336" s="634">
        <f t="shared" ref="DA336" si="2376">SUM(DA328:DA335)</f>
        <v>0</v>
      </c>
      <c r="DB336" s="634">
        <f t="shared" ref="DB336" si="2377">SUM(DB328:DB335)</f>
        <v>0</v>
      </c>
      <c r="DC336" s="634">
        <f t="shared" ref="DC336" si="2378">SUM(DC328:DC335)</f>
        <v>0</v>
      </c>
      <c r="DD336" s="634">
        <f t="shared" ref="DD336" si="2379">SUM(DD328:DD335)</f>
        <v>0</v>
      </c>
      <c r="DE336" s="634">
        <f t="shared" ref="DE336" si="2380">SUM(DE328:DE335)</f>
        <v>0</v>
      </c>
      <c r="DF336" s="634">
        <f t="shared" ref="DF336" si="2381">SUM(DF328:DF335)</f>
        <v>0</v>
      </c>
      <c r="DG336" s="634">
        <f t="shared" ref="DG336" si="2382">SUM(DG328:DG335)</f>
        <v>0</v>
      </c>
      <c r="DH336" s="634">
        <f t="shared" ref="DH336" si="2383">SUM(DH328:DH335)</f>
        <v>0</v>
      </c>
      <c r="DI336" s="634">
        <f t="shared" ref="DI336" si="2384">SUM(DI328:DI335)</f>
        <v>0</v>
      </c>
      <c r="DJ336" s="634">
        <f t="shared" ref="DJ336" si="2385">SUM(DJ328:DJ335)</f>
        <v>0</v>
      </c>
      <c r="DK336" s="634">
        <f t="shared" ref="DK336" si="2386">SUM(DK328:DK335)</f>
        <v>0</v>
      </c>
      <c r="DL336" s="634">
        <f t="shared" ref="DL336" si="2387">SUM(DL328:DL335)</f>
        <v>0</v>
      </c>
      <c r="DM336" s="634">
        <f t="shared" ref="DM336" si="2388">SUM(DM328:DM335)</f>
        <v>0</v>
      </c>
      <c r="DN336" s="634">
        <f t="shared" ref="DN336" si="2389">SUM(DN328:DN335)</f>
        <v>0</v>
      </c>
      <c r="DO336" s="634">
        <f t="shared" ref="DO336" si="2390">SUM(DO328:DO335)</f>
        <v>0</v>
      </c>
      <c r="DP336" s="666"/>
      <c r="DQ336" s="638" t="e">
        <f>XIRR(S336:DO336,$S$327:$DO$327)</f>
        <v>#NUM!</v>
      </c>
      <c r="DR336" s="636">
        <f t="shared" ref="DR336:DX336" si="2391">SUM(DR328:DR335)</f>
        <v>0</v>
      </c>
      <c r="DS336" s="636">
        <f t="shared" si="2391"/>
        <v>0</v>
      </c>
      <c r="DT336" s="636">
        <f t="shared" si="2391"/>
        <v>0</v>
      </c>
      <c r="DU336" s="636">
        <f t="shared" si="2391"/>
        <v>0</v>
      </c>
      <c r="DV336" s="636">
        <f t="shared" si="2391"/>
        <v>0</v>
      </c>
      <c r="DW336" s="636">
        <f t="shared" si="2391"/>
        <v>0</v>
      </c>
      <c r="DX336" s="636">
        <f t="shared" si="2391"/>
        <v>0</v>
      </c>
      <c r="DY336" s="636">
        <f>SUM(DY328:DY335)</f>
        <v>0</v>
      </c>
      <c r="DZ336" s="636">
        <f>SUM(DZ328:DZ335)</f>
        <v>0</v>
      </c>
      <c r="EA336" s="636">
        <f>SUM(EA328:EA335)</f>
        <v>0</v>
      </c>
    </row>
    <row r="337" spans="1:131" s="603" customFormat="1" ht="13.5" customHeight="1" thickBot="1">
      <c r="A337" s="172"/>
      <c r="B337" s="667"/>
      <c r="C337" s="592" t="s">
        <v>3609</v>
      </c>
      <c r="D337" s="648">
        <f>D325+1</f>
        <v>24</v>
      </c>
      <c r="E337" s="649"/>
      <c r="H337" s="225"/>
      <c r="I337" s="650" t="b">
        <f>I348=DR339</f>
        <v>1</v>
      </c>
      <c r="J337" s="172"/>
      <c r="K337" s="172"/>
      <c r="L337" s="172"/>
      <c r="M337" s="172"/>
      <c r="N337" s="172"/>
      <c r="O337" s="172"/>
      <c r="P337" s="172"/>
      <c r="Q337" s="639" t="str">
        <f>IF(Q348=NAV!E1093,"자본금과 일치","자본금과 불일치")</f>
        <v>자본금과 일치</v>
      </c>
      <c r="R337" s="172"/>
      <c r="S337" s="172"/>
      <c r="T337" s="172"/>
      <c r="U337" s="172"/>
      <c r="V337" s="172"/>
      <c r="W337" s="172"/>
      <c r="X337" s="172"/>
      <c r="Y337" s="172"/>
      <c r="Z337" s="172"/>
      <c r="AA337" s="172"/>
      <c r="AB337" s="172"/>
      <c r="AC337" s="172"/>
      <c r="AD337" s="172"/>
      <c r="AE337" s="172"/>
      <c r="AF337" s="172"/>
      <c r="AG337" s="172"/>
      <c r="AH337" s="172"/>
      <c r="AI337" s="172"/>
      <c r="AJ337" s="172"/>
      <c r="AK337" s="172"/>
      <c r="AL337" s="172"/>
      <c r="AM337" s="172"/>
      <c r="AN337" s="172"/>
      <c r="AO337" s="172"/>
      <c r="AP337" s="172"/>
      <c r="AQ337" s="172"/>
      <c r="AR337" s="172"/>
      <c r="AS337" s="172"/>
      <c r="AT337" s="172"/>
      <c r="AU337" s="172"/>
      <c r="AV337" s="172"/>
      <c r="AW337" s="172"/>
      <c r="AX337" s="172"/>
      <c r="AY337" s="172"/>
      <c r="AZ337" s="172"/>
      <c r="BA337" s="172"/>
      <c r="BB337" s="172"/>
      <c r="BC337" s="172"/>
      <c r="BD337" s="172"/>
      <c r="BE337" s="172"/>
      <c r="BF337" s="172"/>
      <c r="BG337" s="172"/>
      <c r="BH337" s="172"/>
      <c r="BI337" s="172"/>
      <c r="BJ337" s="172"/>
      <c r="BK337" s="172"/>
      <c r="BL337" s="172"/>
      <c r="BM337" s="172"/>
      <c r="BN337" s="172"/>
      <c r="BO337" s="172"/>
      <c r="BP337" s="172"/>
      <c r="BQ337" s="172"/>
      <c r="BR337" s="172"/>
      <c r="BS337" s="172"/>
      <c r="BT337" s="172"/>
      <c r="BU337" s="172"/>
      <c r="BV337" s="172"/>
      <c r="BW337" s="172"/>
      <c r="BX337" s="172"/>
      <c r="BY337" s="172"/>
      <c r="BZ337" s="172"/>
      <c r="CA337" s="172"/>
      <c r="CB337" s="172"/>
      <c r="CC337" s="172"/>
      <c r="CD337" s="172"/>
      <c r="CE337" s="172"/>
      <c r="CF337" s="172"/>
      <c r="CG337" s="172"/>
      <c r="CH337" s="172"/>
      <c r="CI337" s="172"/>
      <c r="CJ337" s="172"/>
      <c r="CK337" s="172"/>
      <c r="CL337" s="172"/>
      <c r="CM337" s="172"/>
      <c r="CN337" s="172"/>
      <c r="CO337" s="172"/>
      <c r="CP337" s="172"/>
      <c r="CQ337" s="172"/>
      <c r="CR337" s="172"/>
      <c r="CS337" s="172"/>
      <c r="CT337" s="172"/>
      <c r="CU337" s="172"/>
      <c r="CV337" s="172"/>
      <c r="CW337" s="172"/>
      <c r="CX337" s="172"/>
      <c r="CY337" s="172"/>
      <c r="CZ337" s="172"/>
      <c r="DA337" s="172"/>
      <c r="DB337" s="172"/>
      <c r="DC337" s="172"/>
      <c r="DD337" s="172"/>
      <c r="DE337" s="172"/>
      <c r="DF337" s="172"/>
      <c r="DG337" s="172"/>
      <c r="DH337" s="172"/>
      <c r="DI337" s="172"/>
      <c r="DJ337" s="172"/>
      <c r="DK337" s="172"/>
      <c r="DL337" s="172"/>
      <c r="DM337" s="172"/>
      <c r="DN337" s="172"/>
      <c r="DO337" s="588" t="s">
        <v>219</v>
      </c>
      <c r="DP337" s="588" t="str">
        <f>IF(ROUND(_xlfn.AGGREGATE(9,6,DP340:DP347),5)=ROUND(_xlfn.AGGREGATE(9,6,DQ340:DQ347),5),"이상없음","기준수익률확인")</f>
        <v>이상없음</v>
      </c>
      <c r="DQ337" s="172"/>
      <c r="DR337" s="651" t="s">
        <v>3406</v>
      </c>
      <c r="DS337" s="172"/>
      <c r="DT337" s="615"/>
      <c r="DU337" s="615"/>
      <c r="DV337" s="172"/>
      <c r="DW337" s="172"/>
      <c r="DX337" s="615"/>
      <c r="DY337" s="172"/>
      <c r="DZ337" s="172"/>
      <c r="EA337" s="172"/>
    </row>
    <row r="338" spans="1:131" s="603" customFormat="1" ht="13.5" customHeight="1">
      <c r="A338" s="652" t="str">
        <f t="shared" ref="A338:A346" si="2392">$B$337&amp;B338</f>
        <v>SPC명</v>
      </c>
      <c r="B338" s="653" t="s">
        <v>349</v>
      </c>
      <c r="C338" s="780"/>
      <c r="D338" s="780"/>
      <c r="E338" s="780"/>
      <c r="F338" s="230"/>
      <c r="G338" s="230"/>
      <c r="H338" s="225"/>
      <c r="I338" s="776" t="s">
        <v>3393</v>
      </c>
      <c r="J338" s="776" t="s">
        <v>3394</v>
      </c>
      <c r="K338" s="774" t="s">
        <v>3395</v>
      </c>
      <c r="L338" s="774" t="s">
        <v>3396</v>
      </c>
      <c r="M338" s="774" t="s">
        <v>203</v>
      </c>
      <c r="N338" s="774" t="s">
        <v>211</v>
      </c>
      <c r="O338" s="774" t="s">
        <v>3399</v>
      </c>
      <c r="P338" s="776" t="s">
        <v>239</v>
      </c>
      <c r="Q338" s="774" t="s">
        <v>3401</v>
      </c>
      <c r="R338" s="774" t="s">
        <v>3402</v>
      </c>
      <c r="S338" s="593"/>
      <c r="T338" s="593"/>
      <c r="U338" s="593"/>
      <c r="V338" s="593"/>
      <c r="W338" s="593"/>
      <c r="X338" s="593"/>
      <c r="Y338" s="593"/>
      <c r="Z338" s="593"/>
      <c r="AA338" s="593"/>
      <c r="AB338" s="593"/>
      <c r="AC338" s="593"/>
      <c r="AD338" s="593"/>
      <c r="AE338" s="593"/>
      <c r="AF338" s="593"/>
      <c r="AG338" s="593"/>
      <c r="AH338" s="593"/>
      <c r="AI338" s="593"/>
      <c r="AJ338" s="593"/>
      <c r="AK338" s="593"/>
      <c r="AL338" s="593"/>
      <c r="AM338" s="593"/>
      <c r="AN338" s="593"/>
      <c r="AO338" s="593"/>
      <c r="AP338" s="593"/>
      <c r="AQ338" s="593"/>
      <c r="AR338" s="593"/>
      <c r="AS338" s="593"/>
      <c r="AT338" s="593"/>
      <c r="AU338" s="593"/>
      <c r="AV338" s="593"/>
      <c r="AW338" s="593"/>
      <c r="AX338" s="593"/>
      <c r="AY338" s="593"/>
      <c r="AZ338" s="593"/>
      <c r="BA338" s="593"/>
      <c r="BB338" s="593"/>
      <c r="BC338" s="593"/>
      <c r="BD338" s="593"/>
      <c r="BE338" s="593"/>
      <c r="BF338" s="593"/>
      <c r="BG338" s="593"/>
      <c r="BH338" s="593"/>
      <c r="BI338" s="593"/>
      <c r="BJ338" s="593"/>
      <c r="BK338" s="593"/>
      <c r="BL338" s="593"/>
      <c r="BM338" s="593"/>
      <c r="BN338" s="593"/>
      <c r="BO338" s="593"/>
      <c r="BP338" s="593"/>
      <c r="BQ338" s="593"/>
      <c r="BR338" s="593"/>
      <c r="BS338" s="593"/>
      <c r="BT338" s="593"/>
      <c r="BU338" s="593"/>
      <c r="BV338" s="593"/>
      <c r="BW338" s="593"/>
      <c r="BX338" s="593"/>
      <c r="BY338" s="593"/>
      <c r="BZ338" s="593"/>
      <c r="CA338" s="593"/>
      <c r="CB338" s="593"/>
      <c r="CC338" s="593"/>
      <c r="CD338" s="593"/>
      <c r="CE338" s="593"/>
      <c r="CF338" s="593"/>
      <c r="CG338" s="593"/>
      <c r="CH338" s="593"/>
      <c r="CI338" s="593"/>
      <c r="CJ338" s="593"/>
      <c r="CK338" s="593"/>
      <c r="CL338" s="593"/>
      <c r="CM338" s="593"/>
      <c r="CN338" s="593"/>
      <c r="CO338" s="593"/>
      <c r="CP338" s="593"/>
      <c r="CQ338" s="593"/>
      <c r="CR338" s="593"/>
      <c r="CS338" s="593"/>
      <c r="CT338" s="593"/>
      <c r="CU338" s="593"/>
      <c r="CV338" s="593"/>
      <c r="CW338" s="593"/>
      <c r="CX338" s="593"/>
      <c r="CY338" s="593"/>
      <c r="CZ338" s="593"/>
      <c r="DA338" s="593"/>
      <c r="DB338" s="593"/>
      <c r="DC338" s="593"/>
      <c r="DD338" s="593"/>
      <c r="DE338" s="593"/>
      <c r="DF338" s="593"/>
      <c r="DG338" s="593"/>
      <c r="DH338" s="593"/>
      <c r="DI338" s="593"/>
      <c r="DJ338" s="593"/>
      <c r="DK338" s="593"/>
      <c r="DL338" s="593"/>
      <c r="DM338" s="593"/>
      <c r="DN338" s="593"/>
      <c r="DO338" s="594" t="s">
        <v>220</v>
      </c>
      <c r="DP338" s="774" t="s">
        <v>218</v>
      </c>
      <c r="DQ338" s="774" t="s">
        <v>222</v>
      </c>
      <c r="DR338" s="594"/>
      <c r="DS338" s="594"/>
      <c r="DT338" s="594"/>
      <c r="DU338" s="594"/>
      <c r="DV338" s="594"/>
      <c r="DW338" s="594"/>
      <c r="DX338" s="594"/>
      <c r="DY338" s="594"/>
      <c r="DZ338" s="594"/>
      <c r="EA338" s="602"/>
    </row>
    <row r="339" spans="1:131" s="603" customFormat="1" ht="13.5" customHeight="1" thickBot="1">
      <c r="A339" s="652" t="str">
        <f t="shared" si="2392"/>
        <v>유형</v>
      </c>
      <c r="B339" s="653" t="s">
        <v>350</v>
      </c>
      <c r="C339" s="780"/>
      <c r="D339" s="780"/>
      <c r="E339" s="780"/>
      <c r="F339" s="230"/>
      <c r="G339" s="230"/>
      <c r="H339" s="225"/>
      <c r="I339" s="777"/>
      <c r="J339" s="777"/>
      <c r="K339" s="775"/>
      <c r="L339" s="775"/>
      <c r="M339" s="775"/>
      <c r="N339" s="775"/>
      <c r="O339" s="775"/>
      <c r="P339" s="777"/>
      <c r="Q339" s="775"/>
      <c r="R339" s="775"/>
      <c r="S339" s="601"/>
      <c r="T339" s="601"/>
      <c r="U339" s="601"/>
      <c r="V339" s="601"/>
      <c r="W339" s="601"/>
      <c r="X339" s="601"/>
      <c r="Y339" s="601"/>
      <c r="Z339" s="601"/>
      <c r="AA339" s="601"/>
      <c r="AB339" s="601"/>
      <c r="AC339" s="601"/>
      <c r="AD339" s="601"/>
      <c r="AE339" s="601"/>
      <c r="AF339" s="601"/>
      <c r="AG339" s="601"/>
      <c r="AH339" s="601"/>
      <c r="AI339" s="601"/>
      <c r="AJ339" s="601"/>
      <c r="AK339" s="601"/>
      <c r="AL339" s="601"/>
      <c r="AM339" s="601"/>
      <c r="AN339" s="601"/>
      <c r="AO339" s="601"/>
      <c r="AP339" s="601"/>
      <c r="AQ339" s="601"/>
      <c r="AR339" s="601"/>
      <c r="AS339" s="601"/>
      <c r="AT339" s="601"/>
      <c r="AU339" s="601"/>
      <c r="AV339" s="601"/>
      <c r="AW339" s="601"/>
      <c r="AX339" s="601"/>
      <c r="AY339" s="601"/>
      <c r="AZ339" s="601"/>
      <c r="BA339" s="601"/>
      <c r="BB339" s="601"/>
      <c r="BC339" s="601"/>
      <c r="BD339" s="601"/>
      <c r="BE339" s="601"/>
      <c r="BF339" s="601"/>
      <c r="BG339" s="601"/>
      <c r="BH339" s="601"/>
      <c r="BI339" s="601"/>
      <c r="BJ339" s="601"/>
      <c r="BK339" s="601"/>
      <c r="BL339" s="601"/>
      <c r="BM339" s="601"/>
      <c r="BN339" s="601"/>
      <c r="BO339" s="601"/>
      <c r="BP339" s="601"/>
      <c r="BQ339" s="601"/>
      <c r="BR339" s="601"/>
      <c r="BS339" s="601"/>
      <c r="BT339" s="601"/>
      <c r="BU339" s="601"/>
      <c r="BV339" s="601"/>
      <c r="BW339" s="601"/>
      <c r="BX339" s="601"/>
      <c r="BY339" s="601"/>
      <c r="BZ339" s="601"/>
      <c r="CA339" s="601"/>
      <c r="CB339" s="601"/>
      <c r="CC339" s="601"/>
      <c r="CD339" s="601"/>
      <c r="CE339" s="601"/>
      <c r="CF339" s="601"/>
      <c r="CG339" s="601"/>
      <c r="CH339" s="601"/>
      <c r="CI339" s="601"/>
      <c r="CJ339" s="601"/>
      <c r="CK339" s="601"/>
      <c r="CL339" s="601"/>
      <c r="CM339" s="601"/>
      <c r="CN339" s="601"/>
      <c r="CO339" s="601"/>
      <c r="CP339" s="601"/>
      <c r="CQ339" s="601"/>
      <c r="CR339" s="601"/>
      <c r="CS339" s="601"/>
      <c r="CT339" s="601"/>
      <c r="CU339" s="601"/>
      <c r="CV339" s="601"/>
      <c r="CW339" s="601"/>
      <c r="CX339" s="601"/>
      <c r="CY339" s="601"/>
      <c r="CZ339" s="601"/>
      <c r="DA339" s="601"/>
      <c r="DB339" s="601"/>
      <c r="DC339" s="601"/>
      <c r="DD339" s="601"/>
      <c r="DE339" s="601"/>
      <c r="DF339" s="601"/>
      <c r="DG339" s="601"/>
      <c r="DH339" s="601"/>
      <c r="DI339" s="601"/>
      <c r="DJ339" s="601"/>
      <c r="DK339" s="601"/>
      <c r="DL339" s="601"/>
      <c r="DM339" s="601"/>
      <c r="DN339" s="601"/>
      <c r="DO339" s="654">
        <f>$DO$7</f>
        <v>45473</v>
      </c>
      <c r="DP339" s="775"/>
      <c r="DQ339" s="775"/>
      <c r="DR339" s="595">
        <f>NAV!E1099</f>
        <v>0</v>
      </c>
      <c r="DS339" s="596">
        <f>DR339-DR348</f>
        <v>0</v>
      </c>
      <c r="DT339" s="596"/>
      <c r="DU339" s="596"/>
      <c r="DV339" s="597"/>
      <c r="DW339" s="596"/>
      <c r="DX339" s="596"/>
      <c r="DY339" s="596"/>
      <c r="DZ339" s="655"/>
      <c r="EA339" s="656"/>
    </row>
    <row r="340" spans="1:131" s="603" customFormat="1" ht="13.5" customHeight="1">
      <c r="A340" s="652" t="str">
        <f t="shared" si="2392"/>
        <v>설정일</v>
      </c>
      <c r="B340" s="653" t="s">
        <v>351</v>
      </c>
      <c r="C340" s="781"/>
      <c r="D340" s="780"/>
      <c r="E340" s="780"/>
      <c r="F340" s="230"/>
      <c r="G340" s="230"/>
      <c r="H340" s="225"/>
      <c r="I340" s="657">
        <f>SUM(DR340:EA340)</f>
        <v>0</v>
      </c>
      <c r="J340" s="606" t="str">
        <f>IFERROR(I340/(Q340/$C$342),"N/A")</f>
        <v>N/A</v>
      </c>
      <c r="K340" s="471"/>
      <c r="L340" s="607"/>
      <c r="M340" s="300"/>
      <c r="N340" s="608"/>
      <c r="O340" s="609">
        <f t="shared" ref="O340:O347" si="2393">-(SUMIF($S$338:$DN$338,"최초출자",S340:DN340)+SUMIF($S$338:$DN$338,"추가출자",S340:DN340))</f>
        <v>0</v>
      </c>
      <c r="P340" s="609">
        <f t="shared" ref="P340:P347" si="2394">SUMIF($S$338:$DN$338,"이익분배",S340:DN340)+SUMIF($S$338:$DN$338,"원본분배",S340:DN340)</f>
        <v>0</v>
      </c>
      <c r="Q340" s="609">
        <f t="shared" ref="Q340:Q347" si="2395">-(SUMIF($S$338:$DN$338,"최초출자",S340:DN340)+SUMIF($S$338:$DN$338,"추가출자",S340:DN340)+SUMIF($S$338:$DN$338,"원본분배",S340:DN340))</f>
        <v>0</v>
      </c>
      <c r="R340" s="610" t="str">
        <f>IFERROR(Q340/Q348,"")</f>
        <v/>
      </c>
      <c r="S340" s="658"/>
      <c r="T340" s="658"/>
      <c r="U340" s="658"/>
      <c r="V340" s="658"/>
      <c r="W340" s="658"/>
      <c r="X340" s="658"/>
      <c r="Y340" s="658"/>
      <c r="Z340" s="658"/>
      <c r="AA340" s="658"/>
      <c r="AB340" s="658"/>
      <c r="AC340" s="658"/>
      <c r="AD340" s="658"/>
      <c r="AE340" s="658"/>
      <c r="AF340" s="658"/>
      <c r="AG340" s="658"/>
      <c r="AH340" s="658"/>
      <c r="AI340" s="658"/>
      <c r="AJ340" s="658"/>
      <c r="AK340" s="658"/>
      <c r="AL340" s="658"/>
      <c r="AM340" s="658"/>
      <c r="AN340" s="658"/>
      <c r="AO340" s="658"/>
      <c r="AP340" s="658"/>
      <c r="AQ340" s="658"/>
      <c r="AR340" s="658"/>
      <c r="AS340" s="658"/>
      <c r="AT340" s="658"/>
      <c r="AU340" s="658"/>
      <c r="AV340" s="658"/>
      <c r="AW340" s="658"/>
      <c r="AX340" s="658"/>
      <c r="AY340" s="658"/>
      <c r="AZ340" s="658"/>
      <c r="BA340" s="658"/>
      <c r="BB340" s="658"/>
      <c r="BC340" s="658"/>
      <c r="BD340" s="658"/>
      <c r="BE340" s="658"/>
      <c r="BF340" s="658"/>
      <c r="BG340" s="658"/>
      <c r="BH340" s="658"/>
      <c r="BI340" s="658"/>
      <c r="BJ340" s="658"/>
      <c r="BK340" s="658"/>
      <c r="BL340" s="658"/>
      <c r="BM340" s="658"/>
      <c r="BN340" s="658"/>
      <c r="BO340" s="658"/>
      <c r="BP340" s="658"/>
      <c r="BQ340" s="658"/>
      <c r="BR340" s="658"/>
      <c r="BS340" s="658"/>
      <c r="BT340" s="658"/>
      <c r="BU340" s="658"/>
      <c r="BV340" s="658"/>
      <c r="BW340" s="658"/>
      <c r="BX340" s="658"/>
      <c r="BY340" s="658"/>
      <c r="BZ340" s="658"/>
      <c r="CA340" s="658"/>
      <c r="CB340" s="658"/>
      <c r="CC340" s="658"/>
      <c r="CD340" s="658"/>
      <c r="CE340" s="658"/>
      <c r="CF340" s="658"/>
      <c r="CG340" s="658"/>
      <c r="CH340" s="658"/>
      <c r="CI340" s="658"/>
      <c r="CJ340" s="658"/>
      <c r="CK340" s="658"/>
      <c r="CL340" s="658"/>
      <c r="CM340" s="658"/>
      <c r="CN340" s="658"/>
      <c r="CO340" s="658"/>
      <c r="CP340" s="658"/>
      <c r="CQ340" s="658"/>
      <c r="CR340" s="658"/>
      <c r="CS340" s="658"/>
      <c r="CT340" s="658"/>
      <c r="CU340" s="658"/>
      <c r="CV340" s="658"/>
      <c r="CW340" s="658"/>
      <c r="CX340" s="658"/>
      <c r="CY340" s="658"/>
      <c r="CZ340" s="658"/>
      <c r="DA340" s="658"/>
      <c r="DB340" s="658"/>
      <c r="DC340" s="658"/>
      <c r="DD340" s="658"/>
      <c r="DE340" s="658"/>
      <c r="DF340" s="658"/>
      <c r="DG340" s="658"/>
      <c r="DH340" s="658"/>
      <c r="DI340" s="658"/>
      <c r="DJ340" s="658"/>
      <c r="DK340" s="658"/>
      <c r="DL340" s="658"/>
      <c r="DM340" s="658"/>
      <c r="DN340" s="658"/>
      <c r="DO340" s="177">
        <f>IF(M340="",0,-XNPV(DP340,S340,S$339)*(1+DP340)^YEARFRAC($S$339,$DO$339,3))</f>
        <v>0</v>
      </c>
      <c r="DP340" s="612" t="e">
        <f>IF(HLOOKUP(L340,$C$347:$E$348,2,0)=0,1E-24%,HLOOKUP(L340,$C$347:$E$348,2,FALSE))</f>
        <v>#N/A</v>
      </c>
      <c r="DQ340" s="612" t="e">
        <f t="shared" ref="DQ340:DQ347" si="2396">XIRR(S340:DO340,$S$339:$DO$339)</f>
        <v>#NUM!</v>
      </c>
      <c r="DR340" s="177"/>
      <c r="DS340" s="177"/>
      <c r="DT340" s="177"/>
      <c r="DU340" s="177"/>
      <c r="DV340" s="177"/>
      <c r="DW340" s="177"/>
      <c r="DX340" s="177"/>
      <c r="DY340" s="177"/>
      <c r="DZ340" s="177"/>
      <c r="EA340" s="613"/>
    </row>
    <row r="341" spans="1:131" ht="13.5" customHeight="1">
      <c r="A341" s="652" t="str">
        <f t="shared" si="2392"/>
        <v>출자잔액</v>
      </c>
      <c r="B341" s="653" t="s">
        <v>352</v>
      </c>
      <c r="C341" s="782"/>
      <c r="D341" s="782"/>
      <c r="E341" s="782"/>
      <c r="F341" s="230"/>
      <c r="G341" s="230"/>
      <c r="I341" s="657">
        <f t="shared" ref="I341:I347" si="2397">SUM(DR341:EA341)</f>
        <v>0</v>
      </c>
      <c r="J341" s="606" t="str">
        <f t="shared" ref="J341:J347" si="2398">IFERROR(I341/(Q341/$C$342),"N/A")</f>
        <v>N/A</v>
      </c>
      <c r="K341" s="471"/>
      <c r="L341" s="607"/>
      <c r="M341" s="300"/>
      <c r="N341" s="608"/>
      <c r="O341" s="609">
        <f t="shared" si="2393"/>
        <v>0</v>
      </c>
      <c r="P341" s="609">
        <f t="shared" si="2394"/>
        <v>0</v>
      </c>
      <c r="Q341" s="609">
        <f t="shared" si="2395"/>
        <v>0</v>
      </c>
      <c r="R341" s="610" t="str">
        <f>IFERROR(Q341/Q348,"")</f>
        <v/>
      </c>
      <c r="S341" s="658"/>
      <c r="T341" s="658"/>
      <c r="U341" s="658"/>
      <c r="V341" s="658"/>
      <c r="W341" s="658"/>
      <c r="X341" s="658"/>
      <c r="Y341" s="658"/>
      <c r="Z341" s="658"/>
      <c r="AA341" s="658"/>
      <c r="AB341" s="658"/>
      <c r="AC341" s="658"/>
      <c r="AD341" s="658"/>
      <c r="AE341" s="658"/>
      <c r="AF341" s="658"/>
      <c r="AG341" s="658"/>
      <c r="AH341" s="658"/>
      <c r="AI341" s="658"/>
      <c r="AJ341" s="658"/>
      <c r="AK341" s="658"/>
      <c r="AL341" s="658"/>
      <c r="AM341" s="658"/>
      <c r="AN341" s="658"/>
      <c r="AO341" s="658"/>
      <c r="AP341" s="658"/>
      <c r="AQ341" s="658"/>
      <c r="AR341" s="658"/>
      <c r="AS341" s="658"/>
      <c r="AT341" s="658"/>
      <c r="AU341" s="658"/>
      <c r="AV341" s="658"/>
      <c r="AW341" s="658"/>
      <c r="AX341" s="658"/>
      <c r="AY341" s="658"/>
      <c r="AZ341" s="658"/>
      <c r="BA341" s="658"/>
      <c r="BB341" s="658"/>
      <c r="BC341" s="658"/>
      <c r="BD341" s="658"/>
      <c r="BE341" s="658"/>
      <c r="BF341" s="658"/>
      <c r="BG341" s="658"/>
      <c r="BH341" s="658"/>
      <c r="BI341" s="658"/>
      <c r="BJ341" s="658"/>
      <c r="BK341" s="658"/>
      <c r="BL341" s="658"/>
      <c r="BM341" s="658"/>
      <c r="BN341" s="658"/>
      <c r="BO341" s="658"/>
      <c r="BP341" s="658"/>
      <c r="BQ341" s="658"/>
      <c r="BR341" s="658"/>
      <c r="BS341" s="658"/>
      <c r="BT341" s="658"/>
      <c r="BU341" s="658"/>
      <c r="BV341" s="658"/>
      <c r="BW341" s="658"/>
      <c r="BX341" s="658"/>
      <c r="BY341" s="658"/>
      <c r="BZ341" s="658"/>
      <c r="CA341" s="658"/>
      <c r="CB341" s="658"/>
      <c r="CC341" s="658"/>
      <c r="CD341" s="658"/>
      <c r="CE341" s="658"/>
      <c r="CF341" s="658"/>
      <c r="CG341" s="658"/>
      <c r="CH341" s="658"/>
      <c r="CI341" s="658"/>
      <c r="CJ341" s="658"/>
      <c r="CK341" s="658"/>
      <c r="CL341" s="658"/>
      <c r="CM341" s="658"/>
      <c r="CN341" s="658"/>
      <c r="CO341" s="658"/>
      <c r="CP341" s="658"/>
      <c r="CQ341" s="658"/>
      <c r="CR341" s="658"/>
      <c r="CS341" s="658"/>
      <c r="CT341" s="658"/>
      <c r="CU341" s="658"/>
      <c r="CV341" s="658"/>
      <c r="CW341" s="658"/>
      <c r="CX341" s="658"/>
      <c r="CY341" s="658"/>
      <c r="CZ341" s="658"/>
      <c r="DA341" s="658"/>
      <c r="DB341" s="658"/>
      <c r="DC341" s="658"/>
      <c r="DD341" s="658"/>
      <c r="DE341" s="658"/>
      <c r="DF341" s="658"/>
      <c r="DG341" s="658"/>
      <c r="DH341" s="658"/>
      <c r="DI341" s="658"/>
      <c r="DJ341" s="658"/>
      <c r="DK341" s="658"/>
      <c r="DL341" s="658"/>
      <c r="DM341" s="658"/>
      <c r="DN341" s="658"/>
      <c r="DO341" s="177">
        <f t="shared" ref="DO341:DO347" si="2399">IF(M341="",0,-XNPV(DP341,S341,S$339)*(1+DP341)^YEARFRAC($S$339,$DO$339,3))</f>
        <v>0</v>
      </c>
      <c r="DP341" s="612" t="e">
        <f t="shared" ref="DP341:DP347" si="2400">IF(HLOOKUP(L341,$C$347:$E$348,2,0)=0,1E-24%,HLOOKUP(L341,$C$347:$E$348,2,FALSE))</f>
        <v>#N/A</v>
      </c>
      <c r="DQ341" s="612" t="e">
        <f t="shared" si="2396"/>
        <v>#NUM!</v>
      </c>
      <c r="DR341" s="177"/>
      <c r="DS341" s="177"/>
      <c r="DT341" s="177"/>
      <c r="DU341" s="177"/>
      <c r="DV341" s="177"/>
      <c r="DW341" s="177"/>
      <c r="DX341" s="177"/>
      <c r="DY341" s="177"/>
      <c r="DZ341" s="177"/>
      <c r="EA341" s="613"/>
    </row>
    <row r="342" spans="1:131" ht="13.5" customHeight="1">
      <c r="A342" s="652" t="str">
        <f t="shared" si="2392"/>
        <v>1좌당 금액</v>
      </c>
      <c r="B342" s="653" t="s">
        <v>353</v>
      </c>
      <c r="C342" s="783"/>
      <c r="D342" s="783"/>
      <c r="E342" s="783"/>
      <c r="F342" s="230"/>
      <c r="G342" s="230"/>
      <c r="I342" s="657">
        <f t="shared" si="2397"/>
        <v>0</v>
      </c>
      <c r="J342" s="606" t="str">
        <f t="shared" si="2398"/>
        <v>N/A</v>
      </c>
      <c r="K342" s="471"/>
      <c r="L342" s="607"/>
      <c r="M342" s="300"/>
      <c r="N342" s="608"/>
      <c r="O342" s="609">
        <f t="shared" si="2393"/>
        <v>0</v>
      </c>
      <c r="P342" s="609">
        <f t="shared" si="2394"/>
        <v>0</v>
      </c>
      <c r="Q342" s="609">
        <f t="shared" si="2395"/>
        <v>0</v>
      </c>
      <c r="R342" s="610" t="str">
        <f>IFERROR(Q342/Q348,"")</f>
        <v/>
      </c>
      <c r="S342" s="658"/>
      <c r="T342" s="658"/>
      <c r="U342" s="658"/>
      <c r="V342" s="658"/>
      <c r="W342" s="658"/>
      <c r="X342" s="658"/>
      <c r="Y342" s="658"/>
      <c r="Z342" s="658"/>
      <c r="AA342" s="658"/>
      <c r="AB342" s="658"/>
      <c r="AC342" s="658"/>
      <c r="AD342" s="658"/>
      <c r="AE342" s="658"/>
      <c r="AF342" s="658"/>
      <c r="AG342" s="658"/>
      <c r="AH342" s="658"/>
      <c r="AI342" s="658"/>
      <c r="AJ342" s="658"/>
      <c r="AK342" s="658"/>
      <c r="AL342" s="658"/>
      <c r="AM342" s="658"/>
      <c r="AN342" s="658"/>
      <c r="AO342" s="658"/>
      <c r="AP342" s="658"/>
      <c r="AQ342" s="658"/>
      <c r="AR342" s="658"/>
      <c r="AS342" s="658"/>
      <c r="AT342" s="658"/>
      <c r="AU342" s="658"/>
      <c r="AV342" s="658"/>
      <c r="AW342" s="658"/>
      <c r="AX342" s="658"/>
      <c r="AY342" s="658"/>
      <c r="AZ342" s="658"/>
      <c r="BA342" s="658"/>
      <c r="BB342" s="658"/>
      <c r="BC342" s="658"/>
      <c r="BD342" s="658"/>
      <c r="BE342" s="658"/>
      <c r="BF342" s="658"/>
      <c r="BG342" s="658"/>
      <c r="BH342" s="658"/>
      <c r="BI342" s="658"/>
      <c r="BJ342" s="658"/>
      <c r="BK342" s="658"/>
      <c r="BL342" s="658"/>
      <c r="BM342" s="658"/>
      <c r="BN342" s="658"/>
      <c r="BO342" s="658"/>
      <c r="BP342" s="658"/>
      <c r="BQ342" s="658"/>
      <c r="BR342" s="658"/>
      <c r="BS342" s="658"/>
      <c r="BT342" s="658"/>
      <c r="BU342" s="658"/>
      <c r="BV342" s="658"/>
      <c r="BW342" s="658"/>
      <c r="BX342" s="658"/>
      <c r="BY342" s="658"/>
      <c r="BZ342" s="658"/>
      <c r="CA342" s="658"/>
      <c r="CB342" s="658"/>
      <c r="CC342" s="658"/>
      <c r="CD342" s="658"/>
      <c r="CE342" s="658"/>
      <c r="CF342" s="658"/>
      <c r="CG342" s="658"/>
      <c r="CH342" s="658"/>
      <c r="CI342" s="658"/>
      <c r="CJ342" s="658"/>
      <c r="CK342" s="658"/>
      <c r="CL342" s="658"/>
      <c r="CM342" s="658"/>
      <c r="CN342" s="658"/>
      <c r="CO342" s="658"/>
      <c r="CP342" s="658"/>
      <c r="CQ342" s="658"/>
      <c r="CR342" s="658"/>
      <c r="CS342" s="658"/>
      <c r="CT342" s="658"/>
      <c r="CU342" s="658"/>
      <c r="CV342" s="658"/>
      <c r="CW342" s="658"/>
      <c r="CX342" s="658"/>
      <c r="CY342" s="658"/>
      <c r="CZ342" s="658"/>
      <c r="DA342" s="658"/>
      <c r="DB342" s="658"/>
      <c r="DC342" s="658"/>
      <c r="DD342" s="658"/>
      <c r="DE342" s="658"/>
      <c r="DF342" s="658"/>
      <c r="DG342" s="658"/>
      <c r="DH342" s="658"/>
      <c r="DI342" s="658"/>
      <c r="DJ342" s="658"/>
      <c r="DK342" s="658"/>
      <c r="DL342" s="658"/>
      <c r="DM342" s="658"/>
      <c r="DN342" s="658"/>
      <c r="DO342" s="177">
        <f t="shared" si="2399"/>
        <v>0</v>
      </c>
      <c r="DP342" s="612" t="e">
        <f t="shared" si="2400"/>
        <v>#N/A</v>
      </c>
      <c r="DQ342" s="612" t="e">
        <f t="shared" si="2396"/>
        <v>#NUM!</v>
      </c>
      <c r="DR342" s="177"/>
      <c r="DS342" s="177"/>
      <c r="DT342" s="177"/>
      <c r="DU342" s="177"/>
      <c r="DV342" s="177"/>
      <c r="DW342" s="177"/>
      <c r="DX342" s="177"/>
      <c r="DY342" s="177"/>
      <c r="DZ342" s="177"/>
      <c r="EA342" s="613"/>
    </row>
    <row r="343" spans="1:131" ht="13.5" customHeight="1">
      <c r="A343" s="652" t="str">
        <f t="shared" si="2392"/>
        <v>기준수익률</v>
      </c>
      <c r="B343" s="653" t="s">
        <v>354</v>
      </c>
      <c r="C343" s="784"/>
      <c r="D343" s="785"/>
      <c r="E343" s="785"/>
      <c r="F343" s="230"/>
      <c r="G343" s="230"/>
      <c r="I343" s="657">
        <f t="shared" si="2397"/>
        <v>0</v>
      </c>
      <c r="J343" s="606" t="str">
        <f t="shared" si="2398"/>
        <v>N/A</v>
      </c>
      <c r="K343" s="471"/>
      <c r="L343" s="607"/>
      <c r="M343" s="300"/>
      <c r="N343" s="608"/>
      <c r="O343" s="609">
        <f t="shared" si="2393"/>
        <v>0</v>
      </c>
      <c r="P343" s="609">
        <f t="shared" si="2394"/>
        <v>0</v>
      </c>
      <c r="Q343" s="609">
        <f t="shared" si="2395"/>
        <v>0</v>
      </c>
      <c r="R343" s="610" t="str">
        <f>IFERROR(Q343/Q348,"")</f>
        <v/>
      </c>
      <c r="S343" s="658"/>
      <c r="T343" s="658"/>
      <c r="U343" s="658"/>
      <c r="V343" s="658"/>
      <c r="W343" s="658"/>
      <c r="X343" s="658"/>
      <c r="Y343" s="658"/>
      <c r="Z343" s="658"/>
      <c r="AA343" s="658"/>
      <c r="AB343" s="658"/>
      <c r="AC343" s="658"/>
      <c r="AD343" s="658"/>
      <c r="AE343" s="658"/>
      <c r="AF343" s="658"/>
      <c r="AG343" s="658"/>
      <c r="AH343" s="658"/>
      <c r="AI343" s="658"/>
      <c r="AJ343" s="658"/>
      <c r="AK343" s="658"/>
      <c r="AL343" s="658"/>
      <c r="AM343" s="658"/>
      <c r="AN343" s="658"/>
      <c r="AO343" s="658"/>
      <c r="AP343" s="658"/>
      <c r="AQ343" s="658"/>
      <c r="AR343" s="658"/>
      <c r="AS343" s="658"/>
      <c r="AT343" s="658"/>
      <c r="AU343" s="658"/>
      <c r="AV343" s="658"/>
      <c r="AW343" s="658"/>
      <c r="AX343" s="658"/>
      <c r="AY343" s="658"/>
      <c r="AZ343" s="658"/>
      <c r="BA343" s="658"/>
      <c r="BB343" s="658"/>
      <c r="BC343" s="658"/>
      <c r="BD343" s="658"/>
      <c r="BE343" s="658"/>
      <c r="BF343" s="658"/>
      <c r="BG343" s="658"/>
      <c r="BH343" s="658"/>
      <c r="BI343" s="658"/>
      <c r="BJ343" s="658"/>
      <c r="BK343" s="658"/>
      <c r="BL343" s="658"/>
      <c r="BM343" s="658"/>
      <c r="BN343" s="658"/>
      <c r="BO343" s="658"/>
      <c r="BP343" s="658"/>
      <c r="BQ343" s="658"/>
      <c r="BR343" s="658"/>
      <c r="BS343" s="658"/>
      <c r="BT343" s="658"/>
      <c r="BU343" s="658"/>
      <c r="BV343" s="658"/>
      <c r="BW343" s="658"/>
      <c r="BX343" s="658"/>
      <c r="BY343" s="658"/>
      <c r="BZ343" s="658"/>
      <c r="CA343" s="658"/>
      <c r="CB343" s="658"/>
      <c r="CC343" s="658"/>
      <c r="CD343" s="658"/>
      <c r="CE343" s="658"/>
      <c r="CF343" s="658"/>
      <c r="CG343" s="658"/>
      <c r="CH343" s="658"/>
      <c r="CI343" s="658"/>
      <c r="CJ343" s="658"/>
      <c r="CK343" s="658"/>
      <c r="CL343" s="658"/>
      <c r="CM343" s="658"/>
      <c r="CN343" s="658"/>
      <c r="CO343" s="658"/>
      <c r="CP343" s="658"/>
      <c r="CQ343" s="658"/>
      <c r="CR343" s="658"/>
      <c r="CS343" s="658"/>
      <c r="CT343" s="658"/>
      <c r="CU343" s="658"/>
      <c r="CV343" s="658"/>
      <c r="CW343" s="658"/>
      <c r="CX343" s="658"/>
      <c r="CY343" s="658"/>
      <c r="CZ343" s="658"/>
      <c r="DA343" s="658"/>
      <c r="DB343" s="658"/>
      <c r="DC343" s="658"/>
      <c r="DD343" s="658"/>
      <c r="DE343" s="658"/>
      <c r="DF343" s="658"/>
      <c r="DG343" s="658"/>
      <c r="DH343" s="658"/>
      <c r="DI343" s="658"/>
      <c r="DJ343" s="658"/>
      <c r="DK343" s="658"/>
      <c r="DL343" s="658"/>
      <c r="DM343" s="658"/>
      <c r="DN343" s="658"/>
      <c r="DO343" s="177">
        <f t="shared" si="2399"/>
        <v>0</v>
      </c>
      <c r="DP343" s="612" t="e">
        <f t="shared" si="2400"/>
        <v>#N/A</v>
      </c>
      <c r="DQ343" s="612" t="e">
        <f t="shared" si="2396"/>
        <v>#NUM!</v>
      </c>
      <c r="DR343" s="177"/>
      <c r="DS343" s="177"/>
      <c r="DT343" s="177"/>
      <c r="DU343" s="177"/>
      <c r="DV343" s="177"/>
      <c r="DW343" s="177"/>
      <c r="DX343" s="177"/>
      <c r="DY343" s="177"/>
      <c r="DZ343" s="177"/>
      <c r="EA343" s="613"/>
    </row>
    <row r="344" spans="1:131" ht="13.5" customHeight="1">
      <c r="A344" s="652" t="str">
        <f t="shared" si="2392"/>
        <v>평가방법론</v>
      </c>
      <c r="B344" s="653" t="s">
        <v>7</v>
      </c>
      <c r="C344" s="786"/>
      <c r="D344" s="786"/>
      <c r="E344" s="786"/>
      <c r="F344" s="230"/>
      <c r="G344" s="230"/>
      <c r="I344" s="657">
        <f t="shared" si="2397"/>
        <v>0</v>
      </c>
      <c r="J344" s="606" t="str">
        <f t="shared" si="2398"/>
        <v>N/A</v>
      </c>
      <c r="K344" s="471"/>
      <c r="L344" s="607"/>
      <c r="M344" s="300"/>
      <c r="N344" s="608"/>
      <c r="O344" s="609">
        <f t="shared" si="2393"/>
        <v>0</v>
      </c>
      <c r="P344" s="609">
        <f t="shared" si="2394"/>
        <v>0</v>
      </c>
      <c r="Q344" s="609">
        <f t="shared" si="2395"/>
        <v>0</v>
      </c>
      <c r="R344" s="610" t="str">
        <f>IFERROR(Q344/Q348,"")</f>
        <v/>
      </c>
      <c r="S344" s="658"/>
      <c r="T344" s="658"/>
      <c r="U344" s="658"/>
      <c r="V344" s="658"/>
      <c r="W344" s="658"/>
      <c r="X344" s="658"/>
      <c r="Y344" s="658"/>
      <c r="Z344" s="658"/>
      <c r="AA344" s="658"/>
      <c r="AB344" s="658"/>
      <c r="AC344" s="658"/>
      <c r="AD344" s="658"/>
      <c r="AE344" s="658"/>
      <c r="AF344" s="658"/>
      <c r="AG344" s="658"/>
      <c r="AH344" s="658"/>
      <c r="AI344" s="658"/>
      <c r="AJ344" s="658"/>
      <c r="AK344" s="658"/>
      <c r="AL344" s="658"/>
      <c r="AM344" s="658"/>
      <c r="AN344" s="658"/>
      <c r="AO344" s="658"/>
      <c r="AP344" s="658"/>
      <c r="AQ344" s="658"/>
      <c r="AR344" s="658"/>
      <c r="AS344" s="658"/>
      <c r="AT344" s="658"/>
      <c r="AU344" s="658"/>
      <c r="AV344" s="658"/>
      <c r="AW344" s="658"/>
      <c r="AX344" s="658"/>
      <c r="AY344" s="658"/>
      <c r="AZ344" s="658"/>
      <c r="BA344" s="658"/>
      <c r="BB344" s="658"/>
      <c r="BC344" s="658"/>
      <c r="BD344" s="658"/>
      <c r="BE344" s="658"/>
      <c r="BF344" s="658"/>
      <c r="BG344" s="658"/>
      <c r="BH344" s="658"/>
      <c r="BI344" s="658"/>
      <c r="BJ344" s="658"/>
      <c r="BK344" s="658"/>
      <c r="BL344" s="658"/>
      <c r="BM344" s="658"/>
      <c r="BN344" s="658"/>
      <c r="BO344" s="658"/>
      <c r="BP344" s="658"/>
      <c r="BQ344" s="658"/>
      <c r="BR344" s="658"/>
      <c r="BS344" s="658"/>
      <c r="BT344" s="658"/>
      <c r="BU344" s="658"/>
      <c r="BV344" s="658"/>
      <c r="BW344" s="658"/>
      <c r="BX344" s="658"/>
      <c r="BY344" s="658"/>
      <c r="BZ344" s="658"/>
      <c r="CA344" s="658"/>
      <c r="CB344" s="658"/>
      <c r="CC344" s="658"/>
      <c r="CD344" s="658"/>
      <c r="CE344" s="658"/>
      <c r="CF344" s="658"/>
      <c r="CG344" s="658"/>
      <c r="CH344" s="658"/>
      <c r="CI344" s="658"/>
      <c r="CJ344" s="658"/>
      <c r="CK344" s="658"/>
      <c r="CL344" s="658"/>
      <c r="CM344" s="658"/>
      <c r="CN344" s="658"/>
      <c r="CO344" s="658"/>
      <c r="CP344" s="658"/>
      <c r="CQ344" s="658"/>
      <c r="CR344" s="658"/>
      <c r="CS344" s="658"/>
      <c r="CT344" s="658"/>
      <c r="CU344" s="658"/>
      <c r="CV344" s="658"/>
      <c r="CW344" s="658"/>
      <c r="CX344" s="658"/>
      <c r="CY344" s="658"/>
      <c r="CZ344" s="658"/>
      <c r="DA344" s="658"/>
      <c r="DB344" s="658"/>
      <c r="DC344" s="658"/>
      <c r="DD344" s="658"/>
      <c r="DE344" s="658"/>
      <c r="DF344" s="658"/>
      <c r="DG344" s="658"/>
      <c r="DH344" s="658"/>
      <c r="DI344" s="658"/>
      <c r="DJ344" s="658"/>
      <c r="DK344" s="658"/>
      <c r="DL344" s="658"/>
      <c r="DM344" s="658"/>
      <c r="DN344" s="658"/>
      <c r="DO344" s="177">
        <f t="shared" si="2399"/>
        <v>0</v>
      </c>
      <c r="DP344" s="612" t="e">
        <f t="shared" si="2400"/>
        <v>#N/A</v>
      </c>
      <c r="DQ344" s="612" t="e">
        <f t="shared" si="2396"/>
        <v>#NUM!</v>
      </c>
      <c r="DR344" s="177"/>
      <c r="DS344" s="177"/>
      <c r="DT344" s="177"/>
      <c r="DU344" s="177"/>
      <c r="DV344" s="177"/>
      <c r="DW344" s="177"/>
      <c r="DX344" s="177"/>
      <c r="DY344" s="177"/>
      <c r="DZ344" s="177"/>
      <c r="EA344" s="613"/>
    </row>
    <row r="345" spans="1:131" ht="13.5" customHeight="1">
      <c r="A345" s="652" t="str">
        <f t="shared" si="2392"/>
        <v>분배 조항 여부</v>
      </c>
      <c r="B345" s="653" t="s">
        <v>355</v>
      </c>
      <c r="C345" s="786"/>
      <c r="D345" s="786"/>
      <c r="E345" s="786"/>
      <c r="F345" s="230"/>
      <c r="G345" s="230"/>
      <c r="I345" s="657">
        <f t="shared" si="2397"/>
        <v>0</v>
      </c>
      <c r="J345" s="606" t="str">
        <f t="shared" si="2398"/>
        <v>N/A</v>
      </c>
      <c r="K345" s="471"/>
      <c r="L345" s="607"/>
      <c r="M345" s="300"/>
      <c r="N345" s="608"/>
      <c r="O345" s="609">
        <f t="shared" si="2393"/>
        <v>0</v>
      </c>
      <c r="P345" s="609">
        <f t="shared" si="2394"/>
        <v>0</v>
      </c>
      <c r="Q345" s="609">
        <f t="shared" si="2395"/>
        <v>0</v>
      </c>
      <c r="R345" s="610" t="str">
        <f>IFERROR(Q345/Q348,"")</f>
        <v/>
      </c>
      <c r="S345" s="658"/>
      <c r="T345" s="658"/>
      <c r="U345" s="658"/>
      <c r="V345" s="658"/>
      <c r="W345" s="658"/>
      <c r="X345" s="658"/>
      <c r="Y345" s="658"/>
      <c r="Z345" s="658"/>
      <c r="AA345" s="658"/>
      <c r="AB345" s="658"/>
      <c r="AC345" s="658"/>
      <c r="AD345" s="658"/>
      <c r="AE345" s="658"/>
      <c r="AF345" s="658"/>
      <c r="AG345" s="658"/>
      <c r="AH345" s="658"/>
      <c r="AI345" s="658"/>
      <c r="AJ345" s="658"/>
      <c r="AK345" s="658"/>
      <c r="AL345" s="658"/>
      <c r="AM345" s="658"/>
      <c r="AN345" s="658"/>
      <c r="AO345" s="658"/>
      <c r="AP345" s="658"/>
      <c r="AQ345" s="658"/>
      <c r="AR345" s="658"/>
      <c r="AS345" s="658"/>
      <c r="AT345" s="658"/>
      <c r="AU345" s="658"/>
      <c r="AV345" s="658"/>
      <c r="AW345" s="658"/>
      <c r="AX345" s="658"/>
      <c r="AY345" s="658"/>
      <c r="AZ345" s="658"/>
      <c r="BA345" s="658"/>
      <c r="BB345" s="658"/>
      <c r="BC345" s="658"/>
      <c r="BD345" s="658"/>
      <c r="BE345" s="658"/>
      <c r="BF345" s="658"/>
      <c r="BG345" s="658"/>
      <c r="BH345" s="658"/>
      <c r="BI345" s="658"/>
      <c r="BJ345" s="658"/>
      <c r="BK345" s="658"/>
      <c r="BL345" s="658"/>
      <c r="BM345" s="658"/>
      <c r="BN345" s="658"/>
      <c r="BO345" s="658"/>
      <c r="BP345" s="658"/>
      <c r="BQ345" s="658"/>
      <c r="BR345" s="658"/>
      <c r="BS345" s="658"/>
      <c r="BT345" s="658"/>
      <c r="BU345" s="658"/>
      <c r="BV345" s="658"/>
      <c r="BW345" s="658"/>
      <c r="BX345" s="658"/>
      <c r="BY345" s="658"/>
      <c r="BZ345" s="658"/>
      <c r="CA345" s="658"/>
      <c r="CB345" s="658"/>
      <c r="CC345" s="658"/>
      <c r="CD345" s="658"/>
      <c r="CE345" s="658"/>
      <c r="CF345" s="658"/>
      <c r="CG345" s="658"/>
      <c r="CH345" s="658"/>
      <c r="CI345" s="658"/>
      <c r="CJ345" s="658"/>
      <c r="CK345" s="658"/>
      <c r="CL345" s="658"/>
      <c r="CM345" s="658"/>
      <c r="CN345" s="658"/>
      <c r="CO345" s="658"/>
      <c r="CP345" s="658"/>
      <c r="CQ345" s="658"/>
      <c r="CR345" s="658"/>
      <c r="CS345" s="658"/>
      <c r="CT345" s="658"/>
      <c r="CU345" s="658"/>
      <c r="CV345" s="658"/>
      <c r="CW345" s="658"/>
      <c r="CX345" s="658"/>
      <c r="CY345" s="658"/>
      <c r="CZ345" s="658"/>
      <c r="DA345" s="658"/>
      <c r="DB345" s="658"/>
      <c r="DC345" s="658"/>
      <c r="DD345" s="658"/>
      <c r="DE345" s="658"/>
      <c r="DF345" s="658"/>
      <c r="DG345" s="658"/>
      <c r="DH345" s="658"/>
      <c r="DI345" s="658"/>
      <c r="DJ345" s="658"/>
      <c r="DK345" s="658"/>
      <c r="DL345" s="658"/>
      <c r="DM345" s="658"/>
      <c r="DN345" s="658"/>
      <c r="DO345" s="177">
        <f t="shared" si="2399"/>
        <v>0</v>
      </c>
      <c r="DP345" s="612" t="e">
        <f t="shared" si="2400"/>
        <v>#N/A</v>
      </c>
      <c r="DQ345" s="612" t="e">
        <f t="shared" si="2396"/>
        <v>#NUM!</v>
      </c>
      <c r="DR345" s="177"/>
      <c r="DS345" s="177"/>
      <c r="DT345" s="177"/>
      <c r="DU345" s="177"/>
      <c r="DV345" s="177"/>
      <c r="DW345" s="177"/>
      <c r="DX345" s="177"/>
      <c r="DY345" s="177"/>
      <c r="DZ345" s="177"/>
      <c r="EA345" s="613"/>
    </row>
    <row r="346" spans="1:131" ht="14.25" thickBot="1">
      <c r="A346" s="652" t="str">
        <f t="shared" si="2392"/>
        <v>모펀드 출자 지분율</v>
      </c>
      <c r="B346" s="660" t="s">
        <v>356</v>
      </c>
      <c r="C346" s="787"/>
      <c r="D346" s="787"/>
      <c r="E346" s="787"/>
      <c r="F346" s="230"/>
      <c r="G346" s="230"/>
      <c r="I346" s="657">
        <f t="shared" si="2397"/>
        <v>0</v>
      </c>
      <c r="J346" s="606" t="str">
        <f t="shared" si="2398"/>
        <v>N/A</v>
      </c>
      <c r="K346" s="471"/>
      <c r="L346" s="607"/>
      <c r="M346" s="300"/>
      <c r="N346" s="608"/>
      <c r="O346" s="609">
        <f t="shared" si="2393"/>
        <v>0</v>
      </c>
      <c r="P346" s="609">
        <f t="shared" si="2394"/>
        <v>0</v>
      </c>
      <c r="Q346" s="609">
        <f t="shared" si="2395"/>
        <v>0</v>
      </c>
      <c r="R346" s="610" t="str">
        <f>IFERROR(Q346/Q348,"")</f>
        <v/>
      </c>
      <c r="S346" s="658"/>
      <c r="T346" s="658"/>
      <c r="U346" s="658"/>
      <c r="V346" s="658"/>
      <c r="W346" s="658"/>
      <c r="X346" s="658"/>
      <c r="Y346" s="658"/>
      <c r="Z346" s="658"/>
      <c r="AA346" s="658"/>
      <c r="AB346" s="658"/>
      <c r="AC346" s="658"/>
      <c r="AD346" s="658"/>
      <c r="AE346" s="658"/>
      <c r="AF346" s="658"/>
      <c r="AG346" s="658"/>
      <c r="AH346" s="658"/>
      <c r="AI346" s="658"/>
      <c r="AJ346" s="658"/>
      <c r="AK346" s="658"/>
      <c r="AL346" s="658"/>
      <c r="AM346" s="658"/>
      <c r="AN346" s="658"/>
      <c r="AO346" s="658"/>
      <c r="AP346" s="658"/>
      <c r="AQ346" s="658"/>
      <c r="AR346" s="658"/>
      <c r="AS346" s="658"/>
      <c r="AT346" s="658"/>
      <c r="AU346" s="658"/>
      <c r="AV346" s="658"/>
      <c r="AW346" s="658"/>
      <c r="AX346" s="658"/>
      <c r="AY346" s="658"/>
      <c r="AZ346" s="658"/>
      <c r="BA346" s="658"/>
      <c r="BB346" s="658"/>
      <c r="BC346" s="658"/>
      <c r="BD346" s="658"/>
      <c r="BE346" s="658"/>
      <c r="BF346" s="658"/>
      <c r="BG346" s="658"/>
      <c r="BH346" s="658"/>
      <c r="BI346" s="658"/>
      <c r="BJ346" s="658"/>
      <c r="BK346" s="658"/>
      <c r="BL346" s="658"/>
      <c r="BM346" s="658"/>
      <c r="BN346" s="658"/>
      <c r="BO346" s="658"/>
      <c r="BP346" s="658"/>
      <c r="BQ346" s="658"/>
      <c r="BR346" s="658"/>
      <c r="BS346" s="658"/>
      <c r="BT346" s="658"/>
      <c r="BU346" s="658"/>
      <c r="BV346" s="658"/>
      <c r="BW346" s="658"/>
      <c r="BX346" s="658"/>
      <c r="BY346" s="658"/>
      <c r="BZ346" s="658"/>
      <c r="CA346" s="658"/>
      <c r="CB346" s="658"/>
      <c r="CC346" s="658"/>
      <c r="CD346" s="658"/>
      <c r="CE346" s="658"/>
      <c r="CF346" s="658"/>
      <c r="CG346" s="658"/>
      <c r="CH346" s="658"/>
      <c r="CI346" s="658"/>
      <c r="CJ346" s="658"/>
      <c r="CK346" s="658"/>
      <c r="CL346" s="658"/>
      <c r="CM346" s="658"/>
      <c r="CN346" s="658"/>
      <c r="CO346" s="658"/>
      <c r="CP346" s="658"/>
      <c r="CQ346" s="658"/>
      <c r="CR346" s="658"/>
      <c r="CS346" s="658"/>
      <c r="CT346" s="658"/>
      <c r="CU346" s="658"/>
      <c r="CV346" s="658"/>
      <c r="CW346" s="658"/>
      <c r="CX346" s="658"/>
      <c r="CY346" s="658"/>
      <c r="CZ346" s="658"/>
      <c r="DA346" s="658"/>
      <c r="DB346" s="658"/>
      <c r="DC346" s="658"/>
      <c r="DD346" s="658"/>
      <c r="DE346" s="658"/>
      <c r="DF346" s="658"/>
      <c r="DG346" s="658"/>
      <c r="DH346" s="658"/>
      <c r="DI346" s="658"/>
      <c r="DJ346" s="658"/>
      <c r="DK346" s="658"/>
      <c r="DL346" s="658"/>
      <c r="DM346" s="658"/>
      <c r="DN346" s="658"/>
      <c r="DO346" s="177">
        <f t="shared" si="2399"/>
        <v>0</v>
      </c>
      <c r="DP346" s="612" t="e">
        <f t="shared" si="2400"/>
        <v>#N/A</v>
      </c>
      <c r="DQ346" s="612" t="e">
        <f t="shared" si="2396"/>
        <v>#NUM!</v>
      </c>
      <c r="DR346" s="177"/>
      <c r="DS346" s="177"/>
      <c r="DT346" s="177"/>
      <c r="DU346" s="177"/>
      <c r="DV346" s="177"/>
      <c r="DW346" s="177"/>
      <c r="DX346" s="177"/>
      <c r="DY346" s="177"/>
      <c r="DZ346" s="177"/>
      <c r="EA346" s="613"/>
    </row>
    <row r="347" spans="1:131" ht="14.25" thickBot="1">
      <c r="B347" s="778" t="s">
        <v>3404</v>
      </c>
      <c r="C347" s="616" t="s">
        <v>223</v>
      </c>
      <c r="D347" s="616" t="s">
        <v>224</v>
      </c>
      <c r="E347" s="616" t="s">
        <v>225</v>
      </c>
      <c r="F347" s="230"/>
      <c r="G347" s="230"/>
      <c r="I347" s="657">
        <f t="shared" si="2397"/>
        <v>0</v>
      </c>
      <c r="J347" s="606" t="str">
        <f t="shared" si="2398"/>
        <v>N/A</v>
      </c>
      <c r="K347" s="471"/>
      <c r="L347" s="607"/>
      <c r="M347" s="300"/>
      <c r="N347" s="608"/>
      <c r="O347" s="609">
        <f t="shared" si="2393"/>
        <v>0</v>
      </c>
      <c r="P347" s="609">
        <f t="shared" si="2394"/>
        <v>0</v>
      </c>
      <c r="Q347" s="609">
        <f t="shared" si="2395"/>
        <v>0</v>
      </c>
      <c r="R347" s="610" t="str">
        <f>IFERROR(Q347/Q348,"")</f>
        <v/>
      </c>
      <c r="S347" s="658"/>
      <c r="T347" s="658"/>
      <c r="U347" s="658"/>
      <c r="V347" s="658"/>
      <c r="W347" s="658"/>
      <c r="X347" s="658"/>
      <c r="Y347" s="658"/>
      <c r="Z347" s="658"/>
      <c r="AA347" s="658"/>
      <c r="AB347" s="658"/>
      <c r="AC347" s="658"/>
      <c r="AD347" s="658"/>
      <c r="AE347" s="658"/>
      <c r="AF347" s="658"/>
      <c r="AG347" s="658"/>
      <c r="AH347" s="658"/>
      <c r="AI347" s="658"/>
      <c r="AJ347" s="658"/>
      <c r="AK347" s="658"/>
      <c r="AL347" s="658"/>
      <c r="AM347" s="658"/>
      <c r="AN347" s="658"/>
      <c r="AO347" s="658"/>
      <c r="AP347" s="658"/>
      <c r="AQ347" s="658"/>
      <c r="AR347" s="658"/>
      <c r="AS347" s="658"/>
      <c r="AT347" s="658"/>
      <c r="AU347" s="658"/>
      <c r="AV347" s="658"/>
      <c r="AW347" s="658"/>
      <c r="AX347" s="658"/>
      <c r="AY347" s="658"/>
      <c r="AZ347" s="658"/>
      <c r="BA347" s="658"/>
      <c r="BB347" s="658"/>
      <c r="BC347" s="658"/>
      <c r="BD347" s="658"/>
      <c r="BE347" s="658"/>
      <c r="BF347" s="658"/>
      <c r="BG347" s="658"/>
      <c r="BH347" s="658"/>
      <c r="BI347" s="658"/>
      <c r="BJ347" s="658"/>
      <c r="BK347" s="658"/>
      <c r="BL347" s="658"/>
      <c r="BM347" s="658"/>
      <c r="BN347" s="658"/>
      <c r="BO347" s="658"/>
      <c r="BP347" s="658"/>
      <c r="BQ347" s="658"/>
      <c r="BR347" s="658"/>
      <c r="BS347" s="658"/>
      <c r="BT347" s="658"/>
      <c r="BU347" s="658"/>
      <c r="BV347" s="658"/>
      <c r="BW347" s="658"/>
      <c r="BX347" s="658"/>
      <c r="BY347" s="658"/>
      <c r="BZ347" s="658"/>
      <c r="CA347" s="658"/>
      <c r="CB347" s="658"/>
      <c r="CC347" s="658"/>
      <c r="CD347" s="658"/>
      <c r="CE347" s="658"/>
      <c r="CF347" s="658"/>
      <c r="CG347" s="658"/>
      <c r="CH347" s="658"/>
      <c r="CI347" s="658"/>
      <c r="CJ347" s="658"/>
      <c r="CK347" s="658"/>
      <c r="CL347" s="658"/>
      <c r="CM347" s="658"/>
      <c r="CN347" s="658"/>
      <c r="CO347" s="658"/>
      <c r="CP347" s="658"/>
      <c r="CQ347" s="658"/>
      <c r="CR347" s="658"/>
      <c r="CS347" s="658"/>
      <c r="CT347" s="658"/>
      <c r="CU347" s="658"/>
      <c r="CV347" s="658"/>
      <c r="CW347" s="658"/>
      <c r="CX347" s="658"/>
      <c r="CY347" s="658"/>
      <c r="CZ347" s="658"/>
      <c r="DA347" s="658"/>
      <c r="DB347" s="658"/>
      <c r="DC347" s="658"/>
      <c r="DD347" s="658"/>
      <c r="DE347" s="658"/>
      <c r="DF347" s="658"/>
      <c r="DG347" s="658"/>
      <c r="DH347" s="658"/>
      <c r="DI347" s="658"/>
      <c r="DJ347" s="658"/>
      <c r="DK347" s="658"/>
      <c r="DL347" s="658"/>
      <c r="DM347" s="658"/>
      <c r="DN347" s="658"/>
      <c r="DO347" s="177">
        <f t="shared" si="2399"/>
        <v>0</v>
      </c>
      <c r="DP347" s="612" t="e">
        <f t="shared" si="2400"/>
        <v>#N/A</v>
      </c>
      <c r="DQ347" s="612" t="e">
        <f t="shared" si="2396"/>
        <v>#NUM!</v>
      </c>
      <c r="DR347" s="177"/>
      <c r="DS347" s="177"/>
      <c r="DT347" s="177"/>
      <c r="DU347" s="177"/>
      <c r="DV347" s="177"/>
      <c r="DW347" s="177"/>
      <c r="DX347" s="177"/>
      <c r="DY347" s="177"/>
      <c r="DZ347" s="177"/>
      <c r="EA347" s="613"/>
    </row>
    <row r="348" spans="1:131" ht="14.25" thickBot="1">
      <c r="A348" s="317"/>
      <c r="B348" s="779"/>
      <c r="C348" s="661"/>
      <c r="D348" s="661"/>
      <c r="E348" s="661"/>
      <c r="F348" s="662"/>
      <c r="G348" s="662"/>
      <c r="H348" s="317"/>
      <c r="I348" s="634">
        <f>SUM(I340:I347)</f>
        <v>0</v>
      </c>
      <c r="J348" s="663"/>
      <c r="K348" s="664"/>
      <c r="L348" s="664"/>
      <c r="M348" s="664"/>
      <c r="N348" s="634">
        <f t="shared" ref="N348:R348" si="2401">SUM(N340:N347)</f>
        <v>0</v>
      </c>
      <c r="O348" s="634">
        <f t="shared" si="2401"/>
        <v>0</v>
      </c>
      <c r="P348" s="634">
        <f t="shared" si="2401"/>
        <v>0</v>
      </c>
      <c r="Q348" s="634">
        <f t="shared" si="2401"/>
        <v>0</v>
      </c>
      <c r="R348" s="665">
        <f t="shared" si="2401"/>
        <v>0</v>
      </c>
      <c r="S348" s="634">
        <f>SUM(S340:S347)</f>
        <v>0</v>
      </c>
      <c r="T348" s="634">
        <f t="shared" ref="T348" si="2402">SUM(T340:T347)</f>
        <v>0</v>
      </c>
      <c r="U348" s="634">
        <f t="shared" ref="U348" si="2403">SUM(U340:U347)</f>
        <v>0</v>
      </c>
      <c r="V348" s="634">
        <f t="shared" ref="V348" si="2404">SUM(V340:V347)</f>
        <v>0</v>
      </c>
      <c r="W348" s="634">
        <f t="shared" ref="W348" si="2405">SUM(W340:W347)</f>
        <v>0</v>
      </c>
      <c r="X348" s="634">
        <f t="shared" ref="X348" si="2406">SUM(X340:X347)</f>
        <v>0</v>
      </c>
      <c r="Y348" s="634">
        <f t="shared" ref="Y348" si="2407">SUM(Y340:Y347)</f>
        <v>0</v>
      </c>
      <c r="Z348" s="634">
        <f t="shared" ref="Z348" si="2408">SUM(Z340:Z347)</f>
        <v>0</v>
      </c>
      <c r="AA348" s="634">
        <f t="shared" ref="AA348" si="2409">SUM(AA340:AA347)</f>
        <v>0</v>
      </c>
      <c r="AB348" s="634">
        <f t="shared" ref="AB348" si="2410">SUM(AB340:AB347)</f>
        <v>0</v>
      </c>
      <c r="AC348" s="634">
        <f t="shared" ref="AC348" si="2411">SUM(AC340:AC347)</f>
        <v>0</v>
      </c>
      <c r="AD348" s="634">
        <f t="shared" ref="AD348" si="2412">SUM(AD340:AD347)</f>
        <v>0</v>
      </c>
      <c r="AE348" s="634">
        <f t="shared" ref="AE348" si="2413">SUM(AE340:AE347)</f>
        <v>0</v>
      </c>
      <c r="AF348" s="634">
        <f t="shared" ref="AF348" si="2414">SUM(AF340:AF347)</f>
        <v>0</v>
      </c>
      <c r="AG348" s="634">
        <f t="shared" ref="AG348" si="2415">SUM(AG340:AG347)</f>
        <v>0</v>
      </c>
      <c r="AH348" s="634">
        <f t="shared" ref="AH348" si="2416">SUM(AH340:AH347)</f>
        <v>0</v>
      </c>
      <c r="AI348" s="634">
        <f t="shared" ref="AI348" si="2417">SUM(AI340:AI347)</f>
        <v>0</v>
      </c>
      <c r="AJ348" s="634">
        <f t="shared" ref="AJ348" si="2418">SUM(AJ340:AJ347)</f>
        <v>0</v>
      </c>
      <c r="AK348" s="634">
        <f t="shared" ref="AK348" si="2419">SUM(AK340:AK347)</f>
        <v>0</v>
      </c>
      <c r="AL348" s="634">
        <f t="shared" ref="AL348" si="2420">SUM(AL340:AL347)</f>
        <v>0</v>
      </c>
      <c r="AM348" s="634">
        <f t="shared" ref="AM348" si="2421">SUM(AM340:AM347)</f>
        <v>0</v>
      </c>
      <c r="AN348" s="634">
        <f t="shared" ref="AN348" si="2422">SUM(AN340:AN347)</f>
        <v>0</v>
      </c>
      <c r="AO348" s="634">
        <f t="shared" ref="AO348" si="2423">SUM(AO340:AO347)</f>
        <v>0</v>
      </c>
      <c r="AP348" s="634">
        <f t="shared" ref="AP348" si="2424">SUM(AP340:AP347)</f>
        <v>0</v>
      </c>
      <c r="AQ348" s="634">
        <f t="shared" ref="AQ348" si="2425">SUM(AQ340:AQ347)</f>
        <v>0</v>
      </c>
      <c r="AR348" s="634">
        <f t="shared" ref="AR348" si="2426">SUM(AR340:AR347)</f>
        <v>0</v>
      </c>
      <c r="AS348" s="634">
        <f t="shared" ref="AS348" si="2427">SUM(AS340:AS347)</f>
        <v>0</v>
      </c>
      <c r="AT348" s="634">
        <f t="shared" ref="AT348" si="2428">SUM(AT340:AT347)</f>
        <v>0</v>
      </c>
      <c r="AU348" s="634">
        <f t="shared" ref="AU348" si="2429">SUM(AU340:AU347)</f>
        <v>0</v>
      </c>
      <c r="AV348" s="634">
        <f t="shared" ref="AV348" si="2430">SUM(AV340:AV347)</f>
        <v>0</v>
      </c>
      <c r="AW348" s="634">
        <f t="shared" ref="AW348" si="2431">SUM(AW340:AW347)</f>
        <v>0</v>
      </c>
      <c r="AX348" s="634">
        <f t="shared" ref="AX348" si="2432">SUM(AX340:AX347)</f>
        <v>0</v>
      </c>
      <c r="AY348" s="634">
        <f t="shared" ref="AY348" si="2433">SUM(AY340:AY347)</f>
        <v>0</v>
      </c>
      <c r="AZ348" s="634">
        <f t="shared" ref="AZ348" si="2434">SUM(AZ340:AZ347)</f>
        <v>0</v>
      </c>
      <c r="BA348" s="634">
        <f t="shared" ref="BA348" si="2435">SUM(BA340:BA347)</f>
        <v>0</v>
      </c>
      <c r="BB348" s="634">
        <f t="shared" ref="BB348" si="2436">SUM(BB340:BB347)</f>
        <v>0</v>
      </c>
      <c r="BC348" s="634">
        <f t="shared" ref="BC348" si="2437">SUM(BC340:BC347)</f>
        <v>0</v>
      </c>
      <c r="BD348" s="634">
        <f t="shared" ref="BD348" si="2438">SUM(BD340:BD347)</f>
        <v>0</v>
      </c>
      <c r="BE348" s="634">
        <f t="shared" ref="BE348" si="2439">SUM(BE340:BE347)</f>
        <v>0</v>
      </c>
      <c r="BF348" s="634">
        <f t="shared" ref="BF348" si="2440">SUM(BF340:BF347)</f>
        <v>0</v>
      </c>
      <c r="BG348" s="634">
        <f t="shared" ref="BG348" si="2441">SUM(BG340:BG347)</f>
        <v>0</v>
      </c>
      <c r="BH348" s="634">
        <f t="shared" ref="BH348" si="2442">SUM(BH340:BH347)</f>
        <v>0</v>
      </c>
      <c r="BI348" s="634">
        <f t="shared" ref="BI348" si="2443">SUM(BI340:BI347)</f>
        <v>0</v>
      </c>
      <c r="BJ348" s="634">
        <f t="shared" ref="BJ348" si="2444">SUM(BJ340:BJ347)</f>
        <v>0</v>
      </c>
      <c r="BK348" s="634">
        <f t="shared" ref="BK348" si="2445">SUM(BK340:BK347)</f>
        <v>0</v>
      </c>
      <c r="BL348" s="634">
        <f t="shared" ref="BL348" si="2446">SUM(BL340:BL347)</f>
        <v>0</v>
      </c>
      <c r="BM348" s="634">
        <f t="shared" ref="BM348" si="2447">SUM(BM340:BM347)</f>
        <v>0</v>
      </c>
      <c r="BN348" s="634">
        <f t="shared" ref="BN348" si="2448">SUM(BN340:BN347)</f>
        <v>0</v>
      </c>
      <c r="BO348" s="634">
        <f t="shared" ref="BO348" si="2449">SUM(BO340:BO347)</f>
        <v>0</v>
      </c>
      <c r="BP348" s="634">
        <f t="shared" ref="BP348" si="2450">SUM(BP340:BP347)</f>
        <v>0</v>
      </c>
      <c r="BQ348" s="634">
        <f t="shared" ref="BQ348" si="2451">SUM(BQ340:BQ347)</f>
        <v>0</v>
      </c>
      <c r="BR348" s="634">
        <f t="shared" ref="BR348" si="2452">SUM(BR340:BR347)</f>
        <v>0</v>
      </c>
      <c r="BS348" s="634">
        <f t="shared" ref="BS348" si="2453">SUM(BS340:BS347)</f>
        <v>0</v>
      </c>
      <c r="BT348" s="634">
        <f t="shared" ref="BT348" si="2454">SUM(BT340:BT347)</f>
        <v>0</v>
      </c>
      <c r="BU348" s="634">
        <f t="shared" ref="BU348" si="2455">SUM(BU340:BU347)</f>
        <v>0</v>
      </c>
      <c r="BV348" s="634">
        <f t="shared" ref="BV348" si="2456">SUM(BV340:BV347)</f>
        <v>0</v>
      </c>
      <c r="BW348" s="634">
        <f t="shared" ref="BW348" si="2457">SUM(BW340:BW347)</f>
        <v>0</v>
      </c>
      <c r="BX348" s="634">
        <f t="shared" ref="BX348" si="2458">SUM(BX340:BX347)</f>
        <v>0</v>
      </c>
      <c r="BY348" s="634">
        <f t="shared" ref="BY348" si="2459">SUM(BY340:BY347)</f>
        <v>0</v>
      </c>
      <c r="BZ348" s="634">
        <f t="shared" ref="BZ348" si="2460">SUM(BZ340:BZ347)</f>
        <v>0</v>
      </c>
      <c r="CA348" s="634">
        <f t="shared" ref="CA348" si="2461">SUM(CA340:CA347)</f>
        <v>0</v>
      </c>
      <c r="CB348" s="634">
        <f t="shared" ref="CB348" si="2462">SUM(CB340:CB347)</f>
        <v>0</v>
      </c>
      <c r="CC348" s="634">
        <f t="shared" ref="CC348" si="2463">SUM(CC340:CC347)</f>
        <v>0</v>
      </c>
      <c r="CD348" s="634">
        <f t="shared" ref="CD348" si="2464">SUM(CD340:CD347)</f>
        <v>0</v>
      </c>
      <c r="CE348" s="634">
        <f t="shared" ref="CE348" si="2465">SUM(CE340:CE347)</f>
        <v>0</v>
      </c>
      <c r="CF348" s="634">
        <f t="shared" ref="CF348" si="2466">SUM(CF340:CF347)</f>
        <v>0</v>
      </c>
      <c r="CG348" s="634">
        <f t="shared" ref="CG348" si="2467">SUM(CG340:CG347)</f>
        <v>0</v>
      </c>
      <c r="CH348" s="634">
        <f t="shared" ref="CH348" si="2468">SUM(CH340:CH347)</f>
        <v>0</v>
      </c>
      <c r="CI348" s="634">
        <f t="shared" ref="CI348" si="2469">SUM(CI340:CI347)</f>
        <v>0</v>
      </c>
      <c r="CJ348" s="634">
        <f t="shared" ref="CJ348" si="2470">SUM(CJ340:CJ347)</f>
        <v>0</v>
      </c>
      <c r="CK348" s="634">
        <f t="shared" ref="CK348" si="2471">SUM(CK340:CK347)</f>
        <v>0</v>
      </c>
      <c r="CL348" s="634">
        <f t="shared" ref="CL348" si="2472">SUM(CL340:CL347)</f>
        <v>0</v>
      </c>
      <c r="CM348" s="634">
        <f t="shared" ref="CM348" si="2473">SUM(CM340:CM347)</f>
        <v>0</v>
      </c>
      <c r="CN348" s="634">
        <f t="shared" ref="CN348" si="2474">SUM(CN340:CN347)</f>
        <v>0</v>
      </c>
      <c r="CO348" s="634">
        <f t="shared" ref="CO348" si="2475">SUM(CO340:CO347)</f>
        <v>0</v>
      </c>
      <c r="CP348" s="634">
        <f t="shared" ref="CP348" si="2476">SUM(CP340:CP347)</f>
        <v>0</v>
      </c>
      <c r="CQ348" s="634">
        <f t="shared" ref="CQ348" si="2477">SUM(CQ340:CQ347)</f>
        <v>0</v>
      </c>
      <c r="CR348" s="634">
        <f t="shared" ref="CR348" si="2478">SUM(CR340:CR347)</f>
        <v>0</v>
      </c>
      <c r="CS348" s="634">
        <f t="shared" ref="CS348" si="2479">SUM(CS340:CS347)</f>
        <v>0</v>
      </c>
      <c r="CT348" s="634">
        <f t="shared" ref="CT348" si="2480">SUM(CT340:CT347)</f>
        <v>0</v>
      </c>
      <c r="CU348" s="634">
        <f t="shared" ref="CU348" si="2481">SUM(CU340:CU347)</f>
        <v>0</v>
      </c>
      <c r="CV348" s="634">
        <f t="shared" ref="CV348" si="2482">SUM(CV340:CV347)</f>
        <v>0</v>
      </c>
      <c r="CW348" s="634">
        <f t="shared" ref="CW348" si="2483">SUM(CW340:CW347)</f>
        <v>0</v>
      </c>
      <c r="CX348" s="634">
        <f t="shared" ref="CX348" si="2484">SUM(CX340:CX347)</f>
        <v>0</v>
      </c>
      <c r="CY348" s="634">
        <f t="shared" ref="CY348" si="2485">SUM(CY340:CY347)</f>
        <v>0</v>
      </c>
      <c r="CZ348" s="634">
        <f t="shared" ref="CZ348" si="2486">SUM(CZ340:CZ347)</f>
        <v>0</v>
      </c>
      <c r="DA348" s="634">
        <f t="shared" ref="DA348" si="2487">SUM(DA340:DA347)</f>
        <v>0</v>
      </c>
      <c r="DB348" s="634">
        <f t="shared" ref="DB348" si="2488">SUM(DB340:DB347)</f>
        <v>0</v>
      </c>
      <c r="DC348" s="634">
        <f t="shared" ref="DC348" si="2489">SUM(DC340:DC347)</f>
        <v>0</v>
      </c>
      <c r="DD348" s="634">
        <f t="shared" ref="DD348" si="2490">SUM(DD340:DD347)</f>
        <v>0</v>
      </c>
      <c r="DE348" s="634">
        <f t="shared" ref="DE348" si="2491">SUM(DE340:DE347)</f>
        <v>0</v>
      </c>
      <c r="DF348" s="634">
        <f t="shared" ref="DF348" si="2492">SUM(DF340:DF347)</f>
        <v>0</v>
      </c>
      <c r="DG348" s="634">
        <f t="shared" ref="DG348" si="2493">SUM(DG340:DG347)</f>
        <v>0</v>
      </c>
      <c r="DH348" s="634">
        <f t="shared" ref="DH348" si="2494">SUM(DH340:DH347)</f>
        <v>0</v>
      </c>
      <c r="DI348" s="634">
        <f t="shared" ref="DI348" si="2495">SUM(DI340:DI347)</f>
        <v>0</v>
      </c>
      <c r="DJ348" s="634">
        <f t="shared" ref="DJ348" si="2496">SUM(DJ340:DJ347)</f>
        <v>0</v>
      </c>
      <c r="DK348" s="634">
        <f t="shared" ref="DK348" si="2497">SUM(DK340:DK347)</f>
        <v>0</v>
      </c>
      <c r="DL348" s="634">
        <f t="shared" ref="DL348" si="2498">SUM(DL340:DL347)</f>
        <v>0</v>
      </c>
      <c r="DM348" s="634">
        <f t="shared" ref="DM348" si="2499">SUM(DM340:DM347)</f>
        <v>0</v>
      </c>
      <c r="DN348" s="634">
        <f t="shared" ref="DN348" si="2500">SUM(DN340:DN347)</f>
        <v>0</v>
      </c>
      <c r="DO348" s="634">
        <f t="shared" ref="DO348" si="2501">SUM(DO340:DO347)</f>
        <v>0</v>
      </c>
      <c r="DP348" s="666"/>
      <c r="DQ348" s="638" t="e">
        <f>XIRR(S348:DO348,$S$339:$DO$339)</f>
        <v>#NUM!</v>
      </c>
      <c r="DR348" s="636">
        <f t="shared" ref="DR348:DX348" si="2502">SUM(DR340:DR347)</f>
        <v>0</v>
      </c>
      <c r="DS348" s="636">
        <f t="shared" si="2502"/>
        <v>0</v>
      </c>
      <c r="DT348" s="636">
        <f t="shared" si="2502"/>
        <v>0</v>
      </c>
      <c r="DU348" s="636">
        <f t="shared" si="2502"/>
        <v>0</v>
      </c>
      <c r="DV348" s="636">
        <f t="shared" si="2502"/>
        <v>0</v>
      </c>
      <c r="DW348" s="636">
        <f t="shared" si="2502"/>
        <v>0</v>
      </c>
      <c r="DX348" s="636">
        <f t="shared" si="2502"/>
        <v>0</v>
      </c>
      <c r="DY348" s="636">
        <f>SUM(DY340:DY347)</f>
        <v>0</v>
      </c>
      <c r="DZ348" s="636">
        <f>SUM(DZ340:DZ347)</f>
        <v>0</v>
      </c>
      <c r="EA348" s="636">
        <f>SUM(EA340:EA347)</f>
        <v>0</v>
      </c>
    </row>
    <row r="349" spans="1:131" ht="14.25" thickBot="1">
      <c r="A349" s="172"/>
      <c r="B349" s="667"/>
      <c r="C349" s="592" t="s">
        <v>3607</v>
      </c>
      <c r="D349" s="648">
        <f>D337+1</f>
        <v>25</v>
      </c>
      <c r="E349" s="649"/>
      <c r="F349" s="603"/>
      <c r="G349" s="603"/>
      <c r="I349" s="650" t="b">
        <f>I360=DR351</f>
        <v>1</v>
      </c>
      <c r="J349" s="172"/>
      <c r="K349" s="172"/>
      <c r="L349" s="172"/>
      <c r="M349" s="172"/>
      <c r="N349" s="172"/>
      <c r="O349" s="172"/>
      <c r="P349" s="172"/>
      <c r="Q349" s="639" t="str">
        <f>IF(Q360=NAV!E1131,"자본금과 일치","자본금과 불일치")</f>
        <v>자본금과 일치</v>
      </c>
      <c r="R349" s="172"/>
      <c r="S349" s="172"/>
      <c r="T349" s="172"/>
      <c r="U349" s="172"/>
      <c r="V349" s="172"/>
      <c r="W349" s="172"/>
      <c r="X349" s="172"/>
      <c r="Y349" s="172"/>
      <c r="Z349" s="172"/>
      <c r="AA349" s="172"/>
      <c r="AB349" s="172"/>
      <c r="AC349" s="172"/>
      <c r="AD349" s="172"/>
      <c r="AE349" s="172"/>
      <c r="AF349" s="172"/>
      <c r="AG349" s="172"/>
      <c r="AH349" s="172"/>
      <c r="AI349" s="172"/>
      <c r="AJ349" s="172"/>
      <c r="AK349" s="172"/>
      <c r="AL349" s="172"/>
      <c r="AM349" s="172"/>
      <c r="AN349" s="172"/>
      <c r="AO349" s="172"/>
      <c r="AP349" s="172"/>
      <c r="AQ349" s="172"/>
      <c r="AR349" s="172"/>
      <c r="AS349" s="172"/>
      <c r="AT349" s="172"/>
      <c r="AU349" s="172"/>
      <c r="AV349" s="172"/>
      <c r="AW349" s="172"/>
      <c r="AX349" s="172"/>
      <c r="AY349" s="172"/>
      <c r="AZ349" s="172"/>
      <c r="BA349" s="172"/>
      <c r="BB349" s="172"/>
      <c r="BC349" s="172"/>
      <c r="BD349" s="172"/>
      <c r="BE349" s="172"/>
      <c r="BF349" s="172"/>
      <c r="BG349" s="172"/>
      <c r="BH349" s="172"/>
      <c r="BI349" s="172"/>
      <c r="BJ349" s="172"/>
      <c r="BK349" s="172"/>
      <c r="BL349" s="172"/>
      <c r="BM349" s="172"/>
      <c r="BN349" s="172"/>
      <c r="BO349" s="172"/>
      <c r="BP349" s="172"/>
      <c r="BQ349" s="172"/>
      <c r="BR349" s="172"/>
      <c r="BS349" s="172"/>
      <c r="BT349" s="172"/>
      <c r="BU349" s="172"/>
      <c r="BV349" s="172"/>
      <c r="BW349" s="172"/>
      <c r="BX349" s="172"/>
      <c r="BY349" s="172"/>
      <c r="BZ349" s="172"/>
      <c r="CA349" s="172"/>
      <c r="CB349" s="172"/>
      <c r="CC349" s="172"/>
      <c r="CD349" s="172"/>
      <c r="CE349" s="172"/>
      <c r="CF349" s="172"/>
      <c r="CG349" s="172"/>
      <c r="CH349" s="172"/>
      <c r="CI349" s="172"/>
      <c r="CJ349" s="172"/>
      <c r="CK349" s="172"/>
      <c r="CL349" s="172"/>
      <c r="CM349" s="172"/>
      <c r="CN349" s="172"/>
      <c r="CO349" s="172"/>
      <c r="CP349" s="172"/>
      <c r="CQ349" s="172"/>
      <c r="CR349" s="172"/>
      <c r="CS349" s="172"/>
      <c r="CT349" s="172"/>
      <c r="CU349" s="172"/>
      <c r="CV349" s="172"/>
      <c r="CW349" s="172"/>
      <c r="CX349" s="172"/>
      <c r="CY349" s="172"/>
      <c r="CZ349" s="172"/>
      <c r="DA349" s="172"/>
      <c r="DB349" s="172"/>
      <c r="DC349" s="172"/>
      <c r="DD349" s="172"/>
      <c r="DE349" s="172"/>
      <c r="DF349" s="172"/>
      <c r="DG349" s="172"/>
      <c r="DH349" s="172"/>
      <c r="DI349" s="172"/>
      <c r="DJ349" s="172"/>
      <c r="DK349" s="172"/>
      <c r="DL349" s="172"/>
      <c r="DM349" s="172"/>
      <c r="DN349" s="172"/>
      <c r="DO349" s="588" t="s">
        <v>219</v>
      </c>
      <c r="DP349" s="588" t="str">
        <f>IF(ROUND(_xlfn.AGGREGATE(9,6,DP352:DP359),5)=ROUND(_xlfn.AGGREGATE(9,6,DQ352:DQ359),5),"이상없음","기준수익률확인")</f>
        <v>이상없음</v>
      </c>
      <c r="DQ349" s="172"/>
      <c r="DR349" s="651" t="s">
        <v>3406</v>
      </c>
      <c r="DS349" s="172"/>
      <c r="DT349" s="615"/>
      <c r="DU349" s="615"/>
      <c r="DV349" s="172"/>
      <c r="DW349" s="172"/>
      <c r="DX349" s="615"/>
      <c r="DY349" s="172"/>
      <c r="DZ349" s="172"/>
      <c r="EA349" s="172"/>
    </row>
    <row r="350" spans="1:131" ht="13.5">
      <c r="A350" s="652" t="str">
        <f t="shared" ref="A350:A358" si="2503">$B$349&amp;B350</f>
        <v>SPC명</v>
      </c>
      <c r="B350" s="653" t="s">
        <v>349</v>
      </c>
      <c r="C350" s="780"/>
      <c r="D350" s="780"/>
      <c r="E350" s="780"/>
      <c r="F350" s="230"/>
      <c r="G350" s="230"/>
      <c r="I350" s="776" t="s">
        <v>3393</v>
      </c>
      <c r="J350" s="776" t="s">
        <v>3394</v>
      </c>
      <c r="K350" s="774" t="s">
        <v>3395</v>
      </c>
      <c r="L350" s="774" t="s">
        <v>3396</v>
      </c>
      <c r="M350" s="774" t="s">
        <v>203</v>
      </c>
      <c r="N350" s="774" t="s">
        <v>211</v>
      </c>
      <c r="O350" s="774" t="s">
        <v>3399</v>
      </c>
      <c r="P350" s="776" t="s">
        <v>239</v>
      </c>
      <c r="Q350" s="774" t="s">
        <v>3401</v>
      </c>
      <c r="R350" s="774" t="s">
        <v>3402</v>
      </c>
      <c r="S350" s="593"/>
      <c r="T350" s="593"/>
      <c r="U350" s="593"/>
      <c r="V350" s="593"/>
      <c r="W350" s="593"/>
      <c r="X350" s="593"/>
      <c r="Y350" s="593"/>
      <c r="Z350" s="593"/>
      <c r="AA350" s="593"/>
      <c r="AB350" s="593"/>
      <c r="AC350" s="593"/>
      <c r="AD350" s="593"/>
      <c r="AE350" s="593"/>
      <c r="AF350" s="593"/>
      <c r="AG350" s="593"/>
      <c r="AH350" s="593"/>
      <c r="AI350" s="593"/>
      <c r="AJ350" s="593"/>
      <c r="AK350" s="593"/>
      <c r="AL350" s="593"/>
      <c r="AM350" s="593"/>
      <c r="AN350" s="593"/>
      <c r="AO350" s="593"/>
      <c r="AP350" s="593"/>
      <c r="AQ350" s="593"/>
      <c r="AR350" s="593"/>
      <c r="AS350" s="593"/>
      <c r="AT350" s="593"/>
      <c r="AU350" s="593"/>
      <c r="AV350" s="593"/>
      <c r="AW350" s="593"/>
      <c r="AX350" s="593"/>
      <c r="AY350" s="593"/>
      <c r="AZ350" s="593"/>
      <c r="BA350" s="593"/>
      <c r="BB350" s="593"/>
      <c r="BC350" s="593"/>
      <c r="BD350" s="593"/>
      <c r="BE350" s="593"/>
      <c r="BF350" s="593"/>
      <c r="BG350" s="593"/>
      <c r="BH350" s="593"/>
      <c r="BI350" s="593"/>
      <c r="BJ350" s="593"/>
      <c r="BK350" s="593"/>
      <c r="BL350" s="593"/>
      <c r="BM350" s="593"/>
      <c r="BN350" s="593"/>
      <c r="BO350" s="593"/>
      <c r="BP350" s="593"/>
      <c r="BQ350" s="593"/>
      <c r="BR350" s="593"/>
      <c r="BS350" s="593"/>
      <c r="BT350" s="593"/>
      <c r="BU350" s="593"/>
      <c r="BV350" s="593"/>
      <c r="BW350" s="593"/>
      <c r="BX350" s="593"/>
      <c r="BY350" s="593"/>
      <c r="BZ350" s="593"/>
      <c r="CA350" s="593"/>
      <c r="CB350" s="593"/>
      <c r="CC350" s="593"/>
      <c r="CD350" s="593"/>
      <c r="CE350" s="593"/>
      <c r="CF350" s="593"/>
      <c r="CG350" s="593"/>
      <c r="CH350" s="593"/>
      <c r="CI350" s="593"/>
      <c r="CJ350" s="593"/>
      <c r="CK350" s="593"/>
      <c r="CL350" s="593"/>
      <c r="CM350" s="593"/>
      <c r="CN350" s="593"/>
      <c r="CO350" s="593"/>
      <c r="CP350" s="593"/>
      <c r="CQ350" s="593"/>
      <c r="CR350" s="593"/>
      <c r="CS350" s="593"/>
      <c r="CT350" s="593"/>
      <c r="CU350" s="593"/>
      <c r="CV350" s="593"/>
      <c r="CW350" s="593"/>
      <c r="CX350" s="593"/>
      <c r="CY350" s="593"/>
      <c r="CZ350" s="593"/>
      <c r="DA350" s="593"/>
      <c r="DB350" s="593"/>
      <c r="DC350" s="593"/>
      <c r="DD350" s="593"/>
      <c r="DE350" s="593"/>
      <c r="DF350" s="593"/>
      <c r="DG350" s="593"/>
      <c r="DH350" s="593"/>
      <c r="DI350" s="593"/>
      <c r="DJ350" s="593"/>
      <c r="DK350" s="593"/>
      <c r="DL350" s="593"/>
      <c r="DM350" s="593"/>
      <c r="DN350" s="593"/>
      <c r="DO350" s="594" t="s">
        <v>220</v>
      </c>
      <c r="DP350" s="774" t="s">
        <v>218</v>
      </c>
      <c r="DQ350" s="774" t="s">
        <v>222</v>
      </c>
      <c r="DR350" s="594"/>
      <c r="DS350" s="594"/>
      <c r="DT350" s="594"/>
      <c r="DU350" s="594"/>
      <c r="DV350" s="594"/>
      <c r="DW350" s="594"/>
      <c r="DX350" s="594"/>
      <c r="DY350" s="594"/>
      <c r="DZ350" s="594"/>
      <c r="EA350" s="602"/>
    </row>
    <row r="351" spans="1:131" ht="14.25" thickBot="1">
      <c r="A351" s="652" t="str">
        <f t="shared" si="2503"/>
        <v>유형</v>
      </c>
      <c r="B351" s="653" t="s">
        <v>350</v>
      </c>
      <c r="C351" s="780"/>
      <c r="D351" s="780"/>
      <c r="E351" s="780"/>
      <c r="F351" s="230"/>
      <c r="G351" s="230"/>
      <c r="I351" s="777"/>
      <c r="J351" s="777"/>
      <c r="K351" s="775"/>
      <c r="L351" s="775"/>
      <c r="M351" s="775"/>
      <c r="N351" s="775"/>
      <c r="O351" s="775"/>
      <c r="P351" s="777"/>
      <c r="Q351" s="775"/>
      <c r="R351" s="775"/>
      <c r="S351" s="601"/>
      <c r="T351" s="601"/>
      <c r="U351" s="601"/>
      <c r="V351" s="601"/>
      <c r="W351" s="601"/>
      <c r="X351" s="601"/>
      <c r="Y351" s="601"/>
      <c r="Z351" s="601"/>
      <c r="AA351" s="601"/>
      <c r="AB351" s="601"/>
      <c r="AC351" s="601"/>
      <c r="AD351" s="601"/>
      <c r="AE351" s="601"/>
      <c r="AF351" s="601"/>
      <c r="AG351" s="601"/>
      <c r="AH351" s="601"/>
      <c r="AI351" s="601"/>
      <c r="AJ351" s="601"/>
      <c r="AK351" s="601"/>
      <c r="AL351" s="601"/>
      <c r="AM351" s="601"/>
      <c r="AN351" s="601"/>
      <c r="AO351" s="601"/>
      <c r="AP351" s="601"/>
      <c r="AQ351" s="601"/>
      <c r="AR351" s="601"/>
      <c r="AS351" s="601"/>
      <c r="AT351" s="601"/>
      <c r="AU351" s="601"/>
      <c r="AV351" s="601"/>
      <c r="AW351" s="601"/>
      <c r="AX351" s="601"/>
      <c r="AY351" s="601"/>
      <c r="AZ351" s="601"/>
      <c r="BA351" s="601"/>
      <c r="BB351" s="601"/>
      <c r="BC351" s="601"/>
      <c r="BD351" s="601"/>
      <c r="BE351" s="601"/>
      <c r="BF351" s="601"/>
      <c r="BG351" s="601"/>
      <c r="BH351" s="601"/>
      <c r="BI351" s="601"/>
      <c r="BJ351" s="601"/>
      <c r="BK351" s="601"/>
      <c r="BL351" s="601"/>
      <c r="BM351" s="601"/>
      <c r="BN351" s="601"/>
      <c r="BO351" s="601"/>
      <c r="BP351" s="601"/>
      <c r="BQ351" s="601"/>
      <c r="BR351" s="601"/>
      <c r="BS351" s="601"/>
      <c r="BT351" s="601"/>
      <c r="BU351" s="601"/>
      <c r="BV351" s="601"/>
      <c r="BW351" s="601"/>
      <c r="BX351" s="601"/>
      <c r="BY351" s="601"/>
      <c r="BZ351" s="601"/>
      <c r="CA351" s="601"/>
      <c r="CB351" s="601"/>
      <c r="CC351" s="601"/>
      <c r="CD351" s="601"/>
      <c r="CE351" s="601"/>
      <c r="CF351" s="601"/>
      <c r="CG351" s="601"/>
      <c r="CH351" s="601"/>
      <c r="CI351" s="601"/>
      <c r="CJ351" s="601"/>
      <c r="CK351" s="601"/>
      <c r="CL351" s="601"/>
      <c r="CM351" s="601"/>
      <c r="CN351" s="601"/>
      <c r="CO351" s="601"/>
      <c r="CP351" s="601"/>
      <c r="CQ351" s="601"/>
      <c r="CR351" s="601"/>
      <c r="CS351" s="601"/>
      <c r="CT351" s="601"/>
      <c r="CU351" s="601"/>
      <c r="CV351" s="601"/>
      <c r="CW351" s="601"/>
      <c r="CX351" s="601"/>
      <c r="CY351" s="601"/>
      <c r="CZ351" s="601"/>
      <c r="DA351" s="601"/>
      <c r="DB351" s="601"/>
      <c r="DC351" s="601"/>
      <c r="DD351" s="601"/>
      <c r="DE351" s="601"/>
      <c r="DF351" s="601"/>
      <c r="DG351" s="601"/>
      <c r="DH351" s="601"/>
      <c r="DI351" s="601"/>
      <c r="DJ351" s="601"/>
      <c r="DK351" s="601"/>
      <c r="DL351" s="601"/>
      <c r="DM351" s="601"/>
      <c r="DN351" s="601"/>
      <c r="DO351" s="654">
        <f>$DO$7</f>
        <v>45473</v>
      </c>
      <c r="DP351" s="775"/>
      <c r="DQ351" s="775"/>
      <c r="DR351" s="595">
        <f>NAV!E1137</f>
        <v>0</v>
      </c>
      <c r="DS351" s="596">
        <f>DR351-DR360</f>
        <v>0</v>
      </c>
      <c r="DT351" s="596"/>
      <c r="DU351" s="596"/>
      <c r="DV351" s="597"/>
      <c r="DW351" s="596"/>
      <c r="DX351" s="596"/>
      <c r="DY351" s="596"/>
      <c r="DZ351" s="655"/>
      <c r="EA351" s="656"/>
    </row>
    <row r="352" spans="1:131" ht="13.5">
      <c r="A352" s="652" t="str">
        <f t="shared" si="2503"/>
        <v>설정일</v>
      </c>
      <c r="B352" s="653" t="s">
        <v>351</v>
      </c>
      <c r="C352" s="781"/>
      <c r="D352" s="780"/>
      <c r="E352" s="780"/>
      <c r="F352" s="230"/>
      <c r="G352" s="230"/>
      <c r="I352" s="657">
        <f>SUM(DR352:EA352)</f>
        <v>0</v>
      </c>
      <c r="J352" s="606" t="str">
        <f>IFERROR(I352/(Q352/$C$354),"N/A")</f>
        <v>N/A</v>
      </c>
      <c r="K352" s="471"/>
      <c r="L352" s="607"/>
      <c r="M352" s="300"/>
      <c r="N352" s="608"/>
      <c r="O352" s="609">
        <f t="shared" ref="O352:O359" si="2504">-(SUMIF($S$350:$DN$350,"최초출자",S352:DN352)+SUMIF($S$350:$DN$350,"추가출자",S352:DN352))</f>
        <v>0</v>
      </c>
      <c r="P352" s="609">
        <f t="shared" ref="P352:P359" si="2505">SUMIF($S$350:$DN$350,"이익분배",S352:DN352)+SUMIF($S$350:$DN$350,"원본분배",S352:DN352)</f>
        <v>0</v>
      </c>
      <c r="Q352" s="609">
        <f t="shared" ref="Q352:Q359" si="2506">-(SUMIF($S$350:$DN$350,"최초출자",S352:DN352)+SUMIF($S$350:$DN$350,"추가출자",S352:DN352)+SUMIF($S$350:$DN$350,"원본분배",S352:DN352))</f>
        <v>0</v>
      </c>
      <c r="R352" s="610" t="str">
        <f>IFERROR(Q352/Q360,"")</f>
        <v/>
      </c>
      <c r="S352" s="658"/>
      <c r="T352" s="658"/>
      <c r="U352" s="658"/>
      <c r="V352" s="658"/>
      <c r="W352" s="658"/>
      <c r="X352" s="658"/>
      <c r="Y352" s="658"/>
      <c r="Z352" s="658"/>
      <c r="AA352" s="658"/>
      <c r="AB352" s="658"/>
      <c r="AC352" s="658"/>
      <c r="AD352" s="658"/>
      <c r="AE352" s="658"/>
      <c r="AF352" s="658"/>
      <c r="AG352" s="658"/>
      <c r="AH352" s="658"/>
      <c r="AI352" s="658"/>
      <c r="AJ352" s="658"/>
      <c r="AK352" s="658"/>
      <c r="AL352" s="658"/>
      <c r="AM352" s="658"/>
      <c r="AN352" s="658"/>
      <c r="AO352" s="658"/>
      <c r="AP352" s="658"/>
      <c r="AQ352" s="658"/>
      <c r="AR352" s="658"/>
      <c r="AS352" s="658"/>
      <c r="AT352" s="658"/>
      <c r="AU352" s="658"/>
      <c r="AV352" s="658"/>
      <c r="AW352" s="658"/>
      <c r="AX352" s="658"/>
      <c r="AY352" s="658"/>
      <c r="AZ352" s="658"/>
      <c r="BA352" s="658"/>
      <c r="BB352" s="658"/>
      <c r="BC352" s="658"/>
      <c r="BD352" s="658"/>
      <c r="BE352" s="658"/>
      <c r="BF352" s="658"/>
      <c r="BG352" s="658"/>
      <c r="BH352" s="658"/>
      <c r="BI352" s="658"/>
      <c r="BJ352" s="658"/>
      <c r="BK352" s="658"/>
      <c r="BL352" s="658"/>
      <c r="BM352" s="658"/>
      <c r="BN352" s="658"/>
      <c r="BO352" s="658"/>
      <c r="BP352" s="658"/>
      <c r="BQ352" s="658"/>
      <c r="BR352" s="658"/>
      <c r="BS352" s="658"/>
      <c r="BT352" s="658"/>
      <c r="BU352" s="658"/>
      <c r="BV352" s="658"/>
      <c r="BW352" s="658"/>
      <c r="BX352" s="658"/>
      <c r="BY352" s="658"/>
      <c r="BZ352" s="658"/>
      <c r="CA352" s="658"/>
      <c r="CB352" s="658"/>
      <c r="CC352" s="658"/>
      <c r="CD352" s="658"/>
      <c r="CE352" s="658"/>
      <c r="CF352" s="658"/>
      <c r="CG352" s="658"/>
      <c r="CH352" s="658"/>
      <c r="CI352" s="658"/>
      <c r="CJ352" s="658"/>
      <c r="CK352" s="658"/>
      <c r="CL352" s="658"/>
      <c r="CM352" s="658"/>
      <c r="CN352" s="658"/>
      <c r="CO352" s="658"/>
      <c r="CP352" s="658"/>
      <c r="CQ352" s="658"/>
      <c r="CR352" s="658"/>
      <c r="CS352" s="658"/>
      <c r="CT352" s="658"/>
      <c r="CU352" s="658"/>
      <c r="CV352" s="658"/>
      <c r="CW352" s="658"/>
      <c r="CX352" s="658"/>
      <c r="CY352" s="658"/>
      <c r="CZ352" s="658"/>
      <c r="DA352" s="658"/>
      <c r="DB352" s="658"/>
      <c r="DC352" s="658"/>
      <c r="DD352" s="658"/>
      <c r="DE352" s="658"/>
      <c r="DF352" s="658"/>
      <c r="DG352" s="658"/>
      <c r="DH352" s="658"/>
      <c r="DI352" s="658"/>
      <c r="DJ352" s="658"/>
      <c r="DK352" s="658"/>
      <c r="DL352" s="658"/>
      <c r="DM352" s="658"/>
      <c r="DN352" s="658"/>
      <c r="DO352" s="177">
        <f>IF(M352="",0,-XNPV(DP352,S352,S$351)*(1+DP352)^YEARFRAC($S$351,$DO$351,3))</f>
        <v>0</v>
      </c>
      <c r="DP352" s="612" t="e">
        <f>IF(HLOOKUP(L352,$C$359:$E$360,2,0)=0,1E-24%,HLOOKUP(L352,$C$359:$E$360,2,FALSE))</f>
        <v>#N/A</v>
      </c>
      <c r="DQ352" s="612" t="e">
        <f t="shared" ref="DQ352:DQ359" si="2507">XIRR(S352:DO352,$S$351:$DO$351)</f>
        <v>#NUM!</v>
      </c>
      <c r="DR352" s="177"/>
      <c r="DS352" s="177"/>
      <c r="DT352" s="177"/>
      <c r="DU352" s="177"/>
      <c r="DV352" s="177"/>
      <c r="DW352" s="177"/>
      <c r="DX352" s="177"/>
      <c r="DY352" s="177"/>
      <c r="DZ352" s="177"/>
      <c r="EA352" s="613"/>
    </row>
    <row r="353" spans="1:131" ht="13.5">
      <c r="A353" s="652" t="str">
        <f t="shared" si="2503"/>
        <v>출자잔액</v>
      </c>
      <c r="B353" s="653" t="s">
        <v>352</v>
      </c>
      <c r="C353" s="782"/>
      <c r="D353" s="782"/>
      <c r="E353" s="782"/>
      <c r="F353" s="230"/>
      <c r="G353" s="230"/>
      <c r="I353" s="657">
        <f t="shared" ref="I353:I359" si="2508">SUM(DR353:EA353)</f>
        <v>0</v>
      </c>
      <c r="J353" s="606" t="str">
        <f t="shared" ref="J353:J359" si="2509">IFERROR(I353/(Q353/$C$354),"N/A")</f>
        <v>N/A</v>
      </c>
      <c r="K353" s="471"/>
      <c r="L353" s="607"/>
      <c r="M353" s="300"/>
      <c r="N353" s="608"/>
      <c r="O353" s="609">
        <f t="shared" si="2504"/>
        <v>0</v>
      </c>
      <c r="P353" s="609">
        <f t="shared" si="2505"/>
        <v>0</v>
      </c>
      <c r="Q353" s="609">
        <f t="shared" si="2506"/>
        <v>0</v>
      </c>
      <c r="R353" s="610" t="str">
        <f>IFERROR(Q353/Q360,"")</f>
        <v/>
      </c>
      <c r="S353" s="658"/>
      <c r="T353" s="658"/>
      <c r="U353" s="658"/>
      <c r="V353" s="658"/>
      <c r="W353" s="658"/>
      <c r="X353" s="658"/>
      <c r="Y353" s="658"/>
      <c r="Z353" s="658"/>
      <c r="AA353" s="658"/>
      <c r="AB353" s="658"/>
      <c r="AC353" s="658"/>
      <c r="AD353" s="658"/>
      <c r="AE353" s="658"/>
      <c r="AF353" s="658"/>
      <c r="AG353" s="658"/>
      <c r="AH353" s="658"/>
      <c r="AI353" s="658"/>
      <c r="AJ353" s="658"/>
      <c r="AK353" s="658"/>
      <c r="AL353" s="658"/>
      <c r="AM353" s="658"/>
      <c r="AN353" s="658"/>
      <c r="AO353" s="658"/>
      <c r="AP353" s="658"/>
      <c r="AQ353" s="658"/>
      <c r="AR353" s="658"/>
      <c r="AS353" s="658"/>
      <c r="AT353" s="658"/>
      <c r="AU353" s="658"/>
      <c r="AV353" s="658"/>
      <c r="AW353" s="658"/>
      <c r="AX353" s="658"/>
      <c r="AY353" s="658"/>
      <c r="AZ353" s="658"/>
      <c r="BA353" s="658"/>
      <c r="BB353" s="658"/>
      <c r="BC353" s="658"/>
      <c r="BD353" s="658"/>
      <c r="BE353" s="658"/>
      <c r="BF353" s="658"/>
      <c r="BG353" s="658"/>
      <c r="BH353" s="658"/>
      <c r="BI353" s="658"/>
      <c r="BJ353" s="658"/>
      <c r="BK353" s="658"/>
      <c r="BL353" s="658"/>
      <c r="BM353" s="658"/>
      <c r="BN353" s="658"/>
      <c r="BO353" s="658"/>
      <c r="BP353" s="658"/>
      <c r="BQ353" s="658"/>
      <c r="BR353" s="658"/>
      <c r="BS353" s="658"/>
      <c r="BT353" s="658"/>
      <c r="BU353" s="658"/>
      <c r="BV353" s="658"/>
      <c r="BW353" s="658"/>
      <c r="BX353" s="658"/>
      <c r="BY353" s="658"/>
      <c r="BZ353" s="658"/>
      <c r="CA353" s="658"/>
      <c r="CB353" s="658"/>
      <c r="CC353" s="658"/>
      <c r="CD353" s="658"/>
      <c r="CE353" s="658"/>
      <c r="CF353" s="658"/>
      <c r="CG353" s="658"/>
      <c r="CH353" s="658"/>
      <c r="CI353" s="658"/>
      <c r="CJ353" s="658"/>
      <c r="CK353" s="658"/>
      <c r="CL353" s="658"/>
      <c r="CM353" s="658"/>
      <c r="CN353" s="658"/>
      <c r="CO353" s="658"/>
      <c r="CP353" s="658"/>
      <c r="CQ353" s="658"/>
      <c r="CR353" s="658"/>
      <c r="CS353" s="658"/>
      <c r="CT353" s="658"/>
      <c r="CU353" s="658"/>
      <c r="CV353" s="658"/>
      <c r="CW353" s="658"/>
      <c r="CX353" s="658"/>
      <c r="CY353" s="658"/>
      <c r="CZ353" s="658"/>
      <c r="DA353" s="658"/>
      <c r="DB353" s="658"/>
      <c r="DC353" s="658"/>
      <c r="DD353" s="658"/>
      <c r="DE353" s="658"/>
      <c r="DF353" s="658"/>
      <c r="DG353" s="658"/>
      <c r="DH353" s="658"/>
      <c r="DI353" s="658"/>
      <c r="DJ353" s="658"/>
      <c r="DK353" s="658"/>
      <c r="DL353" s="658"/>
      <c r="DM353" s="658"/>
      <c r="DN353" s="658"/>
      <c r="DO353" s="177">
        <f t="shared" ref="DO353:DO359" si="2510">IF(M353="",0,-XNPV(DP353,S353,S$351)*(1+DP353)^YEARFRAC($S$351,$DO$351,3))</f>
        <v>0</v>
      </c>
      <c r="DP353" s="612" t="e">
        <f t="shared" ref="DP353:DP359" si="2511">IF(HLOOKUP(L353,$C$359:$E$360,2,0)=0,1E-24%,HLOOKUP(L353,$C$359:$E$360,2,FALSE))</f>
        <v>#N/A</v>
      </c>
      <c r="DQ353" s="612" t="e">
        <f t="shared" si="2507"/>
        <v>#NUM!</v>
      </c>
      <c r="DR353" s="177"/>
      <c r="DS353" s="177"/>
      <c r="DT353" s="177"/>
      <c r="DU353" s="177"/>
      <c r="DV353" s="177"/>
      <c r="DW353" s="177"/>
      <c r="DX353" s="177"/>
      <c r="DY353" s="177"/>
      <c r="DZ353" s="177"/>
      <c r="EA353" s="613"/>
    </row>
    <row r="354" spans="1:131" ht="13.5">
      <c r="A354" s="652" t="str">
        <f t="shared" si="2503"/>
        <v>1좌당 금액</v>
      </c>
      <c r="B354" s="653" t="s">
        <v>353</v>
      </c>
      <c r="C354" s="783"/>
      <c r="D354" s="783"/>
      <c r="E354" s="783"/>
      <c r="F354" s="230"/>
      <c r="G354" s="230"/>
      <c r="I354" s="657">
        <f t="shared" si="2508"/>
        <v>0</v>
      </c>
      <c r="J354" s="606" t="str">
        <f t="shared" si="2509"/>
        <v>N/A</v>
      </c>
      <c r="K354" s="471"/>
      <c r="L354" s="607"/>
      <c r="M354" s="300"/>
      <c r="N354" s="608"/>
      <c r="O354" s="609">
        <f t="shared" si="2504"/>
        <v>0</v>
      </c>
      <c r="P354" s="609">
        <f t="shared" si="2505"/>
        <v>0</v>
      </c>
      <c r="Q354" s="609">
        <f t="shared" si="2506"/>
        <v>0</v>
      </c>
      <c r="R354" s="610" t="str">
        <f>IFERROR(Q354/Q360,"")</f>
        <v/>
      </c>
      <c r="S354" s="658"/>
      <c r="T354" s="658"/>
      <c r="U354" s="658"/>
      <c r="V354" s="658"/>
      <c r="W354" s="658"/>
      <c r="X354" s="658"/>
      <c r="Y354" s="658"/>
      <c r="Z354" s="658"/>
      <c r="AA354" s="658"/>
      <c r="AB354" s="658"/>
      <c r="AC354" s="658"/>
      <c r="AD354" s="658"/>
      <c r="AE354" s="658"/>
      <c r="AF354" s="658"/>
      <c r="AG354" s="658"/>
      <c r="AH354" s="658"/>
      <c r="AI354" s="658"/>
      <c r="AJ354" s="658"/>
      <c r="AK354" s="658"/>
      <c r="AL354" s="658"/>
      <c r="AM354" s="658"/>
      <c r="AN354" s="658"/>
      <c r="AO354" s="658"/>
      <c r="AP354" s="658"/>
      <c r="AQ354" s="658"/>
      <c r="AR354" s="658"/>
      <c r="AS354" s="658"/>
      <c r="AT354" s="658"/>
      <c r="AU354" s="658"/>
      <c r="AV354" s="658"/>
      <c r="AW354" s="658"/>
      <c r="AX354" s="658"/>
      <c r="AY354" s="658"/>
      <c r="AZ354" s="658"/>
      <c r="BA354" s="658"/>
      <c r="BB354" s="658"/>
      <c r="BC354" s="658"/>
      <c r="BD354" s="658"/>
      <c r="BE354" s="658"/>
      <c r="BF354" s="658"/>
      <c r="BG354" s="658"/>
      <c r="BH354" s="658"/>
      <c r="BI354" s="658"/>
      <c r="BJ354" s="658"/>
      <c r="BK354" s="658"/>
      <c r="BL354" s="658"/>
      <c r="BM354" s="658"/>
      <c r="BN354" s="658"/>
      <c r="BO354" s="658"/>
      <c r="BP354" s="658"/>
      <c r="BQ354" s="658"/>
      <c r="BR354" s="658"/>
      <c r="BS354" s="658"/>
      <c r="BT354" s="658"/>
      <c r="BU354" s="658"/>
      <c r="BV354" s="658"/>
      <c r="BW354" s="658"/>
      <c r="BX354" s="658"/>
      <c r="BY354" s="658"/>
      <c r="BZ354" s="658"/>
      <c r="CA354" s="658"/>
      <c r="CB354" s="658"/>
      <c r="CC354" s="658"/>
      <c r="CD354" s="658"/>
      <c r="CE354" s="658"/>
      <c r="CF354" s="658"/>
      <c r="CG354" s="658"/>
      <c r="CH354" s="658"/>
      <c r="CI354" s="658"/>
      <c r="CJ354" s="658"/>
      <c r="CK354" s="658"/>
      <c r="CL354" s="658"/>
      <c r="CM354" s="658"/>
      <c r="CN354" s="658"/>
      <c r="CO354" s="658"/>
      <c r="CP354" s="658"/>
      <c r="CQ354" s="658"/>
      <c r="CR354" s="658"/>
      <c r="CS354" s="658"/>
      <c r="CT354" s="658"/>
      <c r="CU354" s="658"/>
      <c r="CV354" s="658"/>
      <c r="CW354" s="658"/>
      <c r="CX354" s="658"/>
      <c r="CY354" s="658"/>
      <c r="CZ354" s="658"/>
      <c r="DA354" s="658"/>
      <c r="DB354" s="658"/>
      <c r="DC354" s="658"/>
      <c r="DD354" s="658"/>
      <c r="DE354" s="658"/>
      <c r="DF354" s="658"/>
      <c r="DG354" s="658"/>
      <c r="DH354" s="658"/>
      <c r="DI354" s="658"/>
      <c r="DJ354" s="658"/>
      <c r="DK354" s="658"/>
      <c r="DL354" s="658"/>
      <c r="DM354" s="658"/>
      <c r="DN354" s="658"/>
      <c r="DO354" s="177">
        <f t="shared" si="2510"/>
        <v>0</v>
      </c>
      <c r="DP354" s="612" t="e">
        <f t="shared" si="2511"/>
        <v>#N/A</v>
      </c>
      <c r="DQ354" s="612" t="e">
        <f t="shared" si="2507"/>
        <v>#NUM!</v>
      </c>
      <c r="DR354" s="177"/>
      <c r="DS354" s="177"/>
      <c r="DT354" s="177"/>
      <c r="DU354" s="177"/>
      <c r="DV354" s="177"/>
      <c r="DW354" s="177"/>
      <c r="DX354" s="177"/>
      <c r="DY354" s="177"/>
      <c r="DZ354" s="177"/>
      <c r="EA354" s="613"/>
    </row>
    <row r="355" spans="1:131" ht="13.5">
      <c r="A355" s="652" t="str">
        <f t="shared" si="2503"/>
        <v>기준수익률</v>
      </c>
      <c r="B355" s="653" t="s">
        <v>354</v>
      </c>
      <c r="C355" s="784"/>
      <c r="D355" s="785"/>
      <c r="E355" s="785"/>
      <c r="F355" s="230"/>
      <c r="G355" s="230"/>
      <c r="I355" s="657">
        <f t="shared" si="2508"/>
        <v>0</v>
      </c>
      <c r="J355" s="606" t="str">
        <f t="shared" si="2509"/>
        <v>N/A</v>
      </c>
      <c r="K355" s="471"/>
      <c r="L355" s="607"/>
      <c r="M355" s="300"/>
      <c r="N355" s="608"/>
      <c r="O355" s="609">
        <f t="shared" si="2504"/>
        <v>0</v>
      </c>
      <c r="P355" s="609">
        <f t="shared" si="2505"/>
        <v>0</v>
      </c>
      <c r="Q355" s="609">
        <f t="shared" si="2506"/>
        <v>0</v>
      </c>
      <c r="R355" s="610" t="str">
        <f>IFERROR(Q355/Q360,"")</f>
        <v/>
      </c>
      <c r="S355" s="658"/>
      <c r="T355" s="658"/>
      <c r="U355" s="658"/>
      <c r="V355" s="658"/>
      <c r="W355" s="658"/>
      <c r="X355" s="658"/>
      <c r="Y355" s="658"/>
      <c r="Z355" s="658"/>
      <c r="AA355" s="658"/>
      <c r="AB355" s="658"/>
      <c r="AC355" s="658"/>
      <c r="AD355" s="658"/>
      <c r="AE355" s="658"/>
      <c r="AF355" s="658"/>
      <c r="AG355" s="658"/>
      <c r="AH355" s="658"/>
      <c r="AI355" s="658"/>
      <c r="AJ355" s="658"/>
      <c r="AK355" s="658"/>
      <c r="AL355" s="658"/>
      <c r="AM355" s="658"/>
      <c r="AN355" s="658"/>
      <c r="AO355" s="658"/>
      <c r="AP355" s="658"/>
      <c r="AQ355" s="658"/>
      <c r="AR355" s="658"/>
      <c r="AS355" s="658"/>
      <c r="AT355" s="658"/>
      <c r="AU355" s="658"/>
      <c r="AV355" s="658"/>
      <c r="AW355" s="658"/>
      <c r="AX355" s="658"/>
      <c r="AY355" s="658"/>
      <c r="AZ355" s="658"/>
      <c r="BA355" s="658"/>
      <c r="BB355" s="658"/>
      <c r="BC355" s="658"/>
      <c r="BD355" s="658"/>
      <c r="BE355" s="658"/>
      <c r="BF355" s="658"/>
      <c r="BG355" s="658"/>
      <c r="BH355" s="658"/>
      <c r="BI355" s="658"/>
      <c r="BJ355" s="658"/>
      <c r="BK355" s="658"/>
      <c r="BL355" s="658"/>
      <c r="BM355" s="658"/>
      <c r="BN355" s="658"/>
      <c r="BO355" s="658"/>
      <c r="BP355" s="658"/>
      <c r="BQ355" s="658"/>
      <c r="BR355" s="658"/>
      <c r="BS355" s="658"/>
      <c r="BT355" s="658"/>
      <c r="BU355" s="658"/>
      <c r="BV355" s="658"/>
      <c r="BW355" s="658"/>
      <c r="BX355" s="658"/>
      <c r="BY355" s="658"/>
      <c r="BZ355" s="658"/>
      <c r="CA355" s="658"/>
      <c r="CB355" s="658"/>
      <c r="CC355" s="658"/>
      <c r="CD355" s="658"/>
      <c r="CE355" s="658"/>
      <c r="CF355" s="658"/>
      <c r="CG355" s="658"/>
      <c r="CH355" s="658"/>
      <c r="CI355" s="658"/>
      <c r="CJ355" s="658"/>
      <c r="CK355" s="658"/>
      <c r="CL355" s="658"/>
      <c r="CM355" s="658"/>
      <c r="CN355" s="658"/>
      <c r="CO355" s="658"/>
      <c r="CP355" s="658"/>
      <c r="CQ355" s="658"/>
      <c r="CR355" s="658"/>
      <c r="CS355" s="658"/>
      <c r="CT355" s="658"/>
      <c r="CU355" s="658"/>
      <c r="CV355" s="658"/>
      <c r="CW355" s="658"/>
      <c r="CX355" s="658"/>
      <c r="CY355" s="658"/>
      <c r="CZ355" s="658"/>
      <c r="DA355" s="658"/>
      <c r="DB355" s="658"/>
      <c r="DC355" s="658"/>
      <c r="DD355" s="658"/>
      <c r="DE355" s="658"/>
      <c r="DF355" s="658"/>
      <c r="DG355" s="658"/>
      <c r="DH355" s="658"/>
      <c r="DI355" s="658"/>
      <c r="DJ355" s="658"/>
      <c r="DK355" s="658"/>
      <c r="DL355" s="658"/>
      <c r="DM355" s="658"/>
      <c r="DN355" s="658"/>
      <c r="DO355" s="177">
        <f t="shared" si="2510"/>
        <v>0</v>
      </c>
      <c r="DP355" s="612" t="e">
        <f t="shared" si="2511"/>
        <v>#N/A</v>
      </c>
      <c r="DQ355" s="612" t="e">
        <f t="shared" si="2507"/>
        <v>#NUM!</v>
      </c>
      <c r="DR355" s="177"/>
      <c r="DS355" s="177"/>
      <c r="DT355" s="177"/>
      <c r="DU355" s="177"/>
      <c r="DV355" s="177"/>
      <c r="DW355" s="177"/>
      <c r="DX355" s="177"/>
      <c r="DY355" s="177"/>
      <c r="DZ355" s="177"/>
      <c r="EA355" s="613"/>
    </row>
    <row r="356" spans="1:131" ht="13.5">
      <c r="A356" s="652" t="str">
        <f t="shared" si="2503"/>
        <v>평가방법론</v>
      </c>
      <c r="B356" s="653" t="s">
        <v>7</v>
      </c>
      <c r="C356" s="786"/>
      <c r="D356" s="786"/>
      <c r="E356" s="786"/>
      <c r="F356" s="230"/>
      <c r="G356" s="230"/>
      <c r="I356" s="657">
        <f t="shared" si="2508"/>
        <v>0</v>
      </c>
      <c r="J356" s="606" t="str">
        <f t="shared" si="2509"/>
        <v>N/A</v>
      </c>
      <c r="K356" s="471"/>
      <c r="L356" s="607"/>
      <c r="M356" s="300"/>
      <c r="N356" s="608"/>
      <c r="O356" s="609">
        <f t="shared" si="2504"/>
        <v>0</v>
      </c>
      <c r="P356" s="609">
        <f t="shared" si="2505"/>
        <v>0</v>
      </c>
      <c r="Q356" s="609">
        <f t="shared" si="2506"/>
        <v>0</v>
      </c>
      <c r="R356" s="610" t="str">
        <f>IFERROR(Q356/Q360,"")</f>
        <v/>
      </c>
      <c r="S356" s="658"/>
      <c r="T356" s="658"/>
      <c r="U356" s="658"/>
      <c r="V356" s="658"/>
      <c r="W356" s="658"/>
      <c r="X356" s="658"/>
      <c r="Y356" s="658"/>
      <c r="Z356" s="658"/>
      <c r="AA356" s="658"/>
      <c r="AB356" s="658"/>
      <c r="AC356" s="658"/>
      <c r="AD356" s="658"/>
      <c r="AE356" s="658"/>
      <c r="AF356" s="658"/>
      <c r="AG356" s="658"/>
      <c r="AH356" s="658"/>
      <c r="AI356" s="658"/>
      <c r="AJ356" s="658"/>
      <c r="AK356" s="658"/>
      <c r="AL356" s="658"/>
      <c r="AM356" s="658"/>
      <c r="AN356" s="658"/>
      <c r="AO356" s="658"/>
      <c r="AP356" s="658"/>
      <c r="AQ356" s="658"/>
      <c r="AR356" s="658"/>
      <c r="AS356" s="658"/>
      <c r="AT356" s="658"/>
      <c r="AU356" s="658"/>
      <c r="AV356" s="658"/>
      <c r="AW356" s="658"/>
      <c r="AX356" s="658"/>
      <c r="AY356" s="658"/>
      <c r="AZ356" s="658"/>
      <c r="BA356" s="658"/>
      <c r="BB356" s="658"/>
      <c r="BC356" s="658"/>
      <c r="BD356" s="658"/>
      <c r="BE356" s="658"/>
      <c r="BF356" s="658"/>
      <c r="BG356" s="658"/>
      <c r="BH356" s="658"/>
      <c r="BI356" s="658"/>
      <c r="BJ356" s="658"/>
      <c r="BK356" s="658"/>
      <c r="BL356" s="658"/>
      <c r="BM356" s="658"/>
      <c r="BN356" s="658"/>
      <c r="BO356" s="658"/>
      <c r="BP356" s="658"/>
      <c r="BQ356" s="658"/>
      <c r="BR356" s="658"/>
      <c r="BS356" s="658"/>
      <c r="BT356" s="658"/>
      <c r="BU356" s="658"/>
      <c r="BV356" s="658"/>
      <c r="BW356" s="658"/>
      <c r="BX356" s="658"/>
      <c r="BY356" s="658"/>
      <c r="BZ356" s="658"/>
      <c r="CA356" s="658"/>
      <c r="CB356" s="658"/>
      <c r="CC356" s="658"/>
      <c r="CD356" s="658"/>
      <c r="CE356" s="658"/>
      <c r="CF356" s="658"/>
      <c r="CG356" s="658"/>
      <c r="CH356" s="658"/>
      <c r="CI356" s="658"/>
      <c r="CJ356" s="658"/>
      <c r="CK356" s="658"/>
      <c r="CL356" s="658"/>
      <c r="CM356" s="658"/>
      <c r="CN356" s="658"/>
      <c r="CO356" s="658"/>
      <c r="CP356" s="658"/>
      <c r="CQ356" s="658"/>
      <c r="CR356" s="658"/>
      <c r="CS356" s="658"/>
      <c r="CT356" s="658"/>
      <c r="CU356" s="658"/>
      <c r="CV356" s="658"/>
      <c r="CW356" s="658"/>
      <c r="CX356" s="658"/>
      <c r="CY356" s="658"/>
      <c r="CZ356" s="658"/>
      <c r="DA356" s="658"/>
      <c r="DB356" s="658"/>
      <c r="DC356" s="658"/>
      <c r="DD356" s="658"/>
      <c r="DE356" s="658"/>
      <c r="DF356" s="658"/>
      <c r="DG356" s="658"/>
      <c r="DH356" s="658"/>
      <c r="DI356" s="658"/>
      <c r="DJ356" s="658"/>
      <c r="DK356" s="658"/>
      <c r="DL356" s="658"/>
      <c r="DM356" s="658"/>
      <c r="DN356" s="658"/>
      <c r="DO356" s="177">
        <f t="shared" si="2510"/>
        <v>0</v>
      </c>
      <c r="DP356" s="612" t="e">
        <f t="shared" si="2511"/>
        <v>#N/A</v>
      </c>
      <c r="DQ356" s="612" t="e">
        <f t="shared" si="2507"/>
        <v>#NUM!</v>
      </c>
      <c r="DR356" s="177"/>
      <c r="DS356" s="177"/>
      <c r="DT356" s="177"/>
      <c r="DU356" s="177"/>
      <c r="DV356" s="177"/>
      <c r="DW356" s="177"/>
      <c r="DX356" s="177"/>
      <c r="DY356" s="177"/>
      <c r="DZ356" s="177"/>
      <c r="EA356" s="613"/>
    </row>
    <row r="357" spans="1:131" ht="13.5">
      <c r="A357" s="652" t="str">
        <f t="shared" si="2503"/>
        <v>분배 조항 여부</v>
      </c>
      <c r="B357" s="653" t="s">
        <v>355</v>
      </c>
      <c r="C357" s="786"/>
      <c r="D357" s="786"/>
      <c r="E357" s="786"/>
      <c r="F357" s="230"/>
      <c r="G357" s="230"/>
      <c r="I357" s="657">
        <f t="shared" si="2508"/>
        <v>0</v>
      </c>
      <c r="J357" s="606" t="str">
        <f t="shared" si="2509"/>
        <v>N/A</v>
      </c>
      <c r="K357" s="471"/>
      <c r="L357" s="607"/>
      <c r="M357" s="300"/>
      <c r="N357" s="608"/>
      <c r="O357" s="609">
        <f t="shared" si="2504"/>
        <v>0</v>
      </c>
      <c r="P357" s="609">
        <f t="shared" si="2505"/>
        <v>0</v>
      </c>
      <c r="Q357" s="609">
        <f t="shared" si="2506"/>
        <v>0</v>
      </c>
      <c r="R357" s="610" t="str">
        <f>IFERROR(Q357/Q360,"")</f>
        <v/>
      </c>
      <c r="S357" s="658"/>
      <c r="T357" s="658"/>
      <c r="U357" s="658"/>
      <c r="V357" s="658"/>
      <c r="W357" s="658"/>
      <c r="X357" s="658"/>
      <c r="Y357" s="658"/>
      <c r="Z357" s="658"/>
      <c r="AA357" s="658"/>
      <c r="AB357" s="658"/>
      <c r="AC357" s="658"/>
      <c r="AD357" s="658"/>
      <c r="AE357" s="658"/>
      <c r="AF357" s="658"/>
      <c r="AG357" s="658"/>
      <c r="AH357" s="658"/>
      <c r="AI357" s="658"/>
      <c r="AJ357" s="658"/>
      <c r="AK357" s="658"/>
      <c r="AL357" s="658"/>
      <c r="AM357" s="658"/>
      <c r="AN357" s="658"/>
      <c r="AO357" s="658"/>
      <c r="AP357" s="658"/>
      <c r="AQ357" s="658"/>
      <c r="AR357" s="658"/>
      <c r="AS357" s="658"/>
      <c r="AT357" s="658"/>
      <c r="AU357" s="658"/>
      <c r="AV357" s="658"/>
      <c r="AW357" s="658"/>
      <c r="AX357" s="658"/>
      <c r="AY357" s="658"/>
      <c r="AZ357" s="658"/>
      <c r="BA357" s="658"/>
      <c r="BB357" s="658"/>
      <c r="BC357" s="658"/>
      <c r="BD357" s="658"/>
      <c r="BE357" s="658"/>
      <c r="BF357" s="658"/>
      <c r="BG357" s="658"/>
      <c r="BH357" s="658"/>
      <c r="BI357" s="658"/>
      <c r="BJ357" s="658"/>
      <c r="BK357" s="658"/>
      <c r="BL357" s="658"/>
      <c r="BM357" s="658"/>
      <c r="BN357" s="658"/>
      <c r="BO357" s="658"/>
      <c r="BP357" s="658"/>
      <c r="BQ357" s="658"/>
      <c r="BR357" s="658"/>
      <c r="BS357" s="658"/>
      <c r="BT357" s="658"/>
      <c r="BU357" s="658"/>
      <c r="BV357" s="658"/>
      <c r="BW357" s="658"/>
      <c r="BX357" s="658"/>
      <c r="BY357" s="658"/>
      <c r="BZ357" s="658"/>
      <c r="CA357" s="658"/>
      <c r="CB357" s="658"/>
      <c r="CC357" s="658"/>
      <c r="CD357" s="658"/>
      <c r="CE357" s="658"/>
      <c r="CF357" s="658"/>
      <c r="CG357" s="658"/>
      <c r="CH357" s="658"/>
      <c r="CI357" s="658"/>
      <c r="CJ357" s="658"/>
      <c r="CK357" s="658"/>
      <c r="CL357" s="658"/>
      <c r="CM357" s="658"/>
      <c r="CN357" s="658"/>
      <c r="CO357" s="658"/>
      <c r="CP357" s="658"/>
      <c r="CQ357" s="658"/>
      <c r="CR357" s="658"/>
      <c r="CS357" s="658"/>
      <c r="CT357" s="658"/>
      <c r="CU357" s="658"/>
      <c r="CV357" s="658"/>
      <c r="CW357" s="658"/>
      <c r="CX357" s="658"/>
      <c r="CY357" s="658"/>
      <c r="CZ357" s="658"/>
      <c r="DA357" s="658"/>
      <c r="DB357" s="658"/>
      <c r="DC357" s="658"/>
      <c r="DD357" s="658"/>
      <c r="DE357" s="658"/>
      <c r="DF357" s="658"/>
      <c r="DG357" s="658"/>
      <c r="DH357" s="658"/>
      <c r="DI357" s="658"/>
      <c r="DJ357" s="658"/>
      <c r="DK357" s="658"/>
      <c r="DL357" s="658"/>
      <c r="DM357" s="658"/>
      <c r="DN357" s="658"/>
      <c r="DO357" s="177">
        <f t="shared" si="2510"/>
        <v>0</v>
      </c>
      <c r="DP357" s="612" t="e">
        <f t="shared" si="2511"/>
        <v>#N/A</v>
      </c>
      <c r="DQ357" s="612" t="e">
        <f t="shared" si="2507"/>
        <v>#NUM!</v>
      </c>
      <c r="DR357" s="177"/>
      <c r="DS357" s="177"/>
      <c r="DT357" s="177"/>
      <c r="DU357" s="177"/>
      <c r="DV357" s="177"/>
      <c r="DW357" s="177"/>
      <c r="DX357" s="177"/>
      <c r="DY357" s="177"/>
      <c r="DZ357" s="177"/>
      <c r="EA357" s="613"/>
    </row>
    <row r="358" spans="1:131" ht="14.25" thickBot="1">
      <c r="A358" s="652" t="str">
        <f t="shared" si="2503"/>
        <v>모펀드 출자 지분율</v>
      </c>
      <c r="B358" s="660" t="s">
        <v>356</v>
      </c>
      <c r="C358" s="787"/>
      <c r="D358" s="787"/>
      <c r="E358" s="787"/>
      <c r="F358" s="230"/>
      <c r="G358" s="230"/>
      <c r="I358" s="657">
        <f t="shared" si="2508"/>
        <v>0</v>
      </c>
      <c r="J358" s="606" t="str">
        <f t="shared" si="2509"/>
        <v>N/A</v>
      </c>
      <c r="K358" s="471"/>
      <c r="L358" s="607"/>
      <c r="M358" s="300"/>
      <c r="N358" s="608"/>
      <c r="O358" s="609">
        <f t="shared" si="2504"/>
        <v>0</v>
      </c>
      <c r="P358" s="609">
        <f t="shared" si="2505"/>
        <v>0</v>
      </c>
      <c r="Q358" s="609">
        <f t="shared" si="2506"/>
        <v>0</v>
      </c>
      <c r="R358" s="610" t="str">
        <f>IFERROR(Q358/Q360,"")</f>
        <v/>
      </c>
      <c r="S358" s="658"/>
      <c r="T358" s="658"/>
      <c r="U358" s="658"/>
      <c r="V358" s="658"/>
      <c r="W358" s="658"/>
      <c r="X358" s="658"/>
      <c r="Y358" s="658"/>
      <c r="Z358" s="658"/>
      <c r="AA358" s="658"/>
      <c r="AB358" s="658"/>
      <c r="AC358" s="658"/>
      <c r="AD358" s="658"/>
      <c r="AE358" s="658"/>
      <c r="AF358" s="658"/>
      <c r="AG358" s="658"/>
      <c r="AH358" s="658"/>
      <c r="AI358" s="658"/>
      <c r="AJ358" s="658"/>
      <c r="AK358" s="658"/>
      <c r="AL358" s="658"/>
      <c r="AM358" s="658"/>
      <c r="AN358" s="658"/>
      <c r="AO358" s="658"/>
      <c r="AP358" s="658"/>
      <c r="AQ358" s="658"/>
      <c r="AR358" s="658"/>
      <c r="AS358" s="658"/>
      <c r="AT358" s="658"/>
      <c r="AU358" s="658"/>
      <c r="AV358" s="658"/>
      <c r="AW358" s="658"/>
      <c r="AX358" s="658"/>
      <c r="AY358" s="658"/>
      <c r="AZ358" s="658"/>
      <c r="BA358" s="658"/>
      <c r="BB358" s="658"/>
      <c r="BC358" s="658"/>
      <c r="BD358" s="658"/>
      <c r="BE358" s="658"/>
      <c r="BF358" s="658"/>
      <c r="BG358" s="658"/>
      <c r="BH358" s="658"/>
      <c r="BI358" s="658"/>
      <c r="BJ358" s="658"/>
      <c r="BK358" s="658"/>
      <c r="BL358" s="658"/>
      <c r="BM358" s="658"/>
      <c r="BN358" s="658"/>
      <c r="BO358" s="658"/>
      <c r="BP358" s="658"/>
      <c r="BQ358" s="658"/>
      <c r="BR358" s="658"/>
      <c r="BS358" s="658"/>
      <c r="BT358" s="658"/>
      <c r="BU358" s="658"/>
      <c r="BV358" s="658"/>
      <c r="BW358" s="658"/>
      <c r="BX358" s="658"/>
      <c r="BY358" s="658"/>
      <c r="BZ358" s="658"/>
      <c r="CA358" s="658"/>
      <c r="CB358" s="658"/>
      <c r="CC358" s="658"/>
      <c r="CD358" s="658"/>
      <c r="CE358" s="658"/>
      <c r="CF358" s="658"/>
      <c r="CG358" s="658"/>
      <c r="CH358" s="658"/>
      <c r="CI358" s="658"/>
      <c r="CJ358" s="658"/>
      <c r="CK358" s="658"/>
      <c r="CL358" s="658"/>
      <c r="CM358" s="658"/>
      <c r="CN358" s="658"/>
      <c r="CO358" s="658"/>
      <c r="CP358" s="658"/>
      <c r="CQ358" s="658"/>
      <c r="CR358" s="658"/>
      <c r="CS358" s="658"/>
      <c r="CT358" s="658"/>
      <c r="CU358" s="658"/>
      <c r="CV358" s="658"/>
      <c r="CW358" s="658"/>
      <c r="CX358" s="658"/>
      <c r="CY358" s="658"/>
      <c r="CZ358" s="658"/>
      <c r="DA358" s="658"/>
      <c r="DB358" s="658"/>
      <c r="DC358" s="658"/>
      <c r="DD358" s="658"/>
      <c r="DE358" s="658"/>
      <c r="DF358" s="658"/>
      <c r="DG358" s="658"/>
      <c r="DH358" s="658"/>
      <c r="DI358" s="658"/>
      <c r="DJ358" s="658"/>
      <c r="DK358" s="658"/>
      <c r="DL358" s="658"/>
      <c r="DM358" s="658"/>
      <c r="DN358" s="658"/>
      <c r="DO358" s="177">
        <f t="shared" si="2510"/>
        <v>0</v>
      </c>
      <c r="DP358" s="612" t="e">
        <f t="shared" si="2511"/>
        <v>#N/A</v>
      </c>
      <c r="DQ358" s="612" t="e">
        <f t="shared" si="2507"/>
        <v>#NUM!</v>
      </c>
      <c r="DR358" s="177"/>
      <c r="DS358" s="177"/>
      <c r="DT358" s="177"/>
      <c r="DU358" s="177"/>
      <c r="DV358" s="177"/>
      <c r="DW358" s="177"/>
      <c r="DX358" s="177"/>
      <c r="DY358" s="177"/>
      <c r="DZ358" s="177"/>
      <c r="EA358" s="613"/>
    </row>
    <row r="359" spans="1:131" ht="14.25" thickBot="1">
      <c r="B359" s="778" t="s">
        <v>3404</v>
      </c>
      <c r="C359" s="616" t="s">
        <v>223</v>
      </c>
      <c r="D359" s="616" t="s">
        <v>224</v>
      </c>
      <c r="E359" s="616" t="s">
        <v>225</v>
      </c>
      <c r="F359" s="230"/>
      <c r="G359" s="230"/>
      <c r="I359" s="657">
        <f t="shared" si="2508"/>
        <v>0</v>
      </c>
      <c r="J359" s="606" t="str">
        <f t="shared" si="2509"/>
        <v>N/A</v>
      </c>
      <c r="K359" s="471"/>
      <c r="L359" s="607"/>
      <c r="M359" s="300"/>
      <c r="N359" s="608"/>
      <c r="O359" s="609">
        <f t="shared" si="2504"/>
        <v>0</v>
      </c>
      <c r="P359" s="609">
        <f t="shared" si="2505"/>
        <v>0</v>
      </c>
      <c r="Q359" s="609">
        <f t="shared" si="2506"/>
        <v>0</v>
      </c>
      <c r="R359" s="610" t="str">
        <f>IFERROR(Q359/Q360,"")</f>
        <v/>
      </c>
      <c r="S359" s="658"/>
      <c r="T359" s="658"/>
      <c r="U359" s="658"/>
      <c r="V359" s="658"/>
      <c r="W359" s="658"/>
      <c r="X359" s="658"/>
      <c r="Y359" s="658"/>
      <c r="Z359" s="658"/>
      <c r="AA359" s="658"/>
      <c r="AB359" s="658"/>
      <c r="AC359" s="658"/>
      <c r="AD359" s="658"/>
      <c r="AE359" s="658"/>
      <c r="AF359" s="658"/>
      <c r="AG359" s="658"/>
      <c r="AH359" s="658"/>
      <c r="AI359" s="658"/>
      <c r="AJ359" s="658"/>
      <c r="AK359" s="658"/>
      <c r="AL359" s="658"/>
      <c r="AM359" s="658"/>
      <c r="AN359" s="658"/>
      <c r="AO359" s="658"/>
      <c r="AP359" s="658"/>
      <c r="AQ359" s="658"/>
      <c r="AR359" s="658"/>
      <c r="AS359" s="658"/>
      <c r="AT359" s="658"/>
      <c r="AU359" s="658"/>
      <c r="AV359" s="658"/>
      <c r="AW359" s="658"/>
      <c r="AX359" s="658"/>
      <c r="AY359" s="658"/>
      <c r="AZ359" s="658"/>
      <c r="BA359" s="658"/>
      <c r="BB359" s="658"/>
      <c r="BC359" s="658"/>
      <c r="BD359" s="658"/>
      <c r="BE359" s="658"/>
      <c r="BF359" s="658"/>
      <c r="BG359" s="658"/>
      <c r="BH359" s="658"/>
      <c r="BI359" s="658"/>
      <c r="BJ359" s="658"/>
      <c r="BK359" s="658"/>
      <c r="BL359" s="658"/>
      <c r="BM359" s="658"/>
      <c r="BN359" s="658"/>
      <c r="BO359" s="658"/>
      <c r="BP359" s="658"/>
      <c r="BQ359" s="658"/>
      <c r="BR359" s="658"/>
      <c r="BS359" s="658"/>
      <c r="BT359" s="658"/>
      <c r="BU359" s="658"/>
      <c r="BV359" s="658"/>
      <c r="BW359" s="658"/>
      <c r="BX359" s="658"/>
      <c r="BY359" s="658"/>
      <c r="BZ359" s="658"/>
      <c r="CA359" s="658"/>
      <c r="CB359" s="658"/>
      <c r="CC359" s="658"/>
      <c r="CD359" s="658"/>
      <c r="CE359" s="658"/>
      <c r="CF359" s="658"/>
      <c r="CG359" s="658"/>
      <c r="CH359" s="658"/>
      <c r="CI359" s="658"/>
      <c r="CJ359" s="658"/>
      <c r="CK359" s="658"/>
      <c r="CL359" s="658"/>
      <c r="CM359" s="658"/>
      <c r="CN359" s="658"/>
      <c r="CO359" s="658"/>
      <c r="CP359" s="658"/>
      <c r="CQ359" s="658"/>
      <c r="CR359" s="658"/>
      <c r="CS359" s="658"/>
      <c r="CT359" s="658"/>
      <c r="CU359" s="658"/>
      <c r="CV359" s="658"/>
      <c r="CW359" s="658"/>
      <c r="CX359" s="658"/>
      <c r="CY359" s="658"/>
      <c r="CZ359" s="658"/>
      <c r="DA359" s="658"/>
      <c r="DB359" s="658"/>
      <c r="DC359" s="658"/>
      <c r="DD359" s="658"/>
      <c r="DE359" s="658"/>
      <c r="DF359" s="658"/>
      <c r="DG359" s="658"/>
      <c r="DH359" s="658"/>
      <c r="DI359" s="658"/>
      <c r="DJ359" s="658"/>
      <c r="DK359" s="658"/>
      <c r="DL359" s="658"/>
      <c r="DM359" s="658"/>
      <c r="DN359" s="658"/>
      <c r="DO359" s="177">
        <f t="shared" si="2510"/>
        <v>0</v>
      </c>
      <c r="DP359" s="612" t="e">
        <f t="shared" si="2511"/>
        <v>#N/A</v>
      </c>
      <c r="DQ359" s="612" t="e">
        <f t="shared" si="2507"/>
        <v>#NUM!</v>
      </c>
      <c r="DR359" s="177"/>
      <c r="DS359" s="177"/>
      <c r="DT359" s="177"/>
      <c r="DU359" s="177"/>
      <c r="DV359" s="177"/>
      <c r="DW359" s="177"/>
      <c r="DX359" s="177"/>
      <c r="DY359" s="177"/>
      <c r="DZ359" s="177"/>
      <c r="EA359" s="613"/>
    </row>
    <row r="360" spans="1:131" ht="14.25" thickBot="1">
      <c r="A360" s="317"/>
      <c r="B360" s="779"/>
      <c r="C360" s="661"/>
      <c r="D360" s="661"/>
      <c r="E360" s="661"/>
      <c r="F360" s="662"/>
      <c r="G360" s="662"/>
      <c r="H360" s="317"/>
      <c r="I360" s="634">
        <f>SUM(I352:I359)</f>
        <v>0</v>
      </c>
      <c r="J360" s="663"/>
      <c r="K360" s="664"/>
      <c r="L360" s="664"/>
      <c r="M360" s="664"/>
      <c r="N360" s="634">
        <f t="shared" ref="N360:R360" si="2512">SUM(N352:N359)</f>
        <v>0</v>
      </c>
      <c r="O360" s="634">
        <f t="shared" si="2512"/>
        <v>0</v>
      </c>
      <c r="P360" s="634">
        <f t="shared" si="2512"/>
        <v>0</v>
      </c>
      <c r="Q360" s="634">
        <f t="shared" si="2512"/>
        <v>0</v>
      </c>
      <c r="R360" s="665">
        <f t="shared" si="2512"/>
        <v>0</v>
      </c>
      <c r="S360" s="634">
        <f>SUM(S352:S359)</f>
        <v>0</v>
      </c>
      <c r="T360" s="634">
        <f t="shared" ref="T360" si="2513">SUM(T352:T359)</f>
        <v>0</v>
      </c>
      <c r="U360" s="634">
        <f t="shared" ref="U360" si="2514">SUM(U352:U359)</f>
        <v>0</v>
      </c>
      <c r="V360" s="634">
        <f t="shared" ref="V360" si="2515">SUM(V352:V359)</f>
        <v>0</v>
      </c>
      <c r="W360" s="634">
        <f t="shared" ref="W360" si="2516">SUM(W352:W359)</f>
        <v>0</v>
      </c>
      <c r="X360" s="634">
        <f t="shared" ref="X360" si="2517">SUM(X352:X359)</f>
        <v>0</v>
      </c>
      <c r="Y360" s="634">
        <f t="shared" ref="Y360" si="2518">SUM(Y352:Y359)</f>
        <v>0</v>
      </c>
      <c r="Z360" s="634">
        <f t="shared" ref="Z360" si="2519">SUM(Z352:Z359)</f>
        <v>0</v>
      </c>
      <c r="AA360" s="634">
        <f t="shared" ref="AA360" si="2520">SUM(AA352:AA359)</f>
        <v>0</v>
      </c>
      <c r="AB360" s="634">
        <f t="shared" ref="AB360" si="2521">SUM(AB352:AB359)</f>
        <v>0</v>
      </c>
      <c r="AC360" s="634">
        <f t="shared" ref="AC360" si="2522">SUM(AC352:AC359)</f>
        <v>0</v>
      </c>
      <c r="AD360" s="634">
        <f t="shared" ref="AD360" si="2523">SUM(AD352:AD359)</f>
        <v>0</v>
      </c>
      <c r="AE360" s="634">
        <f t="shared" ref="AE360" si="2524">SUM(AE352:AE359)</f>
        <v>0</v>
      </c>
      <c r="AF360" s="634">
        <f t="shared" ref="AF360" si="2525">SUM(AF352:AF359)</f>
        <v>0</v>
      </c>
      <c r="AG360" s="634">
        <f t="shared" ref="AG360" si="2526">SUM(AG352:AG359)</f>
        <v>0</v>
      </c>
      <c r="AH360" s="634">
        <f t="shared" ref="AH360" si="2527">SUM(AH352:AH359)</f>
        <v>0</v>
      </c>
      <c r="AI360" s="634">
        <f t="shared" ref="AI360" si="2528">SUM(AI352:AI359)</f>
        <v>0</v>
      </c>
      <c r="AJ360" s="634">
        <f t="shared" ref="AJ360" si="2529">SUM(AJ352:AJ359)</f>
        <v>0</v>
      </c>
      <c r="AK360" s="634">
        <f t="shared" ref="AK360" si="2530">SUM(AK352:AK359)</f>
        <v>0</v>
      </c>
      <c r="AL360" s="634">
        <f t="shared" ref="AL360" si="2531">SUM(AL352:AL359)</f>
        <v>0</v>
      </c>
      <c r="AM360" s="634">
        <f t="shared" ref="AM360" si="2532">SUM(AM352:AM359)</f>
        <v>0</v>
      </c>
      <c r="AN360" s="634">
        <f t="shared" ref="AN360" si="2533">SUM(AN352:AN359)</f>
        <v>0</v>
      </c>
      <c r="AO360" s="634">
        <f t="shared" ref="AO360" si="2534">SUM(AO352:AO359)</f>
        <v>0</v>
      </c>
      <c r="AP360" s="634">
        <f t="shared" ref="AP360" si="2535">SUM(AP352:AP359)</f>
        <v>0</v>
      </c>
      <c r="AQ360" s="634">
        <f t="shared" ref="AQ360" si="2536">SUM(AQ352:AQ359)</f>
        <v>0</v>
      </c>
      <c r="AR360" s="634">
        <f t="shared" ref="AR360" si="2537">SUM(AR352:AR359)</f>
        <v>0</v>
      </c>
      <c r="AS360" s="634">
        <f t="shared" ref="AS360" si="2538">SUM(AS352:AS359)</f>
        <v>0</v>
      </c>
      <c r="AT360" s="634">
        <f t="shared" ref="AT360" si="2539">SUM(AT352:AT359)</f>
        <v>0</v>
      </c>
      <c r="AU360" s="634">
        <f t="shared" ref="AU360" si="2540">SUM(AU352:AU359)</f>
        <v>0</v>
      </c>
      <c r="AV360" s="634">
        <f t="shared" ref="AV360" si="2541">SUM(AV352:AV359)</f>
        <v>0</v>
      </c>
      <c r="AW360" s="634">
        <f t="shared" ref="AW360" si="2542">SUM(AW352:AW359)</f>
        <v>0</v>
      </c>
      <c r="AX360" s="634">
        <f t="shared" ref="AX360" si="2543">SUM(AX352:AX359)</f>
        <v>0</v>
      </c>
      <c r="AY360" s="634">
        <f t="shared" ref="AY360" si="2544">SUM(AY352:AY359)</f>
        <v>0</v>
      </c>
      <c r="AZ360" s="634">
        <f t="shared" ref="AZ360" si="2545">SUM(AZ352:AZ359)</f>
        <v>0</v>
      </c>
      <c r="BA360" s="634">
        <f t="shared" ref="BA360" si="2546">SUM(BA352:BA359)</f>
        <v>0</v>
      </c>
      <c r="BB360" s="634">
        <f t="shared" ref="BB360" si="2547">SUM(BB352:BB359)</f>
        <v>0</v>
      </c>
      <c r="BC360" s="634">
        <f t="shared" ref="BC360" si="2548">SUM(BC352:BC359)</f>
        <v>0</v>
      </c>
      <c r="BD360" s="634">
        <f t="shared" ref="BD360" si="2549">SUM(BD352:BD359)</f>
        <v>0</v>
      </c>
      <c r="BE360" s="634">
        <f t="shared" ref="BE360" si="2550">SUM(BE352:BE359)</f>
        <v>0</v>
      </c>
      <c r="BF360" s="634">
        <f t="shared" ref="BF360" si="2551">SUM(BF352:BF359)</f>
        <v>0</v>
      </c>
      <c r="BG360" s="634">
        <f t="shared" ref="BG360" si="2552">SUM(BG352:BG359)</f>
        <v>0</v>
      </c>
      <c r="BH360" s="634">
        <f t="shared" ref="BH360" si="2553">SUM(BH352:BH359)</f>
        <v>0</v>
      </c>
      <c r="BI360" s="634">
        <f t="shared" ref="BI360" si="2554">SUM(BI352:BI359)</f>
        <v>0</v>
      </c>
      <c r="BJ360" s="634">
        <f t="shared" ref="BJ360" si="2555">SUM(BJ352:BJ359)</f>
        <v>0</v>
      </c>
      <c r="BK360" s="634">
        <f t="shared" ref="BK360" si="2556">SUM(BK352:BK359)</f>
        <v>0</v>
      </c>
      <c r="BL360" s="634">
        <f t="shared" ref="BL360" si="2557">SUM(BL352:BL359)</f>
        <v>0</v>
      </c>
      <c r="BM360" s="634">
        <f t="shared" ref="BM360" si="2558">SUM(BM352:BM359)</f>
        <v>0</v>
      </c>
      <c r="BN360" s="634">
        <f t="shared" ref="BN360" si="2559">SUM(BN352:BN359)</f>
        <v>0</v>
      </c>
      <c r="BO360" s="634">
        <f t="shared" ref="BO360" si="2560">SUM(BO352:BO359)</f>
        <v>0</v>
      </c>
      <c r="BP360" s="634">
        <f t="shared" ref="BP360" si="2561">SUM(BP352:BP359)</f>
        <v>0</v>
      </c>
      <c r="BQ360" s="634">
        <f t="shared" ref="BQ360" si="2562">SUM(BQ352:BQ359)</f>
        <v>0</v>
      </c>
      <c r="BR360" s="634">
        <f t="shared" ref="BR360" si="2563">SUM(BR352:BR359)</f>
        <v>0</v>
      </c>
      <c r="BS360" s="634">
        <f t="shared" ref="BS360" si="2564">SUM(BS352:BS359)</f>
        <v>0</v>
      </c>
      <c r="BT360" s="634">
        <f t="shared" ref="BT360" si="2565">SUM(BT352:BT359)</f>
        <v>0</v>
      </c>
      <c r="BU360" s="634">
        <f t="shared" ref="BU360" si="2566">SUM(BU352:BU359)</f>
        <v>0</v>
      </c>
      <c r="BV360" s="634">
        <f t="shared" ref="BV360" si="2567">SUM(BV352:BV359)</f>
        <v>0</v>
      </c>
      <c r="BW360" s="634">
        <f t="shared" ref="BW360" si="2568">SUM(BW352:BW359)</f>
        <v>0</v>
      </c>
      <c r="BX360" s="634">
        <f t="shared" ref="BX360" si="2569">SUM(BX352:BX359)</f>
        <v>0</v>
      </c>
      <c r="BY360" s="634">
        <f t="shared" ref="BY360" si="2570">SUM(BY352:BY359)</f>
        <v>0</v>
      </c>
      <c r="BZ360" s="634">
        <f t="shared" ref="BZ360" si="2571">SUM(BZ352:BZ359)</f>
        <v>0</v>
      </c>
      <c r="CA360" s="634">
        <f t="shared" ref="CA360" si="2572">SUM(CA352:CA359)</f>
        <v>0</v>
      </c>
      <c r="CB360" s="634">
        <f t="shared" ref="CB360" si="2573">SUM(CB352:CB359)</f>
        <v>0</v>
      </c>
      <c r="CC360" s="634">
        <f t="shared" ref="CC360" si="2574">SUM(CC352:CC359)</f>
        <v>0</v>
      </c>
      <c r="CD360" s="634">
        <f t="shared" ref="CD360" si="2575">SUM(CD352:CD359)</f>
        <v>0</v>
      </c>
      <c r="CE360" s="634">
        <f t="shared" ref="CE360" si="2576">SUM(CE352:CE359)</f>
        <v>0</v>
      </c>
      <c r="CF360" s="634">
        <f t="shared" ref="CF360" si="2577">SUM(CF352:CF359)</f>
        <v>0</v>
      </c>
      <c r="CG360" s="634">
        <f t="shared" ref="CG360" si="2578">SUM(CG352:CG359)</f>
        <v>0</v>
      </c>
      <c r="CH360" s="634">
        <f t="shared" ref="CH360" si="2579">SUM(CH352:CH359)</f>
        <v>0</v>
      </c>
      <c r="CI360" s="634">
        <f t="shared" ref="CI360" si="2580">SUM(CI352:CI359)</f>
        <v>0</v>
      </c>
      <c r="CJ360" s="634">
        <f t="shared" ref="CJ360" si="2581">SUM(CJ352:CJ359)</f>
        <v>0</v>
      </c>
      <c r="CK360" s="634">
        <f t="shared" ref="CK360" si="2582">SUM(CK352:CK359)</f>
        <v>0</v>
      </c>
      <c r="CL360" s="634">
        <f t="shared" ref="CL360" si="2583">SUM(CL352:CL359)</f>
        <v>0</v>
      </c>
      <c r="CM360" s="634">
        <f t="shared" ref="CM360" si="2584">SUM(CM352:CM359)</f>
        <v>0</v>
      </c>
      <c r="CN360" s="634">
        <f t="shared" ref="CN360" si="2585">SUM(CN352:CN359)</f>
        <v>0</v>
      </c>
      <c r="CO360" s="634">
        <f t="shared" ref="CO360" si="2586">SUM(CO352:CO359)</f>
        <v>0</v>
      </c>
      <c r="CP360" s="634">
        <f t="shared" ref="CP360" si="2587">SUM(CP352:CP359)</f>
        <v>0</v>
      </c>
      <c r="CQ360" s="634">
        <f t="shared" ref="CQ360" si="2588">SUM(CQ352:CQ359)</f>
        <v>0</v>
      </c>
      <c r="CR360" s="634">
        <f t="shared" ref="CR360" si="2589">SUM(CR352:CR359)</f>
        <v>0</v>
      </c>
      <c r="CS360" s="634">
        <f t="shared" ref="CS360" si="2590">SUM(CS352:CS359)</f>
        <v>0</v>
      </c>
      <c r="CT360" s="634">
        <f t="shared" ref="CT360" si="2591">SUM(CT352:CT359)</f>
        <v>0</v>
      </c>
      <c r="CU360" s="634">
        <f t="shared" ref="CU360" si="2592">SUM(CU352:CU359)</f>
        <v>0</v>
      </c>
      <c r="CV360" s="634">
        <f t="shared" ref="CV360" si="2593">SUM(CV352:CV359)</f>
        <v>0</v>
      </c>
      <c r="CW360" s="634">
        <f t="shared" ref="CW360" si="2594">SUM(CW352:CW359)</f>
        <v>0</v>
      </c>
      <c r="CX360" s="634">
        <f t="shared" ref="CX360" si="2595">SUM(CX352:CX359)</f>
        <v>0</v>
      </c>
      <c r="CY360" s="634">
        <f t="shared" ref="CY360" si="2596">SUM(CY352:CY359)</f>
        <v>0</v>
      </c>
      <c r="CZ360" s="634">
        <f t="shared" ref="CZ360" si="2597">SUM(CZ352:CZ359)</f>
        <v>0</v>
      </c>
      <c r="DA360" s="634">
        <f t="shared" ref="DA360" si="2598">SUM(DA352:DA359)</f>
        <v>0</v>
      </c>
      <c r="DB360" s="634">
        <f t="shared" ref="DB360" si="2599">SUM(DB352:DB359)</f>
        <v>0</v>
      </c>
      <c r="DC360" s="634">
        <f t="shared" ref="DC360" si="2600">SUM(DC352:DC359)</f>
        <v>0</v>
      </c>
      <c r="DD360" s="634">
        <f t="shared" ref="DD360" si="2601">SUM(DD352:DD359)</f>
        <v>0</v>
      </c>
      <c r="DE360" s="634">
        <f t="shared" ref="DE360" si="2602">SUM(DE352:DE359)</f>
        <v>0</v>
      </c>
      <c r="DF360" s="634">
        <f t="shared" ref="DF360" si="2603">SUM(DF352:DF359)</f>
        <v>0</v>
      </c>
      <c r="DG360" s="634">
        <f t="shared" ref="DG360" si="2604">SUM(DG352:DG359)</f>
        <v>0</v>
      </c>
      <c r="DH360" s="634">
        <f t="shared" ref="DH360" si="2605">SUM(DH352:DH359)</f>
        <v>0</v>
      </c>
      <c r="DI360" s="634">
        <f t="shared" ref="DI360" si="2606">SUM(DI352:DI359)</f>
        <v>0</v>
      </c>
      <c r="DJ360" s="634">
        <f t="shared" ref="DJ360" si="2607">SUM(DJ352:DJ359)</f>
        <v>0</v>
      </c>
      <c r="DK360" s="634">
        <f t="shared" ref="DK360" si="2608">SUM(DK352:DK359)</f>
        <v>0</v>
      </c>
      <c r="DL360" s="634">
        <f t="shared" ref="DL360" si="2609">SUM(DL352:DL359)</f>
        <v>0</v>
      </c>
      <c r="DM360" s="634">
        <f t="shared" ref="DM360" si="2610">SUM(DM352:DM359)</f>
        <v>0</v>
      </c>
      <c r="DN360" s="634">
        <f t="shared" ref="DN360" si="2611">SUM(DN352:DN359)</f>
        <v>0</v>
      </c>
      <c r="DO360" s="634">
        <f t="shared" ref="DO360" si="2612">SUM(DO352:DO359)</f>
        <v>0</v>
      </c>
      <c r="DP360" s="666"/>
      <c r="DQ360" s="638" t="e">
        <f>XIRR(S360:DO360,$S$351:$DO$351)</f>
        <v>#NUM!</v>
      </c>
      <c r="DR360" s="636">
        <f t="shared" ref="DR360:DX360" si="2613">SUM(DR352:DR359)</f>
        <v>0</v>
      </c>
      <c r="DS360" s="636">
        <f t="shared" si="2613"/>
        <v>0</v>
      </c>
      <c r="DT360" s="636">
        <f t="shared" si="2613"/>
        <v>0</v>
      </c>
      <c r="DU360" s="636">
        <f t="shared" si="2613"/>
        <v>0</v>
      </c>
      <c r="DV360" s="636">
        <f t="shared" si="2613"/>
        <v>0</v>
      </c>
      <c r="DW360" s="636">
        <f t="shared" si="2613"/>
        <v>0</v>
      </c>
      <c r="DX360" s="636">
        <f t="shared" si="2613"/>
        <v>0</v>
      </c>
      <c r="DY360" s="636">
        <f>SUM(DY352:DY359)</f>
        <v>0</v>
      </c>
      <c r="DZ360" s="636">
        <f>SUM(DZ352:DZ359)</f>
        <v>0</v>
      </c>
      <c r="EA360" s="636">
        <f>SUM(EA352:EA359)</f>
        <v>0</v>
      </c>
    </row>
    <row r="361" spans="1:131" ht="14.25" thickBot="1">
      <c r="A361" s="172"/>
      <c r="B361" s="667"/>
      <c r="C361" s="592" t="s">
        <v>3607</v>
      </c>
      <c r="D361" s="648">
        <f>D349+1</f>
        <v>26</v>
      </c>
      <c r="E361" s="649"/>
      <c r="F361" s="603"/>
      <c r="G361" s="603"/>
      <c r="I361" s="650" t="b">
        <f>I372=DR363</f>
        <v>1</v>
      </c>
      <c r="J361" s="172"/>
      <c r="K361" s="172"/>
      <c r="L361" s="172"/>
      <c r="M361" s="172"/>
      <c r="N361" s="172"/>
      <c r="O361" s="172"/>
      <c r="P361" s="172"/>
      <c r="Q361" s="639" t="str">
        <f>IF(Q372=NAV!E1169,"자본금과 일치","자본금과 불일치")</f>
        <v>자본금과 일치</v>
      </c>
      <c r="R361" s="172"/>
      <c r="S361" s="172"/>
      <c r="T361" s="172"/>
      <c r="U361" s="172"/>
      <c r="V361" s="172"/>
      <c r="W361" s="172"/>
      <c r="X361" s="172"/>
      <c r="Y361" s="172"/>
      <c r="Z361" s="172"/>
      <c r="AA361" s="172"/>
      <c r="AB361" s="172"/>
      <c r="AC361" s="172"/>
      <c r="AD361" s="172"/>
      <c r="AE361" s="172"/>
      <c r="AF361" s="172"/>
      <c r="AG361" s="172"/>
      <c r="AH361" s="172"/>
      <c r="AI361" s="172"/>
      <c r="AJ361" s="172"/>
      <c r="AK361" s="172"/>
      <c r="AL361" s="172"/>
      <c r="AM361" s="172"/>
      <c r="AN361" s="172"/>
      <c r="AO361" s="172"/>
      <c r="AP361" s="172"/>
      <c r="AQ361" s="172"/>
      <c r="AR361" s="172"/>
      <c r="AS361" s="172"/>
      <c r="AT361" s="172"/>
      <c r="AU361" s="172"/>
      <c r="AV361" s="172"/>
      <c r="AW361" s="172"/>
      <c r="AX361" s="172"/>
      <c r="AY361" s="172"/>
      <c r="AZ361" s="172"/>
      <c r="BA361" s="172"/>
      <c r="BB361" s="172"/>
      <c r="BC361" s="172"/>
      <c r="BD361" s="172"/>
      <c r="BE361" s="172"/>
      <c r="BF361" s="172"/>
      <c r="BG361" s="172"/>
      <c r="BH361" s="172"/>
      <c r="BI361" s="172"/>
      <c r="BJ361" s="172"/>
      <c r="BK361" s="172"/>
      <c r="BL361" s="172"/>
      <c r="BM361" s="172"/>
      <c r="BN361" s="172"/>
      <c r="BO361" s="172"/>
      <c r="BP361" s="172"/>
      <c r="BQ361" s="172"/>
      <c r="BR361" s="172"/>
      <c r="BS361" s="172"/>
      <c r="BT361" s="172"/>
      <c r="BU361" s="172"/>
      <c r="BV361" s="172"/>
      <c r="BW361" s="172"/>
      <c r="BX361" s="172"/>
      <c r="BY361" s="172"/>
      <c r="BZ361" s="172"/>
      <c r="CA361" s="172"/>
      <c r="CB361" s="172"/>
      <c r="CC361" s="172"/>
      <c r="CD361" s="172"/>
      <c r="CE361" s="172"/>
      <c r="CF361" s="172"/>
      <c r="CG361" s="172"/>
      <c r="CH361" s="172"/>
      <c r="CI361" s="172"/>
      <c r="CJ361" s="172"/>
      <c r="CK361" s="172"/>
      <c r="CL361" s="172"/>
      <c r="CM361" s="172"/>
      <c r="CN361" s="172"/>
      <c r="CO361" s="172"/>
      <c r="CP361" s="172"/>
      <c r="CQ361" s="172"/>
      <c r="CR361" s="172"/>
      <c r="CS361" s="172"/>
      <c r="CT361" s="172"/>
      <c r="CU361" s="172"/>
      <c r="CV361" s="172"/>
      <c r="CW361" s="172"/>
      <c r="CX361" s="172"/>
      <c r="CY361" s="172"/>
      <c r="CZ361" s="172"/>
      <c r="DA361" s="172"/>
      <c r="DB361" s="172"/>
      <c r="DC361" s="172"/>
      <c r="DD361" s="172"/>
      <c r="DE361" s="172"/>
      <c r="DF361" s="172"/>
      <c r="DG361" s="172"/>
      <c r="DH361" s="172"/>
      <c r="DI361" s="172"/>
      <c r="DJ361" s="172"/>
      <c r="DK361" s="172"/>
      <c r="DL361" s="172"/>
      <c r="DM361" s="172"/>
      <c r="DN361" s="172"/>
      <c r="DO361" s="588" t="s">
        <v>219</v>
      </c>
      <c r="DP361" s="588" t="str">
        <f>IF(ROUND(_xlfn.AGGREGATE(9,6,DP364:DP371),5)=ROUND(_xlfn.AGGREGATE(9,6,DQ364:DQ371),5),"이상없음","기준수익률확인")</f>
        <v>이상없음</v>
      </c>
      <c r="DQ361" s="172"/>
      <c r="DR361" s="651" t="s">
        <v>3406</v>
      </c>
      <c r="DS361" s="172"/>
      <c r="DT361" s="615"/>
      <c r="DU361" s="615"/>
      <c r="DV361" s="172"/>
      <c r="DW361" s="172"/>
      <c r="DX361" s="615"/>
      <c r="DY361" s="172"/>
      <c r="DZ361" s="172"/>
      <c r="EA361" s="172"/>
    </row>
    <row r="362" spans="1:131" ht="13.5">
      <c r="A362" s="652" t="str">
        <f t="shared" ref="A362:A370" si="2614">$B$361&amp;B362</f>
        <v>SPC명</v>
      </c>
      <c r="B362" s="653" t="s">
        <v>349</v>
      </c>
      <c r="C362" s="780"/>
      <c r="D362" s="780"/>
      <c r="E362" s="780"/>
      <c r="F362" s="230"/>
      <c r="G362" s="230"/>
      <c r="I362" s="776" t="s">
        <v>3393</v>
      </c>
      <c r="J362" s="776" t="s">
        <v>3394</v>
      </c>
      <c r="K362" s="774" t="s">
        <v>3395</v>
      </c>
      <c r="L362" s="774" t="s">
        <v>3396</v>
      </c>
      <c r="M362" s="774" t="s">
        <v>203</v>
      </c>
      <c r="N362" s="774" t="s">
        <v>211</v>
      </c>
      <c r="O362" s="774" t="s">
        <v>3399</v>
      </c>
      <c r="P362" s="776" t="s">
        <v>239</v>
      </c>
      <c r="Q362" s="774" t="s">
        <v>3401</v>
      </c>
      <c r="R362" s="774" t="s">
        <v>3402</v>
      </c>
      <c r="S362" s="593"/>
      <c r="T362" s="593"/>
      <c r="U362" s="593"/>
      <c r="V362" s="593"/>
      <c r="W362" s="593"/>
      <c r="X362" s="593"/>
      <c r="Y362" s="593"/>
      <c r="Z362" s="593"/>
      <c r="AA362" s="593"/>
      <c r="AB362" s="593"/>
      <c r="AC362" s="593"/>
      <c r="AD362" s="593"/>
      <c r="AE362" s="593"/>
      <c r="AF362" s="593"/>
      <c r="AG362" s="593"/>
      <c r="AH362" s="593"/>
      <c r="AI362" s="593"/>
      <c r="AJ362" s="593"/>
      <c r="AK362" s="593"/>
      <c r="AL362" s="593"/>
      <c r="AM362" s="593"/>
      <c r="AN362" s="593"/>
      <c r="AO362" s="593"/>
      <c r="AP362" s="593"/>
      <c r="AQ362" s="593"/>
      <c r="AR362" s="593"/>
      <c r="AS362" s="593"/>
      <c r="AT362" s="593"/>
      <c r="AU362" s="593"/>
      <c r="AV362" s="593"/>
      <c r="AW362" s="593"/>
      <c r="AX362" s="593"/>
      <c r="AY362" s="593"/>
      <c r="AZ362" s="593"/>
      <c r="BA362" s="593"/>
      <c r="BB362" s="593"/>
      <c r="BC362" s="593"/>
      <c r="BD362" s="593"/>
      <c r="BE362" s="593"/>
      <c r="BF362" s="593"/>
      <c r="BG362" s="593"/>
      <c r="BH362" s="593"/>
      <c r="BI362" s="593"/>
      <c r="BJ362" s="593"/>
      <c r="BK362" s="593"/>
      <c r="BL362" s="593"/>
      <c r="BM362" s="593"/>
      <c r="BN362" s="593"/>
      <c r="BO362" s="593"/>
      <c r="BP362" s="593"/>
      <c r="BQ362" s="593"/>
      <c r="BR362" s="593"/>
      <c r="BS362" s="593"/>
      <c r="BT362" s="593"/>
      <c r="BU362" s="593"/>
      <c r="BV362" s="593"/>
      <c r="BW362" s="593"/>
      <c r="BX362" s="593"/>
      <c r="BY362" s="593"/>
      <c r="BZ362" s="593"/>
      <c r="CA362" s="593"/>
      <c r="CB362" s="593"/>
      <c r="CC362" s="593"/>
      <c r="CD362" s="593"/>
      <c r="CE362" s="593"/>
      <c r="CF362" s="593"/>
      <c r="CG362" s="593"/>
      <c r="CH362" s="593"/>
      <c r="CI362" s="593"/>
      <c r="CJ362" s="593"/>
      <c r="CK362" s="593"/>
      <c r="CL362" s="593"/>
      <c r="CM362" s="593"/>
      <c r="CN362" s="593"/>
      <c r="CO362" s="593"/>
      <c r="CP362" s="593"/>
      <c r="CQ362" s="593"/>
      <c r="CR362" s="593"/>
      <c r="CS362" s="593"/>
      <c r="CT362" s="593"/>
      <c r="CU362" s="593"/>
      <c r="CV362" s="593"/>
      <c r="CW362" s="593"/>
      <c r="CX362" s="593"/>
      <c r="CY362" s="593"/>
      <c r="CZ362" s="593"/>
      <c r="DA362" s="593"/>
      <c r="DB362" s="593"/>
      <c r="DC362" s="593"/>
      <c r="DD362" s="593"/>
      <c r="DE362" s="593"/>
      <c r="DF362" s="593"/>
      <c r="DG362" s="593"/>
      <c r="DH362" s="593"/>
      <c r="DI362" s="593"/>
      <c r="DJ362" s="593"/>
      <c r="DK362" s="593"/>
      <c r="DL362" s="593"/>
      <c r="DM362" s="593"/>
      <c r="DN362" s="593"/>
      <c r="DO362" s="594" t="s">
        <v>220</v>
      </c>
      <c r="DP362" s="774" t="s">
        <v>218</v>
      </c>
      <c r="DQ362" s="774" t="s">
        <v>222</v>
      </c>
      <c r="DR362" s="594"/>
      <c r="DS362" s="594"/>
      <c r="DT362" s="594"/>
      <c r="DU362" s="594"/>
      <c r="DV362" s="594"/>
      <c r="DW362" s="594"/>
      <c r="DX362" s="594"/>
      <c r="DY362" s="594"/>
      <c r="DZ362" s="594"/>
      <c r="EA362" s="602"/>
    </row>
    <row r="363" spans="1:131" ht="14.25" thickBot="1">
      <c r="A363" s="652" t="str">
        <f t="shared" si="2614"/>
        <v>유형</v>
      </c>
      <c r="B363" s="653" t="s">
        <v>350</v>
      </c>
      <c r="C363" s="780"/>
      <c r="D363" s="780"/>
      <c r="E363" s="780"/>
      <c r="F363" s="230"/>
      <c r="G363" s="230"/>
      <c r="I363" s="777"/>
      <c r="J363" s="777"/>
      <c r="K363" s="775"/>
      <c r="L363" s="775"/>
      <c r="M363" s="775"/>
      <c r="N363" s="775"/>
      <c r="O363" s="775"/>
      <c r="P363" s="777"/>
      <c r="Q363" s="775"/>
      <c r="R363" s="775"/>
      <c r="S363" s="601"/>
      <c r="T363" s="601"/>
      <c r="U363" s="601"/>
      <c r="V363" s="601"/>
      <c r="W363" s="601"/>
      <c r="X363" s="601"/>
      <c r="Y363" s="601"/>
      <c r="Z363" s="601"/>
      <c r="AA363" s="601"/>
      <c r="AB363" s="601"/>
      <c r="AC363" s="601"/>
      <c r="AD363" s="601"/>
      <c r="AE363" s="601"/>
      <c r="AF363" s="601"/>
      <c r="AG363" s="601"/>
      <c r="AH363" s="601"/>
      <c r="AI363" s="601"/>
      <c r="AJ363" s="601"/>
      <c r="AK363" s="601"/>
      <c r="AL363" s="601"/>
      <c r="AM363" s="601"/>
      <c r="AN363" s="601"/>
      <c r="AO363" s="601"/>
      <c r="AP363" s="601"/>
      <c r="AQ363" s="601"/>
      <c r="AR363" s="601"/>
      <c r="AS363" s="601"/>
      <c r="AT363" s="601"/>
      <c r="AU363" s="601"/>
      <c r="AV363" s="601"/>
      <c r="AW363" s="601"/>
      <c r="AX363" s="601"/>
      <c r="AY363" s="601"/>
      <c r="AZ363" s="601"/>
      <c r="BA363" s="601"/>
      <c r="BB363" s="601"/>
      <c r="BC363" s="601"/>
      <c r="BD363" s="601"/>
      <c r="BE363" s="601"/>
      <c r="BF363" s="601"/>
      <c r="BG363" s="601"/>
      <c r="BH363" s="601"/>
      <c r="BI363" s="601"/>
      <c r="BJ363" s="601"/>
      <c r="BK363" s="601"/>
      <c r="BL363" s="601"/>
      <c r="BM363" s="601"/>
      <c r="BN363" s="601"/>
      <c r="BO363" s="601"/>
      <c r="BP363" s="601"/>
      <c r="BQ363" s="601"/>
      <c r="BR363" s="601"/>
      <c r="BS363" s="601"/>
      <c r="BT363" s="601"/>
      <c r="BU363" s="601"/>
      <c r="BV363" s="601"/>
      <c r="BW363" s="601"/>
      <c r="BX363" s="601"/>
      <c r="BY363" s="601"/>
      <c r="BZ363" s="601"/>
      <c r="CA363" s="601"/>
      <c r="CB363" s="601"/>
      <c r="CC363" s="601"/>
      <c r="CD363" s="601"/>
      <c r="CE363" s="601"/>
      <c r="CF363" s="601"/>
      <c r="CG363" s="601"/>
      <c r="CH363" s="601"/>
      <c r="CI363" s="601"/>
      <c r="CJ363" s="601"/>
      <c r="CK363" s="601"/>
      <c r="CL363" s="601"/>
      <c r="CM363" s="601"/>
      <c r="CN363" s="601"/>
      <c r="CO363" s="601"/>
      <c r="CP363" s="601"/>
      <c r="CQ363" s="601"/>
      <c r="CR363" s="601"/>
      <c r="CS363" s="601"/>
      <c r="CT363" s="601"/>
      <c r="CU363" s="601"/>
      <c r="CV363" s="601"/>
      <c r="CW363" s="601"/>
      <c r="CX363" s="601"/>
      <c r="CY363" s="601"/>
      <c r="CZ363" s="601"/>
      <c r="DA363" s="601"/>
      <c r="DB363" s="601"/>
      <c r="DC363" s="601"/>
      <c r="DD363" s="601"/>
      <c r="DE363" s="601"/>
      <c r="DF363" s="601"/>
      <c r="DG363" s="601"/>
      <c r="DH363" s="601"/>
      <c r="DI363" s="601"/>
      <c r="DJ363" s="601"/>
      <c r="DK363" s="601"/>
      <c r="DL363" s="601"/>
      <c r="DM363" s="601"/>
      <c r="DN363" s="601"/>
      <c r="DO363" s="654">
        <f>$DO$7</f>
        <v>45473</v>
      </c>
      <c r="DP363" s="775"/>
      <c r="DQ363" s="775"/>
      <c r="DR363" s="595">
        <f>NAV!E1175</f>
        <v>0</v>
      </c>
      <c r="DS363" s="596">
        <f>DR363-DR372</f>
        <v>0</v>
      </c>
      <c r="DT363" s="596"/>
      <c r="DU363" s="596"/>
      <c r="DV363" s="597"/>
      <c r="DW363" s="596"/>
      <c r="DX363" s="596"/>
      <c r="DY363" s="596"/>
      <c r="DZ363" s="655"/>
      <c r="EA363" s="656"/>
    </row>
    <row r="364" spans="1:131" ht="13.5">
      <c r="A364" s="652" t="str">
        <f t="shared" si="2614"/>
        <v>설정일</v>
      </c>
      <c r="B364" s="653" t="s">
        <v>351</v>
      </c>
      <c r="C364" s="781"/>
      <c r="D364" s="780"/>
      <c r="E364" s="780"/>
      <c r="F364" s="230"/>
      <c r="G364" s="230"/>
      <c r="I364" s="657">
        <f>SUM(DR364:EA364)</f>
        <v>0</v>
      </c>
      <c r="J364" s="606" t="str">
        <f t="shared" ref="J364:J371" si="2615">IFERROR(I364/(Q364/$C$366),"N/A")</f>
        <v>N/A</v>
      </c>
      <c r="K364" s="471"/>
      <c r="L364" s="607"/>
      <c r="M364" s="300"/>
      <c r="N364" s="608"/>
      <c r="O364" s="609">
        <f t="shared" ref="O364:O371" si="2616">-(SUMIF($S$362:$DN$362,"최초출자",S364:DN364)+SUMIF($S$362:$DN$362,"추가출자",S364:DN364))</f>
        <v>0</v>
      </c>
      <c r="P364" s="609">
        <f t="shared" ref="P364:P371" si="2617">SUMIF($S$362:$DN$362,"이익분배",S364:DN364)+SUMIF($S$362:$DN$362,"원본분배",S364:DN364)</f>
        <v>0</v>
      </c>
      <c r="Q364" s="609">
        <f t="shared" ref="Q364:Q371" si="2618">-(SUMIF($S$362:$DN$362,"최초출자",S364:DN364)+SUMIF($S$362:$DN$362,"추가출자",S364:DN364)+SUMIF($S$362:$DN$362,"원본분배",S364:DN364))</f>
        <v>0</v>
      </c>
      <c r="R364" s="610" t="str">
        <f>IFERROR(Q364/Q372,"")</f>
        <v/>
      </c>
      <c r="S364" s="658"/>
      <c r="T364" s="658"/>
      <c r="U364" s="658"/>
      <c r="V364" s="658"/>
      <c r="W364" s="658"/>
      <c r="X364" s="658"/>
      <c r="Y364" s="658"/>
      <c r="Z364" s="658"/>
      <c r="AA364" s="658"/>
      <c r="AB364" s="658"/>
      <c r="AC364" s="658"/>
      <c r="AD364" s="658"/>
      <c r="AE364" s="658"/>
      <c r="AF364" s="658"/>
      <c r="AG364" s="658"/>
      <c r="AH364" s="658"/>
      <c r="AI364" s="658"/>
      <c r="AJ364" s="658"/>
      <c r="AK364" s="658"/>
      <c r="AL364" s="658"/>
      <c r="AM364" s="658"/>
      <c r="AN364" s="658"/>
      <c r="AO364" s="658"/>
      <c r="AP364" s="658"/>
      <c r="AQ364" s="658"/>
      <c r="AR364" s="658"/>
      <c r="AS364" s="658"/>
      <c r="AT364" s="658"/>
      <c r="AU364" s="658"/>
      <c r="AV364" s="658"/>
      <c r="AW364" s="658"/>
      <c r="AX364" s="658"/>
      <c r="AY364" s="658"/>
      <c r="AZ364" s="658"/>
      <c r="BA364" s="658"/>
      <c r="BB364" s="658"/>
      <c r="BC364" s="658"/>
      <c r="BD364" s="658"/>
      <c r="BE364" s="658"/>
      <c r="BF364" s="658"/>
      <c r="BG364" s="658"/>
      <c r="BH364" s="658"/>
      <c r="BI364" s="658"/>
      <c r="BJ364" s="658"/>
      <c r="BK364" s="658"/>
      <c r="BL364" s="658"/>
      <c r="BM364" s="658"/>
      <c r="BN364" s="658"/>
      <c r="BO364" s="658"/>
      <c r="BP364" s="658"/>
      <c r="BQ364" s="658"/>
      <c r="BR364" s="658"/>
      <c r="BS364" s="658"/>
      <c r="BT364" s="658"/>
      <c r="BU364" s="658"/>
      <c r="BV364" s="658"/>
      <c r="BW364" s="658"/>
      <c r="BX364" s="658"/>
      <c r="BY364" s="658"/>
      <c r="BZ364" s="658"/>
      <c r="CA364" s="658"/>
      <c r="CB364" s="658"/>
      <c r="CC364" s="658"/>
      <c r="CD364" s="658"/>
      <c r="CE364" s="658"/>
      <c r="CF364" s="658"/>
      <c r="CG364" s="658"/>
      <c r="CH364" s="658"/>
      <c r="CI364" s="658"/>
      <c r="CJ364" s="658"/>
      <c r="CK364" s="658"/>
      <c r="CL364" s="658"/>
      <c r="CM364" s="658"/>
      <c r="CN364" s="658"/>
      <c r="CO364" s="658"/>
      <c r="CP364" s="658"/>
      <c r="CQ364" s="658"/>
      <c r="CR364" s="658"/>
      <c r="CS364" s="658"/>
      <c r="CT364" s="658"/>
      <c r="CU364" s="658"/>
      <c r="CV364" s="658"/>
      <c r="CW364" s="658"/>
      <c r="CX364" s="658"/>
      <c r="CY364" s="658"/>
      <c r="CZ364" s="658"/>
      <c r="DA364" s="658"/>
      <c r="DB364" s="658"/>
      <c r="DC364" s="658"/>
      <c r="DD364" s="658"/>
      <c r="DE364" s="658"/>
      <c r="DF364" s="658"/>
      <c r="DG364" s="658"/>
      <c r="DH364" s="658"/>
      <c r="DI364" s="658"/>
      <c r="DJ364" s="658"/>
      <c r="DK364" s="658"/>
      <c r="DL364" s="658"/>
      <c r="DM364" s="658"/>
      <c r="DN364" s="658"/>
      <c r="DO364" s="177">
        <f>IF(M364="",0,-XNPV(DP364,S364,S$363)*(1+DP364)^YEARFRAC($S$363,$DO$363,3))</f>
        <v>0</v>
      </c>
      <c r="DP364" s="612" t="e">
        <f>IF(HLOOKUP(L364,$C$371:$E$372,2,0)=0,1E-24%,HLOOKUP(L364,$C$371:$E$372,2,FALSE))</f>
        <v>#N/A</v>
      </c>
      <c r="DQ364" s="612" t="e">
        <f t="shared" ref="DQ364:DQ371" si="2619">XIRR(S364:DO364,$S$363:$DO$363)</f>
        <v>#NUM!</v>
      </c>
      <c r="DR364" s="177"/>
      <c r="DS364" s="177"/>
      <c r="DT364" s="177"/>
      <c r="DU364" s="177"/>
      <c r="DV364" s="177"/>
      <c r="DW364" s="177"/>
      <c r="DX364" s="177"/>
      <c r="DY364" s="177"/>
      <c r="DZ364" s="177"/>
      <c r="EA364" s="613"/>
    </row>
    <row r="365" spans="1:131" ht="13.5">
      <c r="A365" s="652" t="str">
        <f t="shared" si="2614"/>
        <v>출자잔액</v>
      </c>
      <c r="B365" s="653" t="s">
        <v>352</v>
      </c>
      <c r="C365" s="782"/>
      <c r="D365" s="782"/>
      <c r="E365" s="782"/>
      <c r="F365" s="230"/>
      <c r="G365" s="230"/>
      <c r="I365" s="657">
        <f t="shared" ref="I365:I371" si="2620">SUM(DR365:EA365)</f>
        <v>0</v>
      </c>
      <c r="J365" s="606" t="str">
        <f t="shared" si="2615"/>
        <v>N/A</v>
      </c>
      <c r="K365" s="471"/>
      <c r="L365" s="607"/>
      <c r="M365" s="300"/>
      <c r="N365" s="608"/>
      <c r="O365" s="609">
        <f t="shared" si="2616"/>
        <v>0</v>
      </c>
      <c r="P365" s="609">
        <f t="shared" si="2617"/>
        <v>0</v>
      </c>
      <c r="Q365" s="609">
        <f t="shared" si="2618"/>
        <v>0</v>
      </c>
      <c r="R365" s="610" t="str">
        <f>IFERROR(Q365/Q372,"")</f>
        <v/>
      </c>
      <c r="S365" s="658"/>
      <c r="T365" s="658"/>
      <c r="U365" s="658"/>
      <c r="V365" s="658"/>
      <c r="W365" s="658"/>
      <c r="X365" s="658"/>
      <c r="Y365" s="658"/>
      <c r="Z365" s="658"/>
      <c r="AA365" s="658"/>
      <c r="AB365" s="658"/>
      <c r="AC365" s="658"/>
      <c r="AD365" s="658"/>
      <c r="AE365" s="658"/>
      <c r="AF365" s="658"/>
      <c r="AG365" s="658"/>
      <c r="AH365" s="658"/>
      <c r="AI365" s="658"/>
      <c r="AJ365" s="658"/>
      <c r="AK365" s="658"/>
      <c r="AL365" s="658"/>
      <c r="AM365" s="658"/>
      <c r="AN365" s="658"/>
      <c r="AO365" s="658"/>
      <c r="AP365" s="658"/>
      <c r="AQ365" s="658"/>
      <c r="AR365" s="658"/>
      <c r="AS365" s="658"/>
      <c r="AT365" s="658"/>
      <c r="AU365" s="658"/>
      <c r="AV365" s="658"/>
      <c r="AW365" s="658"/>
      <c r="AX365" s="658"/>
      <c r="AY365" s="658"/>
      <c r="AZ365" s="658"/>
      <c r="BA365" s="658"/>
      <c r="BB365" s="658"/>
      <c r="BC365" s="658"/>
      <c r="BD365" s="658"/>
      <c r="BE365" s="658"/>
      <c r="BF365" s="658"/>
      <c r="BG365" s="658"/>
      <c r="BH365" s="658"/>
      <c r="BI365" s="658"/>
      <c r="BJ365" s="658"/>
      <c r="BK365" s="658"/>
      <c r="BL365" s="658"/>
      <c r="BM365" s="658"/>
      <c r="BN365" s="658"/>
      <c r="BO365" s="658"/>
      <c r="BP365" s="658"/>
      <c r="BQ365" s="658"/>
      <c r="BR365" s="658"/>
      <c r="BS365" s="658"/>
      <c r="BT365" s="658"/>
      <c r="BU365" s="658"/>
      <c r="BV365" s="658"/>
      <c r="BW365" s="658"/>
      <c r="BX365" s="658"/>
      <c r="BY365" s="658"/>
      <c r="BZ365" s="658"/>
      <c r="CA365" s="658"/>
      <c r="CB365" s="658"/>
      <c r="CC365" s="658"/>
      <c r="CD365" s="658"/>
      <c r="CE365" s="658"/>
      <c r="CF365" s="658"/>
      <c r="CG365" s="658"/>
      <c r="CH365" s="658"/>
      <c r="CI365" s="658"/>
      <c r="CJ365" s="658"/>
      <c r="CK365" s="658"/>
      <c r="CL365" s="658"/>
      <c r="CM365" s="658"/>
      <c r="CN365" s="658"/>
      <c r="CO365" s="658"/>
      <c r="CP365" s="658"/>
      <c r="CQ365" s="658"/>
      <c r="CR365" s="658"/>
      <c r="CS365" s="658"/>
      <c r="CT365" s="658"/>
      <c r="CU365" s="658"/>
      <c r="CV365" s="658"/>
      <c r="CW365" s="658"/>
      <c r="CX365" s="658"/>
      <c r="CY365" s="658"/>
      <c r="CZ365" s="658"/>
      <c r="DA365" s="658"/>
      <c r="DB365" s="658"/>
      <c r="DC365" s="658"/>
      <c r="DD365" s="658"/>
      <c r="DE365" s="658"/>
      <c r="DF365" s="658"/>
      <c r="DG365" s="658"/>
      <c r="DH365" s="658"/>
      <c r="DI365" s="658"/>
      <c r="DJ365" s="658"/>
      <c r="DK365" s="658"/>
      <c r="DL365" s="658"/>
      <c r="DM365" s="658"/>
      <c r="DN365" s="658"/>
      <c r="DO365" s="177">
        <f t="shared" ref="DO365:DO371" si="2621">IF(M365="",0,-XNPV(DP365,S365,S$363)*(1+DP365)^YEARFRAC($S$363,$DO$363,3))</f>
        <v>0</v>
      </c>
      <c r="DP365" s="612" t="e">
        <f t="shared" ref="DP365:DP371" si="2622">IF(HLOOKUP(L365,$C$371:$E$372,2,0)=0,1E-24%,HLOOKUP(L365,$C$371:$E$372,2,FALSE))</f>
        <v>#N/A</v>
      </c>
      <c r="DQ365" s="612" t="e">
        <f t="shared" si="2619"/>
        <v>#NUM!</v>
      </c>
      <c r="DR365" s="177"/>
      <c r="DS365" s="177"/>
      <c r="DT365" s="177"/>
      <c r="DU365" s="177"/>
      <c r="DV365" s="177"/>
      <c r="DW365" s="177"/>
      <c r="DX365" s="177"/>
      <c r="DY365" s="177"/>
      <c r="DZ365" s="177"/>
      <c r="EA365" s="613"/>
    </row>
    <row r="366" spans="1:131" ht="13.5">
      <c r="A366" s="652" t="str">
        <f t="shared" si="2614"/>
        <v>1좌당 금액</v>
      </c>
      <c r="B366" s="653" t="s">
        <v>353</v>
      </c>
      <c r="C366" s="783"/>
      <c r="D366" s="783"/>
      <c r="E366" s="783"/>
      <c r="F366" s="230"/>
      <c r="G366" s="230"/>
      <c r="I366" s="657">
        <f t="shared" si="2620"/>
        <v>0</v>
      </c>
      <c r="J366" s="606" t="str">
        <f t="shared" si="2615"/>
        <v>N/A</v>
      </c>
      <c r="K366" s="471"/>
      <c r="L366" s="607"/>
      <c r="M366" s="300"/>
      <c r="N366" s="608"/>
      <c r="O366" s="609">
        <f t="shared" si="2616"/>
        <v>0</v>
      </c>
      <c r="P366" s="609">
        <f t="shared" si="2617"/>
        <v>0</v>
      </c>
      <c r="Q366" s="609">
        <f t="shared" si="2618"/>
        <v>0</v>
      </c>
      <c r="R366" s="610" t="str">
        <f>IFERROR(Q366/Q372,"")</f>
        <v/>
      </c>
      <c r="S366" s="658"/>
      <c r="T366" s="658"/>
      <c r="U366" s="658"/>
      <c r="V366" s="658"/>
      <c r="W366" s="658"/>
      <c r="X366" s="658"/>
      <c r="Y366" s="658"/>
      <c r="Z366" s="658"/>
      <c r="AA366" s="658"/>
      <c r="AB366" s="658"/>
      <c r="AC366" s="658"/>
      <c r="AD366" s="658"/>
      <c r="AE366" s="658"/>
      <c r="AF366" s="658"/>
      <c r="AG366" s="658"/>
      <c r="AH366" s="658"/>
      <c r="AI366" s="658"/>
      <c r="AJ366" s="658"/>
      <c r="AK366" s="658"/>
      <c r="AL366" s="658"/>
      <c r="AM366" s="658"/>
      <c r="AN366" s="658"/>
      <c r="AO366" s="658"/>
      <c r="AP366" s="658"/>
      <c r="AQ366" s="658"/>
      <c r="AR366" s="658"/>
      <c r="AS366" s="658"/>
      <c r="AT366" s="658"/>
      <c r="AU366" s="658"/>
      <c r="AV366" s="658"/>
      <c r="AW366" s="658"/>
      <c r="AX366" s="658"/>
      <c r="AY366" s="658"/>
      <c r="AZ366" s="658"/>
      <c r="BA366" s="658"/>
      <c r="BB366" s="658"/>
      <c r="BC366" s="658"/>
      <c r="BD366" s="658"/>
      <c r="BE366" s="658"/>
      <c r="BF366" s="658"/>
      <c r="BG366" s="658"/>
      <c r="BH366" s="658"/>
      <c r="BI366" s="658"/>
      <c r="BJ366" s="658"/>
      <c r="BK366" s="658"/>
      <c r="BL366" s="658"/>
      <c r="BM366" s="658"/>
      <c r="BN366" s="658"/>
      <c r="BO366" s="658"/>
      <c r="BP366" s="658"/>
      <c r="BQ366" s="658"/>
      <c r="BR366" s="658"/>
      <c r="BS366" s="658"/>
      <c r="BT366" s="658"/>
      <c r="BU366" s="658"/>
      <c r="BV366" s="658"/>
      <c r="BW366" s="658"/>
      <c r="BX366" s="658"/>
      <c r="BY366" s="658"/>
      <c r="BZ366" s="658"/>
      <c r="CA366" s="658"/>
      <c r="CB366" s="658"/>
      <c r="CC366" s="658"/>
      <c r="CD366" s="658"/>
      <c r="CE366" s="658"/>
      <c r="CF366" s="658"/>
      <c r="CG366" s="658"/>
      <c r="CH366" s="658"/>
      <c r="CI366" s="658"/>
      <c r="CJ366" s="658"/>
      <c r="CK366" s="658"/>
      <c r="CL366" s="658"/>
      <c r="CM366" s="658"/>
      <c r="CN366" s="658"/>
      <c r="CO366" s="658"/>
      <c r="CP366" s="658"/>
      <c r="CQ366" s="658"/>
      <c r="CR366" s="658"/>
      <c r="CS366" s="658"/>
      <c r="CT366" s="658"/>
      <c r="CU366" s="658"/>
      <c r="CV366" s="658"/>
      <c r="CW366" s="658"/>
      <c r="CX366" s="658"/>
      <c r="CY366" s="658"/>
      <c r="CZ366" s="658"/>
      <c r="DA366" s="658"/>
      <c r="DB366" s="658"/>
      <c r="DC366" s="658"/>
      <c r="DD366" s="658"/>
      <c r="DE366" s="658"/>
      <c r="DF366" s="658"/>
      <c r="DG366" s="658"/>
      <c r="DH366" s="658"/>
      <c r="DI366" s="658"/>
      <c r="DJ366" s="658"/>
      <c r="DK366" s="658"/>
      <c r="DL366" s="658"/>
      <c r="DM366" s="658"/>
      <c r="DN366" s="658"/>
      <c r="DO366" s="177">
        <f t="shared" si="2621"/>
        <v>0</v>
      </c>
      <c r="DP366" s="612" t="e">
        <f t="shared" si="2622"/>
        <v>#N/A</v>
      </c>
      <c r="DQ366" s="612" t="e">
        <f t="shared" si="2619"/>
        <v>#NUM!</v>
      </c>
      <c r="DR366" s="177"/>
      <c r="DS366" s="177"/>
      <c r="DT366" s="177"/>
      <c r="DU366" s="177"/>
      <c r="DV366" s="177"/>
      <c r="DW366" s="177"/>
      <c r="DX366" s="177"/>
      <c r="DY366" s="177"/>
      <c r="DZ366" s="177"/>
      <c r="EA366" s="613"/>
    </row>
    <row r="367" spans="1:131" ht="13.5">
      <c r="A367" s="652" t="str">
        <f t="shared" si="2614"/>
        <v>기준수익률</v>
      </c>
      <c r="B367" s="653" t="s">
        <v>354</v>
      </c>
      <c r="C367" s="784"/>
      <c r="D367" s="785"/>
      <c r="E367" s="785"/>
      <c r="F367" s="230"/>
      <c r="G367" s="230"/>
      <c r="I367" s="657">
        <f t="shared" si="2620"/>
        <v>0</v>
      </c>
      <c r="J367" s="606" t="str">
        <f t="shared" si="2615"/>
        <v>N/A</v>
      </c>
      <c r="K367" s="471"/>
      <c r="L367" s="607"/>
      <c r="M367" s="300"/>
      <c r="N367" s="608"/>
      <c r="O367" s="609">
        <f t="shared" si="2616"/>
        <v>0</v>
      </c>
      <c r="P367" s="609">
        <f t="shared" si="2617"/>
        <v>0</v>
      </c>
      <c r="Q367" s="609">
        <f t="shared" si="2618"/>
        <v>0</v>
      </c>
      <c r="R367" s="610" t="str">
        <f>IFERROR(Q367/Q372,"")</f>
        <v/>
      </c>
      <c r="S367" s="658"/>
      <c r="T367" s="658"/>
      <c r="U367" s="658"/>
      <c r="V367" s="658"/>
      <c r="W367" s="658"/>
      <c r="X367" s="658"/>
      <c r="Y367" s="658"/>
      <c r="Z367" s="658"/>
      <c r="AA367" s="658"/>
      <c r="AB367" s="658"/>
      <c r="AC367" s="658"/>
      <c r="AD367" s="658"/>
      <c r="AE367" s="658"/>
      <c r="AF367" s="658"/>
      <c r="AG367" s="658"/>
      <c r="AH367" s="658"/>
      <c r="AI367" s="658"/>
      <c r="AJ367" s="658"/>
      <c r="AK367" s="658"/>
      <c r="AL367" s="658"/>
      <c r="AM367" s="658"/>
      <c r="AN367" s="658"/>
      <c r="AO367" s="658"/>
      <c r="AP367" s="658"/>
      <c r="AQ367" s="658"/>
      <c r="AR367" s="658"/>
      <c r="AS367" s="658"/>
      <c r="AT367" s="658"/>
      <c r="AU367" s="658"/>
      <c r="AV367" s="658"/>
      <c r="AW367" s="658"/>
      <c r="AX367" s="658"/>
      <c r="AY367" s="658"/>
      <c r="AZ367" s="658"/>
      <c r="BA367" s="658"/>
      <c r="BB367" s="658"/>
      <c r="BC367" s="658"/>
      <c r="BD367" s="658"/>
      <c r="BE367" s="658"/>
      <c r="BF367" s="658"/>
      <c r="BG367" s="658"/>
      <c r="BH367" s="658"/>
      <c r="BI367" s="658"/>
      <c r="BJ367" s="658"/>
      <c r="BK367" s="658"/>
      <c r="BL367" s="658"/>
      <c r="BM367" s="658"/>
      <c r="BN367" s="658"/>
      <c r="BO367" s="658"/>
      <c r="BP367" s="658"/>
      <c r="BQ367" s="658"/>
      <c r="BR367" s="658"/>
      <c r="BS367" s="658"/>
      <c r="BT367" s="658"/>
      <c r="BU367" s="658"/>
      <c r="BV367" s="658"/>
      <c r="BW367" s="658"/>
      <c r="BX367" s="658"/>
      <c r="BY367" s="658"/>
      <c r="BZ367" s="658"/>
      <c r="CA367" s="658"/>
      <c r="CB367" s="658"/>
      <c r="CC367" s="658"/>
      <c r="CD367" s="658"/>
      <c r="CE367" s="658"/>
      <c r="CF367" s="658"/>
      <c r="CG367" s="658"/>
      <c r="CH367" s="658"/>
      <c r="CI367" s="658"/>
      <c r="CJ367" s="658"/>
      <c r="CK367" s="658"/>
      <c r="CL367" s="658"/>
      <c r="CM367" s="658"/>
      <c r="CN367" s="658"/>
      <c r="CO367" s="658"/>
      <c r="CP367" s="658"/>
      <c r="CQ367" s="658"/>
      <c r="CR367" s="658"/>
      <c r="CS367" s="658"/>
      <c r="CT367" s="658"/>
      <c r="CU367" s="658"/>
      <c r="CV367" s="658"/>
      <c r="CW367" s="658"/>
      <c r="CX367" s="658"/>
      <c r="CY367" s="658"/>
      <c r="CZ367" s="658"/>
      <c r="DA367" s="658"/>
      <c r="DB367" s="658"/>
      <c r="DC367" s="658"/>
      <c r="DD367" s="658"/>
      <c r="DE367" s="658"/>
      <c r="DF367" s="658"/>
      <c r="DG367" s="658"/>
      <c r="DH367" s="658"/>
      <c r="DI367" s="658"/>
      <c r="DJ367" s="658"/>
      <c r="DK367" s="658"/>
      <c r="DL367" s="658"/>
      <c r="DM367" s="658"/>
      <c r="DN367" s="658"/>
      <c r="DO367" s="177">
        <f t="shared" si="2621"/>
        <v>0</v>
      </c>
      <c r="DP367" s="612" t="e">
        <f t="shared" si="2622"/>
        <v>#N/A</v>
      </c>
      <c r="DQ367" s="612" t="e">
        <f t="shared" si="2619"/>
        <v>#NUM!</v>
      </c>
      <c r="DR367" s="177"/>
      <c r="DS367" s="177"/>
      <c r="DT367" s="177"/>
      <c r="DU367" s="177"/>
      <c r="DV367" s="177"/>
      <c r="DW367" s="177"/>
      <c r="DX367" s="177"/>
      <c r="DY367" s="177"/>
      <c r="DZ367" s="177"/>
      <c r="EA367" s="613"/>
    </row>
    <row r="368" spans="1:131" ht="13.5">
      <c r="A368" s="652" t="str">
        <f t="shared" si="2614"/>
        <v>평가방법론</v>
      </c>
      <c r="B368" s="653" t="s">
        <v>7</v>
      </c>
      <c r="C368" s="786"/>
      <c r="D368" s="786"/>
      <c r="E368" s="786"/>
      <c r="F368" s="230"/>
      <c r="G368" s="230"/>
      <c r="I368" s="657">
        <f t="shared" si="2620"/>
        <v>0</v>
      </c>
      <c r="J368" s="606" t="str">
        <f t="shared" si="2615"/>
        <v>N/A</v>
      </c>
      <c r="K368" s="471"/>
      <c r="L368" s="607"/>
      <c r="M368" s="300"/>
      <c r="N368" s="608"/>
      <c r="O368" s="609">
        <f t="shared" si="2616"/>
        <v>0</v>
      </c>
      <c r="P368" s="609">
        <f t="shared" si="2617"/>
        <v>0</v>
      </c>
      <c r="Q368" s="609">
        <f t="shared" si="2618"/>
        <v>0</v>
      </c>
      <c r="R368" s="610" t="str">
        <f>IFERROR(Q368/Q372,"")</f>
        <v/>
      </c>
      <c r="S368" s="658"/>
      <c r="T368" s="658"/>
      <c r="U368" s="658"/>
      <c r="V368" s="658"/>
      <c r="W368" s="658"/>
      <c r="X368" s="658"/>
      <c r="Y368" s="658"/>
      <c r="Z368" s="658"/>
      <c r="AA368" s="658"/>
      <c r="AB368" s="658"/>
      <c r="AC368" s="658"/>
      <c r="AD368" s="658"/>
      <c r="AE368" s="658"/>
      <c r="AF368" s="658"/>
      <c r="AG368" s="658"/>
      <c r="AH368" s="658"/>
      <c r="AI368" s="658"/>
      <c r="AJ368" s="658"/>
      <c r="AK368" s="658"/>
      <c r="AL368" s="658"/>
      <c r="AM368" s="658"/>
      <c r="AN368" s="658"/>
      <c r="AO368" s="658"/>
      <c r="AP368" s="658"/>
      <c r="AQ368" s="658"/>
      <c r="AR368" s="658"/>
      <c r="AS368" s="658"/>
      <c r="AT368" s="658"/>
      <c r="AU368" s="658"/>
      <c r="AV368" s="658"/>
      <c r="AW368" s="658"/>
      <c r="AX368" s="658"/>
      <c r="AY368" s="658"/>
      <c r="AZ368" s="658"/>
      <c r="BA368" s="658"/>
      <c r="BB368" s="658"/>
      <c r="BC368" s="658"/>
      <c r="BD368" s="658"/>
      <c r="BE368" s="658"/>
      <c r="BF368" s="658"/>
      <c r="BG368" s="658"/>
      <c r="BH368" s="658"/>
      <c r="BI368" s="658"/>
      <c r="BJ368" s="658"/>
      <c r="BK368" s="658"/>
      <c r="BL368" s="658"/>
      <c r="BM368" s="658"/>
      <c r="BN368" s="658"/>
      <c r="BO368" s="658"/>
      <c r="BP368" s="658"/>
      <c r="BQ368" s="658"/>
      <c r="BR368" s="658"/>
      <c r="BS368" s="658"/>
      <c r="BT368" s="658"/>
      <c r="BU368" s="658"/>
      <c r="BV368" s="658"/>
      <c r="BW368" s="658"/>
      <c r="BX368" s="658"/>
      <c r="BY368" s="658"/>
      <c r="BZ368" s="658"/>
      <c r="CA368" s="658"/>
      <c r="CB368" s="658"/>
      <c r="CC368" s="658"/>
      <c r="CD368" s="658"/>
      <c r="CE368" s="658"/>
      <c r="CF368" s="658"/>
      <c r="CG368" s="658"/>
      <c r="CH368" s="658"/>
      <c r="CI368" s="658"/>
      <c r="CJ368" s="658"/>
      <c r="CK368" s="658"/>
      <c r="CL368" s="658"/>
      <c r="CM368" s="658"/>
      <c r="CN368" s="658"/>
      <c r="CO368" s="658"/>
      <c r="CP368" s="658"/>
      <c r="CQ368" s="658"/>
      <c r="CR368" s="658"/>
      <c r="CS368" s="658"/>
      <c r="CT368" s="658"/>
      <c r="CU368" s="658"/>
      <c r="CV368" s="658"/>
      <c r="CW368" s="658"/>
      <c r="CX368" s="658"/>
      <c r="CY368" s="658"/>
      <c r="CZ368" s="658"/>
      <c r="DA368" s="658"/>
      <c r="DB368" s="658"/>
      <c r="DC368" s="658"/>
      <c r="DD368" s="658"/>
      <c r="DE368" s="658"/>
      <c r="DF368" s="658"/>
      <c r="DG368" s="658"/>
      <c r="DH368" s="658"/>
      <c r="DI368" s="658"/>
      <c r="DJ368" s="658"/>
      <c r="DK368" s="658"/>
      <c r="DL368" s="658"/>
      <c r="DM368" s="658"/>
      <c r="DN368" s="658"/>
      <c r="DO368" s="177">
        <f t="shared" si="2621"/>
        <v>0</v>
      </c>
      <c r="DP368" s="612" t="e">
        <f t="shared" si="2622"/>
        <v>#N/A</v>
      </c>
      <c r="DQ368" s="612" t="e">
        <f t="shared" si="2619"/>
        <v>#NUM!</v>
      </c>
      <c r="DR368" s="177"/>
      <c r="DS368" s="177"/>
      <c r="DT368" s="177"/>
      <c r="DU368" s="177"/>
      <c r="DV368" s="177"/>
      <c r="DW368" s="177"/>
      <c r="DX368" s="177"/>
      <c r="DY368" s="177"/>
      <c r="DZ368" s="177"/>
      <c r="EA368" s="613"/>
    </row>
    <row r="369" spans="1:131" ht="13.5">
      <c r="A369" s="652" t="str">
        <f t="shared" si="2614"/>
        <v>분배 조항 여부</v>
      </c>
      <c r="B369" s="653" t="s">
        <v>355</v>
      </c>
      <c r="C369" s="786"/>
      <c r="D369" s="786"/>
      <c r="E369" s="786"/>
      <c r="F369" s="230"/>
      <c r="G369" s="230"/>
      <c r="I369" s="657">
        <f t="shared" si="2620"/>
        <v>0</v>
      </c>
      <c r="J369" s="606" t="str">
        <f t="shared" si="2615"/>
        <v>N/A</v>
      </c>
      <c r="K369" s="471"/>
      <c r="L369" s="607"/>
      <c r="M369" s="300"/>
      <c r="N369" s="608"/>
      <c r="O369" s="609">
        <f t="shared" si="2616"/>
        <v>0</v>
      </c>
      <c r="P369" s="609">
        <f t="shared" si="2617"/>
        <v>0</v>
      </c>
      <c r="Q369" s="609">
        <f t="shared" si="2618"/>
        <v>0</v>
      </c>
      <c r="R369" s="610" t="str">
        <f>IFERROR(Q369/Q372,"")</f>
        <v/>
      </c>
      <c r="S369" s="658"/>
      <c r="T369" s="658"/>
      <c r="U369" s="658"/>
      <c r="V369" s="658"/>
      <c r="W369" s="658"/>
      <c r="X369" s="658"/>
      <c r="Y369" s="658"/>
      <c r="Z369" s="658"/>
      <c r="AA369" s="658"/>
      <c r="AB369" s="658"/>
      <c r="AC369" s="658"/>
      <c r="AD369" s="658"/>
      <c r="AE369" s="658"/>
      <c r="AF369" s="658"/>
      <c r="AG369" s="658"/>
      <c r="AH369" s="658"/>
      <c r="AI369" s="658"/>
      <c r="AJ369" s="658"/>
      <c r="AK369" s="658"/>
      <c r="AL369" s="658"/>
      <c r="AM369" s="658"/>
      <c r="AN369" s="658"/>
      <c r="AO369" s="658"/>
      <c r="AP369" s="658"/>
      <c r="AQ369" s="658"/>
      <c r="AR369" s="658"/>
      <c r="AS369" s="658"/>
      <c r="AT369" s="658"/>
      <c r="AU369" s="658"/>
      <c r="AV369" s="658"/>
      <c r="AW369" s="658"/>
      <c r="AX369" s="658"/>
      <c r="AY369" s="658"/>
      <c r="AZ369" s="658"/>
      <c r="BA369" s="658"/>
      <c r="BB369" s="658"/>
      <c r="BC369" s="658"/>
      <c r="BD369" s="658"/>
      <c r="BE369" s="658"/>
      <c r="BF369" s="658"/>
      <c r="BG369" s="658"/>
      <c r="BH369" s="658"/>
      <c r="BI369" s="658"/>
      <c r="BJ369" s="658"/>
      <c r="BK369" s="658"/>
      <c r="BL369" s="658"/>
      <c r="BM369" s="658"/>
      <c r="BN369" s="658"/>
      <c r="BO369" s="658"/>
      <c r="BP369" s="658"/>
      <c r="BQ369" s="658"/>
      <c r="BR369" s="658"/>
      <c r="BS369" s="658"/>
      <c r="BT369" s="658"/>
      <c r="BU369" s="658"/>
      <c r="BV369" s="658"/>
      <c r="BW369" s="658"/>
      <c r="BX369" s="658"/>
      <c r="BY369" s="658"/>
      <c r="BZ369" s="658"/>
      <c r="CA369" s="658"/>
      <c r="CB369" s="658"/>
      <c r="CC369" s="658"/>
      <c r="CD369" s="658"/>
      <c r="CE369" s="658"/>
      <c r="CF369" s="658"/>
      <c r="CG369" s="658"/>
      <c r="CH369" s="658"/>
      <c r="CI369" s="658"/>
      <c r="CJ369" s="658"/>
      <c r="CK369" s="658"/>
      <c r="CL369" s="658"/>
      <c r="CM369" s="658"/>
      <c r="CN369" s="658"/>
      <c r="CO369" s="658"/>
      <c r="CP369" s="658"/>
      <c r="CQ369" s="658"/>
      <c r="CR369" s="658"/>
      <c r="CS369" s="658"/>
      <c r="CT369" s="658"/>
      <c r="CU369" s="658"/>
      <c r="CV369" s="658"/>
      <c r="CW369" s="658"/>
      <c r="CX369" s="658"/>
      <c r="CY369" s="658"/>
      <c r="CZ369" s="658"/>
      <c r="DA369" s="658"/>
      <c r="DB369" s="658"/>
      <c r="DC369" s="658"/>
      <c r="DD369" s="658"/>
      <c r="DE369" s="658"/>
      <c r="DF369" s="658"/>
      <c r="DG369" s="658"/>
      <c r="DH369" s="658"/>
      <c r="DI369" s="658"/>
      <c r="DJ369" s="658"/>
      <c r="DK369" s="658"/>
      <c r="DL369" s="658"/>
      <c r="DM369" s="658"/>
      <c r="DN369" s="658"/>
      <c r="DO369" s="177">
        <f t="shared" si="2621"/>
        <v>0</v>
      </c>
      <c r="DP369" s="612" t="e">
        <f t="shared" si="2622"/>
        <v>#N/A</v>
      </c>
      <c r="DQ369" s="612" t="e">
        <f t="shared" si="2619"/>
        <v>#NUM!</v>
      </c>
      <c r="DR369" s="177"/>
      <c r="DS369" s="177"/>
      <c r="DT369" s="177"/>
      <c r="DU369" s="177"/>
      <c r="DV369" s="177"/>
      <c r="DW369" s="177"/>
      <c r="DX369" s="177"/>
      <c r="DY369" s="177"/>
      <c r="DZ369" s="177"/>
      <c r="EA369" s="613"/>
    </row>
    <row r="370" spans="1:131" ht="14.25" thickBot="1">
      <c r="A370" s="652" t="str">
        <f t="shared" si="2614"/>
        <v>모펀드 출자 지분율</v>
      </c>
      <c r="B370" s="660" t="s">
        <v>356</v>
      </c>
      <c r="C370" s="787"/>
      <c r="D370" s="787"/>
      <c r="E370" s="787"/>
      <c r="F370" s="230"/>
      <c r="G370" s="230"/>
      <c r="I370" s="657">
        <f t="shared" si="2620"/>
        <v>0</v>
      </c>
      <c r="J370" s="606" t="str">
        <f t="shared" si="2615"/>
        <v>N/A</v>
      </c>
      <c r="K370" s="471"/>
      <c r="L370" s="607"/>
      <c r="M370" s="300"/>
      <c r="N370" s="608"/>
      <c r="O370" s="609">
        <f t="shared" si="2616"/>
        <v>0</v>
      </c>
      <c r="P370" s="609">
        <f t="shared" si="2617"/>
        <v>0</v>
      </c>
      <c r="Q370" s="609">
        <f t="shared" si="2618"/>
        <v>0</v>
      </c>
      <c r="R370" s="610" t="str">
        <f>IFERROR(Q370/Q372,"")</f>
        <v/>
      </c>
      <c r="S370" s="658"/>
      <c r="T370" s="658"/>
      <c r="U370" s="658"/>
      <c r="V370" s="658"/>
      <c r="W370" s="658"/>
      <c r="X370" s="658"/>
      <c r="Y370" s="658"/>
      <c r="Z370" s="658"/>
      <c r="AA370" s="658"/>
      <c r="AB370" s="658"/>
      <c r="AC370" s="658"/>
      <c r="AD370" s="658"/>
      <c r="AE370" s="658"/>
      <c r="AF370" s="658"/>
      <c r="AG370" s="658"/>
      <c r="AH370" s="658"/>
      <c r="AI370" s="658"/>
      <c r="AJ370" s="658"/>
      <c r="AK370" s="658"/>
      <c r="AL370" s="658"/>
      <c r="AM370" s="658"/>
      <c r="AN370" s="658"/>
      <c r="AO370" s="658"/>
      <c r="AP370" s="658"/>
      <c r="AQ370" s="658"/>
      <c r="AR370" s="658"/>
      <c r="AS370" s="658"/>
      <c r="AT370" s="658"/>
      <c r="AU370" s="658"/>
      <c r="AV370" s="658"/>
      <c r="AW370" s="658"/>
      <c r="AX370" s="658"/>
      <c r="AY370" s="658"/>
      <c r="AZ370" s="658"/>
      <c r="BA370" s="658"/>
      <c r="BB370" s="658"/>
      <c r="BC370" s="658"/>
      <c r="BD370" s="658"/>
      <c r="BE370" s="658"/>
      <c r="BF370" s="658"/>
      <c r="BG370" s="658"/>
      <c r="BH370" s="658"/>
      <c r="BI370" s="658"/>
      <c r="BJ370" s="658"/>
      <c r="BK370" s="658"/>
      <c r="BL370" s="658"/>
      <c r="BM370" s="658"/>
      <c r="BN370" s="658"/>
      <c r="BO370" s="658"/>
      <c r="BP370" s="658"/>
      <c r="BQ370" s="658"/>
      <c r="BR370" s="658"/>
      <c r="BS370" s="658"/>
      <c r="BT370" s="658"/>
      <c r="BU370" s="658"/>
      <c r="BV370" s="658"/>
      <c r="BW370" s="658"/>
      <c r="BX370" s="658"/>
      <c r="BY370" s="658"/>
      <c r="BZ370" s="658"/>
      <c r="CA370" s="658"/>
      <c r="CB370" s="658"/>
      <c r="CC370" s="658"/>
      <c r="CD370" s="658"/>
      <c r="CE370" s="658"/>
      <c r="CF370" s="658"/>
      <c r="CG370" s="658"/>
      <c r="CH370" s="658"/>
      <c r="CI370" s="658"/>
      <c r="CJ370" s="658"/>
      <c r="CK370" s="658"/>
      <c r="CL370" s="658"/>
      <c r="CM370" s="658"/>
      <c r="CN370" s="658"/>
      <c r="CO370" s="658"/>
      <c r="CP370" s="658"/>
      <c r="CQ370" s="658"/>
      <c r="CR370" s="658"/>
      <c r="CS370" s="658"/>
      <c r="CT370" s="658"/>
      <c r="CU370" s="658"/>
      <c r="CV370" s="658"/>
      <c r="CW370" s="658"/>
      <c r="CX370" s="658"/>
      <c r="CY370" s="658"/>
      <c r="CZ370" s="658"/>
      <c r="DA370" s="658"/>
      <c r="DB370" s="658"/>
      <c r="DC370" s="658"/>
      <c r="DD370" s="658"/>
      <c r="DE370" s="658"/>
      <c r="DF370" s="658"/>
      <c r="DG370" s="658"/>
      <c r="DH370" s="658"/>
      <c r="DI370" s="658"/>
      <c r="DJ370" s="658"/>
      <c r="DK370" s="658"/>
      <c r="DL370" s="658"/>
      <c r="DM370" s="658"/>
      <c r="DN370" s="658"/>
      <c r="DO370" s="177">
        <f t="shared" si="2621"/>
        <v>0</v>
      </c>
      <c r="DP370" s="612" t="e">
        <f t="shared" si="2622"/>
        <v>#N/A</v>
      </c>
      <c r="DQ370" s="612" t="e">
        <f t="shared" si="2619"/>
        <v>#NUM!</v>
      </c>
      <c r="DR370" s="177"/>
      <c r="DS370" s="177"/>
      <c r="DT370" s="177"/>
      <c r="DU370" s="177"/>
      <c r="DV370" s="177"/>
      <c r="DW370" s="177"/>
      <c r="DX370" s="177"/>
      <c r="DY370" s="177"/>
      <c r="DZ370" s="177"/>
      <c r="EA370" s="613"/>
    </row>
    <row r="371" spans="1:131" ht="14.25" thickBot="1">
      <c r="B371" s="778" t="s">
        <v>3404</v>
      </c>
      <c r="C371" s="616" t="s">
        <v>223</v>
      </c>
      <c r="D371" s="616" t="s">
        <v>224</v>
      </c>
      <c r="E371" s="616" t="s">
        <v>225</v>
      </c>
      <c r="F371" s="230"/>
      <c r="G371" s="230"/>
      <c r="I371" s="657">
        <f t="shared" si="2620"/>
        <v>0</v>
      </c>
      <c r="J371" s="606" t="str">
        <f t="shared" si="2615"/>
        <v>N/A</v>
      </c>
      <c r="K371" s="471"/>
      <c r="L371" s="607"/>
      <c r="M371" s="300"/>
      <c r="N371" s="608"/>
      <c r="O371" s="609">
        <f t="shared" si="2616"/>
        <v>0</v>
      </c>
      <c r="P371" s="609">
        <f t="shared" si="2617"/>
        <v>0</v>
      </c>
      <c r="Q371" s="609">
        <f t="shared" si="2618"/>
        <v>0</v>
      </c>
      <c r="R371" s="610" t="str">
        <f>IFERROR(Q371/Q372,"")</f>
        <v/>
      </c>
      <c r="S371" s="658"/>
      <c r="T371" s="658"/>
      <c r="U371" s="658"/>
      <c r="V371" s="658"/>
      <c r="W371" s="658"/>
      <c r="X371" s="658"/>
      <c r="Y371" s="658"/>
      <c r="Z371" s="658"/>
      <c r="AA371" s="658"/>
      <c r="AB371" s="658"/>
      <c r="AC371" s="658"/>
      <c r="AD371" s="658"/>
      <c r="AE371" s="658"/>
      <c r="AF371" s="658"/>
      <c r="AG371" s="658"/>
      <c r="AH371" s="658"/>
      <c r="AI371" s="658"/>
      <c r="AJ371" s="658"/>
      <c r="AK371" s="658"/>
      <c r="AL371" s="658"/>
      <c r="AM371" s="658"/>
      <c r="AN371" s="658"/>
      <c r="AO371" s="658"/>
      <c r="AP371" s="658"/>
      <c r="AQ371" s="658"/>
      <c r="AR371" s="658"/>
      <c r="AS371" s="658"/>
      <c r="AT371" s="658"/>
      <c r="AU371" s="658"/>
      <c r="AV371" s="658"/>
      <c r="AW371" s="658"/>
      <c r="AX371" s="658"/>
      <c r="AY371" s="658"/>
      <c r="AZ371" s="658"/>
      <c r="BA371" s="658"/>
      <c r="BB371" s="658"/>
      <c r="BC371" s="658"/>
      <c r="BD371" s="658"/>
      <c r="BE371" s="658"/>
      <c r="BF371" s="658"/>
      <c r="BG371" s="658"/>
      <c r="BH371" s="658"/>
      <c r="BI371" s="658"/>
      <c r="BJ371" s="658"/>
      <c r="BK371" s="658"/>
      <c r="BL371" s="658"/>
      <c r="BM371" s="658"/>
      <c r="BN371" s="658"/>
      <c r="BO371" s="658"/>
      <c r="BP371" s="658"/>
      <c r="BQ371" s="658"/>
      <c r="BR371" s="658"/>
      <c r="BS371" s="658"/>
      <c r="BT371" s="658"/>
      <c r="BU371" s="658"/>
      <c r="BV371" s="658"/>
      <c r="BW371" s="658"/>
      <c r="BX371" s="658"/>
      <c r="BY371" s="658"/>
      <c r="BZ371" s="658"/>
      <c r="CA371" s="658"/>
      <c r="CB371" s="658"/>
      <c r="CC371" s="658"/>
      <c r="CD371" s="658"/>
      <c r="CE371" s="658"/>
      <c r="CF371" s="658"/>
      <c r="CG371" s="658"/>
      <c r="CH371" s="658"/>
      <c r="CI371" s="658"/>
      <c r="CJ371" s="658"/>
      <c r="CK371" s="658"/>
      <c r="CL371" s="658"/>
      <c r="CM371" s="658"/>
      <c r="CN371" s="658"/>
      <c r="CO371" s="658"/>
      <c r="CP371" s="658"/>
      <c r="CQ371" s="658"/>
      <c r="CR371" s="658"/>
      <c r="CS371" s="658"/>
      <c r="CT371" s="658"/>
      <c r="CU371" s="658"/>
      <c r="CV371" s="658"/>
      <c r="CW371" s="658"/>
      <c r="CX371" s="658"/>
      <c r="CY371" s="658"/>
      <c r="CZ371" s="658"/>
      <c r="DA371" s="658"/>
      <c r="DB371" s="658"/>
      <c r="DC371" s="658"/>
      <c r="DD371" s="658"/>
      <c r="DE371" s="658"/>
      <c r="DF371" s="658"/>
      <c r="DG371" s="658"/>
      <c r="DH371" s="658"/>
      <c r="DI371" s="658"/>
      <c r="DJ371" s="658"/>
      <c r="DK371" s="658"/>
      <c r="DL371" s="658"/>
      <c r="DM371" s="658"/>
      <c r="DN371" s="658"/>
      <c r="DO371" s="177">
        <f t="shared" si="2621"/>
        <v>0</v>
      </c>
      <c r="DP371" s="612" t="e">
        <f t="shared" si="2622"/>
        <v>#N/A</v>
      </c>
      <c r="DQ371" s="612" t="e">
        <f t="shared" si="2619"/>
        <v>#NUM!</v>
      </c>
      <c r="DR371" s="177"/>
      <c r="DS371" s="177"/>
      <c r="DT371" s="177"/>
      <c r="DU371" s="177"/>
      <c r="DV371" s="177"/>
      <c r="DW371" s="177"/>
      <c r="DX371" s="177"/>
      <c r="DY371" s="177"/>
      <c r="DZ371" s="177"/>
      <c r="EA371" s="613"/>
    </row>
    <row r="372" spans="1:131" ht="14.25" thickBot="1">
      <c r="A372" s="317"/>
      <c r="B372" s="779"/>
      <c r="C372" s="661"/>
      <c r="D372" s="661"/>
      <c r="E372" s="661"/>
      <c r="F372" s="662"/>
      <c r="G372" s="662"/>
      <c r="H372" s="317"/>
      <c r="I372" s="634">
        <f>SUM(I364:I371)</f>
        <v>0</v>
      </c>
      <c r="J372" s="663"/>
      <c r="K372" s="664"/>
      <c r="L372" s="664"/>
      <c r="M372" s="664"/>
      <c r="N372" s="634">
        <f t="shared" ref="N372:R372" si="2623">SUM(N364:N371)</f>
        <v>0</v>
      </c>
      <c r="O372" s="634">
        <f t="shared" si="2623"/>
        <v>0</v>
      </c>
      <c r="P372" s="634">
        <f t="shared" si="2623"/>
        <v>0</v>
      </c>
      <c r="Q372" s="634">
        <f t="shared" si="2623"/>
        <v>0</v>
      </c>
      <c r="R372" s="665">
        <f t="shared" si="2623"/>
        <v>0</v>
      </c>
      <c r="S372" s="634">
        <f>SUM(S364:S371)</f>
        <v>0</v>
      </c>
      <c r="T372" s="634">
        <f t="shared" ref="T372" si="2624">SUM(T364:T371)</f>
        <v>0</v>
      </c>
      <c r="U372" s="634">
        <f t="shared" ref="U372" si="2625">SUM(U364:U371)</f>
        <v>0</v>
      </c>
      <c r="V372" s="634">
        <f t="shared" ref="V372" si="2626">SUM(V364:V371)</f>
        <v>0</v>
      </c>
      <c r="W372" s="634">
        <f t="shared" ref="W372" si="2627">SUM(W364:W371)</f>
        <v>0</v>
      </c>
      <c r="X372" s="634">
        <f t="shared" ref="X372" si="2628">SUM(X364:X371)</f>
        <v>0</v>
      </c>
      <c r="Y372" s="634">
        <f t="shared" ref="Y372" si="2629">SUM(Y364:Y371)</f>
        <v>0</v>
      </c>
      <c r="Z372" s="634">
        <f t="shared" ref="Z372" si="2630">SUM(Z364:Z371)</f>
        <v>0</v>
      </c>
      <c r="AA372" s="634">
        <f t="shared" ref="AA372" si="2631">SUM(AA364:AA371)</f>
        <v>0</v>
      </c>
      <c r="AB372" s="634">
        <f t="shared" ref="AB372" si="2632">SUM(AB364:AB371)</f>
        <v>0</v>
      </c>
      <c r="AC372" s="634">
        <f t="shared" ref="AC372" si="2633">SUM(AC364:AC371)</f>
        <v>0</v>
      </c>
      <c r="AD372" s="634">
        <f t="shared" ref="AD372" si="2634">SUM(AD364:AD371)</f>
        <v>0</v>
      </c>
      <c r="AE372" s="634">
        <f t="shared" ref="AE372" si="2635">SUM(AE364:AE371)</f>
        <v>0</v>
      </c>
      <c r="AF372" s="634">
        <f t="shared" ref="AF372" si="2636">SUM(AF364:AF371)</f>
        <v>0</v>
      </c>
      <c r="AG372" s="634">
        <f t="shared" ref="AG372" si="2637">SUM(AG364:AG371)</f>
        <v>0</v>
      </c>
      <c r="AH372" s="634">
        <f t="shared" ref="AH372" si="2638">SUM(AH364:AH371)</f>
        <v>0</v>
      </c>
      <c r="AI372" s="634">
        <f t="shared" ref="AI372" si="2639">SUM(AI364:AI371)</f>
        <v>0</v>
      </c>
      <c r="AJ372" s="634">
        <f t="shared" ref="AJ372" si="2640">SUM(AJ364:AJ371)</f>
        <v>0</v>
      </c>
      <c r="AK372" s="634">
        <f t="shared" ref="AK372" si="2641">SUM(AK364:AK371)</f>
        <v>0</v>
      </c>
      <c r="AL372" s="634">
        <f t="shared" ref="AL372" si="2642">SUM(AL364:AL371)</f>
        <v>0</v>
      </c>
      <c r="AM372" s="634">
        <f t="shared" ref="AM372" si="2643">SUM(AM364:AM371)</f>
        <v>0</v>
      </c>
      <c r="AN372" s="634">
        <f t="shared" ref="AN372" si="2644">SUM(AN364:AN371)</f>
        <v>0</v>
      </c>
      <c r="AO372" s="634">
        <f t="shared" ref="AO372" si="2645">SUM(AO364:AO371)</f>
        <v>0</v>
      </c>
      <c r="AP372" s="634">
        <f t="shared" ref="AP372" si="2646">SUM(AP364:AP371)</f>
        <v>0</v>
      </c>
      <c r="AQ372" s="634">
        <f t="shared" ref="AQ372" si="2647">SUM(AQ364:AQ371)</f>
        <v>0</v>
      </c>
      <c r="AR372" s="634">
        <f t="shared" ref="AR372" si="2648">SUM(AR364:AR371)</f>
        <v>0</v>
      </c>
      <c r="AS372" s="634">
        <f t="shared" ref="AS372" si="2649">SUM(AS364:AS371)</f>
        <v>0</v>
      </c>
      <c r="AT372" s="634">
        <f t="shared" ref="AT372" si="2650">SUM(AT364:AT371)</f>
        <v>0</v>
      </c>
      <c r="AU372" s="634">
        <f t="shared" ref="AU372" si="2651">SUM(AU364:AU371)</f>
        <v>0</v>
      </c>
      <c r="AV372" s="634">
        <f t="shared" ref="AV372" si="2652">SUM(AV364:AV371)</f>
        <v>0</v>
      </c>
      <c r="AW372" s="634">
        <f t="shared" ref="AW372" si="2653">SUM(AW364:AW371)</f>
        <v>0</v>
      </c>
      <c r="AX372" s="634">
        <f t="shared" ref="AX372" si="2654">SUM(AX364:AX371)</f>
        <v>0</v>
      </c>
      <c r="AY372" s="634">
        <f t="shared" ref="AY372" si="2655">SUM(AY364:AY371)</f>
        <v>0</v>
      </c>
      <c r="AZ372" s="634">
        <f t="shared" ref="AZ372" si="2656">SUM(AZ364:AZ371)</f>
        <v>0</v>
      </c>
      <c r="BA372" s="634">
        <f t="shared" ref="BA372" si="2657">SUM(BA364:BA371)</f>
        <v>0</v>
      </c>
      <c r="BB372" s="634">
        <f t="shared" ref="BB372" si="2658">SUM(BB364:BB371)</f>
        <v>0</v>
      </c>
      <c r="BC372" s="634">
        <f t="shared" ref="BC372" si="2659">SUM(BC364:BC371)</f>
        <v>0</v>
      </c>
      <c r="BD372" s="634">
        <f t="shared" ref="BD372" si="2660">SUM(BD364:BD371)</f>
        <v>0</v>
      </c>
      <c r="BE372" s="634">
        <f t="shared" ref="BE372" si="2661">SUM(BE364:BE371)</f>
        <v>0</v>
      </c>
      <c r="BF372" s="634">
        <f t="shared" ref="BF372" si="2662">SUM(BF364:BF371)</f>
        <v>0</v>
      </c>
      <c r="BG372" s="634">
        <f t="shared" ref="BG372" si="2663">SUM(BG364:BG371)</f>
        <v>0</v>
      </c>
      <c r="BH372" s="634">
        <f t="shared" ref="BH372" si="2664">SUM(BH364:BH371)</f>
        <v>0</v>
      </c>
      <c r="BI372" s="634">
        <f t="shared" ref="BI372" si="2665">SUM(BI364:BI371)</f>
        <v>0</v>
      </c>
      <c r="BJ372" s="634">
        <f t="shared" ref="BJ372" si="2666">SUM(BJ364:BJ371)</f>
        <v>0</v>
      </c>
      <c r="BK372" s="634">
        <f t="shared" ref="BK372" si="2667">SUM(BK364:BK371)</f>
        <v>0</v>
      </c>
      <c r="BL372" s="634">
        <f t="shared" ref="BL372" si="2668">SUM(BL364:BL371)</f>
        <v>0</v>
      </c>
      <c r="BM372" s="634">
        <f t="shared" ref="BM372" si="2669">SUM(BM364:BM371)</f>
        <v>0</v>
      </c>
      <c r="BN372" s="634">
        <f t="shared" ref="BN372" si="2670">SUM(BN364:BN371)</f>
        <v>0</v>
      </c>
      <c r="BO372" s="634">
        <f t="shared" ref="BO372" si="2671">SUM(BO364:BO371)</f>
        <v>0</v>
      </c>
      <c r="BP372" s="634">
        <f t="shared" ref="BP372" si="2672">SUM(BP364:BP371)</f>
        <v>0</v>
      </c>
      <c r="BQ372" s="634">
        <f t="shared" ref="BQ372" si="2673">SUM(BQ364:BQ371)</f>
        <v>0</v>
      </c>
      <c r="BR372" s="634">
        <f t="shared" ref="BR372" si="2674">SUM(BR364:BR371)</f>
        <v>0</v>
      </c>
      <c r="BS372" s="634">
        <f t="shared" ref="BS372" si="2675">SUM(BS364:BS371)</f>
        <v>0</v>
      </c>
      <c r="BT372" s="634">
        <f t="shared" ref="BT372" si="2676">SUM(BT364:BT371)</f>
        <v>0</v>
      </c>
      <c r="BU372" s="634">
        <f t="shared" ref="BU372" si="2677">SUM(BU364:BU371)</f>
        <v>0</v>
      </c>
      <c r="BV372" s="634">
        <f t="shared" ref="BV372" si="2678">SUM(BV364:BV371)</f>
        <v>0</v>
      </c>
      <c r="BW372" s="634">
        <f t="shared" ref="BW372" si="2679">SUM(BW364:BW371)</f>
        <v>0</v>
      </c>
      <c r="BX372" s="634">
        <f t="shared" ref="BX372" si="2680">SUM(BX364:BX371)</f>
        <v>0</v>
      </c>
      <c r="BY372" s="634">
        <f t="shared" ref="BY372" si="2681">SUM(BY364:BY371)</f>
        <v>0</v>
      </c>
      <c r="BZ372" s="634">
        <f t="shared" ref="BZ372" si="2682">SUM(BZ364:BZ371)</f>
        <v>0</v>
      </c>
      <c r="CA372" s="634">
        <f t="shared" ref="CA372" si="2683">SUM(CA364:CA371)</f>
        <v>0</v>
      </c>
      <c r="CB372" s="634">
        <f t="shared" ref="CB372" si="2684">SUM(CB364:CB371)</f>
        <v>0</v>
      </c>
      <c r="CC372" s="634">
        <f t="shared" ref="CC372" si="2685">SUM(CC364:CC371)</f>
        <v>0</v>
      </c>
      <c r="CD372" s="634">
        <f t="shared" ref="CD372" si="2686">SUM(CD364:CD371)</f>
        <v>0</v>
      </c>
      <c r="CE372" s="634">
        <f t="shared" ref="CE372" si="2687">SUM(CE364:CE371)</f>
        <v>0</v>
      </c>
      <c r="CF372" s="634">
        <f t="shared" ref="CF372" si="2688">SUM(CF364:CF371)</f>
        <v>0</v>
      </c>
      <c r="CG372" s="634">
        <f t="shared" ref="CG372" si="2689">SUM(CG364:CG371)</f>
        <v>0</v>
      </c>
      <c r="CH372" s="634">
        <f t="shared" ref="CH372" si="2690">SUM(CH364:CH371)</f>
        <v>0</v>
      </c>
      <c r="CI372" s="634">
        <f t="shared" ref="CI372" si="2691">SUM(CI364:CI371)</f>
        <v>0</v>
      </c>
      <c r="CJ372" s="634">
        <f t="shared" ref="CJ372" si="2692">SUM(CJ364:CJ371)</f>
        <v>0</v>
      </c>
      <c r="CK372" s="634">
        <f t="shared" ref="CK372" si="2693">SUM(CK364:CK371)</f>
        <v>0</v>
      </c>
      <c r="CL372" s="634">
        <f t="shared" ref="CL372" si="2694">SUM(CL364:CL371)</f>
        <v>0</v>
      </c>
      <c r="CM372" s="634">
        <f t="shared" ref="CM372" si="2695">SUM(CM364:CM371)</f>
        <v>0</v>
      </c>
      <c r="CN372" s="634">
        <f t="shared" ref="CN372" si="2696">SUM(CN364:CN371)</f>
        <v>0</v>
      </c>
      <c r="CO372" s="634">
        <f t="shared" ref="CO372" si="2697">SUM(CO364:CO371)</f>
        <v>0</v>
      </c>
      <c r="CP372" s="634">
        <f t="shared" ref="CP372" si="2698">SUM(CP364:CP371)</f>
        <v>0</v>
      </c>
      <c r="CQ372" s="634">
        <f t="shared" ref="CQ372" si="2699">SUM(CQ364:CQ371)</f>
        <v>0</v>
      </c>
      <c r="CR372" s="634">
        <f t="shared" ref="CR372" si="2700">SUM(CR364:CR371)</f>
        <v>0</v>
      </c>
      <c r="CS372" s="634">
        <f t="shared" ref="CS372" si="2701">SUM(CS364:CS371)</f>
        <v>0</v>
      </c>
      <c r="CT372" s="634">
        <f t="shared" ref="CT372" si="2702">SUM(CT364:CT371)</f>
        <v>0</v>
      </c>
      <c r="CU372" s="634">
        <f t="shared" ref="CU372" si="2703">SUM(CU364:CU371)</f>
        <v>0</v>
      </c>
      <c r="CV372" s="634">
        <f t="shared" ref="CV372" si="2704">SUM(CV364:CV371)</f>
        <v>0</v>
      </c>
      <c r="CW372" s="634">
        <f t="shared" ref="CW372" si="2705">SUM(CW364:CW371)</f>
        <v>0</v>
      </c>
      <c r="CX372" s="634">
        <f t="shared" ref="CX372" si="2706">SUM(CX364:CX371)</f>
        <v>0</v>
      </c>
      <c r="CY372" s="634">
        <f t="shared" ref="CY372" si="2707">SUM(CY364:CY371)</f>
        <v>0</v>
      </c>
      <c r="CZ372" s="634">
        <f t="shared" ref="CZ372" si="2708">SUM(CZ364:CZ371)</f>
        <v>0</v>
      </c>
      <c r="DA372" s="634">
        <f t="shared" ref="DA372" si="2709">SUM(DA364:DA371)</f>
        <v>0</v>
      </c>
      <c r="DB372" s="634">
        <f t="shared" ref="DB372" si="2710">SUM(DB364:DB371)</f>
        <v>0</v>
      </c>
      <c r="DC372" s="634">
        <f t="shared" ref="DC372" si="2711">SUM(DC364:DC371)</f>
        <v>0</v>
      </c>
      <c r="DD372" s="634">
        <f t="shared" ref="DD372" si="2712">SUM(DD364:DD371)</f>
        <v>0</v>
      </c>
      <c r="DE372" s="634">
        <f t="shared" ref="DE372" si="2713">SUM(DE364:DE371)</f>
        <v>0</v>
      </c>
      <c r="DF372" s="634">
        <f t="shared" ref="DF372" si="2714">SUM(DF364:DF371)</f>
        <v>0</v>
      </c>
      <c r="DG372" s="634">
        <f t="shared" ref="DG372" si="2715">SUM(DG364:DG371)</f>
        <v>0</v>
      </c>
      <c r="DH372" s="634">
        <f t="shared" ref="DH372" si="2716">SUM(DH364:DH371)</f>
        <v>0</v>
      </c>
      <c r="DI372" s="634">
        <f t="shared" ref="DI372" si="2717">SUM(DI364:DI371)</f>
        <v>0</v>
      </c>
      <c r="DJ372" s="634">
        <f t="shared" ref="DJ372" si="2718">SUM(DJ364:DJ371)</f>
        <v>0</v>
      </c>
      <c r="DK372" s="634">
        <f t="shared" ref="DK372" si="2719">SUM(DK364:DK371)</f>
        <v>0</v>
      </c>
      <c r="DL372" s="634">
        <f t="shared" ref="DL372" si="2720">SUM(DL364:DL371)</f>
        <v>0</v>
      </c>
      <c r="DM372" s="634">
        <f t="shared" ref="DM372" si="2721">SUM(DM364:DM371)</f>
        <v>0</v>
      </c>
      <c r="DN372" s="634">
        <f t="shared" ref="DN372" si="2722">SUM(DN364:DN371)</f>
        <v>0</v>
      </c>
      <c r="DO372" s="634">
        <f t="shared" ref="DO372" si="2723">SUM(DO364:DO371)</f>
        <v>0</v>
      </c>
      <c r="DP372" s="666"/>
      <c r="DQ372" s="638" t="e">
        <f>XIRR(S372:DO372,$S$363:$DO$363)</f>
        <v>#NUM!</v>
      </c>
      <c r="DR372" s="636">
        <f t="shared" ref="DR372:DX372" si="2724">SUM(DR364:DR371)</f>
        <v>0</v>
      </c>
      <c r="DS372" s="636">
        <f t="shared" si="2724"/>
        <v>0</v>
      </c>
      <c r="DT372" s="636">
        <f t="shared" si="2724"/>
        <v>0</v>
      </c>
      <c r="DU372" s="636">
        <f t="shared" si="2724"/>
        <v>0</v>
      </c>
      <c r="DV372" s="636">
        <f t="shared" si="2724"/>
        <v>0</v>
      </c>
      <c r="DW372" s="636">
        <f t="shared" si="2724"/>
        <v>0</v>
      </c>
      <c r="DX372" s="636">
        <f t="shared" si="2724"/>
        <v>0</v>
      </c>
      <c r="DY372" s="636">
        <f>SUM(DY364:DY371)</f>
        <v>0</v>
      </c>
      <c r="DZ372" s="636">
        <f>SUM(DZ364:DZ371)</f>
        <v>0</v>
      </c>
      <c r="EA372" s="636">
        <f>SUM(EA364:EA371)</f>
        <v>0</v>
      </c>
    </row>
    <row r="373" spans="1:131" ht="14.25" thickBot="1">
      <c r="A373" s="172"/>
      <c r="B373" s="667"/>
      <c r="C373" s="592" t="s">
        <v>3609</v>
      </c>
      <c r="D373" s="648">
        <f>D361+1</f>
        <v>27</v>
      </c>
      <c r="E373" s="649"/>
      <c r="F373" s="603"/>
      <c r="G373" s="603"/>
      <c r="I373" s="650" t="b">
        <f>I384=DR375</f>
        <v>1</v>
      </c>
      <c r="J373" s="172"/>
      <c r="K373" s="172"/>
      <c r="L373" s="172"/>
      <c r="M373" s="172"/>
      <c r="N373" s="172"/>
      <c r="O373" s="172"/>
      <c r="P373" s="172"/>
      <c r="Q373" s="639" t="str">
        <f>IF(Q384=NAV!E1207,"자본금과 일치","자본금과 불일치")</f>
        <v>자본금과 일치</v>
      </c>
      <c r="R373" s="172"/>
      <c r="S373" s="172"/>
      <c r="T373" s="172"/>
      <c r="U373" s="172"/>
      <c r="V373" s="172"/>
      <c r="W373" s="172"/>
      <c r="X373" s="172"/>
      <c r="Y373" s="172"/>
      <c r="Z373" s="172"/>
      <c r="AA373" s="172"/>
      <c r="AB373" s="172"/>
      <c r="AC373" s="172"/>
      <c r="AD373" s="172"/>
      <c r="AE373" s="172"/>
      <c r="AF373" s="172"/>
      <c r="AG373" s="172"/>
      <c r="AH373" s="172"/>
      <c r="AI373" s="172"/>
      <c r="AJ373" s="172"/>
      <c r="AK373" s="172"/>
      <c r="AL373" s="172"/>
      <c r="AM373" s="172"/>
      <c r="AN373" s="172"/>
      <c r="AO373" s="172"/>
      <c r="AP373" s="172"/>
      <c r="AQ373" s="172"/>
      <c r="AR373" s="172"/>
      <c r="AS373" s="172"/>
      <c r="AT373" s="172"/>
      <c r="AU373" s="172"/>
      <c r="AV373" s="172"/>
      <c r="AW373" s="172"/>
      <c r="AX373" s="172"/>
      <c r="AY373" s="172"/>
      <c r="AZ373" s="172"/>
      <c r="BA373" s="172"/>
      <c r="BB373" s="172"/>
      <c r="BC373" s="172"/>
      <c r="BD373" s="172"/>
      <c r="BE373" s="172"/>
      <c r="BF373" s="172"/>
      <c r="BG373" s="172"/>
      <c r="BH373" s="172"/>
      <c r="BI373" s="172"/>
      <c r="BJ373" s="172"/>
      <c r="BK373" s="172"/>
      <c r="BL373" s="172"/>
      <c r="BM373" s="172"/>
      <c r="BN373" s="172"/>
      <c r="BO373" s="172"/>
      <c r="BP373" s="172"/>
      <c r="BQ373" s="172"/>
      <c r="BR373" s="172"/>
      <c r="BS373" s="172"/>
      <c r="BT373" s="172"/>
      <c r="BU373" s="172"/>
      <c r="BV373" s="172"/>
      <c r="BW373" s="172"/>
      <c r="BX373" s="172"/>
      <c r="BY373" s="172"/>
      <c r="BZ373" s="172"/>
      <c r="CA373" s="172"/>
      <c r="CB373" s="172"/>
      <c r="CC373" s="172"/>
      <c r="CD373" s="172"/>
      <c r="CE373" s="172"/>
      <c r="CF373" s="172"/>
      <c r="CG373" s="172"/>
      <c r="CH373" s="172"/>
      <c r="CI373" s="172"/>
      <c r="CJ373" s="172"/>
      <c r="CK373" s="172"/>
      <c r="CL373" s="172"/>
      <c r="CM373" s="172"/>
      <c r="CN373" s="172"/>
      <c r="CO373" s="172"/>
      <c r="CP373" s="172"/>
      <c r="CQ373" s="172"/>
      <c r="CR373" s="172"/>
      <c r="CS373" s="172"/>
      <c r="CT373" s="172"/>
      <c r="CU373" s="172"/>
      <c r="CV373" s="172"/>
      <c r="CW373" s="172"/>
      <c r="CX373" s="172"/>
      <c r="CY373" s="172"/>
      <c r="CZ373" s="172"/>
      <c r="DA373" s="172"/>
      <c r="DB373" s="172"/>
      <c r="DC373" s="172"/>
      <c r="DD373" s="172"/>
      <c r="DE373" s="172"/>
      <c r="DF373" s="172"/>
      <c r="DG373" s="172"/>
      <c r="DH373" s="172"/>
      <c r="DI373" s="172"/>
      <c r="DJ373" s="172"/>
      <c r="DK373" s="172"/>
      <c r="DL373" s="172"/>
      <c r="DM373" s="172"/>
      <c r="DN373" s="172"/>
      <c r="DO373" s="588" t="s">
        <v>219</v>
      </c>
      <c r="DP373" s="588" t="str">
        <f>IF(ROUND(_xlfn.AGGREGATE(9,6,DP376:DP383),5)=ROUND(_xlfn.AGGREGATE(9,6,DQ376:DQ383),5),"이상없음","기준수익률확인")</f>
        <v>이상없음</v>
      </c>
      <c r="DQ373" s="172"/>
      <c r="DR373" s="651" t="s">
        <v>3406</v>
      </c>
      <c r="DS373" s="172"/>
      <c r="DT373" s="615"/>
      <c r="DU373" s="615"/>
      <c r="DV373" s="172"/>
      <c r="DW373" s="172"/>
      <c r="DX373" s="615"/>
      <c r="DY373" s="172"/>
      <c r="DZ373" s="172"/>
      <c r="EA373" s="172"/>
    </row>
    <row r="374" spans="1:131" ht="13.5">
      <c r="A374" s="652" t="str">
        <f t="shared" ref="A374:A382" si="2725">$B$373&amp;B374</f>
        <v>SPC명</v>
      </c>
      <c r="B374" s="653" t="s">
        <v>349</v>
      </c>
      <c r="C374" s="780"/>
      <c r="D374" s="780"/>
      <c r="E374" s="780"/>
      <c r="F374" s="230"/>
      <c r="G374" s="230"/>
      <c r="I374" s="776" t="s">
        <v>3393</v>
      </c>
      <c r="J374" s="776" t="s">
        <v>3394</v>
      </c>
      <c r="K374" s="774" t="s">
        <v>3395</v>
      </c>
      <c r="L374" s="774" t="s">
        <v>3396</v>
      </c>
      <c r="M374" s="774" t="s">
        <v>203</v>
      </c>
      <c r="N374" s="774" t="s">
        <v>211</v>
      </c>
      <c r="O374" s="774" t="s">
        <v>3399</v>
      </c>
      <c r="P374" s="776" t="s">
        <v>239</v>
      </c>
      <c r="Q374" s="774" t="s">
        <v>3401</v>
      </c>
      <c r="R374" s="774" t="s">
        <v>3402</v>
      </c>
      <c r="S374" s="593"/>
      <c r="T374" s="593"/>
      <c r="U374" s="593"/>
      <c r="V374" s="593"/>
      <c r="W374" s="593"/>
      <c r="X374" s="593"/>
      <c r="Y374" s="593"/>
      <c r="Z374" s="593"/>
      <c r="AA374" s="593"/>
      <c r="AB374" s="593"/>
      <c r="AC374" s="593"/>
      <c r="AD374" s="593"/>
      <c r="AE374" s="593"/>
      <c r="AF374" s="593"/>
      <c r="AG374" s="593"/>
      <c r="AH374" s="593"/>
      <c r="AI374" s="593"/>
      <c r="AJ374" s="593"/>
      <c r="AK374" s="593"/>
      <c r="AL374" s="593"/>
      <c r="AM374" s="593"/>
      <c r="AN374" s="593"/>
      <c r="AO374" s="593"/>
      <c r="AP374" s="593"/>
      <c r="AQ374" s="593"/>
      <c r="AR374" s="593"/>
      <c r="AS374" s="593"/>
      <c r="AT374" s="593"/>
      <c r="AU374" s="593"/>
      <c r="AV374" s="593"/>
      <c r="AW374" s="593"/>
      <c r="AX374" s="593"/>
      <c r="AY374" s="593"/>
      <c r="AZ374" s="593"/>
      <c r="BA374" s="593"/>
      <c r="BB374" s="593"/>
      <c r="BC374" s="593"/>
      <c r="BD374" s="593"/>
      <c r="BE374" s="593"/>
      <c r="BF374" s="593"/>
      <c r="BG374" s="593"/>
      <c r="BH374" s="593"/>
      <c r="BI374" s="593"/>
      <c r="BJ374" s="593"/>
      <c r="BK374" s="593"/>
      <c r="BL374" s="593"/>
      <c r="BM374" s="593"/>
      <c r="BN374" s="593"/>
      <c r="BO374" s="593"/>
      <c r="BP374" s="593"/>
      <c r="BQ374" s="593"/>
      <c r="BR374" s="593"/>
      <c r="BS374" s="593"/>
      <c r="BT374" s="593"/>
      <c r="BU374" s="593"/>
      <c r="BV374" s="593"/>
      <c r="BW374" s="593"/>
      <c r="BX374" s="593"/>
      <c r="BY374" s="593"/>
      <c r="BZ374" s="593"/>
      <c r="CA374" s="593"/>
      <c r="CB374" s="593"/>
      <c r="CC374" s="593"/>
      <c r="CD374" s="593"/>
      <c r="CE374" s="593"/>
      <c r="CF374" s="593"/>
      <c r="CG374" s="593"/>
      <c r="CH374" s="593"/>
      <c r="CI374" s="593"/>
      <c r="CJ374" s="593"/>
      <c r="CK374" s="593"/>
      <c r="CL374" s="593"/>
      <c r="CM374" s="593"/>
      <c r="CN374" s="593"/>
      <c r="CO374" s="593"/>
      <c r="CP374" s="593"/>
      <c r="CQ374" s="593"/>
      <c r="CR374" s="593"/>
      <c r="CS374" s="593"/>
      <c r="CT374" s="593"/>
      <c r="CU374" s="593"/>
      <c r="CV374" s="593"/>
      <c r="CW374" s="593"/>
      <c r="CX374" s="593"/>
      <c r="CY374" s="593"/>
      <c r="CZ374" s="593"/>
      <c r="DA374" s="593"/>
      <c r="DB374" s="593"/>
      <c r="DC374" s="593"/>
      <c r="DD374" s="593"/>
      <c r="DE374" s="593"/>
      <c r="DF374" s="593"/>
      <c r="DG374" s="593"/>
      <c r="DH374" s="593"/>
      <c r="DI374" s="593"/>
      <c r="DJ374" s="593"/>
      <c r="DK374" s="593"/>
      <c r="DL374" s="593"/>
      <c r="DM374" s="593"/>
      <c r="DN374" s="593"/>
      <c r="DO374" s="594" t="s">
        <v>220</v>
      </c>
      <c r="DP374" s="774" t="s">
        <v>218</v>
      </c>
      <c r="DQ374" s="774" t="s">
        <v>222</v>
      </c>
      <c r="DR374" s="594"/>
      <c r="DS374" s="594"/>
      <c r="DT374" s="594"/>
      <c r="DU374" s="594"/>
      <c r="DV374" s="594"/>
      <c r="DW374" s="594"/>
      <c r="DX374" s="594"/>
      <c r="DY374" s="594"/>
      <c r="DZ374" s="594"/>
      <c r="EA374" s="602"/>
    </row>
    <row r="375" spans="1:131" ht="14.25" thickBot="1">
      <c r="A375" s="652" t="str">
        <f t="shared" si="2725"/>
        <v>유형</v>
      </c>
      <c r="B375" s="653" t="s">
        <v>350</v>
      </c>
      <c r="C375" s="780"/>
      <c r="D375" s="780"/>
      <c r="E375" s="780"/>
      <c r="F375" s="230"/>
      <c r="G375" s="230"/>
      <c r="I375" s="777"/>
      <c r="J375" s="777"/>
      <c r="K375" s="775"/>
      <c r="L375" s="775"/>
      <c r="M375" s="775"/>
      <c r="N375" s="775"/>
      <c r="O375" s="775"/>
      <c r="P375" s="777"/>
      <c r="Q375" s="775"/>
      <c r="R375" s="775"/>
      <c r="S375" s="601"/>
      <c r="T375" s="601"/>
      <c r="U375" s="601"/>
      <c r="V375" s="601"/>
      <c r="W375" s="601"/>
      <c r="X375" s="601"/>
      <c r="Y375" s="601"/>
      <c r="Z375" s="601"/>
      <c r="AA375" s="601"/>
      <c r="AB375" s="601"/>
      <c r="AC375" s="601"/>
      <c r="AD375" s="601"/>
      <c r="AE375" s="601"/>
      <c r="AF375" s="601"/>
      <c r="AG375" s="601"/>
      <c r="AH375" s="601"/>
      <c r="AI375" s="601"/>
      <c r="AJ375" s="601"/>
      <c r="AK375" s="601"/>
      <c r="AL375" s="601"/>
      <c r="AM375" s="601"/>
      <c r="AN375" s="601"/>
      <c r="AO375" s="601"/>
      <c r="AP375" s="601"/>
      <c r="AQ375" s="601"/>
      <c r="AR375" s="601"/>
      <c r="AS375" s="601"/>
      <c r="AT375" s="601"/>
      <c r="AU375" s="601"/>
      <c r="AV375" s="601"/>
      <c r="AW375" s="601"/>
      <c r="AX375" s="601"/>
      <c r="AY375" s="601"/>
      <c r="AZ375" s="601"/>
      <c r="BA375" s="601"/>
      <c r="BB375" s="601"/>
      <c r="BC375" s="601"/>
      <c r="BD375" s="601"/>
      <c r="BE375" s="601"/>
      <c r="BF375" s="601"/>
      <c r="BG375" s="601"/>
      <c r="BH375" s="601"/>
      <c r="BI375" s="601"/>
      <c r="BJ375" s="601"/>
      <c r="BK375" s="601"/>
      <c r="BL375" s="601"/>
      <c r="BM375" s="601"/>
      <c r="BN375" s="601"/>
      <c r="BO375" s="601"/>
      <c r="BP375" s="601"/>
      <c r="BQ375" s="601"/>
      <c r="BR375" s="601"/>
      <c r="BS375" s="601"/>
      <c r="BT375" s="601"/>
      <c r="BU375" s="601"/>
      <c r="BV375" s="601"/>
      <c r="BW375" s="601"/>
      <c r="BX375" s="601"/>
      <c r="BY375" s="601"/>
      <c r="BZ375" s="601"/>
      <c r="CA375" s="601"/>
      <c r="CB375" s="601"/>
      <c r="CC375" s="601"/>
      <c r="CD375" s="601"/>
      <c r="CE375" s="601"/>
      <c r="CF375" s="601"/>
      <c r="CG375" s="601"/>
      <c r="CH375" s="601"/>
      <c r="CI375" s="601"/>
      <c r="CJ375" s="601"/>
      <c r="CK375" s="601"/>
      <c r="CL375" s="601"/>
      <c r="CM375" s="601"/>
      <c r="CN375" s="601"/>
      <c r="CO375" s="601"/>
      <c r="CP375" s="601"/>
      <c r="CQ375" s="601"/>
      <c r="CR375" s="601"/>
      <c r="CS375" s="601"/>
      <c r="CT375" s="601"/>
      <c r="CU375" s="601"/>
      <c r="CV375" s="601"/>
      <c r="CW375" s="601"/>
      <c r="CX375" s="601"/>
      <c r="CY375" s="601"/>
      <c r="CZ375" s="601"/>
      <c r="DA375" s="601"/>
      <c r="DB375" s="601"/>
      <c r="DC375" s="601"/>
      <c r="DD375" s="601"/>
      <c r="DE375" s="601"/>
      <c r="DF375" s="601"/>
      <c r="DG375" s="601"/>
      <c r="DH375" s="601"/>
      <c r="DI375" s="601"/>
      <c r="DJ375" s="601"/>
      <c r="DK375" s="601"/>
      <c r="DL375" s="601"/>
      <c r="DM375" s="601"/>
      <c r="DN375" s="601"/>
      <c r="DO375" s="654">
        <f>$DO$7</f>
        <v>45473</v>
      </c>
      <c r="DP375" s="775"/>
      <c r="DQ375" s="775"/>
      <c r="DR375" s="595">
        <f>NAV!E1213</f>
        <v>0</v>
      </c>
      <c r="DS375" s="596">
        <f>DR375-DR384</f>
        <v>0</v>
      </c>
      <c r="DT375" s="596"/>
      <c r="DU375" s="596"/>
      <c r="DV375" s="597"/>
      <c r="DW375" s="596"/>
      <c r="DX375" s="596"/>
      <c r="DY375" s="596"/>
      <c r="DZ375" s="655"/>
      <c r="EA375" s="656"/>
    </row>
    <row r="376" spans="1:131" ht="13.5">
      <c r="A376" s="652" t="str">
        <f t="shared" si="2725"/>
        <v>설정일</v>
      </c>
      <c r="B376" s="653" t="s">
        <v>351</v>
      </c>
      <c r="C376" s="781"/>
      <c r="D376" s="780"/>
      <c r="E376" s="780"/>
      <c r="F376" s="230"/>
      <c r="G376" s="230"/>
      <c r="I376" s="657">
        <f>SUM(DR376:EA376)</f>
        <v>0</v>
      </c>
      <c r="J376" s="606" t="str">
        <f>IFERROR(I376/(Q376/$C$378),"N/A")</f>
        <v>N/A</v>
      </c>
      <c r="K376" s="471"/>
      <c r="L376" s="607"/>
      <c r="M376" s="300"/>
      <c r="N376" s="608"/>
      <c r="O376" s="609">
        <f t="shared" ref="O376:O383" si="2726">-(SUMIF($S$374:$DN$374,"최초출자",S376:DN376)+SUMIF($S$374:$DN$374,"추가출자",S376:DN376))</f>
        <v>0</v>
      </c>
      <c r="P376" s="609">
        <f t="shared" ref="P376:P383" si="2727">SUMIF($S$374:$DN$374,"이익분배",S376:DN376)+SUMIF($S$374:$DN$374,"원본분배",S376:DN376)</f>
        <v>0</v>
      </c>
      <c r="Q376" s="609">
        <f t="shared" ref="Q376:Q383" si="2728">-(SUMIF($S$374:$DN$374,"최초출자",S376:DN376)+SUMIF($S$374:$DN$374,"추가출자",S376:DN376)+SUMIF($S$374:$DN$374,"원본분배",S376:DN376))</f>
        <v>0</v>
      </c>
      <c r="R376" s="610" t="str">
        <f>IFERROR(Q376/Q384,"")</f>
        <v/>
      </c>
      <c r="S376" s="658"/>
      <c r="T376" s="658"/>
      <c r="U376" s="658"/>
      <c r="V376" s="658"/>
      <c r="W376" s="658"/>
      <c r="X376" s="658"/>
      <c r="Y376" s="658"/>
      <c r="Z376" s="658"/>
      <c r="AA376" s="658"/>
      <c r="AB376" s="658"/>
      <c r="AC376" s="658"/>
      <c r="AD376" s="658"/>
      <c r="AE376" s="658"/>
      <c r="AF376" s="658"/>
      <c r="AG376" s="658"/>
      <c r="AH376" s="658"/>
      <c r="AI376" s="658"/>
      <c r="AJ376" s="658"/>
      <c r="AK376" s="658"/>
      <c r="AL376" s="658"/>
      <c r="AM376" s="658"/>
      <c r="AN376" s="658"/>
      <c r="AO376" s="658"/>
      <c r="AP376" s="658"/>
      <c r="AQ376" s="658"/>
      <c r="AR376" s="658"/>
      <c r="AS376" s="658"/>
      <c r="AT376" s="658"/>
      <c r="AU376" s="658"/>
      <c r="AV376" s="658"/>
      <c r="AW376" s="658"/>
      <c r="AX376" s="658"/>
      <c r="AY376" s="658"/>
      <c r="AZ376" s="658"/>
      <c r="BA376" s="658"/>
      <c r="BB376" s="658"/>
      <c r="BC376" s="658"/>
      <c r="BD376" s="658"/>
      <c r="BE376" s="658"/>
      <c r="BF376" s="658"/>
      <c r="BG376" s="658"/>
      <c r="BH376" s="658"/>
      <c r="BI376" s="658"/>
      <c r="BJ376" s="658"/>
      <c r="BK376" s="658"/>
      <c r="BL376" s="658"/>
      <c r="BM376" s="658"/>
      <c r="BN376" s="658"/>
      <c r="BO376" s="658"/>
      <c r="BP376" s="658"/>
      <c r="BQ376" s="658"/>
      <c r="BR376" s="658"/>
      <c r="BS376" s="658"/>
      <c r="BT376" s="658"/>
      <c r="BU376" s="658"/>
      <c r="BV376" s="658"/>
      <c r="BW376" s="658"/>
      <c r="BX376" s="658"/>
      <c r="BY376" s="658"/>
      <c r="BZ376" s="658"/>
      <c r="CA376" s="658"/>
      <c r="CB376" s="658"/>
      <c r="CC376" s="658"/>
      <c r="CD376" s="658"/>
      <c r="CE376" s="658"/>
      <c r="CF376" s="658"/>
      <c r="CG376" s="658"/>
      <c r="CH376" s="658"/>
      <c r="CI376" s="658"/>
      <c r="CJ376" s="658"/>
      <c r="CK376" s="658"/>
      <c r="CL376" s="658"/>
      <c r="CM376" s="658"/>
      <c r="CN376" s="658"/>
      <c r="CO376" s="658"/>
      <c r="CP376" s="658"/>
      <c r="CQ376" s="658"/>
      <c r="CR376" s="658"/>
      <c r="CS376" s="658"/>
      <c r="CT376" s="658"/>
      <c r="CU376" s="658"/>
      <c r="CV376" s="658"/>
      <c r="CW376" s="658"/>
      <c r="CX376" s="658"/>
      <c r="CY376" s="658"/>
      <c r="CZ376" s="658"/>
      <c r="DA376" s="658"/>
      <c r="DB376" s="658"/>
      <c r="DC376" s="658"/>
      <c r="DD376" s="658"/>
      <c r="DE376" s="658"/>
      <c r="DF376" s="658"/>
      <c r="DG376" s="658"/>
      <c r="DH376" s="658"/>
      <c r="DI376" s="658"/>
      <c r="DJ376" s="658"/>
      <c r="DK376" s="658"/>
      <c r="DL376" s="658"/>
      <c r="DM376" s="658"/>
      <c r="DN376" s="658"/>
      <c r="DO376" s="177">
        <f>IF(M376="",0,-XNPV(DP376,S376,S$375)*(1+DP376)^YEARFRAC($S$375,$DO$375,3))</f>
        <v>0</v>
      </c>
      <c r="DP376" s="612" t="e">
        <f>IF(HLOOKUP(L376,$C$383:$E$384,2,0)=0,1E-24%,HLOOKUP(L376,$C$383:$E$384,2,FALSE))</f>
        <v>#N/A</v>
      </c>
      <c r="DQ376" s="612" t="e">
        <f t="shared" ref="DQ376:DQ383" si="2729">XIRR(S376:DO376,$S$375:$DO$375)</f>
        <v>#NUM!</v>
      </c>
      <c r="DR376" s="177"/>
      <c r="DS376" s="177"/>
      <c r="DT376" s="177"/>
      <c r="DU376" s="177"/>
      <c r="DV376" s="177"/>
      <c r="DW376" s="177"/>
      <c r="DX376" s="177"/>
      <c r="DY376" s="177"/>
      <c r="DZ376" s="177"/>
      <c r="EA376" s="613"/>
    </row>
    <row r="377" spans="1:131" ht="13.5">
      <c r="A377" s="652" t="str">
        <f t="shared" si="2725"/>
        <v>출자잔액</v>
      </c>
      <c r="B377" s="653" t="s">
        <v>352</v>
      </c>
      <c r="C377" s="782"/>
      <c r="D377" s="782"/>
      <c r="E377" s="782"/>
      <c r="F377" s="230"/>
      <c r="G377" s="230"/>
      <c r="I377" s="657">
        <f t="shared" ref="I377:I383" si="2730">SUM(DR377:EA377)</f>
        <v>0</v>
      </c>
      <c r="J377" s="606" t="str">
        <f t="shared" ref="J377:J383" si="2731">IFERROR(I377/(Q377/$C$378),"N/A")</f>
        <v>N/A</v>
      </c>
      <c r="K377" s="471"/>
      <c r="L377" s="607"/>
      <c r="M377" s="300"/>
      <c r="N377" s="608"/>
      <c r="O377" s="609">
        <f t="shared" si="2726"/>
        <v>0</v>
      </c>
      <c r="P377" s="609">
        <f t="shared" si="2727"/>
        <v>0</v>
      </c>
      <c r="Q377" s="609">
        <f t="shared" si="2728"/>
        <v>0</v>
      </c>
      <c r="R377" s="610" t="str">
        <f>IFERROR(Q377/Q384,"")</f>
        <v/>
      </c>
      <c r="S377" s="658"/>
      <c r="T377" s="658"/>
      <c r="U377" s="658"/>
      <c r="V377" s="658"/>
      <c r="W377" s="658"/>
      <c r="X377" s="658"/>
      <c r="Y377" s="658"/>
      <c r="Z377" s="658"/>
      <c r="AA377" s="658"/>
      <c r="AB377" s="658"/>
      <c r="AC377" s="658"/>
      <c r="AD377" s="658"/>
      <c r="AE377" s="658"/>
      <c r="AF377" s="658"/>
      <c r="AG377" s="658"/>
      <c r="AH377" s="658"/>
      <c r="AI377" s="658"/>
      <c r="AJ377" s="658"/>
      <c r="AK377" s="658"/>
      <c r="AL377" s="658"/>
      <c r="AM377" s="658"/>
      <c r="AN377" s="658"/>
      <c r="AO377" s="658"/>
      <c r="AP377" s="658"/>
      <c r="AQ377" s="658"/>
      <c r="AR377" s="658"/>
      <c r="AS377" s="658"/>
      <c r="AT377" s="658"/>
      <c r="AU377" s="658"/>
      <c r="AV377" s="658"/>
      <c r="AW377" s="658"/>
      <c r="AX377" s="658"/>
      <c r="AY377" s="658"/>
      <c r="AZ377" s="658"/>
      <c r="BA377" s="658"/>
      <c r="BB377" s="658"/>
      <c r="BC377" s="658"/>
      <c r="BD377" s="658"/>
      <c r="BE377" s="658"/>
      <c r="BF377" s="658"/>
      <c r="BG377" s="658"/>
      <c r="BH377" s="658"/>
      <c r="BI377" s="658"/>
      <c r="BJ377" s="658"/>
      <c r="BK377" s="658"/>
      <c r="BL377" s="658"/>
      <c r="BM377" s="658"/>
      <c r="BN377" s="658"/>
      <c r="BO377" s="658"/>
      <c r="BP377" s="658"/>
      <c r="BQ377" s="658"/>
      <c r="BR377" s="658"/>
      <c r="BS377" s="658"/>
      <c r="BT377" s="658"/>
      <c r="BU377" s="658"/>
      <c r="BV377" s="658"/>
      <c r="BW377" s="658"/>
      <c r="BX377" s="658"/>
      <c r="BY377" s="658"/>
      <c r="BZ377" s="658"/>
      <c r="CA377" s="658"/>
      <c r="CB377" s="658"/>
      <c r="CC377" s="658"/>
      <c r="CD377" s="658"/>
      <c r="CE377" s="658"/>
      <c r="CF377" s="658"/>
      <c r="CG377" s="658"/>
      <c r="CH377" s="658"/>
      <c r="CI377" s="658"/>
      <c r="CJ377" s="658"/>
      <c r="CK377" s="658"/>
      <c r="CL377" s="658"/>
      <c r="CM377" s="658"/>
      <c r="CN377" s="658"/>
      <c r="CO377" s="658"/>
      <c r="CP377" s="658"/>
      <c r="CQ377" s="658"/>
      <c r="CR377" s="658"/>
      <c r="CS377" s="658"/>
      <c r="CT377" s="658"/>
      <c r="CU377" s="658"/>
      <c r="CV377" s="658"/>
      <c r="CW377" s="658"/>
      <c r="CX377" s="658"/>
      <c r="CY377" s="658"/>
      <c r="CZ377" s="658"/>
      <c r="DA377" s="658"/>
      <c r="DB377" s="658"/>
      <c r="DC377" s="658"/>
      <c r="DD377" s="658"/>
      <c r="DE377" s="658"/>
      <c r="DF377" s="658"/>
      <c r="DG377" s="658"/>
      <c r="DH377" s="658"/>
      <c r="DI377" s="658"/>
      <c r="DJ377" s="658"/>
      <c r="DK377" s="658"/>
      <c r="DL377" s="658"/>
      <c r="DM377" s="658"/>
      <c r="DN377" s="658"/>
      <c r="DO377" s="177">
        <f t="shared" ref="DO377:DO383" si="2732">IF(M377="",0,-XNPV(DP377,S377,S$375)*(1+DP377)^YEARFRAC($S$375,$DO$375,3))</f>
        <v>0</v>
      </c>
      <c r="DP377" s="612" t="e">
        <f t="shared" ref="DP377:DP383" si="2733">IF(HLOOKUP(L377,$C$383:$E$384,2,0)=0,1E-24%,HLOOKUP(L377,$C$383:$E$384,2,FALSE))</f>
        <v>#N/A</v>
      </c>
      <c r="DQ377" s="612" t="e">
        <f t="shared" si="2729"/>
        <v>#NUM!</v>
      </c>
      <c r="DR377" s="177"/>
      <c r="DS377" s="177"/>
      <c r="DT377" s="177"/>
      <c r="DU377" s="177"/>
      <c r="DV377" s="177"/>
      <c r="DW377" s="177"/>
      <c r="DX377" s="177"/>
      <c r="DY377" s="177"/>
      <c r="DZ377" s="177"/>
      <c r="EA377" s="613"/>
    </row>
    <row r="378" spans="1:131" ht="13.5">
      <c r="A378" s="652" t="str">
        <f t="shared" si="2725"/>
        <v>1좌당 금액</v>
      </c>
      <c r="B378" s="653" t="s">
        <v>353</v>
      </c>
      <c r="C378" s="783"/>
      <c r="D378" s="783"/>
      <c r="E378" s="783"/>
      <c r="F378" s="230"/>
      <c r="G378" s="230"/>
      <c r="I378" s="657">
        <f t="shared" si="2730"/>
        <v>0</v>
      </c>
      <c r="J378" s="606" t="str">
        <f t="shared" si="2731"/>
        <v>N/A</v>
      </c>
      <c r="K378" s="471"/>
      <c r="L378" s="607"/>
      <c r="M378" s="300"/>
      <c r="N378" s="608"/>
      <c r="O378" s="609">
        <f t="shared" si="2726"/>
        <v>0</v>
      </c>
      <c r="P378" s="609">
        <f t="shared" si="2727"/>
        <v>0</v>
      </c>
      <c r="Q378" s="609">
        <f t="shared" si="2728"/>
        <v>0</v>
      </c>
      <c r="R378" s="610" t="str">
        <f>IFERROR(Q378/Q384,"")</f>
        <v/>
      </c>
      <c r="S378" s="658"/>
      <c r="T378" s="658"/>
      <c r="U378" s="658"/>
      <c r="V378" s="658"/>
      <c r="W378" s="658"/>
      <c r="X378" s="658"/>
      <c r="Y378" s="658"/>
      <c r="Z378" s="658"/>
      <c r="AA378" s="658"/>
      <c r="AB378" s="658"/>
      <c r="AC378" s="658"/>
      <c r="AD378" s="658"/>
      <c r="AE378" s="658"/>
      <c r="AF378" s="658"/>
      <c r="AG378" s="658"/>
      <c r="AH378" s="658"/>
      <c r="AI378" s="658"/>
      <c r="AJ378" s="658"/>
      <c r="AK378" s="658"/>
      <c r="AL378" s="658"/>
      <c r="AM378" s="658"/>
      <c r="AN378" s="658"/>
      <c r="AO378" s="658"/>
      <c r="AP378" s="658"/>
      <c r="AQ378" s="658"/>
      <c r="AR378" s="658"/>
      <c r="AS378" s="658"/>
      <c r="AT378" s="658"/>
      <c r="AU378" s="658"/>
      <c r="AV378" s="658"/>
      <c r="AW378" s="658"/>
      <c r="AX378" s="658"/>
      <c r="AY378" s="658"/>
      <c r="AZ378" s="658"/>
      <c r="BA378" s="658"/>
      <c r="BB378" s="658"/>
      <c r="BC378" s="658"/>
      <c r="BD378" s="658"/>
      <c r="BE378" s="658"/>
      <c r="BF378" s="658"/>
      <c r="BG378" s="658"/>
      <c r="BH378" s="658"/>
      <c r="BI378" s="658"/>
      <c r="BJ378" s="658"/>
      <c r="BK378" s="658"/>
      <c r="BL378" s="658"/>
      <c r="BM378" s="658"/>
      <c r="BN378" s="658"/>
      <c r="BO378" s="658"/>
      <c r="BP378" s="658"/>
      <c r="BQ378" s="658"/>
      <c r="BR378" s="658"/>
      <c r="BS378" s="658"/>
      <c r="BT378" s="658"/>
      <c r="BU378" s="658"/>
      <c r="BV378" s="658"/>
      <c r="BW378" s="658"/>
      <c r="BX378" s="658"/>
      <c r="BY378" s="658"/>
      <c r="BZ378" s="658"/>
      <c r="CA378" s="658"/>
      <c r="CB378" s="658"/>
      <c r="CC378" s="658"/>
      <c r="CD378" s="658"/>
      <c r="CE378" s="658"/>
      <c r="CF378" s="658"/>
      <c r="CG378" s="658"/>
      <c r="CH378" s="658"/>
      <c r="CI378" s="658"/>
      <c r="CJ378" s="658"/>
      <c r="CK378" s="658"/>
      <c r="CL378" s="658"/>
      <c r="CM378" s="658"/>
      <c r="CN378" s="658"/>
      <c r="CO378" s="658"/>
      <c r="CP378" s="658"/>
      <c r="CQ378" s="658"/>
      <c r="CR378" s="658"/>
      <c r="CS378" s="658"/>
      <c r="CT378" s="658"/>
      <c r="CU378" s="658"/>
      <c r="CV378" s="658"/>
      <c r="CW378" s="658"/>
      <c r="CX378" s="658"/>
      <c r="CY378" s="658"/>
      <c r="CZ378" s="658"/>
      <c r="DA378" s="658"/>
      <c r="DB378" s="658"/>
      <c r="DC378" s="658"/>
      <c r="DD378" s="658"/>
      <c r="DE378" s="658"/>
      <c r="DF378" s="658"/>
      <c r="DG378" s="658"/>
      <c r="DH378" s="658"/>
      <c r="DI378" s="658"/>
      <c r="DJ378" s="658"/>
      <c r="DK378" s="658"/>
      <c r="DL378" s="658"/>
      <c r="DM378" s="658"/>
      <c r="DN378" s="658"/>
      <c r="DO378" s="177">
        <f t="shared" si="2732"/>
        <v>0</v>
      </c>
      <c r="DP378" s="612" t="e">
        <f t="shared" si="2733"/>
        <v>#N/A</v>
      </c>
      <c r="DQ378" s="612" t="e">
        <f t="shared" si="2729"/>
        <v>#NUM!</v>
      </c>
      <c r="DR378" s="177"/>
      <c r="DS378" s="177"/>
      <c r="DT378" s="177"/>
      <c r="DU378" s="177"/>
      <c r="DV378" s="177"/>
      <c r="DW378" s="177"/>
      <c r="DX378" s="177"/>
      <c r="DY378" s="177"/>
      <c r="DZ378" s="177"/>
      <c r="EA378" s="613"/>
    </row>
    <row r="379" spans="1:131" ht="13.5">
      <c r="A379" s="652" t="str">
        <f t="shared" si="2725"/>
        <v>기준수익률</v>
      </c>
      <c r="B379" s="653" t="s">
        <v>354</v>
      </c>
      <c r="C379" s="784"/>
      <c r="D379" s="785"/>
      <c r="E379" s="785"/>
      <c r="F379" s="230"/>
      <c r="G379" s="230"/>
      <c r="I379" s="657">
        <f t="shared" si="2730"/>
        <v>0</v>
      </c>
      <c r="J379" s="606" t="str">
        <f t="shared" si="2731"/>
        <v>N/A</v>
      </c>
      <c r="K379" s="471"/>
      <c r="L379" s="607"/>
      <c r="M379" s="300"/>
      <c r="N379" s="608"/>
      <c r="O379" s="609">
        <f t="shared" si="2726"/>
        <v>0</v>
      </c>
      <c r="P379" s="609">
        <f t="shared" si="2727"/>
        <v>0</v>
      </c>
      <c r="Q379" s="609">
        <f t="shared" si="2728"/>
        <v>0</v>
      </c>
      <c r="R379" s="610" t="str">
        <f>IFERROR(Q379/Q384,"")</f>
        <v/>
      </c>
      <c r="S379" s="658"/>
      <c r="T379" s="658"/>
      <c r="U379" s="658"/>
      <c r="V379" s="658"/>
      <c r="W379" s="658"/>
      <c r="X379" s="658"/>
      <c r="Y379" s="658"/>
      <c r="Z379" s="658"/>
      <c r="AA379" s="658"/>
      <c r="AB379" s="658"/>
      <c r="AC379" s="658"/>
      <c r="AD379" s="658"/>
      <c r="AE379" s="658"/>
      <c r="AF379" s="658"/>
      <c r="AG379" s="658"/>
      <c r="AH379" s="658"/>
      <c r="AI379" s="658"/>
      <c r="AJ379" s="658"/>
      <c r="AK379" s="658"/>
      <c r="AL379" s="658"/>
      <c r="AM379" s="658"/>
      <c r="AN379" s="658"/>
      <c r="AO379" s="658"/>
      <c r="AP379" s="658"/>
      <c r="AQ379" s="658"/>
      <c r="AR379" s="658"/>
      <c r="AS379" s="658"/>
      <c r="AT379" s="658"/>
      <c r="AU379" s="658"/>
      <c r="AV379" s="658"/>
      <c r="AW379" s="658"/>
      <c r="AX379" s="658"/>
      <c r="AY379" s="658"/>
      <c r="AZ379" s="658"/>
      <c r="BA379" s="658"/>
      <c r="BB379" s="658"/>
      <c r="BC379" s="658"/>
      <c r="BD379" s="658"/>
      <c r="BE379" s="658"/>
      <c r="BF379" s="658"/>
      <c r="BG379" s="658"/>
      <c r="BH379" s="658"/>
      <c r="BI379" s="658"/>
      <c r="BJ379" s="658"/>
      <c r="BK379" s="658"/>
      <c r="BL379" s="658"/>
      <c r="BM379" s="658"/>
      <c r="BN379" s="658"/>
      <c r="BO379" s="658"/>
      <c r="BP379" s="658"/>
      <c r="BQ379" s="658"/>
      <c r="BR379" s="658"/>
      <c r="BS379" s="658"/>
      <c r="BT379" s="658"/>
      <c r="BU379" s="658"/>
      <c r="BV379" s="658"/>
      <c r="BW379" s="658"/>
      <c r="BX379" s="658"/>
      <c r="BY379" s="658"/>
      <c r="BZ379" s="658"/>
      <c r="CA379" s="658"/>
      <c r="CB379" s="658"/>
      <c r="CC379" s="658"/>
      <c r="CD379" s="658"/>
      <c r="CE379" s="658"/>
      <c r="CF379" s="658"/>
      <c r="CG379" s="658"/>
      <c r="CH379" s="658"/>
      <c r="CI379" s="658"/>
      <c r="CJ379" s="658"/>
      <c r="CK379" s="658"/>
      <c r="CL379" s="658"/>
      <c r="CM379" s="658"/>
      <c r="CN379" s="658"/>
      <c r="CO379" s="658"/>
      <c r="CP379" s="658"/>
      <c r="CQ379" s="658"/>
      <c r="CR379" s="658"/>
      <c r="CS379" s="658"/>
      <c r="CT379" s="658"/>
      <c r="CU379" s="658"/>
      <c r="CV379" s="658"/>
      <c r="CW379" s="658"/>
      <c r="CX379" s="658"/>
      <c r="CY379" s="658"/>
      <c r="CZ379" s="658"/>
      <c r="DA379" s="658"/>
      <c r="DB379" s="658"/>
      <c r="DC379" s="658"/>
      <c r="DD379" s="658"/>
      <c r="DE379" s="658"/>
      <c r="DF379" s="658"/>
      <c r="DG379" s="658"/>
      <c r="DH379" s="658"/>
      <c r="DI379" s="658"/>
      <c r="DJ379" s="658"/>
      <c r="DK379" s="658"/>
      <c r="DL379" s="658"/>
      <c r="DM379" s="658"/>
      <c r="DN379" s="658"/>
      <c r="DO379" s="177">
        <f t="shared" si="2732"/>
        <v>0</v>
      </c>
      <c r="DP379" s="612" t="e">
        <f t="shared" si="2733"/>
        <v>#N/A</v>
      </c>
      <c r="DQ379" s="612" t="e">
        <f t="shared" si="2729"/>
        <v>#NUM!</v>
      </c>
      <c r="DR379" s="177"/>
      <c r="DS379" s="177"/>
      <c r="DT379" s="177"/>
      <c r="DU379" s="177"/>
      <c r="DV379" s="177"/>
      <c r="DW379" s="177"/>
      <c r="DX379" s="177"/>
      <c r="DY379" s="177"/>
      <c r="DZ379" s="177"/>
      <c r="EA379" s="613"/>
    </row>
    <row r="380" spans="1:131" ht="13.5">
      <c r="A380" s="652" t="str">
        <f t="shared" si="2725"/>
        <v>평가방법론</v>
      </c>
      <c r="B380" s="653" t="s">
        <v>7</v>
      </c>
      <c r="C380" s="786"/>
      <c r="D380" s="786"/>
      <c r="E380" s="786"/>
      <c r="F380" s="230"/>
      <c r="G380" s="230"/>
      <c r="I380" s="657">
        <f t="shared" si="2730"/>
        <v>0</v>
      </c>
      <c r="J380" s="606" t="str">
        <f t="shared" si="2731"/>
        <v>N/A</v>
      </c>
      <c r="K380" s="471"/>
      <c r="L380" s="607"/>
      <c r="M380" s="300"/>
      <c r="N380" s="608"/>
      <c r="O380" s="609">
        <f t="shared" si="2726"/>
        <v>0</v>
      </c>
      <c r="P380" s="609">
        <f t="shared" si="2727"/>
        <v>0</v>
      </c>
      <c r="Q380" s="609">
        <f t="shared" si="2728"/>
        <v>0</v>
      </c>
      <c r="R380" s="610" t="str">
        <f>IFERROR(Q380/Q384,"")</f>
        <v/>
      </c>
      <c r="S380" s="658"/>
      <c r="T380" s="658"/>
      <c r="U380" s="658"/>
      <c r="V380" s="658"/>
      <c r="W380" s="658"/>
      <c r="X380" s="658"/>
      <c r="Y380" s="658"/>
      <c r="Z380" s="658"/>
      <c r="AA380" s="658"/>
      <c r="AB380" s="658"/>
      <c r="AC380" s="658"/>
      <c r="AD380" s="658"/>
      <c r="AE380" s="658"/>
      <c r="AF380" s="658"/>
      <c r="AG380" s="658"/>
      <c r="AH380" s="658"/>
      <c r="AI380" s="658"/>
      <c r="AJ380" s="658"/>
      <c r="AK380" s="658"/>
      <c r="AL380" s="658"/>
      <c r="AM380" s="658"/>
      <c r="AN380" s="658"/>
      <c r="AO380" s="658"/>
      <c r="AP380" s="658"/>
      <c r="AQ380" s="658"/>
      <c r="AR380" s="658"/>
      <c r="AS380" s="658"/>
      <c r="AT380" s="658"/>
      <c r="AU380" s="658"/>
      <c r="AV380" s="658"/>
      <c r="AW380" s="658"/>
      <c r="AX380" s="658"/>
      <c r="AY380" s="658"/>
      <c r="AZ380" s="658"/>
      <c r="BA380" s="658"/>
      <c r="BB380" s="658"/>
      <c r="BC380" s="658"/>
      <c r="BD380" s="658"/>
      <c r="BE380" s="658"/>
      <c r="BF380" s="658"/>
      <c r="BG380" s="658"/>
      <c r="BH380" s="658"/>
      <c r="BI380" s="658"/>
      <c r="BJ380" s="658"/>
      <c r="BK380" s="658"/>
      <c r="BL380" s="658"/>
      <c r="BM380" s="658"/>
      <c r="BN380" s="658"/>
      <c r="BO380" s="658"/>
      <c r="BP380" s="658"/>
      <c r="BQ380" s="658"/>
      <c r="BR380" s="658"/>
      <c r="BS380" s="658"/>
      <c r="BT380" s="658"/>
      <c r="BU380" s="658"/>
      <c r="BV380" s="658"/>
      <c r="BW380" s="658"/>
      <c r="BX380" s="658"/>
      <c r="BY380" s="658"/>
      <c r="BZ380" s="658"/>
      <c r="CA380" s="658"/>
      <c r="CB380" s="658"/>
      <c r="CC380" s="658"/>
      <c r="CD380" s="658"/>
      <c r="CE380" s="658"/>
      <c r="CF380" s="658"/>
      <c r="CG380" s="658"/>
      <c r="CH380" s="658"/>
      <c r="CI380" s="658"/>
      <c r="CJ380" s="658"/>
      <c r="CK380" s="658"/>
      <c r="CL380" s="658"/>
      <c r="CM380" s="658"/>
      <c r="CN380" s="658"/>
      <c r="CO380" s="658"/>
      <c r="CP380" s="658"/>
      <c r="CQ380" s="658"/>
      <c r="CR380" s="658"/>
      <c r="CS380" s="658"/>
      <c r="CT380" s="658"/>
      <c r="CU380" s="658"/>
      <c r="CV380" s="658"/>
      <c r="CW380" s="658"/>
      <c r="CX380" s="658"/>
      <c r="CY380" s="658"/>
      <c r="CZ380" s="658"/>
      <c r="DA380" s="658"/>
      <c r="DB380" s="658"/>
      <c r="DC380" s="658"/>
      <c r="DD380" s="658"/>
      <c r="DE380" s="658"/>
      <c r="DF380" s="658"/>
      <c r="DG380" s="658"/>
      <c r="DH380" s="658"/>
      <c r="DI380" s="658"/>
      <c r="DJ380" s="658"/>
      <c r="DK380" s="658"/>
      <c r="DL380" s="658"/>
      <c r="DM380" s="658"/>
      <c r="DN380" s="658"/>
      <c r="DO380" s="177">
        <f t="shared" si="2732"/>
        <v>0</v>
      </c>
      <c r="DP380" s="612" t="e">
        <f t="shared" si="2733"/>
        <v>#N/A</v>
      </c>
      <c r="DQ380" s="612" t="e">
        <f t="shared" si="2729"/>
        <v>#NUM!</v>
      </c>
      <c r="DR380" s="177"/>
      <c r="DS380" s="177"/>
      <c r="DT380" s="177"/>
      <c r="DU380" s="177"/>
      <c r="DV380" s="177"/>
      <c r="DW380" s="177"/>
      <c r="DX380" s="177"/>
      <c r="DY380" s="177"/>
      <c r="DZ380" s="177"/>
      <c r="EA380" s="613"/>
    </row>
    <row r="381" spans="1:131" ht="13.5">
      <c r="A381" s="652" t="str">
        <f t="shared" si="2725"/>
        <v>분배 조항 여부</v>
      </c>
      <c r="B381" s="653" t="s">
        <v>355</v>
      </c>
      <c r="C381" s="786"/>
      <c r="D381" s="786"/>
      <c r="E381" s="786"/>
      <c r="F381" s="230"/>
      <c r="G381" s="230"/>
      <c r="I381" s="657">
        <f t="shared" si="2730"/>
        <v>0</v>
      </c>
      <c r="J381" s="606" t="str">
        <f t="shared" si="2731"/>
        <v>N/A</v>
      </c>
      <c r="K381" s="471"/>
      <c r="L381" s="607"/>
      <c r="M381" s="300"/>
      <c r="N381" s="608"/>
      <c r="O381" s="609">
        <f t="shared" si="2726"/>
        <v>0</v>
      </c>
      <c r="P381" s="609">
        <f t="shared" si="2727"/>
        <v>0</v>
      </c>
      <c r="Q381" s="609">
        <f t="shared" si="2728"/>
        <v>0</v>
      </c>
      <c r="R381" s="610" t="str">
        <f>IFERROR(Q381/Q384,"")</f>
        <v/>
      </c>
      <c r="S381" s="658"/>
      <c r="T381" s="658"/>
      <c r="U381" s="658"/>
      <c r="V381" s="658"/>
      <c r="W381" s="658"/>
      <c r="X381" s="658"/>
      <c r="Y381" s="658"/>
      <c r="Z381" s="658"/>
      <c r="AA381" s="658"/>
      <c r="AB381" s="658"/>
      <c r="AC381" s="658"/>
      <c r="AD381" s="658"/>
      <c r="AE381" s="658"/>
      <c r="AF381" s="658"/>
      <c r="AG381" s="658"/>
      <c r="AH381" s="658"/>
      <c r="AI381" s="658"/>
      <c r="AJ381" s="658"/>
      <c r="AK381" s="658"/>
      <c r="AL381" s="658"/>
      <c r="AM381" s="658"/>
      <c r="AN381" s="658"/>
      <c r="AO381" s="658"/>
      <c r="AP381" s="658"/>
      <c r="AQ381" s="658"/>
      <c r="AR381" s="658"/>
      <c r="AS381" s="658"/>
      <c r="AT381" s="658"/>
      <c r="AU381" s="658"/>
      <c r="AV381" s="658"/>
      <c r="AW381" s="658"/>
      <c r="AX381" s="658"/>
      <c r="AY381" s="658"/>
      <c r="AZ381" s="658"/>
      <c r="BA381" s="658"/>
      <c r="BB381" s="658"/>
      <c r="BC381" s="658"/>
      <c r="BD381" s="658"/>
      <c r="BE381" s="658"/>
      <c r="BF381" s="658"/>
      <c r="BG381" s="658"/>
      <c r="BH381" s="658"/>
      <c r="BI381" s="658"/>
      <c r="BJ381" s="658"/>
      <c r="BK381" s="658"/>
      <c r="BL381" s="658"/>
      <c r="BM381" s="658"/>
      <c r="BN381" s="658"/>
      <c r="BO381" s="658"/>
      <c r="BP381" s="658"/>
      <c r="BQ381" s="658"/>
      <c r="BR381" s="658"/>
      <c r="BS381" s="658"/>
      <c r="BT381" s="658"/>
      <c r="BU381" s="658"/>
      <c r="BV381" s="658"/>
      <c r="BW381" s="658"/>
      <c r="BX381" s="658"/>
      <c r="BY381" s="658"/>
      <c r="BZ381" s="658"/>
      <c r="CA381" s="658"/>
      <c r="CB381" s="658"/>
      <c r="CC381" s="658"/>
      <c r="CD381" s="658"/>
      <c r="CE381" s="658"/>
      <c r="CF381" s="658"/>
      <c r="CG381" s="658"/>
      <c r="CH381" s="658"/>
      <c r="CI381" s="658"/>
      <c r="CJ381" s="658"/>
      <c r="CK381" s="658"/>
      <c r="CL381" s="658"/>
      <c r="CM381" s="658"/>
      <c r="CN381" s="658"/>
      <c r="CO381" s="658"/>
      <c r="CP381" s="658"/>
      <c r="CQ381" s="658"/>
      <c r="CR381" s="658"/>
      <c r="CS381" s="658"/>
      <c r="CT381" s="658"/>
      <c r="CU381" s="658"/>
      <c r="CV381" s="658"/>
      <c r="CW381" s="658"/>
      <c r="CX381" s="658"/>
      <c r="CY381" s="658"/>
      <c r="CZ381" s="658"/>
      <c r="DA381" s="658"/>
      <c r="DB381" s="658"/>
      <c r="DC381" s="658"/>
      <c r="DD381" s="658"/>
      <c r="DE381" s="658"/>
      <c r="DF381" s="658"/>
      <c r="DG381" s="658"/>
      <c r="DH381" s="658"/>
      <c r="DI381" s="658"/>
      <c r="DJ381" s="658"/>
      <c r="DK381" s="658"/>
      <c r="DL381" s="658"/>
      <c r="DM381" s="658"/>
      <c r="DN381" s="658"/>
      <c r="DO381" s="177">
        <f t="shared" si="2732"/>
        <v>0</v>
      </c>
      <c r="DP381" s="612" t="e">
        <f t="shared" si="2733"/>
        <v>#N/A</v>
      </c>
      <c r="DQ381" s="612" t="e">
        <f t="shared" si="2729"/>
        <v>#NUM!</v>
      </c>
      <c r="DR381" s="177"/>
      <c r="DS381" s="177"/>
      <c r="DT381" s="177"/>
      <c r="DU381" s="177"/>
      <c r="DV381" s="177"/>
      <c r="DW381" s="177"/>
      <c r="DX381" s="177"/>
      <c r="DY381" s="177"/>
      <c r="DZ381" s="177"/>
      <c r="EA381" s="613"/>
    </row>
    <row r="382" spans="1:131" ht="14.25" thickBot="1">
      <c r="A382" s="652" t="str">
        <f t="shared" si="2725"/>
        <v>모펀드 출자 지분율</v>
      </c>
      <c r="B382" s="660" t="s">
        <v>356</v>
      </c>
      <c r="C382" s="787"/>
      <c r="D382" s="787"/>
      <c r="E382" s="787"/>
      <c r="F382" s="230"/>
      <c r="G382" s="230"/>
      <c r="I382" s="657">
        <f t="shared" si="2730"/>
        <v>0</v>
      </c>
      <c r="J382" s="606" t="str">
        <f t="shared" si="2731"/>
        <v>N/A</v>
      </c>
      <c r="K382" s="471"/>
      <c r="L382" s="607"/>
      <c r="M382" s="300"/>
      <c r="N382" s="608"/>
      <c r="O382" s="609">
        <f t="shared" si="2726"/>
        <v>0</v>
      </c>
      <c r="P382" s="609">
        <f t="shared" si="2727"/>
        <v>0</v>
      </c>
      <c r="Q382" s="609">
        <f t="shared" si="2728"/>
        <v>0</v>
      </c>
      <c r="R382" s="610" t="str">
        <f>IFERROR(Q382/Q384,"")</f>
        <v/>
      </c>
      <c r="S382" s="658"/>
      <c r="T382" s="658"/>
      <c r="U382" s="658"/>
      <c r="V382" s="658"/>
      <c r="W382" s="658"/>
      <c r="X382" s="658"/>
      <c r="Y382" s="658"/>
      <c r="Z382" s="658"/>
      <c r="AA382" s="658"/>
      <c r="AB382" s="658"/>
      <c r="AC382" s="658"/>
      <c r="AD382" s="658"/>
      <c r="AE382" s="658"/>
      <c r="AF382" s="658"/>
      <c r="AG382" s="658"/>
      <c r="AH382" s="658"/>
      <c r="AI382" s="658"/>
      <c r="AJ382" s="658"/>
      <c r="AK382" s="658"/>
      <c r="AL382" s="658"/>
      <c r="AM382" s="658"/>
      <c r="AN382" s="658"/>
      <c r="AO382" s="658"/>
      <c r="AP382" s="658"/>
      <c r="AQ382" s="658"/>
      <c r="AR382" s="658"/>
      <c r="AS382" s="658"/>
      <c r="AT382" s="658"/>
      <c r="AU382" s="658"/>
      <c r="AV382" s="658"/>
      <c r="AW382" s="658"/>
      <c r="AX382" s="658"/>
      <c r="AY382" s="658"/>
      <c r="AZ382" s="658"/>
      <c r="BA382" s="658"/>
      <c r="BB382" s="658"/>
      <c r="BC382" s="658"/>
      <c r="BD382" s="658"/>
      <c r="BE382" s="658"/>
      <c r="BF382" s="658"/>
      <c r="BG382" s="658"/>
      <c r="BH382" s="658"/>
      <c r="BI382" s="658"/>
      <c r="BJ382" s="658"/>
      <c r="BK382" s="658"/>
      <c r="BL382" s="658"/>
      <c r="BM382" s="658"/>
      <c r="BN382" s="658"/>
      <c r="BO382" s="658"/>
      <c r="BP382" s="658"/>
      <c r="BQ382" s="658"/>
      <c r="BR382" s="658"/>
      <c r="BS382" s="658"/>
      <c r="BT382" s="658"/>
      <c r="BU382" s="658"/>
      <c r="BV382" s="658"/>
      <c r="BW382" s="658"/>
      <c r="BX382" s="658"/>
      <c r="BY382" s="658"/>
      <c r="BZ382" s="658"/>
      <c r="CA382" s="658"/>
      <c r="CB382" s="658"/>
      <c r="CC382" s="658"/>
      <c r="CD382" s="658"/>
      <c r="CE382" s="658"/>
      <c r="CF382" s="658"/>
      <c r="CG382" s="658"/>
      <c r="CH382" s="658"/>
      <c r="CI382" s="658"/>
      <c r="CJ382" s="658"/>
      <c r="CK382" s="658"/>
      <c r="CL382" s="658"/>
      <c r="CM382" s="658"/>
      <c r="CN382" s="658"/>
      <c r="CO382" s="658"/>
      <c r="CP382" s="658"/>
      <c r="CQ382" s="658"/>
      <c r="CR382" s="658"/>
      <c r="CS382" s="658"/>
      <c r="CT382" s="658"/>
      <c r="CU382" s="658"/>
      <c r="CV382" s="658"/>
      <c r="CW382" s="658"/>
      <c r="CX382" s="658"/>
      <c r="CY382" s="658"/>
      <c r="CZ382" s="658"/>
      <c r="DA382" s="658"/>
      <c r="DB382" s="658"/>
      <c r="DC382" s="658"/>
      <c r="DD382" s="658"/>
      <c r="DE382" s="658"/>
      <c r="DF382" s="658"/>
      <c r="DG382" s="658"/>
      <c r="DH382" s="658"/>
      <c r="DI382" s="658"/>
      <c r="DJ382" s="658"/>
      <c r="DK382" s="658"/>
      <c r="DL382" s="658"/>
      <c r="DM382" s="658"/>
      <c r="DN382" s="658"/>
      <c r="DO382" s="177">
        <f t="shared" si="2732"/>
        <v>0</v>
      </c>
      <c r="DP382" s="612" t="e">
        <f t="shared" si="2733"/>
        <v>#N/A</v>
      </c>
      <c r="DQ382" s="612" t="e">
        <f t="shared" si="2729"/>
        <v>#NUM!</v>
      </c>
      <c r="DR382" s="177"/>
      <c r="DS382" s="177"/>
      <c r="DT382" s="177"/>
      <c r="DU382" s="177"/>
      <c r="DV382" s="177"/>
      <c r="DW382" s="177"/>
      <c r="DX382" s="177"/>
      <c r="DY382" s="177"/>
      <c r="DZ382" s="177"/>
      <c r="EA382" s="613"/>
    </row>
    <row r="383" spans="1:131" ht="14.25" thickBot="1">
      <c r="B383" s="778" t="s">
        <v>3404</v>
      </c>
      <c r="C383" s="616" t="s">
        <v>223</v>
      </c>
      <c r="D383" s="616" t="s">
        <v>224</v>
      </c>
      <c r="E383" s="616" t="s">
        <v>225</v>
      </c>
      <c r="F383" s="230"/>
      <c r="G383" s="230"/>
      <c r="I383" s="657">
        <f t="shared" si="2730"/>
        <v>0</v>
      </c>
      <c r="J383" s="606" t="str">
        <f t="shared" si="2731"/>
        <v>N/A</v>
      </c>
      <c r="K383" s="471"/>
      <c r="L383" s="607"/>
      <c r="M383" s="300"/>
      <c r="N383" s="608"/>
      <c r="O383" s="609">
        <f t="shared" si="2726"/>
        <v>0</v>
      </c>
      <c r="P383" s="609">
        <f t="shared" si="2727"/>
        <v>0</v>
      </c>
      <c r="Q383" s="609">
        <f t="shared" si="2728"/>
        <v>0</v>
      </c>
      <c r="R383" s="610" t="str">
        <f>IFERROR(Q383/Q384,"")</f>
        <v/>
      </c>
      <c r="S383" s="658"/>
      <c r="T383" s="658"/>
      <c r="U383" s="658"/>
      <c r="V383" s="658"/>
      <c r="W383" s="658"/>
      <c r="X383" s="658"/>
      <c r="Y383" s="658"/>
      <c r="Z383" s="658"/>
      <c r="AA383" s="658"/>
      <c r="AB383" s="658"/>
      <c r="AC383" s="658"/>
      <c r="AD383" s="658"/>
      <c r="AE383" s="658"/>
      <c r="AF383" s="658"/>
      <c r="AG383" s="658"/>
      <c r="AH383" s="658"/>
      <c r="AI383" s="658"/>
      <c r="AJ383" s="658"/>
      <c r="AK383" s="658"/>
      <c r="AL383" s="658"/>
      <c r="AM383" s="658"/>
      <c r="AN383" s="658"/>
      <c r="AO383" s="658"/>
      <c r="AP383" s="658"/>
      <c r="AQ383" s="658"/>
      <c r="AR383" s="658"/>
      <c r="AS383" s="658"/>
      <c r="AT383" s="658"/>
      <c r="AU383" s="658"/>
      <c r="AV383" s="658"/>
      <c r="AW383" s="658"/>
      <c r="AX383" s="658"/>
      <c r="AY383" s="658"/>
      <c r="AZ383" s="658"/>
      <c r="BA383" s="658"/>
      <c r="BB383" s="658"/>
      <c r="BC383" s="658"/>
      <c r="BD383" s="658"/>
      <c r="BE383" s="658"/>
      <c r="BF383" s="658"/>
      <c r="BG383" s="658"/>
      <c r="BH383" s="658"/>
      <c r="BI383" s="658"/>
      <c r="BJ383" s="658"/>
      <c r="BK383" s="658"/>
      <c r="BL383" s="658"/>
      <c r="BM383" s="658"/>
      <c r="BN383" s="658"/>
      <c r="BO383" s="658"/>
      <c r="BP383" s="658"/>
      <c r="BQ383" s="658"/>
      <c r="BR383" s="658"/>
      <c r="BS383" s="658"/>
      <c r="BT383" s="658"/>
      <c r="BU383" s="658"/>
      <c r="BV383" s="658"/>
      <c r="BW383" s="658"/>
      <c r="BX383" s="658"/>
      <c r="BY383" s="658"/>
      <c r="BZ383" s="658"/>
      <c r="CA383" s="658"/>
      <c r="CB383" s="658"/>
      <c r="CC383" s="658"/>
      <c r="CD383" s="658"/>
      <c r="CE383" s="658"/>
      <c r="CF383" s="658"/>
      <c r="CG383" s="658"/>
      <c r="CH383" s="658"/>
      <c r="CI383" s="658"/>
      <c r="CJ383" s="658"/>
      <c r="CK383" s="658"/>
      <c r="CL383" s="658"/>
      <c r="CM383" s="658"/>
      <c r="CN383" s="658"/>
      <c r="CO383" s="658"/>
      <c r="CP383" s="658"/>
      <c r="CQ383" s="658"/>
      <c r="CR383" s="658"/>
      <c r="CS383" s="658"/>
      <c r="CT383" s="658"/>
      <c r="CU383" s="658"/>
      <c r="CV383" s="658"/>
      <c r="CW383" s="658"/>
      <c r="CX383" s="658"/>
      <c r="CY383" s="658"/>
      <c r="CZ383" s="658"/>
      <c r="DA383" s="658"/>
      <c r="DB383" s="658"/>
      <c r="DC383" s="658"/>
      <c r="DD383" s="658"/>
      <c r="DE383" s="658"/>
      <c r="DF383" s="658"/>
      <c r="DG383" s="658"/>
      <c r="DH383" s="658"/>
      <c r="DI383" s="658"/>
      <c r="DJ383" s="658"/>
      <c r="DK383" s="658"/>
      <c r="DL383" s="658"/>
      <c r="DM383" s="658"/>
      <c r="DN383" s="658"/>
      <c r="DO383" s="177">
        <f t="shared" si="2732"/>
        <v>0</v>
      </c>
      <c r="DP383" s="612" t="e">
        <f t="shared" si="2733"/>
        <v>#N/A</v>
      </c>
      <c r="DQ383" s="612" t="e">
        <f t="shared" si="2729"/>
        <v>#NUM!</v>
      </c>
      <c r="DR383" s="177"/>
      <c r="DS383" s="177"/>
      <c r="DT383" s="177"/>
      <c r="DU383" s="177"/>
      <c r="DV383" s="177"/>
      <c r="DW383" s="177"/>
      <c r="DX383" s="177"/>
      <c r="DY383" s="177"/>
      <c r="DZ383" s="177"/>
      <c r="EA383" s="613"/>
    </row>
    <row r="384" spans="1:131" ht="14.25" thickBot="1">
      <c r="A384" s="317"/>
      <c r="B384" s="779"/>
      <c r="C384" s="661"/>
      <c r="D384" s="661"/>
      <c r="E384" s="661"/>
      <c r="F384" s="662"/>
      <c r="G384" s="662"/>
      <c r="H384" s="317"/>
      <c r="I384" s="634">
        <f>SUM(I376:I383)</f>
        <v>0</v>
      </c>
      <c r="J384" s="663"/>
      <c r="K384" s="664"/>
      <c r="L384" s="664"/>
      <c r="M384" s="664"/>
      <c r="N384" s="634">
        <f t="shared" ref="N384:R384" si="2734">SUM(N376:N383)</f>
        <v>0</v>
      </c>
      <c r="O384" s="634">
        <f t="shared" si="2734"/>
        <v>0</v>
      </c>
      <c r="P384" s="634">
        <f t="shared" si="2734"/>
        <v>0</v>
      </c>
      <c r="Q384" s="634">
        <f t="shared" si="2734"/>
        <v>0</v>
      </c>
      <c r="R384" s="665">
        <f t="shared" si="2734"/>
        <v>0</v>
      </c>
      <c r="S384" s="634">
        <f>SUM(S376:S383)</f>
        <v>0</v>
      </c>
      <c r="T384" s="634">
        <f t="shared" ref="T384" si="2735">SUM(T376:T383)</f>
        <v>0</v>
      </c>
      <c r="U384" s="634">
        <f t="shared" ref="U384" si="2736">SUM(U376:U383)</f>
        <v>0</v>
      </c>
      <c r="V384" s="634">
        <f t="shared" ref="V384" si="2737">SUM(V376:V383)</f>
        <v>0</v>
      </c>
      <c r="W384" s="634">
        <f t="shared" ref="W384" si="2738">SUM(W376:W383)</f>
        <v>0</v>
      </c>
      <c r="X384" s="634">
        <f t="shared" ref="X384" si="2739">SUM(X376:X383)</f>
        <v>0</v>
      </c>
      <c r="Y384" s="634">
        <f t="shared" ref="Y384" si="2740">SUM(Y376:Y383)</f>
        <v>0</v>
      </c>
      <c r="Z384" s="634">
        <f t="shared" ref="Z384" si="2741">SUM(Z376:Z383)</f>
        <v>0</v>
      </c>
      <c r="AA384" s="634">
        <f t="shared" ref="AA384" si="2742">SUM(AA376:AA383)</f>
        <v>0</v>
      </c>
      <c r="AB384" s="634">
        <f t="shared" ref="AB384" si="2743">SUM(AB376:AB383)</f>
        <v>0</v>
      </c>
      <c r="AC384" s="634">
        <f t="shared" ref="AC384" si="2744">SUM(AC376:AC383)</f>
        <v>0</v>
      </c>
      <c r="AD384" s="634">
        <f t="shared" ref="AD384" si="2745">SUM(AD376:AD383)</f>
        <v>0</v>
      </c>
      <c r="AE384" s="634">
        <f t="shared" ref="AE384" si="2746">SUM(AE376:AE383)</f>
        <v>0</v>
      </c>
      <c r="AF384" s="634">
        <f t="shared" ref="AF384" si="2747">SUM(AF376:AF383)</f>
        <v>0</v>
      </c>
      <c r="AG384" s="634">
        <f t="shared" ref="AG384" si="2748">SUM(AG376:AG383)</f>
        <v>0</v>
      </c>
      <c r="AH384" s="634">
        <f t="shared" ref="AH384" si="2749">SUM(AH376:AH383)</f>
        <v>0</v>
      </c>
      <c r="AI384" s="634">
        <f t="shared" ref="AI384" si="2750">SUM(AI376:AI383)</f>
        <v>0</v>
      </c>
      <c r="AJ384" s="634">
        <f t="shared" ref="AJ384" si="2751">SUM(AJ376:AJ383)</f>
        <v>0</v>
      </c>
      <c r="AK384" s="634">
        <f t="shared" ref="AK384" si="2752">SUM(AK376:AK383)</f>
        <v>0</v>
      </c>
      <c r="AL384" s="634">
        <f t="shared" ref="AL384" si="2753">SUM(AL376:AL383)</f>
        <v>0</v>
      </c>
      <c r="AM384" s="634">
        <f t="shared" ref="AM384" si="2754">SUM(AM376:AM383)</f>
        <v>0</v>
      </c>
      <c r="AN384" s="634">
        <f t="shared" ref="AN384" si="2755">SUM(AN376:AN383)</f>
        <v>0</v>
      </c>
      <c r="AO384" s="634">
        <f t="shared" ref="AO384" si="2756">SUM(AO376:AO383)</f>
        <v>0</v>
      </c>
      <c r="AP384" s="634">
        <f t="shared" ref="AP384" si="2757">SUM(AP376:AP383)</f>
        <v>0</v>
      </c>
      <c r="AQ384" s="634">
        <f t="shared" ref="AQ384" si="2758">SUM(AQ376:AQ383)</f>
        <v>0</v>
      </c>
      <c r="AR384" s="634">
        <f t="shared" ref="AR384" si="2759">SUM(AR376:AR383)</f>
        <v>0</v>
      </c>
      <c r="AS384" s="634">
        <f t="shared" ref="AS384" si="2760">SUM(AS376:AS383)</f>
        <v>0</v>
      </c>
      <c r="AT384" s="634">
        <f t="shared" ref="AT384" si="2761">SUM(AT376:AT383)</f>
        <v>0</v>
      </c>
      <c r="AU384" s="634">
        <f t="shared" ref="AU384" si="2762">SUM(AU376:AU383)</f>
        <v>0</v>
      </c>
      <c r="AV384" s="634">
        <f t="shared" ref="AV384" si="2763">SUM(AV376:AV383)</f>
        <v>0</v>
      </c>
      <c r="AW384" s="634">
        <f t="shared" ref="AW384" si="2764">SUM(AW376:AW383)</f>
        <v>0</v>
      </c>
      <c r="AX384" s="634">
        <f t="shared" ref="AX384" si="2765">SUM(AX376:AX383)</f>
        <v>0</v>
      </c>
      <c r="AY384" s="634">
        <f t="shared" ref="AY384" si="2766">SUM(AY376:AY383)</f>
        <v>0</v>
      </c>
      <c r="AZ384" s="634">
        <f t="shared" ref="AZ384" si="2767">SUM(AZ376:AZ383)</f>
        <v>0</v>
      </c>
      <c r="BA384" s="634">
        <f t="shared" ref="BA384" si="2768">SUM(BA376:BA383)</f>
        <v>0</v>
      </c>
      <c r="BB384" s="634">
        <f t="shared" ref="BB384" si="2769">SUM(BB376:BB383)</f>
        <v>0</v>
      </c>
      <c r="BC384" s="634">
        <f t="shared" ref="BC384" si="2770">SUM(BC376:BC383)</f>
        <v>0</v>
      </c>
      <c r="BD384" s="634">
        <f t="shared" ref="BD384" si="2771">SUM(BD376:BD383)</f>
        <v>0</v>
      </c>
      <c r="BE384" s="634">
        <f t="shared" ref="BE384" si="2772">SUM(BE376:BE383)</f>
        <v>0</v>
      </c>
      <c r="BF384" s="634">
        <f t="shared" ref="BF384" si="2773">SUM(BF376:BF383)</f>
        <v>0</v>
      </c>
      <c r="BG384" s="634">
        <f t="shared" ref="BG384" si="2774">SUM(BG376:BG383)</f>
        <v>0</v>
      </c>
      <c r="BH384" s="634">
        <f t="shared" ref="BH384" si="2775">SUM(BH376:BH383)</f>
        <v>0</v>
      </c>
      <c r="BI384" s="634">
        <f t="shared" ref="BI384" si="2776">SUM(BI376:BI383)</f>
        <v>0</v>
      </c>
      <c r="BJ384" s="634">
        <f t="shared" ref="BJ384" si="2777">SUM(BJ376:BJ383)</f>
        <v>0</v>
      </c>
      <c r="BK384" s="634">
        <f t="shared" ref="BK384" si="2778">SUM(BK376:BK383)</f>
        <v>0</v>
      </c>
      <c r="BL384" s="634">
        <f t="shared" ref="BL384" si="2779">SUM(BL376:BL383)</f>
        <v>0</v>
      </c>
      <c r="BM384" s="634">
        <f t="shared" ref="BM384" si="2780">SUM(BM376:BM383)</f>
        <v>0</v>
      </c>
      <c r="BN384" s="634">
        <f t="shared" ref="BN384" si="2781">SUM(BN376:BN383)</f>
        <v>0</v>
      </c>
      <c r="BO384" s="634">
        <f t="shared" ref="BO384" si="2782">SUM(BO376:BO383)</f>
        <v>0</v>
      </c>
      <c r="BP384" s="634">
        <f t="shared" ref="BP384" si="2783">SUM(BP376:BP383)</f>
        <v>0</v>
      </c>
      <c r="BQ384" s="634">
        <f t="shared" ref="BQ384" si="2784">SUM(BQ376:BQ383)</f>
        <v>0</v>
      </c>
      <c r="BR384" s="634">
        <f t="shared" ref="BR384" si="2785">SUM(BR376:BR383)</f>
        <v>0</v>
      </c>
      <c r="BS384" s="634">
        <f t="shared" ref="BS384" si="2786">SUM(BS376:BS383)</f>
        <v>0</v>
      </c>
      <c r="BT384" s="634">
        <f t="shared" ref="BT384" si="2787">SUM(BT376:BT383)</f>
        <v>0</v>
      </c>
      <c r="BU384" s="634">
        <f t="shared" ref="BU384" si="2788">SUM(BU376:BU383)</f>
        <v>0</v>
      </c>
      <c r="BV384" s="634">
        <f t="shared" ref="BV384" si="2789">SUM(BV376:BV383)</f>
        <v>0</v>
      </c>
      <c r="BW384" s="634">
        <f t="shared" ref="BW384" si="2790">SUM(BW376:BW383)</f>
        <v>0</v>
      </c>
      <c r="BX384" s="634">
        <f t="shared" ref="BX384" si="2791">SUM(BX376:BX383)</f>
        <v>0</v>
      </c>
      <c r="BY384" s="634">
        <f t="shared" ref="BY384" si="2792">SUM(BY376:BY383)</f>
        <v>0</v>
      </c>
      <c r="BZ384" s="634">
        <f t="shared" ref="BZ384" si="2793">SUM(BZ376:BZ383)</f>
        <v>0</v>
      </c>
      <c r="CA384" s="634">
        <f t="shared" ref="CA384" si="2794">SUM(CA376:CA383)</f>
        <v>0</v>
      </c>
      <c r="CB384" s="634">
        <f t="shared" ref="CB384" si="2795">SUM(CB376:CB383)</f>
        <v>0</v>
      </c>
      <c r="CC384" s="634">
        <f t="shared" ref="CC384" si="2796">SUM(CC376:CC383)</f>
        <v>0</v>
      </c>
      <c r="CD384" s="634">
        <f t="shared" ref="CD384" si="2797">SUM(CD376:CD383)</f>
        <v>0</v>
      </c>
      <c r="CE384" s="634">
        <f t="shared" ref="CE384" si="2798">SUM(CE376:CE383)</f>
        <v>0</v>
      </c>
      <c r="CF384" s="634">
        <f t="shared" ref="CF384" si="2799">SUM(CF376:CF383)</f>
        <v>0</v>
      </c>
      <c r="CG384" s="634">
        <f t="shared" ref="CG384" si="2800">SUM(CG376:CG383)</f>
        <v>0</v>
      </c>
      <c r="CH384" s="634">
        <f t="shared" ref="CH384" si="2801">SUM(CH376:CH383)</f>
        <v>0</v>
      </c>
      <c r="CI384" s="634">
        <f t="shared" ref="CI384" si="2802">SUM(CI376:CI383)</f>
        <v>0</v>
      </c>
      <c r="CJ384" s="634">
        <f t="shared" ref="CJ384" si="2803">SUM(CJ376:CJ383)</f>
        <v>0</v>
      </c>
      <c r="CK384" s="634">
        <f t="shared" ref="CK384" si="2804">SUM(CK376:CK383)</f>
        <v>0</v>
      </c>
      <c r="CL384" s="634">
        <f t="shared" ref="CL384" si="2805">SUM(CL376:CL383)</f>
        <v>0</v>
      </c>
      <c r="CM384" s="634">
        <f t="shared" ref="CM384" si="2806">SUM(CM376:CM383)</f>
        <v>0</v>
      </c>
      <c r="CN384" s="634">
        <f t="shared" ref="CN384" si="2807">SUM(CN376:CN383)</f>
        <v>0</v>
      </c>
      <c r="CO384" s="634">
        <f t="shared" ref="CO384" si="2808">SUM(CO376:CO383)</f>
        <v>0</v>
      </c>
      <c r="CP384" s="634">
        <f t="shared" ref="CP384" si="2809">SUM(CP376:CP383)</f>
        <v>0</v>
      </c>
      <c r="CQ384" s="634">
        <f t="shared" ref="CQ384" si="2810">SUM(CQ376:CQ383)</f>
        <v>0</v>
      </c>
      <c r="CR384" s="634">
        <f t="shared" ref="CR384" si="2811">SUM(CR376:CR383)</f>
        <v>0</v>
      </c>
      <c r="CS384" s="634">
        <f t="shared" ref="CS384" si="2812">SUM(CS376:CS383)</f>
        <v>0</v>
      </c>
      <c r="CT384" s="634">
        <f t="shared" ref="CT384" si="2813">SUM(CT376:CT383)</f>
        <v>0</v>
      </c>
      <c r="CU384" s="634">
        <f t="shared" ref="CU384" si="2814">SUM(CU376:CU383)</f>
        <v>0</v>
      </c>
      <c r="CV384" s="634">
        <f t="shared" ref="CV384" si="2815">SUM(CV376:CV383)</f>
        <v>0</v>
      </c>
      <c r="CW384" s="634">
        <f t="shared" ref="CW384" si="2816">SUM(CW376:CW383)</f>
        <v>0</v>
      </c>
      <c r="CX384" s="634">
        <f t="shared" ref="CX384" si="2817">SUM(CX376:CX383)</f>
        <v>0</v>
      </c>
      <c r="CY384" s="634">
        <f t="shared" ref="CY384" si="2818">SUM(CY376:CY383)</f>
        <v>0</v>
      </c>
      <c r="CZ384" s="634">
        <f t="shared" ref="CZ384" si="2819">SUM(CZ376:CZ383)</f>
        <v>0</v>
      </c>
      <c r="DA384" s="634">
        <f t="shared" ref="DA384" si="2820">SUM(DA376:DA383)</f>
        <v>0</v>
      </c>
      <c r="DB384" s="634">
        <f t="shared" ref="DB384" si="2821">SUM(DB376:DB383)</f>
        <v>0</v>
      </c>
      <c r="DC384" s="634">
        <f t="shared" ref="DC384" si="2822">SUM(DC376:DC383)</f>
        <v>0</v>
      </c>
      <c r="DD384" s="634">
        <f t="shared" ref="DD384" si="2823">SUM(DD376:DD383)</f>
        <v>0</v>
      </c>
      <c r="DE384" s="634">
        <f t="shared" ref="DE384" si="2824">SUM(DE376:DE383)</f>
        <v>0</v>
      </c>
      <c r="DF384" s="634">
        <f t="shared" ref="DF384" si="2825">SUM(DF376:DF383)</f>
        <v>0</v>
      </c>
      <c r="DG384" s="634">
        <f t="shared" ref="DG384" si="2826">SUM(DG376:DG383)</f>
        <v>0</v>
      </c>
      <c r="DH384" s="634">
        <f t="shared" ref="DH384" si="2827">SUM(DH376:DH383)</f>
        <v>0</v>
      </c>
      <c r="DI384" s="634">
        <f t="shared" ref="DI384" si="2828">SUM(DI376:DI383)</f>
        <v>0</v>
      </c>
      <c r="DJ384" s="634">
        <f t="shared" ref="DJ384" si="2829">SUM(DJ376:DJ383)</f>
        <v>0</v>
      </c>
      <c r="DK384" s="634">
        <f t="shared" ref="DK384" si="2830">SUM(DK376:DK383)</f>
        <v>0</v>
      </c>
      <c r="DL384" s="634">
        <f t="shared" ref="DL384" si="2831">SUM(DL376:DL383)</f>
        <v>0</v>
      </c>
      <c r="DM384" s="634">
        <f t="shared" ref="DM384" si="2832">SUM(DM376:DM383)</f>
        <v>0</v>
      </c>
      <c r="DN384" s="634">
        <f t="shared" ref="DN384" si="2833">SUM(DN376:DN383)</f>
        <v>0</v>
      </c>
      <c r="DO384" s="634">
        <f t="shared" ref="DO384" si="2834">SUM(DO376:DO383)</f>
        <v>0</v>
      </c>
      <c r="DP384" s="666"/>
      <c r="DQ384" s="638" t="e">
        <f>XIRR(S384:DO384,$S$375:$DO$375)</f>
        <v>#NUM!</v>
      </c>
      <c r="DR384" s="636">
        <f t="shared" ref="DR384:DX384" si="2835">SUM(DR376:DR383)</f>
        <v>0</v>
      </c>
      <c r="DS384" s="636">
        <f t="shared" si="2835"/>
        <v>0</v>
      </c>
      <c r="DT384" s="636">
        <f t="shared" si="2835"/>
        <v>0</v>
      </c>
      <c r="DU384" s="636">
        <f t="shared" si="2835"/>
        <v>0</v>
      </c>
      <c r="DV384" s="636">
        <f t="shared" si="2835"/>
        <v>0</v>
      </c>
      <c r="DW384" s="636">
        <f t="shared" si="2835"/>
        <v>0</v>
      </c>
      <c r="DX384" s="636">
        <f t="shared" si="2835"/>
        <v>0</v>
      </c>
      <c r="DY384" s="636">
        <f>SUM(DY376:DY383)</f>
        <v>0</v>
      </c>
      <c r="DZ384" s="636">
        <f>SUM(DZ376:DZ383)</f>
        <v>0</v>
      </c>
      <c r="EA384" s="636">
        <f>SUM(EA376:EA383)</f>
        <v>0</v>
      </c>
    </row>
    <row r="385" spans="1:131" ht="14.25" thickBot="1">
      <c r="A385" s="172"/>
      <c r="B385" s="667"/>
      <c r="C385" s="592" t="s">
        <v>3608</v>
      </c>
      <c r="D385" s="648">
        <f>D373+1</f>
        <v>28</v>
      </c>
      <c r="E385" s="649"/>
      <c r="F385" s="603"/>
      <c r="G385" s="603"/>
      <c r="I385" s="650" t="b">
        <f>I396=DR387</f>
        <v>1</v>
      </c>
      <c r="J385" s="172"/>
      <c r="K385" s="172"/>
      <c r="L385" s="172"/>
      <c r="M385" s="172"/>
      <c r="N385" s="172"/>
      <c r="O385" s="172"/>
      <c r="P385" s="172"/>
      <c r="Q385" s="639" t="str">
        <f>IF(Q396=NAV!E1245,"자본금과 일치","자본금과 불일치")</f>
        <v>자본금과 일치</v>
      </c>
      <c r="R385" s="172"/>
      <c r="S385" s="172"/>
      <c r="T385" s="172"/>
      <c r="U385" s="172"/>
      <c r="V385" s="172"/>
      <c r="W385" s="172"/>
      <c r="X385" s="172"/>
      <c r="Y385" s="172"/>
      <c r="Z385" s="172"/>
      <c r="AA385" s="172"/>
      <c r="AB385" s="172"/>
      <c r="AC385" s="172"/>
      <c r="AD385" s="172"/>
      <c r="AE385" s="172"/>
      <c r="AF385" s="172"/>
      <c r="AG385" s="172"/>
      <c r="AH385" s="172"/>
      <c r="AI385" s="172"/>
      <c r="AJ385" s="172"/>
      <c r="AK385" s="172"/>
      <c r="AL385" s="172"/>
      <c r="AM385" s="172"/>
      <c r="AN385" s="172"/>
      <c r="AO385" s="172"/>
      <c r="AP385" s="172"/>
      <c r="AQ385" s="172"/>
      <c r="AR385" s="172"/>
      <c r="AS385" s="172"/>
      <c r="AT385" s="172"/>
      <c r="AU385" s="172"/>
      <c r="AV385" s="172"/>
      <c r="AW385" s="172"/>
      <c r="AX385" s="172"/>
      <c r="AY385" s="172"/>
      <c r="AZ385" s="172"/>
      <c r="BA385" s="172"/>
      <c r="BB385" s="172"/>
      <c r="BC385" s="172"/>
      <c r="BD385" s="172"/>
      <c r="BE385" s="172"/>
      <c r="BF385" s="172"/>
      <c r="BG385" s="172"/>
      <c r="BH385" s="172"/>
      <c r="BI385" s="172"/>
      <c r="BJ385" s="172"/>
      <c r="BK385" s="172"/>
      <c r="BL385" s="172"/>
      <c r="BM385" s="172"/>
      <c r="BN385" s="172"/>
      <c r="BO385" s="172"/>
      <c r="BP385" s="172"/>
      <c r="BQ385" s="172"/>
      <c r="BR385" s="172"/>
      <c r="BS385" s="172"/>
      <c r="BT385" s="172"/>
      <c r="BU385" s="172"/>
      <c r="BV385" s="172"/>
      <c r="BW385" s="172"/>
      <c r="BX385" s="172"/>
      <c r="BY385" s="172"/>
      <c r="BZ385" s="172"/>
      <c r="CA385" s="172"/>
      <c r="CB385" s="172"/>
      <c r="CC385" s="172"/>
      <c r="CD385" s="172"/>
      <c r="CE385" s="172"/>
      <c r="CF385" s="172"/>
      <c r="CG385" s="172"/>
      <c r="CH385" s="172"/>
      <c r="CI385" s="172"/>
      <c r="CJ385" s="172"/>
      <c r="CK385" s="172"/>
      <c r="CL385" s="172"/>
      <c r="CM385" s="172"/>
      <c r="CN385" s="172"/>
      <c r="CO385" s="172"/>
      <c r="CP385" s="172"/>
      <c r="CQ385" s="172"/>
      <c r="CR385" s="172"/>
      <c r="CS385" s="172"/>
      <c r="CT385" s="172"/>
      <c r="CU385" s="172"/>
      <c r="CV385" s="172"/>
      <c r="CW385" s="172"/>
      <c r="CX385" s="172"/>
      <c r="CY385" s="172"/>
      <c r="CZ385" s="172"/>
      <c r="DA385" s="172"/>
      <c r="DB385" s="172"/>
      <c r="DC385" s="172"/>
      <c r="DD385" s="172"/>
      <c r="DE385" s="172"/>
      <c r="DF385" s="172"/>
      <c r="DG385" s="172"/>
      <c r="DH385" s="172"/>
      <c r="DI385" s="172"/>
      <c r="DJ385" s="172"/>
      <c r="DK385" s="172"/>
      <c r="DL385" s="172"/>
      <c r="DM385" s="172"/>
      <c r="DN385" s="172"/>
      <c r="DO385" s="588" t="s">
        <v>219</v>
      </c>
      <c r="DP385" s="588" t="str">
        <f>IF(ROUND(_xlfn.AGGREGATE(9,6,DP388:DP395),5)=ROUND(_xlfn.AGGREGATE(9,6,DQ388:DQ395),5),"이상없음","기준수익률확인")</f>
        <v>이상없음</v>
      </c>
      <c r="DQ385" s="172"/>
      <c r="DR385" s="651" t="s">
        <v>3406</v>
      </c>
      <c r="DS385" s="172"/>
      <c r="DT385" s="615"/>
      <c r="DU385" s="615"/>
      <c r="DV385" s="172"/>
      <c r="DW385" s="172"/>
      <c r="DX385" s="615"/>
      <c r="DY385" s="172"/>
      <c r="DZ385" s="172"/>
      <c r="EA385" s="172"/>
    </row>
    <row r="386" spans="1:131" ht="13.5">
      <c r="A386" s="652" t="str">
        <f t="shared" ref="A386:A394" si="2836">$B$385&amp;B386</f>
        <v>SPC명</v>
      </c>
      <c r="B386" s="653" t="s">
        <v>349</v>
      </c>
      <c r="C386" s="780"/>
      <c r="D386" s="780"/>
      <c r="E386" s="780"/>
      <c r="F386" s="230"/>
      <c r="G386" s="230"/>
      <c r="I386" s="776" t="s">
        <v>3393</v>
      </c>
      <c r="J386" s="776" t="s">
        <v>3394</v>
      </c>
      <c r="K386" s="774" t="s">
        <v>3395</v>
      </c>
      <c r="L386" s="774" t="s">
        <v>3396</v>
      </c>
      <c r="M386" s="774" t="s">
        <v>203</v>
      </c>
      <c r="N386" s="774" t="s">
        <v>211</v>
      </c>
      <c r="O386" s="774" t="s">
        <v>3399</v>
      </c>
      <c r="P386" s="776" t="s">
        <v>239</v>
      </c>
      <c r="Q386" s="774" t="s">
        <v>3401</v>
      </c>
      <c r="R386" s="774" t="s">
        <v>3402</v>
      </c>
      <c r="S386" s="593"/>
      <c r="T386" s="593"/>
      <c r="U386" s="593"/>
      <c r="V386" s="593"/>
      <c r="W386" s="593"/>
      <c r="X386" s="593"/>
      <c r="Y386" s="593"/>
      <c r="Z386" s="593"/>
      <c r="AA386" s="593"/>
      <c r="AB386" s="593"/>
      <c r="AC386" s="593"/>
      <c r="AD386" s="593"/>
      <c r="AE386" s="593"/>
      <c r="AF386" s="593"/>
      <c r="AG386" s="593"/>
      <c r="AH386" s="593"/>
      <c r="AI386" s="593"/>
      <c r="AJ386" s="593"/>
      <c r="AK386" s="593"/>
      <c r="AL386" s="593"/>
      <c r="AM386" s="593"/>
      <c r="AN386" s="593"/>
      <c r="AO386" s="593"/>
      <c r="AP386" s="593"/>
      <c r="AQ386" s="593"/>
      <c r="AR386" s="593"/>
      <c r="AS386" s="593"/>
      <c r="AT386" s="593"/>
      <c r="AU386" s="593"/>
      <c r="AV386" s="593"/>
      <c r="AW386" s="593"/>
      <c r="AX386" s="593"/>
      <c r="AY386" s="593"/>
      <c r="AZ386" s="593"/>
      <c r="BA386" s="593"/>
      <c r="BB386" s="593"/>
      <c r="BC386" s="593"/>
      <c r="BD386" s="593"/>
      <c r="BE386" s="593"/>
      <c r="BF386" s="593"/>
      <c r="BG386" s="593"/>
      <c r="BH386" s="593"/>
      <c r="BI386" s="593"/>
      <c r="BJ386" s="593"/>
      <c r="BK386" s="593"/>
      <c r="BL386" s="593"/>
      <c r="BM386" s="593"/>
      <c r="BN386" s="593"/>
      <c r="BO386" s="593"/>
      <c r="BP386" s="593"/>
      <c r="BQ386" s="593"/>
      <c r="BR386" s="593"/>
      <c r="BS386" s="593"/>
      <c r="BT386" s="593"/>
      <c r="BU386" s="593"/>
      <c r="BV386" s="593"/>
      <c r="BW386" s="593"/>
      <c r="BX386" s="593"/>
      <c r="BY386" s="593"/>
      <c r="BZ386" s="593"/>
      <c r="CA386" s="593"/>
      <c r="CB386" s="593"/>
      <c r="CC386" s="593"/>
      <c r="CD386" s="593"/>
      <c r="CE386" s="593"/>
      <c r="CF386" s="593"/>
      <c r="CG386" s="593"/>
      <c r="CH386" s="593"/>
      <c r="CI386" s="593"/>
      <c r="CJ386" s="593"/>
      <c r="CK386" s="593"/>
      <c r="CL386" s="593"/>
      <c r="CM386" s="593"/>
      <c r="CN386" s="593"/>
      <c r="CO386" s="593"/>
      <c r="CP386" s="593"/>
      <c r="CQ386" s="593"/>
      <c r="CR386" s="593"/>
      <c r="CS386" s="593"/>
      <c r="CT386" s="593"/>
      <c r="CU386" s="593"/>
      <c r="CV386" s="593"/>
      <c r="CW386" s="593"/>
      <c r="CX386" s="593"/>
      <c r="CY386" s="593"/>
      <c r="CZ386" s="593"/>
      <c r="DA386" s="593"/>
      <c r="DB386" s="593"/>
      <c r="DC386" s="593"/>
      <c r="DD386" s="593"/>
      <c r="DE386" s="593"/>
      <c r="DF386" s="593"/>
      <c r="DG386" s="593"/>
      <c r="DH386" s="593"/>
      <c r="DI386" s="593"/>
      <c r="DJ386" s="593"/>
      <c r="DK386" s="593"/>
      <c r="DL386" s="593"/>
      <c r="DM386" s="593"/>
      <c r="DN386" s="593"/>
      <c r="DO386" s="594" t="s">
        <v>220</v>
      </c>
      <c r="DP386" s="774" t="s">
        <v>218</v>
      </c>
      <c r="DQ386" s="774" t="s">
        <v>222</v>
      </c>
      <c r="DR386" s="594"/>
      <c r="DS386" s="594"/>
      <c r="DT386" s="594"/>
      <c r="DU386" s="594"/>
      <c r="DV386" s="594"/>
      <c r="DW386" s="594"/>
      <c r="DX386" s="594"/>
      <c r="DY386" s="594"/>
      <c r="DZ386" s="594"/>
      <c r="EA386" s="602"/>
    </row>
    <row r="387" spans="1:131" ht="14.25" thickBot="1">
      <c r="A387" s="652" t="str">
        <f t="shared" si="2836"/>
        <v>유형</v>
      </c>
      <c r="B387" s="653" t="s">
        <v>350</v>
      </c>
      <c r="C387" s="780"/>
      <c r="D387" s="780"/>
      <c r="E387" s="780"/>
      <c r="F387" s="230"/>
      <c r="G387" s="230"/>
      <c r="I387" s="777"/>
      <c r="J387" s="777"/>
      <c r="K387" s="775"/>
      <c r="L387" s="775"/>
      <c r="M387" s="775"/>
      <c r="N387" s="775"/>
      <c r="O387" s="775"/>
      <c r="P387" s="777"/>
      <c r="Q387" s="775"/>
      <c r="R387" s="775"/>
      <c r="S387" s="601"/>
      <c r="T387" s="601"/>
      <c r="U387" s="601"/>
      <c r="V387" s="601"/>
      <c r="W387" s="601"/>
      <c r="X387" s="601"/>
      <c r="Y387" s="601"/>
      <c r="Z387" s="601"/>
      <c r="AA387" s="601"/>
      <c r="AB387" s="601"/>
      <c r="AC387" s="601"/>
      <c r="AD387" s="601"/>
      <c r="AE387" s="601"/>
      <c r="AF387" s="601"/>
      <c r="AG387" s="601"/>
      <c r="AH387" s="601"/>
      <c r="AI387" s="601"/>
      <c r="AJ387" s="601"/>
      <c r="AK387" s="601"/>
      <c r="AL387" s="601"/>
      <c r="AM387" s="601"/>
      <c r="AN387" s="601"/>
      <c r="AO387" s="601"/>
      <c r="AP387" s="601"/>
      <c r="AQ387" s="601"/>
      <c r="AR387" s="601"/>
      <c r="AS387" s="601"/>
      <c r="AT387" s="601"/>
      <c r="AU387" s="601"/>
      <c r="AV387" s="601"/>
      <c r="AW387" s="601"/>
      <c r="AX387" s="601"/>
      <c r="AY387" s="601"/>
      <c r="AZ387" s="601"/>
      <c r="BA387" s="601"/>
      <c r="BB387" s="601"/>
      <c r="BC387" s="601"/>
      <c r="BD387" s="601"/>
      <c r="BE387" s="601"/>
      <c r="BF387" s="601"/>
      <c r="BG387" s="601"/>
      <c r="BH387" s="601"/>
      <c r="BI387" s="601"/>
      <c r="BJ387" s="601"/>
      <c r="BK387" s="601"/>
      <c r="BL387" s="601"/>
      <c r="BM387" s="601"/>
      <c r="BN387" s="601"/>
      <c r="BO387" s="601"/>
      <c r="BP387" s="601"/>
      <c r="BQ387" s="601"/>
      <c r="BR387" s="601"/>
      <c r="BS387" s="601"/>
      <c r="BT387" s="601"/>
      <c r="BU387" s="601"/>
      <c r="BV387" s="601"/>
      <c r="BW387" s="601"/>
      <c r="BX387" s="601"/>
      <c r="BY387" s="601"/>
      <c r="BZ387" s="601"/>
      <c r="CA387" s="601"/>
      <c r="CB387" s="601"/>
      <c r="CC387" s="601"/>
      <c r="CD387" s="601"/>
      <c r="CE387" s="601"/>
      <c r="CF387" s="601"/>
      <c r="CG387" s="601"/>
      <c r="CH387" s="601"/>
      <c r="CI387" s="601"/>
      <c r="CJ387" s="601"/>
      <c r="CK387" s="601"/>
      <c r="CL387" s="601"/>
      <c r="CM387" s="601"/>
      <c r="CN387" s="601"/>
      <c r="CO387" s="601"/>
      <c r="CP387" s="601"/>
      <c r="CQ387" s="601"/>
      <c r="CR387" s="601"/>
      <c r="CS387" s="601"/>
      <c r="CT387" s="601"/>
      <c r="CU387" s="601"/>
      <c r="CV387" s="601"/>
      <c r="CW387" s="601"/>
      <c r="CX387" s="601"/>
      <c r="CY387" s="601"/>
      <c r="CZ387" s="601"/>
      <c r="DA387" s="601"/>
      <c r="DB387" s="601"/>
      <c r="DC387" s="601"/>
      <c r="DD387" s="601"/>
      <c r="DE387" s="601"/>
      <c r="DF387" s="601"/>
      <c r="DG387" s="601"/>
      <c r="DH387" s="601"/>
      <c r="DI387" s="601"/>
      <c r="DJ387" s="601"/>
      <c r="DK387" s="601"/>
      <c r="DL387" s="601"/>
      <c r="DM387" s="601"/>
      <c r="DN387" s="601"/>
      <c r="DO387" s="654">
        <f>$DO$7</f>
        <v>45473</v>
      </c>
      <c r="DP387" s="775"/>
      <c r="DQ387" s="775"/>
      <c r="DR387" s="595">
        <f>NAV!E1251</f>
        <v>0</v>
      </c>
      <c r="DS387" s="596">
        <f>DR387-DR396</f>
        <v>0</v>
      </c>
      <c r="DT387" s="596"/>
      <c r="DU387" s="596"/>
      <c r="DV387" s="597"/>
      <c r="DW387" s="596"/>
      <c r="DX387" s="596"/>
      <c r="DY387" s="596"/>
      <c r="DZ387" s="655"/>
      <c r="EA387" s="656"/>
    </row>
    <row r="388" spans="1:131" ht="13.5">
      <c r="A388" s="652" t="str">
        <f t="shared" si="2836"/>
        <v>설정일</v>
      </c>
      <c r="B388" s="653" t="s">
        <v>351</v>
      </c>
      <c r="C388" s="781"/>
      <c r="D388" s="780"/>
      <c r="E388" s="780"/>
      <c r="F388" s="230"/>
      <c r="G388" s="230"/>
      <c r="I388" s="657">
        <f>SUM(DR388:EA388)</f>
        <v>0</v>
      </c>
      <c r="J388" s="606" t="str">
        <f>IFERROR(I388/(Q388/$C$390),"N/A")</f>
        <v>N/A</v>
      </c>
      <c r="K388" s="471"/>
      <c r="L388" s="607"/>
      <c r="M388" s="300"/>
      <c r="N388" s="608"/>
      <c r="O388" s="609">
        <f t="shared" ref="O388:O395" si="2837">-(SUMIF($S$386:$DN$386,"최초출자",S388:DN388)+SUMIF($S$386:$DN$386,"추가출자",S388:DN388))</f>
        <v>0</v>
      </c>
      <c r="P388" s="609">
        <f t="shared" ref="P388:P395" si="2838">SUMIF($S$386:$DN$386,"이익분배",S388:DN388)+SUMIF($S$386:$DN$386,"원본분배",S388:DN388)</f>
        <v>0</v>
      </c>
      <c r="Q388" s="609">
        <f t="shared" ref="Q388:Q395" si="2839">-(SUMIF($S$386:$DN$386,"최초출자",S388:DN388)+SUMIF($S$386:$DN$386,"추가출자",S388:DN388)+SUMIF($S$386:$DN$386,"원본분배",S388:DN388))</f>
        <v>0</v>
      </c>
      <c r="R388" s="610" t="str">
        <f>IFERROR(Q388/Q396,"")</f>
        <v/>
      </c>
      <c r="S388" s="658"/>
      <c r="T388" s="658"/>
      <c r="U388" s="658"/>
      <c r="V388" s="658"/>
      <c r="W388" s="658"/>
      <c r="X388" s="658"/>
      <c r="Y388" s="658"/>
      <c r="Z388" s="658"/>
      <c r="AA388" s="658"/>
      <c r="AB388" s="658"/>
      <c r="AC388" s="658"/>
      <c r="AD388" s="658"/>
      <c r="AE388" s="658"/>
      <c r="AF388" s="658"/>
      <c r="AG388" s="658"/>
      <c r="AH388" s="658"/>
      <c r="AI388" s="658"/>
      <c r="AJ388" s="658"/>
      <c r="AK388" s="658"/>
      <c r="AL388" s="658"/>
      <c r="AM388" s="658"/>
      <c r="AN388" s="658"/>
      <c r="AO388" s="658"/>
      <c r="AP388" s="658"/>
      <c r="AQ388" s="658"/>
      <c r="AR388" s="658"/>
      <c r="AS388" s="658"/>
      <c r="AT388" s="658"/>
      <c r="AU388" s="658"/>
      <c r="AV388" s="658"/>
      <c r="AW388" s="658"/>
      <c r="AX388" s="658"/>
      <c r="AY388" s="658"/>
      <c r="AZ388" s="658"/>
      <c r="BA388" s="658"/>
      <c r="BB388" s="658"/>
      <c r="BC388" s="658"/>
      <c r="BD388" s="658"/>
      <c r="BE388" s="658"/>
      <c r="BF388" s="658"/>
      <c r="BG388" s="658"/>
      <c r="BH388" s="658"/>
      <c r="BI388" s="658"/>
      <c r="BJ388" s="658"/>
      <c r="BK388" s="658"/>
      <c r="BL388" s="658"/>
      <c r="BM388" s="658"/>
      <c r="BN388" s="658"/>
      <c r="BO388" s="658"/>
      <c r="BP388" s="658"/>
      <c r="BQ388" s="658"/>
      <c r="BR388" s="658"/>
      <c r="BS388" s="658"/>
      <c r="BT388" s="658"/>
      <c r="BU388" s="658"/>
      <c r="BV388" s="658"/>
      <c r="BW388" s="658"/>
      <c r="BX388" s="658"/>
      <c r="BY388" s="658"/>
      <c r="BZ388" s="658"/>
      <c r="CA388" s="658"/>
      <c r="CB388" s="658"/>
      <c r="CC388" s="658"/>
      <c r="CD388" s="658"/>
      <c r="CE388" s="658"/>
      <c r="CF388" s="658"/>
      <c r="CG388" s="658"/>
      <c r="CH388" s="658"/>
      <c r="CI388" s="658"/>
      <c r="CJ388" s="658"/>
      <c r="CK388" s="658"/>
      <c r="CL388" s="658"/>
      <c r="CM388" s="658"/>
      <c r="CN388" s="658"/>
      <c r="CO388" s="658"/>
      <c r="CP388" s="658"/>
      <c r="CQ388" s="658"/>
      <c r="CR388" s="658"/>
      <c r="CS388" s="658"/>
      <c r="CT388" s="658"/>
      <c r="CU388" s="658"/>
      <c r="CV388" s="658"/>
      <c r="CW388" s="658"/>
      <c r="CX388" s="658"/>
      <c r="CY388" s="658"/>
      <c r="CZ388" s="658"/>
      <c r="DA388" s="658"/>
      <c r="DB388" s="658"/>
      <c r="DC388" s="658"/>
      <c r="DD388" s="658"/>
      <c r="DE388" s="658"/>
      <c r="DF388" s="658"/>
      <c r="DG388" s="658"/>
      <c r="DH388" s="658"/>
      <c r="DI388" s="658"/>
      <c r="DJ388" s="658"/>
      <c r="DK388" s="658"/>
      <c r="DL388" s="658"/>
      <c r="DM388" s="658"/>
      <c r="DN388" s="658"/>
      <c r="DO388" s="177">
        <f>IF(M388="",0,-XNPV(DP388,S388,S$387)*(1+DP388)^YEARFRAC($S$387,$DO$387,3))</f>
        <v>0</v>
      </c>
      <c r="DP388" s="612" t="e">
        <f>IF(HLOOKUP(L388,$C$395:$E$396,2,0)=0,1E-24%,HLOOKUP(L388,$C$395:$E$396,2,FALSE))</f>
        <v>#N/A</v>
      </c>
      <c r="DQ388" s="612" t="e">
        <f t="shared" ref="DQ388:DQ395" si="2840">XIRR(S388:DO388,$S$387:$DO$387)</f>
        <v>#NUM!</v>
      </c>
      <c r="DR388" s="177"/>
      <c r="DS388" s="177"/>
      <c r="DT388" s="177"/>
      <c r="DU388" s="177"/>
      <c r="DV388" s="177"/>
      <c r="DW388" s="177"/>
      <c r="DX388" s="177"/>
      <c r="DY388" s="177"/>
      <c r="DZ388" s="177"/>
      <c r="EA388" s="613"/>
    </row>
    <row r="389" spans="1:131" ht="13.5">
      <c r="A389" s="652" t="str">
        <f t="shared" si="2836"/>
        <v>출자잔액</v>
      </c>
      <c r="B389" s="653" t="s">
        <v>352</v>
      </c>
      <c r="C389" s="782"/>
      <c r="D389" s="782"/>
      <c r="E389" s="782"/>
      <c r="F389" s="230"/>
      <c r="G389" s="230"/>
      <c r="I389" s="657">
        <f t="shared" ref="I389:I395" si="2841">SUM(DR389:EA389)</f>
        <v>0</v>
      </c>
      <c r="J389" s="606" t="str">
        <f t="shared" ref="J389:J395" si="2842">IFERROR(I389/(Q389/$C$390),"N/A")</f>
        <v>N/A</v>
      </c>
      <c r="K389" s="471"/>
      <c r="L389" s="607"/>
      <c r="M389" s="300"/>
      <c r="N389" s="608"/>
      <c r="O389" s="609">
        <f t="shared" si="2837"/>
        <v>0</v>
      </c>
      <c r="P389" s="609">
        <f t="shared" si="2838"/>
        <v>0</v>
      </c>
      <c r="Q389" s="609">
        <f t="shared" si="2839"/>
        <v>0</v>
      </c>
      <c r="R389" s="610" t="str">
        <f>IFERROR(Q389/Q396,"")</f>
        <v/>
      </c>
      <c r="S389" s="658"/>
      <c r="T389" s="658"/>
      <c r="U389" s="658"/>
      <c r="V389" s="658"/>
      <c r="W389" s="658"/>
      <c r="X389" s="658"/>
      <c r="Y389" s="658"/>
      <c r="Z389" s="658"/>
      <c r="AA389" s="658"/>
      <c r="AB389" s="658"/>
      <c r="AC389" s="658"/>
      <c r="AD389" s="658"/>
      <c r="AE389" s="658"/>
      <c r="AF389" s="658"/>
      <c r="AG389" s="658"/>
      <c r="AH389" s="658"/>
      <c r="AI389" s="658"/>
      <c r="AJ389" s="658"/>
      <c r="AK389" s="658"/>
      <c r="AL389" s="658"/>
      <c r="AM389" s="658"/>
      <c r="AN389" s="658"/>
      <c r="AO389" s="658"/>
      <c r="AP389" s="658"/>
      <c r="AQ389" s="658"/>
      <c r="AR389" s="658"/>
      <c r="AS389" s="658"/>
      <c r="AT389" s="658"/>
      <c r="AU389" s="658"/>
      <c r="AV389" s="658"/>
      <c r="AW389" s="658"/>
      <c r="AX389" s="658"/>
      <c r="AY389" s="658"/>
      <c r="AZ389" s="658"/>
      <c r="BA389" s="658"/>
      <c r="BB389" s="658"/>
      <c r="BC389" s="658"/>
      <c r="BD389" s="658"/>
      <c r="BE389" s="658"/>
      <c r="BF389" s="658"/>
      <c r="BG389" s="658"/>
      <c r="BH389" s="658"/>
      <c r="BI389" s="658"/>
      <c r="BJ389" s="658"/>
      <c r="BK389" s="658"/>
      <c r="BL389" s="658"/>
      <c r="BM389" s="658"/>
      <c r="BN389" s="658"/>
      <c r="BO389" s="658"/>
      <c r="BP389" s="658"/>
      <c r="BQ389" s="658"/>
      <c r="BR389" s="658"/>
      <c r="BS389" s="658"/>
      <c r="BT389" s="658"/>
      <c r="BU389" s="658"/>
      <c r="BV389" s="658"/>
      <c r="BW389" s="658"/>
      <c r="BX389" s="658"/>
      <c r="BY389" s="658"/>
      <c r="BZ389" s="658"/>
      <c r="CA389" s="658"/>
      <c r="CB389" s="658"/>
      <c r="CC389" s="658"/>
      <c r="CD389" s="658"/>
      <c r="CE389" s="658"/>
      <c r="CF389" s="658"/>
      <c r="CG389" s="658"/>
      <c r="CH389" s="658"/>
      <c r="CI389" s="658"/>
      <c r="CJ389" s="658"/>
      <c r="CK389" s="658"/>
      <c r="CL389" s="658"/>
      <c r="CM389" s="658"/>
      <c r="CN389" s="658"/>
      <c r="CO389" s="658"/>
      <c r="CP389" s="658"/>
      <c r="CQ389" s="658"/>
      <c r="CR389" s="658"/>
      <c r="CS389" s="658"/>
      <c r="CT389" s="658"/>
      <c r="CU389" s="658"/>
      <c r="CV389" s="658"/>
      <c r="CW389" s="658"/>
      <c r="CX389" s="658"/>
      <c r="CY389" s="658"/>
      <c r="CZ389" s="658"/>
      <c r="DA389" s="658"/>
      <c r="DB389" s="658"/>
      <c r="DC389" s="658"/>
      <c r="DD389" s="658"/>
      <c r="DE389" s="658"/>
      <c r="DF389" s="658"/>
      <c r="DG389" s="658"/>
      <c r="DH389" s="658"/>
      <c r="DI389" s="658"/>
      <c r="DJ389" s="658"/>
      <c r="DK389" s="658"/>
      <c r="DL389" s="658"/>
      <c r="DM389" s="658"/>
      <c r="DN389" s="658"/>
      <c r="DO389" s="177">
        <f t="shared" ref="DO389:DO395" si="2843">IF(M389="",0,-XNPV(DP389,S389,S$387)*(1+DP389)^YEARFRAC($S$387,$DO$387,3))</f>
        <v>0</v>
      </c>
      <c r="DP389" s="612" t="e">
        <f t="shared" ref="DP389:DP395" si="2844">IF(HLOOKUP(L389,$C$395:$E$396,2,0)=0,1E-24%,HLOOKUP(L389,$C$395:$E$396,2,FALSE))</f>
        <v>#N/A</v>
      </c>
      <c r="DQ389" s="612" t="e">
        <f t="shared" si="2840"/>
        <v>#NUM!</v>
      </c>
      <c r="DR389" s="177"/>
      <c r="DS389" s="177"/>
      <c r="DT389" s="177"/>
      <c r="DU389" s="177"/>
      <c r="DV389" s="177"/>
      <c r="DW389" s="177"/>
      <c r="DX389" s="177"/>
      <c r="DY389" s="177"/>
      <c r="DZ389" s="177"/>
      <c r="EA389" s="613"/>
    </row>
    <row r="390" spans="1:131" ht="13.5">
      <c r="A390" s="652" t="str">
        <f t="shared" si="2836"/>
        <v>1좌당 금액</v>
      </c>
      <c r="B390" s="653" t="s">
        <v>353</v>
      </c>
      <c r="C390" s="783"/>
      <c r="D390" s="783"/>
      <c r="E390" s="783"/>
      <c r="F390" s="230"/>
      <c r="G390" s="230"/>
      <c r="I390" s="657">
        <f t="shared" si="2841"/>
        <v>0</v>
      </c>
      <c r="J390" s="606" t="str">
        <f t="shared" si="2842"/>
        <v>N/A</v>
      </c>
      <c r="K390" s="471"/>
      <c r="L390" s="607"/>
      <c r="M390" s="300"/>
      <c r="N390" s="608"/>
      <c r="O390" s="609">
        <f t="shared" si="2837"/>
        <v>0</v>
      </c>
      <c r="P390" s="609">
        <f t="shared" si="2838"/>
        <v>0</v>
      </c>
      <c r="Q390" s="609">
        <f t="shared" si="2839"/>
        <v>0</v>
      </c>
      <c r="R390" s="610" t="str">
        <f>IFERROR(Q390/Q396,"")</f>
        <v/>
      </c>
      <c r="S390" s="658"/>
      <c r="T390" s="658"/>
      <c r="U390" s="658"/>
      <c r="V390" s="658"/>
      <c r="W390" s="658"/>
      <c r="X390" s="658"/>
      <c r="Y390" s="658"/>
      <c r="Z390" s="658"/>
      <c r="AA390" s="658"/>
      <c r="AB390" s="658"/>
      <c r="AC390" s="658"/>
      <c r="AD390" s="658"/>
      <c r="AE390" s="658"/>
      <c r="AF390" s="658"/>
      <c r="AG390" s="658"/>
      <c r="AH390" s="658"/>
      <c r="AI390" s="658"/>
      <c r="AJ390" s="658"/>
      <c r="AK390" s="658"/>
      <c r="AL390" s="658"/>
      <c r="AM390" s="658"/>
      <c r="AN390" s="658"/>
      <c r="AO390" s="658"/>
      <c r="AP390" s="658"/>
      <c r="AQ390" s="658"/>
      <c r="AR390" s="658"/>
      <c r="AS390" s="658"/>
      <c r="AT390" s="658"/>
      <c r="AU390" s="658"/>
      <c r="AV390" s="658"/>
      <c r="AW390" s="658"/>
      <c r="AX390" s="658"/>
      <c r="AY390" s="658"/>
      <c r="AZ390" s="658"/>
      <c r="BA390" s="658"/>
      <c r="BB390" s="658"/>
      <c r="BC390" s="658"/>
      <c r="BD390" s="658"/>
      <c r="BE390" s="658"/>
      <c r="BF390" s="658"/>
      <c r="BG390" s="658"/>
      <c r="BH390" s="658"/>
      <c r="BI390" s="658"/>
      <c r="BJ390" s="658"/>
      <c r="BK390" s="658"/>
      <c r="BL390" s="658"/>
      <c r="BM390" s="658"/>
      <c r="BN390" s="658"/>
      <c r="BO390" s="658"/>
      <c r="BP390" s="658"/>
      <c r="BQ390" s="658"/>
      <c r="BR390" s="658"/>
      <c r="BS390" s="658"/>
      <c r="BT390" s="658"/>
      <c r="BU390" s="658"/>
      <c r="BV390" s="658"/>
      <c r="BW390" s="658"/>
      <c r="BX390" s="658"/>
      <c r="BY390" s="658"/>
      <c r="BZ390" s="658"/>
      <c r="CA390" s="658"/>
      <c r="CB390" s="658"/>
      <c r="CC390" s="658"/>
      <c r="CD390" s="658"/>
      <c r="CE390" s="658"/>
      <c r="CF390" s="658"/>
      <c r="CG390" s="658"/>
      <c r="CH390" s="658"/>
      <c r="CI390" s="658"/>
      <c r="CJ390" s="658"/>
      <c r="CK390" s="658"/>
      <c r="CL390" s="658"/>
      <c r="CM390" s="658"/>
      <c r="CN390" s="658"/>
      <c r="CO390" s="658"/>
      <c r="CP390" s="658"/>
      <c r="CQ390" s="658"/>
      <c r="CR390" s="658"/>
      <c r="CS390" s="658"/>
      <c r="CT390" s="658"/>
      <c r="CU390" s="658"/>
      <c r="CV390" s="658"/>
      <c r="CW390" s="658"/>
      <c r="CX390" s="658"/>
      <c r="CY390" s="658"/>
      <c r="CZ390" s="658"/>
      <c r="DA390" s="658"/>
      <c r="DB390" s="658"/>
      <c r="DC390" s="658"/>
      <c r="DD390" s="658"/>
      <c r="DE390" s="658"/>
      <c r="DF390" s="658"/>
      <c r="DG390" s="658"/>
      <c r="DH390" s="658"/>
      <c r="DI390" s="658"/>
      <c r="DJ390" s="658"/>
      <c r="DK390" s="658"/>
      <c r="DL390" s="658"/>
      <c r="DM390" s="658"/>
      <c r="DN390" s="658"/>
      <c r="DO390" s="177">
        <f t="shared" si="2843"/>
        <v>0</v>
      </c>
      <c r="DP390" s="612" t="e">
        <f t="shared" si="2844"/>
        <v>#N/A</v>
      </c>
      <c r="DQ390" s="612" t="e">
        <f t="shared" si="2840"/>
        <v>#NUM!</v>
      </c>
      <c r="DR390" s="177"/>
      <c r="DS390" s="177"/>
      <c r="DT390" s="177"/>
      <c r="DU390" s="177"/>
      <c r="DV390" s="177"/>
      <c r="DW390" s="177"/>
      <c r="DX390" s="177"/>
      <c r="DY390" s="177"/>
      <c r="DZ390" s="177"/>
      <c r="EA390" s="613"/>
    </row>
    <row r="391" spans="1:131" ht="13.5">
      <c r="A391" s="652" t="str">
        <f t="shared" si="2836"/>
        <v>기준수익률</v>
      </c>
      <c r="B391" s="653" t="s">
        <v>354</v>
      </c>
      <c r="C391" s="784"/>
      <c r="D391" s="785"/>
      <c r="E391" s="785"/>
      <c r="F391" s="230"/>
      <c r="G391" s="230"/>
      <c r="I391" s="657">
        <f t="shared" si="2841"/>
        <v>0</v>
      </c>
      <c r="J391" s="606" t="str">
        <f t="shared" si="2842"/>
        <v>N/A</v>
      </c>
      <c r="K391" s="471"/>
      <c r="L391" s="607"/>
      <c r="M391" s="300"/>
      <c r="N391" s="608"/>
      <c r="O391" s="609">
        <f t="shared" si="2837"/>
        <v>0</v>
      </c>
      <c r="P391" s="609">
        <f t="shared" si="2838"/>
        <v>0</v>
      </c>
      <c r="Q391" s="609">
        <f t="shared" si="2839"/>
        <v>0</v>
      </c>
      <c r="R391" s="610" t="str">
        <f>IFERROR(Q391/Q396,"")</f>
        <v/>
      </c>
      <c r="S391" s="658"/>
      <c r="T391" s="658"/>
      <c r="U391" s="658"/>
      <c r="V391" s="658"/>
      <c r="W391" s="658"/>
      <c r="X391" s="658"/>
      <c r="Y391" s="658"/>
      <c r="Z391" s="658"/>
      <c r="AA391" s="658"/>
      <c r="AB391" s="658"/>
      <c r="AC391" s="658"/>
      <c r="AD391" s="658"/>
      <c r="AE391" s="658"/>
      <c r="AF391" s="658"/>
      <c r="AG391" s="658"/>
      <c r="AH391" s="658"/>
      <c r="AI391" s="658"/>
      <c r="AJ391" s="658"/>
      <c r="AK391" s="658"/>
      <c r="AL391" s="658"/>
      <c r="AM391" s="658"/>
      <c r="AN391" s="658"/>
      <c r="AO391" s="658"/>
      <c r="AP391" s="658"/>
      <c r="AQ391" s="658"/>
      <c r="AR391" s="658"/>
      <c r="AS391" s="658"/>
      <c r="AT391" s="658"/>
      <c r="AU391" s="658"/>
      <c r="AV391" s="658"/>
      <c r="AW391" s="658"/>
      <c r="AX391" s="658"/>
      <c r="AY391" s="658"/>
      <c r="AZ391" s="658"/>
      <c r="BA391" s="658"/>
      <c r="BB391" s="658"/>
      <c r="BC391" s="658"/>
      <c r="BD391" s="658"/>
      <c r="BE391" s="658"/>
      <c r="BF391" s="658"/>
      <c r="BG391" s="658"/>
      <c r="BH391" s="658"/>
      <c r="BI391" s="658"/>
      <c r="BJ391" s="658"/>
      <c r="BK391" s="658"/>
      <c r="BL391" s="658"/>
      <c r="BM391" s="658"/>
      <c r="BN391" s="658"/>
      <c r="BO391" s="658"/>
      <c r="BP391" s="658"/>
      <c r="BQ391" s="658"/>
      <c r="BR391" s="658"/>
      <c r="BS391" s="658"/>
      <c r="BT391" s="658"/>
      <c r="BU391" s="658"/>
      <c r="BV391" s="658"/>
      <c r="BW391" s="658"/>
      <c r="BX391" s="658"/>
      <c r="BY391" s="658"/>
      <c r="BZ391" s="658"/>
      <c r="CA391" s="658"/>
      <c r="CB391" s="658"/>
      <c r="CC391" s="658"/>
      <c r="CD391" s="658"/>
      <c r="CE391" s="658"/>
      <c r="CF391" s="658"/>
      <c r="CG391" s="658"/>
      <c r="CH391" s="658"/>
      <c r="CI391" s="658"/>
      <c r="CJ391" s="658"/>
      <c r="CK391" s="658"/>
      <c r="CL391" s="658"/>
      <c r="CM391" s="658"/>
      <c r="CN391" s="658"/>
      <c r="CO391" s="658"/>
      <c r="CP391" s="658"/>
      <c r="CQ391" s="658"/>
      <c r="CR391" s="658"/>
      <c r="CS391" s="658"/>
      <c r="CT391" s="658"/>
      <c r="CU391" s="658"/>
      <c r="CV391" s="658"/>
      <c r="CW391" s="658"/>
      <c r="CX391" s="658"/>
      <c r="CY391" s="658"/>
      <c r="CZ391" s="658"/>
      <c r="DA391" s="658"/>
      <c r="DB391" s="658"/>
      <c r="DC391" s="658"/>
      <c r="DD391" s="658"/>
      <c r="DE391" s="658"/>
      <c r="DF391" s="658"/>
      <c r="DG391" s="658"/>
      <c r="DH391" s="658"/>
      <c r="DI391" s="658"/>
      <c r="DJ391" s="658"/>
      <c r="DK391" s="658"/>
      <c r="DL391" s="658"/>
      <c r="DM391" s="658"/>
      <c r="DN391" s="658"/>
      <c r="DO391" s="177">
        <f t="shared" si="2843"/>
        <v>0</v>
      </c>
      <c r="DP391" s="612" t="e">
        <f t="shared" si="2844"/>
        <v>#N/A</v>
      </c>
      <c r="DQ391" s="612" t="e">
        <f t="shared" si="2840"/>
        <v>#NUM!</v>
      </c>
      <c r="DR391" s="177"/>
      <c r="DS391" s="177"/>
      <c r="DT391" s="177"/>
      <c r="DU391" s="177"/>
      <c r="DV391" s="177"/>
      <c r="DW391" s="177"/>
      <c r="DX391" s="177"/>
      <c r="DY391" s="177"/>
      <c r="DZ391" s="177"/>
      <c r="EA391" s="613"/>
    </row>
    <row r="392" spans="1:131" ht="13.5">
      <c r="A392" s="652" t="str">
        <f t="shared" si="2836"/>
        <v>평가방법론</v>
      </c>
      <c r="B392" s="653" t="s">
        <v>7</v>
      </c>
      <c r="C392" s="786"/>
      <c r="D392" s="786"/>
      <c r="E392" s="786"/>
      <c r="F392" s="230"/>
      <c r="G392" s="230"/>
      <c r="I392" s="657">
        <f t="shared" si="2841"/>
        <v>0</v>
      </c>
      <c r="J392" s="606" t="str">
        <f>IFERROR(I392/(Q392/$C$390),"N/A")</f>
        <v>N/A</v>
      </c>
      <c r="K392" s="471"/>
      <c r="L392" s="607"/>
      <c r="M392" s="300"/>
      <c r="N392" s="608"/>
      <c r="O392" s="609">
        <f t="shared" si="2837"/>
        <v>0</v>
      </c>
      <c r="P392" s="609">
        <f t="shared" si="2838"/>
        <v>0</v>
      </c>
      <c r="Q392" s="609">
        <f t="shared" si="2839"/>
        <v>0</v>
      </c>
      <c r="R392" s="610" t="str">
        <f>IFERROR(Q392/Q396,"")</f>
        <v/>
      </c>
      <c r="S392" s="658"/>
      <c r="T392" s="658"/>
      <c r="U392" s="658"/>
      <c r="V392" s="658"/>
      <c r="W392" s="658"/>
      <c r="X392" s="658"/>
      <c r="Y392" s="658"/>
      <c r="Z392" s="658"/>
      <c r="AA392" s="658"/>
      <c r="AB392" s="658"/>
      <c r="AC392" s="658"/>
      <c r="AD392" s="658"/>
      <c r="AE392" s="658"/>
      <c r="AF392" s="658"/>
      <c r="AG392" s="658"/>
      <c r="AH392" s="658"/>
      <c r="AI392" s="658"/>
      <c r="AJ392" s="658"/>
      <c r="AK392" s="658"/>
      <c r="AL392" s="658"/>
      <c r="AM392" s="658"/>
      <c r="AN392" s="658"/>
      <c r="AO392" s="658"/>
      <c r="AP392" s="658"/>
      <c r="AQ392" s="658"/>
      <c r="AR392" s="658"/>
      <c r="AS392" s="658"/>
      <c r="AT392" s="658"/>
      <c r="AU392" s="658"/>
      <c r="AV392" s="658"/>
      <c r="AW392" s="658"/>
      <c r="AX392" s="658"/>
      <c r="AY392" s="658"/>
      <c r="AZ392" s="658"/>
      <c r="BA392" s="658"/>
      <c r="BB392" s="658"/>
      <c r="BC392" s="658"/>
      <c r="BD392" s="658"/>
      <c r="BE392" s="658"/>
      <c r="BF392" s="658"/>
      <c r="BG392" s="658"/>
      <c r="BH392" s="658"/>
      <c r="BI392" s="658"/>
      <c r="BJ392" s="658"/>
      <c r="BK392" s="658"/>
      <c r="BL392" s="658"/>
      <c r="BM392" s="658"/>
      <c r="BN392" s="658"/>
      <c r="BO392" s="658"/>
      <c r="BP392" s="658"/>
      <c r="BQ392" s="658"/>
      <c r="BR392" s="658"/>
      <c r="BS392" s="658"/>
      <c r="BT392" s="658"/>
      <c r="BU392" s="658"/>
      <c r="BV392" s="658"/>
      <c r="BW392" s="658"/>
      <c r="BX392" s="658"/>
      <c r="BY392" s="658"/>
      <c r="BZ392" s="658"/>
      <c r="CA392" s="658"/>
      <c r="CB392" s="658"/>
      <c r="CC392" s="658"/>
      <c r="CD392" s="658"/>
      <c r="CE392" s="658"/>
      <c r="CF392" s="658"/>
      <c r="CG392" s="658"/>
      <c r="CH392" s="658"/>
      <c r="CI392" s="658"/>
      <c r="CJ392" s="658"/>
      <c r="CK392" s="658"/>
      <c r="CL392" s="658"/>
      <c r="CM392" s="658"/>
      <c r="CN392" s="658"/>
      <c r="CO392" s="658"/>
      <c r="CP392" s="658"/>
      <c r="CQ392" s="658"/>
      <c r="CR392" s="658"/>
      <c r="CS392" s="658"/>
      <c r="CT392" s="658"/>
      <c r="CU392" s="658"/>
      <c r="CV392" s="658"/>
      <c r="CW392" s="658"/>
      <c r="CX392" s="658"/>
      <c r="CY392" s="658"/>
      <c r="CZ392" s="658"/>
      <c r="DA392" s="658"/>
      <c r="DB392" s="658"/>
      <c r="DC392" s="658"/>
      <c r="DD392" s="658"/>
      <c r="DE392" s="658"/>
      <c r="DF392" s="658"/>
      <c r="DG392" s="658"/>
      <c r="DH392" s="658"/>
      <c r="DI392" s="658"/>
      <c r="DJ392" s="658"/>
      <c r="DK392" s="658"/>
      <c r="DL392" s="658"/>
      <c r="DM392" s="658"/>
      <c r="DN392" s="658"/>
      <c r="DO392" s="177">
        <f t="shared" si="2843"/>
        <v>0</v>
      </c>
      <c r="DP392" s="612" t="e">
        <f t="shared" si="2844"/>
        <v>#N/A</v>
      </c>
      <c r="DQ392" s="612" t="e">
        <f t="shared" si="2840"/>
        <v>#NUM!</v>
      </c>
      <c r="DR392" s="177"/>
      <c r="DS392" s="177"/>
      <c r="DT392" s="177"/>
      <c r="DU392" s="177"/>
      <c r="DV392" s="177"/>
      <c r="DW392" s="177"/>
      <c r="DX392" s="177"/>
      <c r="DY392" s="177"/>
      <c r="DZ392" s="177"/>
      <c r="EA392" s="613"/>
    </row>
    <row r="393" spans="1:131" ht="13.5">
      <c r="A393" s="652" t="str">
        <f t="shared" si="2836"/>
        <v>분배 조항 여부</v>
      </c>
      <c r="B393" s="653" t="s">
        <v>355</v>
      </c>
      <c r="C393" s="786"/>
      <c r="D393" s="786"/>
      <c r="E393" s="786"/>
      <c r="F393" s="230"/>
      <c r="G393" s="230"/>
      <c r="I393" s="657">
        <f t="shared" si="2841"/>
        <v>0</v>
      </c>
      <c r="J393" s="606" t="str">
        <f t="shared" si="2842"/>
        <v>N/A</v>
      </c>
      <c r="K393" s="471"/>
      <c r="L393" s="607"/>
      <c r="M393" s="300"/>
      <c r="N393" s="608"/>
      <c r="O393" s="609">
        <f t="shared" si="2837"/>
        <v>0</v>
      </c>
      <c r="P393" s="609">
        <f t="shared" si="2838"/>
        <v>0</v>
      </c>
      <c r="Q393" s="609">
        <f t="shared" si="2839"/>
        <v>0</v>
      </c>
      <c r="R393" s="610" t="str">
        <f>IFERROR(Q393/Q396,"")</f>
        <v/>
      </c>
      <c r="S393" s="658"/>
      <c r="T393" s="658"/>
      <c r="U393" s="658"/>
      <c r="V393" s="658"/>
      <c r="W393" s="658"/>
      <c r="X393" s="658"/>
      <c r="Y393" s="658"/>
      <c r="Z393" s="658"/>
      <c r="AA393" s="658"/>
      <c r="AB393" s="658"/>
      <c r="AC393" s="658"/>
      <c r="AD393" s="658"/>
      <c r="AE393" s="658"/>
      <c r="AF393" s="658"/>
      <c r="AG393" s="658"/>
      <c r="AH393" s="658"/>
      <c r="AI393" s="658"/>
      <c r="AJ393" s="658"/>
      <c r="AK393" s="658"/>
      <c r="AL393" s="658"/>
      <c r="AM393" s="658"/>
      <c r="AN393" s="658"/>
      <c r="AO393" s="658"/>
      <c r="AP393" s="658"/>
      <c r="AQ393" s="658"/>
      <c r="AR393" s="658"/>
      <c r="AS393" s="658"/>
      <c r="AT393" s="658"/>
      <c r="AU393" s="658"/>
      <c r="AV393" s="658"/>
      <c r="AW393" s="658"/>
      <c r="AX393" s="658"/>
      <c r="AY393" s="658"/>
      <c r="AZ393" s="658"/>
      <c r="BA393" s="658"/>
      <c r="BB393" s="658"/>
      <c r="BC393" s="658"/>
      <c r="BD393" s="658"/>
      <c r="BE393" s="658"/>
      <c r="BF393" s="658"/>
      <c r="BG393" s="658"/>
      <c r="BH393" s="658"/>
      <c r="BI393" s="658"/>
      <c r="BJ393" s="658"/>
      <c r="BK393" s="658"/>
      <c r="BL393" s="658"/>
      <c r="BM393" s="658"/>
      <c r="BN393" s="658"/>
      <c r="BO393" s="658"/>
      <c r="BP393" s="658"/>
      <c r="BQ393" s="658"/>
      <c r="BR393" s="658"/>
      <c r="BS393" s="658"/>
      <c r="BT393" s="658"/>
      <c r="BU393" s="658"/>
      <c r="BV393" s="658"/>
      <c r="BW393" s="658"/>
      <c r="BX393" s="658"/>
      <c r="BY393" s="658"/>
      <c r="BZ393" s="658"/>
      <c r="CA393" s="658"/>
      <c r="CB393" s="658"/>
      <c r="CC393" s="658"/>
      <c r="CD393" s="658"/>
      <c r="CE393" s="658"/>
      <c r="CF393" s="658"/>
      <c r="CG393" s="658"/>
      <c r="CH393" s="658"/>
      <c r="CI393" s="658"/>
      <c r="CJ393" s="658"/>
      <c r="CK393" s="658"/>
      <c r="CL393" s="658"/>
      <c r="CM393" s="658"/>
      <c r="CN393" s="658"/>
      <c r="CO393" s="658"/>
      <c r="CP393" s="658"/>
      <c r="CQ393" s="658"/>
      <c r="CR393" s="658"/>
      <c r="CS393" s="658"/>
      <c r="CT393" s="658"/>
      <c r="CU393" s="658"/>
      <c r="CV393" s="658"/>
      <c r="CW393" s="658"/>
      <c r="CX393" s="658"/>
      <c r="CY393" s="658"/>
      <c r="CZ393" s="658"/>
      <c r="DA393" s="658"/>
      <c r="DB393" s="658"/>
      <c r="DC393" s="658"/>
      <c r="DD393" s="658"/>
      <c r="DE393" s="658"/>
      <c r="DF393" s="658"/>
      <c r="DG393" s="658"/>
      <c r="DH393" s="658"/>
      <c r="DI393" s="658"/>
      <c r="DJ393" s="658"/>
      <c r="DK393" s="658"/>
      <c r="DL393" s="658"/>
      <c r="DM393" s="658"/>
      <c r="DN393" s="658"/>
      <c r="DO393" s="177">
        <f t="shared" si="2843"/>
        <v>0</v>
      </c>
      <c r="DP393" s="612" t="e">
        <f t="shared" si="2844"/>
        <v>#N/A</v>
      </c>
      <c r="DQ393" s="612" t="e">
        <f t="shared" si="2840"/>
        <v>#NUM!</v>
      </c>
      <c r="DR393" s="177"/>
      <c r="DS393" s="177"/>
      <c r="DT393" s="177"/>
      <c r="DU393" s="177"/>
      <c r="DV393" s="177"/>
      <c r="DW393" s="177"/>
      <c r="DX393" s="177"/>
      <c r="DY393" s="177"/>
      <c r="DZ393" s="177"/>
      <c r="EA393" s="613"/>
    </row>
    <row r="394" spans="1:131" ht="14.25" thickBot="1">
      <c r="A394" s="652" t="str">
        <f t="shared" si="2836"/>
        <v>모펀드 출자 지분율</v>
      </c>
      <c r="B394" s="660" t="s">
        <v>356</v>
      </c>
      <c r="C394" s="787"/>
      <c r="D394" s="787"/>
      <c r="E394" s="787"/>
      <c r="F394" s="230"/>
      <c r="G394" s="230"/>
      <c r="I394" s="657">
        <f t="shared" si="2841"/>
        <v>0</v>
      </c>
      <c r="J394" s="606" t="str">
        <f t="shared" si="2842"/>
        <v>N/A</v>
      </c>
      <c r="K394" s="471"/>
      <c r="L394" s="607"/>
      <c r="M394" s="300"/>
      <c r="N394" s="608"/>
      <c r="O394" s="609">
        <f t="shared" si="2837"/>
        <v>0</v>
      </c>
      <c r="P394" s="609">
        <f t="shared" si="2838"/>
        <v>0</v>
      </c>
      <c r="Q394" s="609">
        <f t="shared" si="2839"/>
        <v>0</v>
      </c>
      <c r="R394" s="610" t="str">
        <f>IFERROR(Q394/Q396,"")</f>
        <v/>
      </c>
      <c r="S394" s="658"/>
      <c r="T394" s="658"/>
      <c r="U394" s="658"/>
      <c r="V394" s="658"/>
      <c r="W394" s="658"/>
      <c r="X394" s="658"/>
      <c r="Y394" s="658"/>
      <c r="Z394" s="658"/>
      <c r="AA394" s="658"/>
      <c r="AB394" s="658"/>
      <c r="AC394" s="658"/>
      <c r="AD394" s="658"/>
      <c r="AE394" s="658"/>
      <c r="AF394" s="658"/>
      <c r="AG394" s="658"/>
      <c r="AH394" s="658"/>
      <c r="AI394" s="658"/>
      <c r="AJ394" s="658"/>
      <c r="AK394" s="658"/>
      <c r="AL394" s="658"/>
      <c r="AM394" s="658"/>
      <c r="AN394" s="658"/>
      <c r="AO394" s="658"/>
      <c r="AP394" s="658"/>
      <c r="AQ394" s="658"/>
      <c r="AR394" s="658"/>
      <c r="AS394" s="658"/>
      <c r="AT394" s="658"/>
      <c r="AU394" s="658"/>
      <c r="AV394" s="658"/>
      <c r="AW394" s="658"/>
      <c r="AX394" s="658"/>
      <c r="AY394" s="658"/>
      <c r="AZ394" s="658"/>
      <c r="BA394" s="658"/>
      <c r="BB394" s="658"/>
      <c r="BC394" s="658"/>
      <c r="BD394" s="658"/>
      <c r="BE394" s="658"/>
      <c r="BF394" s="658"/>
      <c r="BG394" s="658"/>
      <c r="BH394" s="658"/>
      <c r="BI394" s="658"/>
      <c r="BJ394" s="658"/>
      <c r="BK394" s="658"/>
      <c r="BL394" s="658"/>
      <c r="BM394" s="658"/>
      <c r="BN394" s="658"/>
      <c r="BO394" s="658"/>
      <c r="BP394" s="658"/>
      <c r="BQ394" s="658"/>
      <c r="BR394" s="658"/>
      <c r="BS394" s="658"/>
      <c r="BT394" s="658"/>
      <c r="BU394" s="658"/>
      <c r="BV394" s="658"/>
      <c r="BW394" s="658"/>
      <c r="BX394" s="658"/>
      <c r="BY394" s="658"/>
      <c r="BZ394" s="658"/>
      <c r="CA394" s="658"/>
      <c r="CB394" s="658"/>
      <c r="CC394" s="658"/>
      <c r="CD394" s="658"/>
      <c r="CE394" s="658"/>
      <c r="CF394" s="658"/>
      <c r="CG394" s="658"/>
      <c r="CH394" s="658"/>
      <c r="CI394" s="658"/>
      <c r="CJ394" s="658"/>
      <c r="CK394" s="658"/>
      <c r="CL394" s="658"/>
      <c r="CM394" s="658"/>
      <c r="CN394" s="658"/>
      <c r="CO394" s="658"/>
      <c r="CP394" s="658"/>
      <c r="CQ394" s="658"/>
      <c r="CR394" s="658"/>
      <c r="CS394" s="658"/>
      <c r="CT394" s="658"/>
      <c r="CU394" s="658"/>
      <c r="CV394" s="658"/>
      <c r="CW394" s="658"/>
      <c r="CX394" s="658"/>
      <c r="CY394" s="658"/>
      <c r="CZ394" s="658"/>
      <c r="DA394" s="658"/>
      <c r="DB394" s="658"/>
      <c r="DC394" s="658"/>
      <c r="DD394" s="658"/>
      <c r="DE394" s="658"/>
      <c r="DF394" s="658"/>
      <c r="DG394" s="658"/>
      <c r="DH394" s="658"/>
      <c r="DI394" s="658"/>
      <c r="DJ394" s="658"/>
      <c r="DK394" s="658"/>
      <c r="DL394" s="658"/>
      <c r="DM394" s="658"/>
      <c r="DN394" s="658"/>
      <c r="DO394" s="177">
        <f t="shared" si="2843"/>
        <v>0</v>
      </c>
      <c r="DP394" s="612" t="e">
        <f t="shared" si="2844"/>
        <v>#N/A</v>
      </c>
      <c r="DQ394" s="612" t="e">
        <f t="shared" si="2840"/>
        <v>#NUM!</v>
      </c>
      <c r="DR394" s="177"/>
      <c r="DS394" s="177"/>
      <c r="DT394" s="177"/>
      <c r="DU394" s="177"/>
      <c r="DV394" s="177"/>
      <c r="DW394" s="177"/>
      <c r="DX394" s="177"/>
      <c r="DY394" s="177"/>
      <c r="DZ394" s="177"/>
      <c r="EA394" s="613"/>
    </row>
    <row r="395" spans="1:131" ht="14.25" thickBot="1">
      <c r="B395" s="778" t="s">
        <v>3404</v>
      </c>
      <c r="C395" s="616" t="s">
        <v>223</v>
      </c>
      <c r="D395" s="616" t="s">
        <v>224</v>
      </c>
      <c r="E395" s="616" t="s">
        <v>225</v>
      </c>
      <c r="F395" s="230"/>
      <c r="G395" s="230"/>
      <c r="I395" s="657">
        <f t="shared" si="2841"/>
        <v>0</v>
      </c>
      <c r="J395" s="606" t="str">
        <f t="shared" si="2842"/>
        <v>N/A</v>
      </c>
      <c r="K395" s="471"/>
      <c r="L395" s="607"/>
      <c r="M395" s="300"/>
      <c r="N395" s="608"/>
      <c r="O395" s="609">
        <f t="shared" si="2837"/>
        <v>0</v>
      </c>
      <c r="P395" s="609">
        <f t="shared" si="2838"/>
        <v>0</v>
      </c>
      <c r="Q395" s="609">
        <f t="shared" si="2839"/>
        <v>0</v>
      </c>
      <c r="R395" s="610" t="str">
        <f>IFERROR(Q395/Q396,"")</f>
        <v/>
      </c>
      <c r="S395" s="658"/>
      <c r="T395" s="658"/>
      <c r="U395" s="658"/>
      <c r="V395" s="658"/>
      <c r="W395" s="658"/>
      <c r="X395" s="658"/>
      <c r="Y395" s="658"/>
      <c r="Z395" s="658"/>
      <c r="AA395" s="658"/>
      <c r="AB395" s="658"/>
      <c r="AC395" s="658"/>
      <c r="AD395" s="658"/>
      <c r="AE395" s="658"/>
      <c r="AF395" s="658"/>
      <c r="AG395" s="658"/>
      <c r="AH395" s="658"/>
      <c r="AI395" s="658"/>
      <c r="AJ395" s="658"/>
      <c r="AK395" s="658"/>
      <c r="AL395" s="658"/>
      <c r="AM395" s="658"/>
      <c r="AN395" s="658"/>
      <c r="AO395" s="658"/>
      <c r="AP395" s="658"/>
      <c r="AQ395" s="658"/>
      <c r="AR395" s="658"/>
      <c r="AS395" s="658"/>
      <c r="AT395" s="658"/>
      <c r="AU395" s="658"/>
      <c r="AV395" s="658"/>
      <c r="AW395" s="658"/>
      <c r="AX395" s="658"/>
      <c r="AY395" s="658"/>
      <c r="AZ395" s="658"/>
      <c r="BA395" s="658"/>
      <c r="BB395" s="658"/>
      <c r="BC395" s="658"/>
      <c r="BD395" s="658"/>
      <c r="BE395" s="658"/>
      <c r="BF395" s="658"/>
      <c r="BG395" s="658"/>
      <c r="BH395" s="658"/>
      <c r="BI395" s="658"/>
      <c r="BJ395" s="658"/>
      <c r="BK395" s="658"/>
      <c r="BL395" s="658"/>
      <c r="BM395" s="658"/>
      <c r="BN395" s="658"/>
      <c r="BO395" s="658"/>
      <c r="BP395" s="658"/>
      <c r="BQ395" s="658"/>
      <c r="BR395" s="658"/>
      <c r="BS395" s="658"/>
      <c r="BT395" s="658"/>
      <c r="BU395" s="658"/>
      <c r="BV395" s="658"/>
      <c r="BW395" s="658"/>
      <c r="BX395" s="658"/>
      <c r="BY395" s="658"/>
      <c r="BZ395" s="658"/>
      <c r="CA395" s="658"/>
      <c r="CB395" s="658"/>
      <c r="CC395" s="658"/>
      <c r="CD395" s="658"/>
      <c r="CE395" s="658"/>
      <c r="CF395" s="658"/>
      <c r="CG395" s="658"/>
      <c r="CH395" s="658"/>
      <c r="CI395" s="658"/>
      <c r="CJ395" s="658"/>
      <c r="CK395" s="658"/>
      <c r="CL395" s="658"/>
      <c r="CM395" s="658"/>
      <c r="CN395" s="658"/>
      <c r="CO395" s="658"/>
      <c r="CP395" s="658"/>
      <c r="CQ395" s="658"/>
      <c r="CR395" s="658"/>
      <c r="CS395" s="658"/>
      <c r="CT395" s="658"/>
      <c r="CU395" s="658"/>
      <c r="CV395" s="658"/>
      <c r="CW395" s="658"/>
      <c r="CX395" s="658"/>
      <c r="CY395" s="658"/>
      <c r="CZ395" s="658"/>
      <c r="DA395" s="658"/>
      <c r="DB395" s="658"/>
      <c r="DC395" s="658"/>
      <c r="DD395" s="658"/>
      <c r="DE395" s="658"/>
      <c r="DF395" s="658"/>
      <c r="DG395" s="658"/>
      <c r="DH395" s="658"/>
      <c r="DI395" s="658"/>
      <c r="DJ395" s="658"/>
      <c r="DK395" s="658"/>
      <c r="DL395" s="658"/>
      <c r="DM395" s="658"/>
      <c r="DN395" s="658"/>
      <c r="DO395" s="177">
        <f t="shared" si="2843"/>
        <v>0</v>
      </c>
      <c r="DP395" s="612" t="e">
        <f t="shared" si="2844"/>
        <v>#N/A</v>
      </c>
      <c r="DQ395" s="612" t="e">
        <f t="shared" si="2840"/>
        <v>#NUM!</v>
      </c>
      <c r="DR395" s="177"/>
      <c r="DS395" s="177"/>
      <c r="DT395" s="177"/>
      <c r="DU395" s="177"/>
      <c r="DV395" s="177"/>
      <c r="DW395" s="177"/>
      <c r="DX395" s="177"/>
      <c r="DY395" s="177"/>
      <c r="DZ395" s="177"/>
      <c r="EA395" s="613"/>
    </row>
    <row r="396" spans="1:131" ht="14.25" thickBot="1">
      <c r="A396" s="317"/>
      <c r="B396" s="779"/>
      <c r="C396" s="661"/>
      <c r="D396" s="661"/>
      <c r="E396" s="661"/>
      <c r="F396" s="662"/>
      <c r="G396" s="662"/>
      <c r="H396" s="317"/>
      <c r="I396" s="634">
        <f>SUM(I388:I395)</f>
        <v>0</v>
      </c>
      <c r="J396" s="663"/>
      <c r="K396" s="664"/>
      <c r="L396" s="664"/>
      <c r="M396" s="664"/>
      <c r="N396" s="634">
        <f t="shared" ref="N396:R396" si="2845">SUM(N388:N395)</f>
        <v>0</v>
      </c>
      <c r="O396" s="634">
        <f t="shared" si="2845"/>
        <v>0</v>
      </c>
      <c r="P396" s="634">
        <f t="shared" si="2845"/>
        <v>0</v>
      </c>
      <c r="Q396" s="634">
        <f t="shared" si="2845"/>
        <v>0</v>
      </c>
      <c r="R396" s="665">
        <f t="shared" si="2845"/>
        <v>0</v>
      </c>
      <c r="S396" s="634">
        <f>SUM(S388:S395)</f>
        <v>0</v>
      </c>
      <c r="T396" s="634">
        <f t="shared" ref="T396" si="2846">SUM(T388:T395)</f>
        <v>0</v>
      </c>
      <c r="U396" s="634">
        <f t="shared" ref="U396" si="2847">SUM(U388:U395)</f>
        <v>0</v>
      </c>
      <c r="V396" s="634">
        <f t="shared" ref="V396" si="2848">SUM(V388:V395)</f>
        <v>0</v>
      </c>
      <c r="W396" s="634">
        <f t="shared" ref="W396" si="2849">SUM(W388:W395)</f>
        <v>0</v>
      </c>
      <c r="X396" s="634">
        <f t="shared" ref="X396" si="2850">SUM(X388:X395)</f>
        <v>0</v>
      </c>
      <c r="Y396" s="634">
        <f t="shared" ref="Y396" si="2851">SUM(Y388:Y395)</f>
        <v>0</v>
      </c>
      <c r="Z396" s="634">
        <f t="shared" ref="Z396" si="2852">SUM(Z388:Z395)</f>
        <v>0</v>
      </c>
      <c r="AA396" s="634">
        <f t="shared" ref="AA396" si="2853">SUM(AA388:AA395)</f>
        <v>0</v>
      </c>
      <c r="AB396" s="634">
        <f t="shared" ref="AB396" si="2854">SUM(AB388:AB395)</f>
        <v>0</v>
      </c>
      <c r="AC396" s="634">
        <f t="shared" ref="AC396" si="2855">SUM(AC388:AC395)</f>
        <v>0</v>
      </c>
      <c r="AD396" s="634">
        <f t="shared" ref="AD396" si="2856">SUM(AD388:AD395)</f>
        <v>0</v>
      </c>
      <c r="AE396" s="634">
        <f t="shared" ref="AE396" si="2857">SUM(AE388:AE395)</f>
        <v>0</v>
      </c>
      <c r="AF396" s="634">
        <f t="shared" ref="AF396" si="2858">SUM(AF388:AF395)</f>
        <v>0</v>
      </c>
      <c r="AG396" s="634">
        <f t="shared" ref="AG396" si="2859">SUM(AG388:AG395)</f>
        <v>0</v>
      </c>
      <c r="AH396" s="634">
        <f t="shared" ref="AH396" si="2860">SUM(AH388:AH395)</f>
        <v>0</v>
      </c>
      <c r="AI396" s="634">
        <f t="shared" ref="AI396" si="2861">SUM(AI388:AI395)</f>
        <v>0</v>
      </c>
      <c r="AJ396" s="634">
        <f t="shared" ref="AJ396" si="2862">SUM(AJ388:AJ395)</f>
        <v>0</v>
      </c>
      <c r="AK396" s="634">
        <f t="shared" ref="AK396" si="2863">SUM(AK388:AK395)</f>
        <v>0</v>
      </c>
      <c r="AL396" s="634">
        <f t="shared" ref="AL396" si="2864">SUM(AL388:AL395)</f>
        <v>0</v>
      </c>
      <c r="AM396" s="634">
        <f t="shared" ref="AM396" si="2865">SUM(AM388:AM395)</f>
        <v>0</v>
      </c>
      <c r="AN396" s="634">
        <f t="shared" ref="AN396" si="2866">SUM(AN388:AN395)</f>
        <v>0</v>
      </c>
      <c r="AO396" s="634">
        <f t="shared" ref="AO396" si="2867">SUM(AO388:AO395)</f>
        <v>0</v>
      </c>
      <c r="AP396" s="634">
        <f t="shared" ref="AP396" si="2868">SUM(AP388:AP395)</f>
        <v>0</v>
      </c>
      <c r="AQ396" s="634">
        <f t="shared" ref="AQ396" si="2869">SUM(AQ388:AQ395)</f>
        <v>0</v>
      </c>
      <c r="AR396" s="634">
        <f t="shared" ref="AR396" si="2870">SUM(AR388:AR395)</f>
        <v>0</v>
      </c>
      <c r="AS396" s="634">
        <f t="shared" ref="AS396" si="2871">SUM(AS388:AS395)</f>
        <v>0</v>
      </c>
      <c r="AT396" s="634">
        <f t="shared" ref="AT396" si="2872">SUM(AT388:AT395)</f>
        <v>0</v>
      </c>
      <c r="AU396" s="634">
        <f t="shared" ref="AU396" si="2873">SUM(AU388:AU395)</f>
        <v>0</v>
      </c>
      <c r="AV396" s="634">
        <f t="shared" ref="AV396" si="2874">SUM(AV388:AV395)</f>
        <v>0</v>
      </c>
      <c r="AW396" s="634">
        <f t="shared" ref="AW396" si="2875">SUM(AW388:AW395)</f>
        <v>0</v>
      </c>
      <c r="AX396" s="634">
        <f t="shared" ref="AX396" si="2876">SUM(AX388:AX395)</f>
        <v>0</v>
      </c>
      <c r="AY396" s="634">
        <f t="shared" ref="AY396" si="2877">SUM(AY388:AY395)</f>
        <v>0</v>
      </c>
      <c r="AZ396" s="634">
        <f t="shared" ref="AZ396" si="2878">SUM(AZ388:AZ395)</f>
        <v>0</v>
      </c>
      <c r="BA396" s="634">
        <f t="shared" ref="BA396" si="2879">SUM(BA388:BA395)</f>
        <v>0</v>
      </c>
      <c r="BB396" s="634">
        <f t="shared" ref="BB396" si="2880">SUM(BB388:BB395)</f>
        <v>0</v>
      </c>
      <c r="BC396" s="634">
        <f t="shared" ref="BC396" si="2881">SUM(BC388:BC395)</f>
        <v>0</v>
      </c>
      <c r="BD396" s="634">
        <f t="shared" ref="BD396" si="2882">SUM(BD388:BD395)</f>
        <v>0</v>
      </c>
      <c r="BE396" s="634">
        <f t="shared" ref="BE396" si="2883">SUM(BE388:BE395)</f>
        <v>0</v>
      </c>
      <c r="BF396" s="634">
        <f t="shared" ref="BF396" si="2884">SUM(BF388:BF395)</f>
        <v>0</v>
      </c>
      <c r="BG396" s="634">
        <f t="shared" ref="BG396" si="2885">SUM(BG388:BG395)</f>
        <v>0</v>
      </c>
      <c r="BH396" s="634">
        <f t="shared" ref="BH396" si="2886">SUM(BH388:BH395)</f>
        <v>0</v>
      </c>
      <c r="BI396" s="634">
        <f t="shared" ref="BI396" si="2887">SUM(BI388:BI395)</f>
        <v>0</v>
      </c>
      <c r="BJ396" s="634">
        <f t="shared" ref="BJ396" si="2888">SUM(BJ388:BJ395)</f>
        <v>0</v>
      </c>
      <c r="BK396" s="634">
        <f t="shared" ref="BK396" si="2889">SUM(BK388:BK395)</f>
        <v>0</v>
      </c>
      <c r="BL396" s="634">
        <f t="shared" ref="BL396" si="2890">SUM(BL388:BL395)</f>
        <v>0</v>
      </c>
      <c r="BM396" s="634">
        <f t="shared" ref="BM396" si="2891">SUM(BM388:BM395)</f>
        <v>0</v>
      </c>
      <c r="BN396" s="634">
        <f t="shared" ref="BN396" si="2892">SUM(BN388:BN395)</f>
        <v>0</v>
      </c>
      <c r="BO396" s="634">
        <f t="shared" ref="BO396" si="2893">SUM(BO388:BO395)</f>
        <v>0</v>
      </c>
      <c r="BP396" s="634">
        <f t="shared" ref="BP396" si="2894">SUM(BP388:BP395)</f>
        <v>0</v>
      </c>
      <c r="BQ396" s="634">
        <f t="shared" ref="BQ396" si="2895">SUM(BQ388:BQ395)</f>
        <v>0</v>
      </c>
      <c r="BR396" s="634">
        <f t="shared" ref="BR396" si="2896">SUM(BR388:BR395)</f>
        <v>0</v>
      </c>
      <c r="BS396" s="634">
        <f t="shared" ref="BS396" si="2897">SUM(BS388:BS395)</f>
        <v>0</v>
      </c>
      <c r="BT396" s="634">
        <f t="shared" ref="BT396" si="2898">SUM(BT388:BT395)</f>
        <v>0</v>
      </c>
      <c r="BU396" s="634">
        <f t="shared" ref="BU396" si="2899">SUM(BU388:BU395)</f>
        <v>0</v>
      </c>
      <c r="BV396" s="634">
        <f t="shared" ref="BV396" si="2900">SUM(BV388:BV395)</f>
        <v>0</v>
      </c>
      <c r="BW396" s="634">
        <f t="shared" ref="BW396" si="2901">SUM(BW388:BW395)</f>
        <v>0</v>
      </c>
      <c r="BX396" s="634">
        <f t="shared" ref="BX396" si="2902">SUM(BX388:BX395)</f>
        <v>0</v>
      </c>
      <c r="BY396" s="634">
        <f t="shared" ref="BY396" si="2903">SUM(BY388:BY395)</f>
        <v>0</v>
      </c>
      <c r="BZ396" s="634">
        <f t="shared" ref="BZ396" si="2904">SUM(BZ388:BZ395)</f>
        <v>0</v>
      </c>
      <c r="CA396" s="634">
        <f t="shared" ref="CA396" si="2905">SUM(CA388:CA395)</f>
        <v>0</v>
      </c>
      <c r="CB396" s="634">
        <f t="shared" ref="CB396" si="2906">SUM(CB388:CB395)</f>
        <v>0</v>
      </c>
      <c r="CC396" s="634">
        <f t="shared" ref="CC396" si="2907">SUM(CC388:CC395)</f>
        <v>0</v>
      </c>
      <c r="CD396" s="634">
        <f t="shared" ref="CD396" si="2908">SUM(CD388:CD395)</f>
        <v>0</v>
      </c>
      <c r="CE396" s="634">
        <f t="shared" ref="CE396" si="2909">SUM(CE388:CE395)</f>
        <v>0</v>
      </c>
      <c r="CF396" s="634">
        <f t="shared" ref="CF396" si="2910">SUM(CF388:CF395)</f>
        <v>0</v>
      </c>
      <c r="CG396" s="634">
        <f t="shared" ref="CG396" si="2911">SUM(CG388:CG395)</f>
        <v>0</v>
      </c>
      <c r="CH396" s="634">
        <f t="shared" ref="CH396" si="2912">SUM(CH388:CH395)</f>
        <v>0</v>
      </c>
      <c r="CI396" s="634">
        <f t="shared" ref="CI396" si="2913">SUM(CI388:CI395)</f>
        <v>0</v>
      </c>
      <c r="CJ396" s="634">
        <f t="shared" ref="CJ396" si="2914">SUM(CJ388:CJ395)</f>
        <v>0</v>
      </c>
      <c r="CK396" s="634">
        <f t="shared" ref="CK396" si="2915">SUM(CK388:CK395)</f>
        <v>0</v>
      </c>
      <c r="CL396" s="634">
        <f t="shared" ref="CL396" si="2916">SUM(CL388:CL395)</f>
        <v>0</v>
      </c>
      <c r="CM396" s="634">
        <f t="shared" ref="CM396" si="2917">SUM(CM388:CM395)</f>
        <v>0</v>
      </c>
      <c r="CN396" s="634">
        <f t="shared" ref="CN396" si="2918">SUM(CN388:CN395)</f>
        <v>0</v>
      </c>
      <c r="CO396" s="634">
        <f t="shared" ref="CO396" si="2919">SUM(CO388:CO395)</f>
        <v>0</v>
      </c>
      <c r="CP396" s="634">
        <f t="shared" ref="CP396" si="2920">SUM(CP388:CP395)</f>
        <v>0</v>
      </c>
      <c r="CQ396" s="634">
        <f t="shared" ref="CQ396" si="2921">SUM(CQ388:CQ395)</f>
        <v>0</v>
      </c>
      <c r="CR396" s="634">
        <f t="shared" ref="CR396" si="2922">SUM(CR388:CR395)</f>
        <v>0</v>
      </c>
      <c r="CS396" s="634">
        <f t="shared" ref="CS396" si="2923">SUM(CS388:CS395)</f>
        <v>0</v>
      </c>
      <c r="CT396" s="634">
        <f t="shared" ref="CT396" si="2924">SUM(CT388:CT395)</f>
        <v>0</v>
      </c>
      <c r="CU396" s="634">
        <f t="shared" ref="CU396" si="2925">SUM(CU388:CU395)</f>
        <v>0</v>
      </c>
      <c r="CV396" s="634">
        <f t="shared" ref="CV396" si="2926">SUM(CV388:CV395)</f>
        <v>0</v>
      </c>
      <c r="CW396" s="634">
        <f t="shared" ref="CW396" si="2927">SUM(CW388:CW395)</f>
        <v>0</v>
      </c>
      <c r="CX396" s="634">
        <f t="shared" ref="CX396" si="2928">SUM(CX388:CX395)</f>
        <v>0</v>
      </c>
      <c r="CY396" s="634">
        <f t="shared" ref="CY396" si="2929">SUM(CY388:CY395)</f>
        <v>0</v>
      </c>
      <c r="CZ396" s="634">
        <f t="shared" ref="CZ396" si="2930">SUM(CZ388:CZ395)</f>
        <v>0</v>
      </c>
      <c r="DA396" s="634">
        <f t="shared" ref="DA396" si="2931">SUM(DA388:DA395)</f>
        <v>0</v>
      </c>
      <c r="DB396" s="634">
        <f t="shared" ref="DB396" si="2932">SUM(DB388:DB395)</f>
        <v>0</v>
      </c>
      <c r="DC396" s="634">
        <f t="shared" ref="DC396" si="2933">SUM(DC388:DC395)</f>
        <v>0</v>
      </c>
      <c r="DD396" s="634">
        <f t="shared" ref="DD396" si="2934">SUM(DD388:DD395)</f>
        <v>0</v>
      </c>
      <c r="DE396" s="634">
        <f t="shared" ref="DE396" si="2935">SUM(DE388:DE395)</f>
        <v>0</v>
      </c>
      <c r="DF396" s="634">
        <f t="shared" ref="DF396" si="2936">SUM(DF388:DF395)</f>
        <v>0</v>
      </c>
      <c r="DG396" s="634">
        <f t="shared" ref="DG396" si="2937">SUM(DG388:DG395)</f>
        <v>0</v>
      </c>
      <c r="DH396" s="634">
        <f t="shared" ref="DH396" si="2938">SUM(DH388:DH395)</f>
        <v>0</v>
      </c>
      <c r="DI396" s="634">
        <f t="shared" ref="DI396" si="2939">SUM(DI388:DI395)</f>
        <v>0</v>
      </c>
      <c r="DJ396" s="634">
        <f t="shared" ref="DJ396" si="2940">SUM(DJ388:DJ395)</f>
        <v>0</v>
      </c>
      <c r="DK396" s="634">
        <f t="shared" ref="DK396" si="2941">SUM(DK388:DK395)</f>
        <v>0</v>
      </c>
      <c r="DL396" s="634">
        <f t="shared" ref="DL396" si="2942">SUM(DL388:DL395)</f>
        <v>0</v>
      </c>
      <c r="DM396" s="634">
        <f t="shared" ref="DM396" si="2943">SUM(DM388:DM395)</f>
        <v>0</v>
      </c>
      <c r="DN396" s="634">
        <f t="shared" ref="DN396" si="2944">SUM(DN388:DN395)</f>
        <v>0</v>
      </c>
      <c r="DO396" s="634">
        <f t="shared" ref="DO396" si="2945">SUM(DO388:DO395)</f>
        <v>0</v>
      </c>
      <c r="DP396" s="666"/>
      <c r="DQ396" s="638" t="e">
        <f>XIRR(S396:DO396,$S$387:$DO$387)</f>
        <v>#NUM!</v>
      </c>
      <c r="DR396" s="636">
        <f t="shared" ref="DR396:DX396" si="2946">SUM(DR388:DR395)</f>
        <v>0</v>
      </c>
      <c r="DS396" s="636">
        <f t="shared" si="2946"/>
        <v>0</v>
      </c>
      <c r="DT396" s="636">
        <f t="shared" si="2946"/>
        <v>0</v>
      </c>
      <c r="DU396" s="636">
        <f t="shared" si="2946"/>
        <v>0</v>
      </c>
      <c r="DV396" s="636">
        <f t="shared" si="2946"/>
        <v>0</v>
      </c>
      <c r="DW396" s="636">
        <f t="shared" si="2946"/>
        <v>0</v>
      </c>
      <c r="DX396" s="636">
        <f t="shared" si="2946"/>
        <v>0</v>
      </c>
      <c r="DY396" s="636">
        <f>SUM(DY388:DY395)</f>
        <v>0</v>
      </c>
      <c r="DZ396" s="636">
        <f>SUM(DZ388:DZ395)</f>
        <v>0</v>
      </c>
      <c r="EA396" s="636">
        <f>SUM(EA388:EA395)</f>
        <v>0</v>
      </c>
    </row>
    <row r="397" spans="1:131" ht="14.25" thickBot="1">
      <c r="A397" s="172"/>
      <c r="B397" s="667"/>
      <c r="C397" s="592" t="s">
        <v>3609</v>
      </c>
      <c r="D397" s="648">
        <f>D385+1</f>
        <v>29</v>
      </c>
      <c r="E397" s="649"/>
      <c r="F397" s="603"/>
      <c r="G397" s="603"/>
      <c r="I397" s="650" t="b">
        <f>I408=DR399</f>
        <v>1</v>
      </c>
      <c r="J397" s="172"/>
      <c r="K397" s="172"/>
      <c r="L397" s="172"/>
      <c r="M397" s="172"/>
      <c r="N397" s="172"/>
      <c r="O397" s="172"/>
      <c r="P397" s="172"/>
      <c r="Q397" s="639" t="str">
        <f>IF(Q408=NAV!E1283,"자본금과 일치","자본금과 불일치")</f>
        <v>자본금과 일치</v>
      </c>
      <c r="R397" s="172"/>
      <c r="S397" s="172"/>
      <c r="T397" s="172"/>
      <c r="U397" s="172"/>
      <c r="V397" s="172"/>
      <c r="W397" s="172"/>
      <c r="X397" s="172"/>
      <c r="Y397" s="172"/>
      <c r="Z397" s="172"/>
      <c r="AA397" s="172"/>
      <c r="AB397" s="172"/>
      <c r="AC397" s="172"/>
      <c r="AD397" s="172"/>
      <c r="AE397" s="172"/>
      <c r="AF397" s="172"/>
      <c r="AG397" s="172"/>
      <c r="AH397" s="172"/>
      <c r="AI397" s="172"/>
      <c r="AJ397" s="172"/>
      <c r="AK397" s="172"/>
      <c r="AL397" s="172"/>
      <c r="AM397" s="172"/>
      <c r="AN397" s="172"/>
      <c r="AO397" s="172"/>
      <c r="AP397" s="172"/>
      <c r="AQ397" s="172"/>
      <c r="AR397" s="172"/>
      <c r="AS397" s="172"/>
      <c r="AT397" s="172"/>
      <c r="AU397" s="172"/>
      <c r="AV397" s="172"/>
      <c r="AW397" s="172"/>
      <c r="AX397" s="172"/>
      <c r="AY397" s="172"/>
      <c r="AZ397" s="172"/>
      <c r="BA397" s="172"/>
      <c r="BB397" s="172"/>
      <c r="BC397" s="172"/>
      <c r="BD397" s="172"/>
      <c r="BE397" s="172"/>
      <c r="BF397" s="172"/>
      <c r="BG397" s="172"/>
      <c r="BH397" s="172"/>
      <c r="BI397" s="172"/>
      <c r="BJ397" s="172"/>
      <c r="BK397" s="172"/>
      <c r="BL397" s="172"/>
      <c r="BM397" s="172"/>
      <c r="BN397" s="172"/>
      <c r="BO397" s="172"/>
      <c r="BP397" s="172"/>
      <c r="BQ397" s="172"/>
      <c r="BR397" s="172"/>
      <c r="BS397" s="172"/>
      <c r="BT397" s="172"/>
      <c r="BU397" s="172"/>
      <c r="BV397" s="172"/>
      <c r="BW397" s="172"/>
      <c r="BX397" s="172"/>
      <c r="BY397" s="172"/>
      <c r="BZ397" s="172"/>
      <c r="CA397" s="172"/>
      <c r="CB397" s="172"/>
      <c r="CC397" s="172"/>
      <c r="CD397" s="172"/>
      <c r="CE397" s="172"/>
      <c r="CF397" s="172"/>
      <c r="CG397" s="172"/>
      <c r="CH397" s="172"/>
      <c r="CI397" s="172"/>
      <c r="CJ397" s="172"/>
      <c r="CK397" s="172"/>
      <c r="CL397" s="172"/>
      <c r="CM397" s="172"/>
      <c r="CN397" s="172"/>
      <c r="CO397" s="172"/>
      <c r="CP397" s="172"/>
      <c r="CQ397" s="172"/>
      <c r="CR397" s="172"/>
      <c r="CS397" s="172"/>
      <c r="CT397" s="172"/>
      <c r="CU397" s="172"/>
      <c r="CV397" s="172"/>
      <c r="CW397" s="172"/>
      <c r="CX397" s="172"/>
      <c r="CY397" s="172"/>
      <c r="CZ397" s="172"/>
      <c r="DA397" s="172"/>
      <c r="DB397" s="172"/>
      <c r="DC397" s="172"/>
      <c r="DD397" s="172"/>
      <c r="DE397" s="172"/>
      <c r="DF397" s="172"/>
      <c r="DG397" s="172"/>
      <c r="DH397" s="172"/>
      <c r="DI397" s="172"/>
      <c r="DJ397" s="172"/>
      <c r="DK397" s="172"/>
      <c r="DL397" s="172"/>
      <c r="DM397" s="172"/>
      <c r="DN397" s="172"/>
      <c r="DO397" s="588" t="s">
        <v>219</v>
      </c>
      <c r="DP397" s="588" t="str">
        <f>IF(ROUND(_xlfn.AGGREGATE(9,6,DP400:DP407),5)=ROUND(_xlfn.AGGREGATE(9,6,DQ400:DQ407),5),"이상없음","기준수익률확인")</f>
        <v>이상없음</v>
      </c>
      <c r="DQ397" s="172"/>
      <c r="DR397" s="651" t="s">
        <v>3406</v>
      </c>
      <c r="DS397" s="172"/>
      <c r="DT397" s="615"/>
      <c r="DU397" s="615"/>
      <c r="DV397" s="172"/>
      <c r="DW397" s="172"/>
      <c r="DX397" s="615"/>
      <c r="DY397" s="172"/>
      <c r="DZ397" s="172"/>
      <c r="EA397" s="172"/>
    </row>
    <row r="398" spans="1:131" ht="13.5">
      <c r="A398" s="652" t="str">
        <f t="shared" ref="A398:A406" si="2947">$B$397&amp;B398</f>
        <v>SPC명</v>
      </c>
      <c r="B398" s="653" t="s">
        <v>349</v>
      </c>
      <c r="C398" s="780"/>
      <c r="D398" s="780"/>
      <c r="E398" s="780"/>
      <c r="F398" s="230"/>
      <c r="G398" s="230"/>
      <c r="I398" s="776" t="s">
        <v>3393</v>
      </c>
      <c r="J398" s="776" t="s">
        <v>3394</v>
      </c>
      <c r="K398" s="774" t="s">
        <v>3395</v>
      </c>
      <c r="L398" s="774" t="s">
        <v>3396</v>
      </c>
      <c r="M398" s="774" t="s">
        <v>203</v>
      </c>
      <c r="N398" s="774" t="s">
        <v>211</v>
      </c>
      <c r="O398" s="774" t="s">
        <v>3399</v>
      </c>
      <c r="P398" s="776" t="s">
        <v>239</v>
      </c>
      <c r="Q398" s="774" t="s">
        <v>3401</v>
      </c>
      <c r="R398" s="774" t="s">
        <v>3402</v>
      </c>
      <c r="S398" s="593"/>
      <c r="T398" s="593"/>
      <c r="U398" s="593"/>
      <c r="V398" s="593"/>
      <c r="W398" s="593"/>
      <c r="X398" s="593"/>
      <c r="Y398" s="593"/>
      <c r="Z398" s="593"/>
      <c r="AA398" s="593"/>
      <c r="AB398" s="593"/>
      <c r="AC398" s="593"/>
      <c r="AD398" s="593"/>
      <c r="AE398" s="593"/>
      <c r="AF398" s="593"/>
      <c r="AG398" s="593"/>
      <c r="AH398" s="593"/>
      <c r="AI398" s="593"/>
      <c r="AJ398" s="593"/>
      <c r="AK398" s="593"/>
      <c r="AL398" s="593"/>
      <c r="AM398" s="593"/>
      <c r="AN398" s="593"/>
      <c r="AO398" s="593"/>
      <c r="AP398" s="593"/>
      <c r="AQ398" s="593"/>
      <c r="AR398" s="593"/>
      <c r="AS398" s="593"/>
      <c r="AT398" s="593"/>
      <c r="AU398" s="593"/>
      <c r="AV398" s="593"/>
      <c r="AW398" s="593"/>
      <c r="AX398" s="593"/>
      <c r="AY398" s="593"/>
      <c r="AZ398" s="593"/>
      <c r="BA398" s="593"/>
      <c r="BB398" s="593"/>
      <c r="BC398" s="593"/>
      <c r="BD398" s="593"/>
      <c r="BE398" s="593"/>
      <c r="BF398" s="593"/>
      <c r="BG398" s="593"/>
      <c r="BH398" s="593"/>
      <c r="BI398" s="593"/>
      <c r="BJ398" s="593"/>
      <c r="BK398" s="593"/>
      <c r="BL398" s="593"/>
      <c r="BM398" s="593"/>
      <c r="BN398" s="593"/>
      <c r="BO398" s="593"/>
      <c r="BP398" s="593"/>
      <c r="BQ398" s="593"/>
      <c r="BR398" s="593"/>
      <c r="BS398" s="593"/>
      <c r="BT398" s="593"/>
      <c r="BU398" s="593"/>
      <c r="BV398" s="593"/>
      <c r="BW398" s="593"/>
      <c r="BX398" s="593"/>
      <c r="BY398" s="593"/>
      <c r="BZ398" s="593"/>
      <c r="CA398" s="593"/>
      <c r="CB398" s="593"/>
      <c r="CC398" s="593"/>
      <c r="CD398" s="593"/>
      <c r="CE398" s="593"/>
      <c r="CF398" s="593"/>
      <c r="CG398" s="593"/>
      <c r="CH398" s="593"/>
      <c r="CI398" s="593"/>
      <c r="CJ398" s="593"/>
      <c r="CK398" s="593"/>
      <c r="CL398" s="593"/>
      <c r="CM398" s="593"/>
      <c r="CN398" s="593"/>
      <c r="CO398" s="593"/>
      <c r="CP398" s="593"/>
      <c r="CQ398" s="593"/>
      <c r="CR398" s="593"/>
      <c r="CS398" s="593"/>
      <c r="CT398" s="593"/>
      <c r="CU398" s="593"/>
      <c r="CV398" s="593"/>
      <c r="CW398" s="593"/>
      <c r="CX398" s="593"/>
      <c r="CY398" s="593"/>
      <c r="CZ398" s="593"/>
      <c r="DA398" s="593"/>
      <c r="DB398" s="593"/>
      <c r="DC398" s="593"/>
      <c r="DD398" s="593"/>
      <c r="DE398" s="593"/>
      <c r="DF398" s="593"/>
      <c r="DG398" s="593"/>
      <c r="DH398" s="593"/>
      <c r="DI398" s="593"/>
      <c r="DJ398" s="593"/>
      <c r="DK398" s="593"/>
      <c r="DL398" s="593"/>
      <c r="DM398" s="593"/>
      <c r="DN398" s="593"/>
      <c r="DO398" s="594" t="s">
        <v>220</v>
      </c>
      <c r="DP398" s="774" t="s">
        <v>218</v>
      </c>
      <c r="DQ398" s="774" t="s">
        <v>222</v>
      </c>
      <c r="DR398" s="594"/>
      <c r="DS398" s="594"/>
      <c r="DT398" s="594"/>
      <c r="DU398" s="594"/>
      <c r="DV398" s="594"/>
      <c r="DW398" s="594"/>
      <c r="DX398" s="594"/>
      <c r="DY398" s="594"/>
      <c r="DZ398" s="594"/>
      <c r="EA398" s="602"/>
    </row>
    <row r="399" spans="1:131" ht="14.25" thickBot="1">
      <c r="A399" s="652" t="str">
        <f t="shared" si="2947"/>
        <v>유형</v>
      </c>
      <c r="B399" s="653" t="s">
        <v>350</v>
      </c>
      <c r="C399" s="780"/>
      <c r="D399" s="780"/>
      <c r="E399" s="780"/>
      <c r="F399" s="230"/>
      <c r="G399" s="230"/>
      <c r="I399" s="777"/>
      <c r="J399" s="777"/>
      <c r="K399" s="775"/>
      <c r="L399" s="775"/>
      <c r="M399" s="775"/>
      <c r="N399" s="775"/>
      <c r="O399" s="775"/>
      <c r="P399" s="777"/>
      <c r="Q399" s="775"/>
      <c r="R399" s="775"/>
      <c r="S399" s="601"/>
      <c r="T399" s="601"/>
      <c r="U399" s="601"/>
      <c r="V399" s="601"/>
      <c r="W399" s="601"/>
      <c r="X399" s="601"/>
      <c r="Y399" s="601"/>
      <c r="Z399" s="601"/>
      <c r="AA399" s="601"/>
      <c r="AB399" s="601"/>
      <c r="AC399" s="601"/>
      <c r="AD399" s="601"/>
      <c r="AE399" s="601"/>
      <c r="AF399" s="601"/>
      <c r="AG399" s="601"/>
      <c r="AH399" s="601"/>
      <c r="AI399" s="601"/>
      <c r="AJ399" s="601"/>
      <c r="AK399" s="601"/>
      <c r="AL399" s="601"/>
      <c r="AM399" s="601"/>
      <c r="AN399" s="601"/>
      <c r="AO399" s="601"/>
      <c r="AP399" s="601"/>
      <c r="AQ399" s="601"/>
      <c r="AR399" s="601"/>
      <c r="AS399" s="601"/>
      <c r="AT399" s="601"/>
      <c r="AU399" s="601"/>
      <c r="AV399" s="601"/>
      <c r="AW399" s="601"/>
      <c r="AX399" s="601"/>
      <c r="AY399" s="601"/>
      <c r="AZ399" s="601"/>
      <c r="BA399" s="601"/>
      <c r="BB399" s="601"/>
      <c r="BC399" s="601"/>
      <c r="BD399" s="601"/>
      <c r="BE399" s="601"/>
      <c r="BF399" s="601"/>
      <c r="BG399" s="601"/>
      <c r="BH399" s="601"/>
      <c r="BI399" s="601"/>
      <c r="BJ399" s="601"/>
      <c r="BK399" s="601"/>
      <c r="BL399" s="601"/>
      <c r="BM399" s="601"/>
      <c r="BN399" s="601"/>
      <c r="BO399" s="601"/>
      <c r="BP399" s="601"/>
      <c r="BQ399" s="601"/>
      <c r="BR399" s="601"/>
      <c r="BS399" s="601"/>
      <c r="BT399" s="601"/>
      <c r="BU399" s="601"/>
      <c r="BV399" s="601"/>
      <c r="BW399" s="601"/>
      <c r="BX399" s="601"/>
      <c r="BY399" s="601"/>
      <c r="BZ399" s="601"/>
      <c r="CA399" s="601"/>
      <c r="CB399" s="601"/>
      <c r="CC399" s="601"/>
      <c r="CD399" s="601"/>
      <c r="CE399" s="601"/>
      <c r="CF399" s="601"/>
      <c r="CG399" s="601"/>
      <c r="CH399" s="601"/>
      <c r="CI399" s="601"/>
      <c r="CJ399" s="601"/>
      <c r="CK399" s="601"/>
      <c r="CL399" s="601"/>
      <c r="CM399" s="601"/>
      <c r="CN399" s="601"/>
      <c r="CO399" s="601"/>
      <c r="CP399" s="601"/>
      <c r="CQ399" s="601"/>
      <c r="CR399" s="601"/>
      <c r="CS399" s="601"/>
      <c r="CT399" s="601"/>
      <c r="CU399" s="601"/>
      <c r="CV399" s="601"/>
      <c r="CW399" s="601"/>
      <c r="CX399" s="601"/>
      <c r="CY399" s="601"/>
      <c r="CZ399" s="601"/>
      <c r="DA399" s="601"/>
      <c r="DB399" s="601"/>
      <c r="DC399" s="601"/>
      <c r="DD399" s="601"/>
      <c r="DE399" s="601"/>
      <c r="DF399" s="601"/>
      <c r="DG399" s="601"/>
      <c r="DH399" s="601"/>
      <c r="DI399" s="601"/>
      <c r="DJ399" s="601"/>
      <c r="DK399" s="601"/>
      <c r="DL399" s="601"/>
      <c r="DM399" s="601"/>
      <c r="DN399" s="601"/>
      <c r="DO399" s="654">
        <f>$DO$7</f>
        <v>45473</v>
      </c>
      <c r="DP399" s="775"/>
      <c r="DQ399" s="775"/>
      <c r="DR399" s="595">
        <f>NAV!E1289</f>
        <v>0</v>
      </c>
      <c r="DS399" s="596">
        <f>DR399-DR408</f>
        <v>0</v>
      </c>
      <c r="DT399" s="596"/>
      <c r="DU399" s="596"/>
      <c r="DV399" s="597"/>
      <c r="DW399" s="596"/>
      <c r="DX399" s="596"/>
      <c r="DY399" s="596"/>
      <c r="DZ399" s="655"/>
      <c r="EA399" s="656"/>
    </row>
    <row r="400" spans="1:131" ht="13.5">
      <c r="A400" s="652" t="str">
        <f t="shared" si="2947"/>
        <v>설정일</v>
      </c>
      <c r="B400" s="653" t="s">
        <v>351</v>
      </c>
      <c r="C400" s="781"/>
      <c r="D400" s="780"/>
      <c r="E400" s="780"/>
      <c r="F400" s="230"/>
      <c r="G400" s="230"/>
      <c r="I400" s="657">
        <f>SUM(DR400:EA400)</f>
        <v>0</v>
      </c>
      <c r="J400" s="606" t="str">
        <f>IFERROR(I400/(Q400/$C$402),"N/A")</f>
        <v>N/A</v>
      </c>
      <c r="K400" s="471"/>
      <c r="L400" s="607"/>
      <c r="M400" s="300"/>
      <c r="N400" s="608"/>
      <c r="O400" s="609">
        <f t="shared" ref="O400:O407" si="2948">-(SUMIF($S$398:$DN$398,"최초출자",S400:DN400)+SUMIF($S$398:$DN$398,"추가출자",S400:DN400))</f>
        <v>0</v>
      </c>
      <c r="P400" s="609">
        <f t="shared" ref="P400:P407" si="2949">SUMIF($S$398:$DN$398,"이익분배",S400:DN400)+SUMIF($S$398:$DN$398,"원본분배",S400:DN400)</f>
        <v>0</v>
      </c>
      <c r="Q400" s="609">
        <f t="shared" ref="Q400:Q407" si="2950">-(SUMIF($S$398:$DN$398,"최초출자",S400:DN400)+SUMIF($S$398:$DN$398,"추가출자",S400:DN400)+SUMIF($S$398:$DN$398,"원본분배",S400:DN400))</f>
        <v>0</v>
      </c>
      <c r="R400" s="610" t="str">
        <f>IFERROR(Q400/Q408,"")</f>
        <v/>
      </c>
      <c r="S400" s="658"/>
      <c r="T400" s="658"/>
      <c r="U400" s="658"/>
      <c r="V400" s="658"/>
      <c r="W400" s="658"/>
      <c r="X400" s="658"/>
      <c r="Y400" s="658"/>
      <c r="Z400" s="658"/>
      <c r="AA400" s="658"/>
      <c r="AB400" s="658"/>
      <c r="AC400" s="658"/>
      <c r="AD400" s="658"/>
      <c r="AE400" s="658"/>
      <c r="AF400" s="658"/>
      <c r="AG400" s="658"/>
      <c r="AH400" s="658"/>
      <c r="AI400" s="658"/>
      <c r="AJ400" s="658"/>
      <c r="AK400" s="658"/>
      <c r="AL400" s="658"/>
      <c r="AM400" s="658"/>
      <c r="AN400" s="658"/>
      <c r="AO400" s="658"/>
      <c r="AP400" s="658"/>
      <c r="AQ400" s="658"/>
      <c r="AR400" s="658"/>
      <c r="AS400" s="658"/>
      <c r="AT400" s="658"/>
      <c r="AU400" s="658"/>
      <c r="AV400" s="658"/>
      <c r="AW400" s="658"/>
      <c r="AX400" s="658"/>
      <c r="AY400" s="658"/>
      <c r="AZ400" s="658"/>
      <c r="BA400" s="658"/>
      <c r="BB400" s="658"/>
      <c r="BC400" s="658"/>
      <c r="BD400" s="658"/>
      <c r="BE400" s="658"/>
      <c r="BF400" s="658"/>
      <c r="BG400" s="658"/>
      <c r="BH400" s="658"/>
      <c r="BI400" s="658"/>
      <c r="BJ400" s="658"/>
      <c r="BK400" s="658"/>
      <c r="BL400" s="658"/>
      <c r="BM400" s="658"/>
      <c r="BN400" s="658"/>
      <c r="BO400" s="658"/>
      <c r="BP400" s="658"/>
      <c r="BQ400" s="658"/>
      <c r="BR400" s="658"/>
      <c r="BS400" s="658"/>
      <c r="BT400" s="658"/>
      <c r="BU400" s="658"/>
      <c r="BV400" s="658"/>
      <c r="BW400" s="658"/>
      <c r="BX400" s="658"/>
      <c r="BY400" s="658"/>
      <c r="BZ400" s="658"/>
      <c r="CA400" s="658"/>
      <c r="CB400" s="658"/>
      <c r="CC400" s="658"/>
      <c r="CD400" s="658"/>
      <c r="CE400" s="658"/>
      <c r="CF400" s="658"/>
      <c r="CG400" s="658"/>
      <c r="CH400" s="658"/>
      <c r="CI400" s="658"/>
      <c r="CJ400" s="658"/>
      <c r="CK400" s="658"/>
      <c r="CL400" s="658"/>
      <c r="CM400" s="658"/>
      <c r="CN400" s="658"/>
      <c r="CO400" s="658"/>
      <c r="CP400" s="658"/>
      <c r="CQ400" s="658"/>
      <c r="CR400" s="658"/>
      <c r="CS400" s="658"/>
      <c r="CT400" s="658"/>
      <c r="CU400" s="658"/>
      <c r="CV400" s="658"/>
      <c r="CW400" s="658"/>
      <c r="CX400" s="658"/>
      <c r="CY400" s="658"/>
      <c r="CZ400" s="658"/>
      <c r="DA400" s="658"/>
      <c r="DB400" s="658"/>
      <c r="DC400" s="658"/>
      <c r="DD400" s="658"/>
      <c r="DE400" s="658"/>
      <c r="DF400" s="658"/>
      <c r="DG400" s="658"/>
      <c r="DH400" s="658"/>
      <c r="DI400" s="658"/>
      <c r="DJ400" s="658"/>
      <c r="DK400" s="658"/>
      <c r="DL400" s="658"/>
      <c r="DM400" s="658"/>
      <c r="DN400" s="658"/>
      <c r="DO400" s="177">
        <f>IF(M400="",0,-XNPV(DP400,S400,S$399)*(1+DP400)^YEARFRAC($S$399,$DO$399,3))</f>
        <v>0</v>
      </c>
      <c r="DP400" s="612" t="e">
        <f>IF(HLOOKUP(L400,$C$407:$E$408,2,0)=0,1E-24%,HLOOKUP(L400,$C$407:$E$408,2,FALSE))</f>
        <v>#N/A</v>
      </c>
      <c r="DQ400" s="612" t="e">
        <f t="shared" ref="DQ400:DQ407" si="2951">XIRR(S400:DO400,$S$399:$DO$399)</f>
        <v>#NUM!</v>
      </c>
      <c r="DR400" s="177"/>
      <c r="DS400" s="177"/>
      <c r="DT400" s="177"/>
      <c r="DU400" s="177"/>
      <c r="DV400" s="177"/>
      <c r="DW400" s="177"/>
      <c r="DX400" s="177"/>
      <c r="DY400" s="177"/>
      <c r="DZ400" s="177"/>
      <c r="EA400" s="613"/>
    </row>
    <row r="401" spans="1:131" ht="13.5">
      <c r="A401" s="652" t="str">
        <f t="shared" si="2947"/>
        <v>출자잔액</v>
      </c>
      <c r="B401" s="653" t="s">
        <v>352</v>
      </c>
      <c r="C401" s="782"/>
      <c r="D401" s="782"/>
      <c r="E401" s="782"/>
      <c r="F401" s="230"/>
      <c r="G401" s="230"/>
      <c r="I401" s="657">
        <f t="shared" ref="I401:I407" si="2952">SUM(DR401:EA401)</f>
        <v>0</v>
      </c>
      <c r="J401" s="606" t="str">
        <f t="shared" ref="J401:J407" si="2953">IFERROR(I401/(Q401/$C$402),"N/A")</f>
        <v>N/A</v>
      </c>
      <c r="K401" s="471"/>
      <c r="L401" s="607"/>
      <c r="M401" s="300"/>
      <c r="N401" s="608"/>
      <c r="O401" s="609">
        <f t="shared" si="2948"/>
        <v>0</v>
      </c>
      <c r="P401" s="609">
        <f t="shared" si="2949"/>
        <v>0</v>
      </c>
      <c r="Q401" s="609">
        <f t="shared" si="2950"/>
        <v>0</v>
      </c>
      <c r="R401" s="610" t="str">
        <f>IFERROR(Q401/Q408,"")</f>
        <v/>
      </c>
      <c r="S401" s="658"/>
      <c r="T401" s="658"/>
      <c r="U401" s="658"/>
      <c r="V401" s="658"/>
      <c r="W401" s="658"/>
      <c r="X401" s="658"/>
      <c r="Y401" s="658"/>
      <c r="Z401" s="658"/>
      <c r="AA401" s="658"/>
      <c r="AB401" s="658"/>
      <c r="AC401" s="658"/>
      <c r="AD401" s="658"/>
      <c r="AE401" s="658"/>
      <c r="AF401" s="658"/>
      <c r="AG401" s="658"/>
      <c r="AH401" s="658"/>
      <c r="AI401" s="658"/>
      <c r="AJ401" s="658"/>
      <c r="AK401" s="658"/>
      <c r="AL401" s="658"/>
      <c r="AM401" s="658"/>
      <c r="AN401" s="658"/>
      <c r="AO401" s="658"/>
      <c r="AP401" s="658"/>
      <c r="AQ401" s="658"/>
      <c r="AR401" s="658"/>
      <c r="AS401" s="658"/>
      <c r="AT401" s="658"/>
      <c r="AU401" s="658"/>
      <c r="AV401" s="658"/>
      <c r="AW401" s="658"/>
      <c r="AX401" s="658"/>
      <c r="AY401" s="658"/>
      <c r="AZ401" s="658"/>
      <c r="BA401" s="658"/>
      <c r="BB401" s="658"/>
      <c r="BC401" s="658"/>
      <c r="BD401" s="658"/>
      <c r="BE401" s="658"/>
      <c r="BF401" s="658"/>
      <c r="BG401" s="658"/>
      <c r="BH401" s="658"/>
      <c r="BI401" s="658"/>
      <c r="BJ401" s="658"/>
      <c r="BK401" s="658"/>
      <c r="BL401" s="658"/>
      <c r="BM401" s="658"/>
      <c r="BN401" s="658"/>
      <c r="BO401" s="658"/>
      <c r="BP401" s="658"/>
      <c r="BQ401" s="658"/>
      <c r="BR401" s="658"/>
      <c r="BS401" s="658"/>
      <c r="BT401" s="658"/>
      <c r="BU401" s="658"/>
      <c r="BV401" s="658"/>
      <c r="BW401" s="658"/>
      <c r="BX401" s="658"/>
      <c r="BY401" s="658"/>
      <c r="BZ401" s="658"/>
      <c r="CA401" s="658"/>
      <c r="CB401" s="658"/>
      <c r="CC401" s="658"/>
      <c r="CD401" s="658"/>
      <c r="CE401" s="658"/>
      <c r="CF401" s="658"/>
      <c r="CG401" s="658"/>
      <c r="CH401" s="658"/>
      <c r="CI401" s="658"/>
      <c r="CJ401" s="658"/>
      <c r="CK401" s="658"/>
      <c r="CL401" s="658"/>
      <c r="CM401" s="658"/>
      <c r="CN401" s="658"/>
      <c r="CO401" s="658"/>
      <c r="CP401" s="658"/>
      <c r="CQ401" s="658"/>
      <c r="CR401" s="658"/>
      <c r="CS401" s="658"/>
      <c r="CT401" s="658"/>
      <c r="CU401" s="658"/>
      <c r="CV401" s="658"/>
      <c r="CW401" s="658"/>
      <c r="CX401" s="658"/>
      <c r="CY401" s="658"/>
      <c r="CZ401" s="658"/>
      <c r="DA401" s="658"/>
      <c r="DB401" s="658"/>
      <c r="DC401" s="658"/>
      <c r="DD401" s="658"/>
      <c r="DE401" s="658"/>
      <c r="DF401" s="658"/>
      <c r="DG401" s="658"/>
      <c r="DH401" s="658"/>
      <c r="DI401" s="658"/>
      <c r="DJ401" s="658"/>
      <c r="DK401" s="658"/>
      <c r="DL401" s="658"/>
      <c r="DM401" s="658"/>
      <c r="DN401" s="658"/>
      <c r="DO401" s="177">
        <f t="shared" ref="DO401:DO407" si="2954">IF(M401="",0,-XNPV(DP401,S401,S$399)*(1+DP401)^YEARFRAC($S$399,$DO$399,3))</f>
        <v>0</v>
      </c>
      <c r="DP401" s="612" t="e">
        <f t="shared" ref="DP401:DP407" si="2955">IF(HLOOKUP(L401,$C$407:$E$408,2,0)=0,1E-24%,HLOOKUP(L401,$C$407:$E$408,2,FALSE))</f>
        <v>#N/A</v>
      </c>
      <c r="DQ401" s="612" t="e">
        <f t="shared" si="2951"/>
        <v>#NUM!</v>
      </c>
      <c r="DR401" s="177"/>
      <c r="DS401" s="177"/>
      <c r="DT401" s="177"/>
      <c r="DU401" s="177"/>
      <c r="DV401" s="177"/>
      <c r="DW401" s="177"/>
      <c r="DX401" s="177"/>
      <c r="DY401" s="177"/>
      <c r="DZ401" s="177"/>
      <c r="EA401" s="613"/>
    </row>
    <row r="402" spans="1:131" ht="13.5">
      <c r="A402" s="652" t="str">
        <f t="shared" si="2947"/>
        <v>1좌당 금액</v>
      </c>
      <c r="B402" s="653" t="s">
        <v>353</v>
      </c>
      <c r="C402" s="783"/>
      <c r="D402" s="783"/>
      <c r="E402" s="783"/>
      <c r="F402" s="230"/>
      <c r="G402" s="230"/>
      <c r="I402" s="657">
        <f t="shared" si="2952"/>
        <v>0</v>
      </c>
      <c r="J402" s="606" t="str">
        <f t="shared" si="2953"/>
        <v>N/A</v>
      </c>
      <c r="K402" s="471"/>
      <c r="L402" s="607"/>
      <c r="M402" s="300"/>
      <c r="N402" s="608"/>
      <c r="O402" s="609">
        <f t="shared" si="2948"/>
        <v>0</v>
      </c>
      <c r="P402" s="609">
        <f t="shared" si="2949"/>
        <v>0</v>
      </c>
      <c r="Q402" s="609">
        <f t="shared" si="2950"/>
        <v>0</v>
      </c>
      <c r="R402" s="610" t="str">
        <f>IFERROR(Q402/Q408,"")</f>
        <v/>
      </c>
      <c r="S402" s="658"/>
      <c r="T402" s="658"/>
      <c r="U402" s="658"/>
      <c r="V402" s="658"/>
      <c r="W402" s="658"/>
      <c r="X402" s="658"/>
      <c r="Y402" s="658"/>
      <c r="Z402" s="658"/>
      <c r="AA402" s="658"/>
      <c r="AB402" s="658"/>
      <c r="AC402" s="658"/>
      <c r="AD402" s="658"/>
      <c r="AE402" s="658"/>
      <c r="AF402" s="658"/>
      <c r="AG402" s="658"/>
      <c r="AH402" s="658"/>
      <c r="AI402" s="658"/>
      <c r="AJ402" s="658"/>
      <c r="AK402" s="658"/>
      <c r="AL402" s="658"/>
      <c r="AM402" s="658"/>
      <c r="AN402" s="658"/>
      <c r="AO402" s="658"/>
      <c r="AP402" s="658"/>
      <c r="AQ402" s="658"/>
      <c r="AR402" s="658"/>
      <c r="AS402" s="658"/>
      <c r="AT402" s="658"/>
      <c r="AU402" s="658"/>
      <c r="AV402" s="658"/>
      <c r="AW402" s="658"/>
      <c r="AX402" s="658"/>
      <c r="AY402" s="658"/>
      <c r="AZ402" s="658"/>
      <c r="BA402" s="658"/>
      <c r="BB402" s="658"/>
      <c r="BC402" s="658"/>
      <c r="BD402" s="658"/>
      <c r="BE402" s="658"/>
      <c r="BF402" s="658"/>
      <c r="BG402" s="658"/>
      <c r="BH402" s="658"/>
      <c r="BI402" s="658"/>
      <c r="BJ402" s="658"/>
      <c r="BK402" s="658"/>
      <c r="BL402" s="658"/>
      <c r="BM402" s="658"/>
      <c r="BN402" s="658"/>
      <c r="BO402" s="658"/>
      <c r="BP402" s="658"/>
      <c r="BQ402" s="658"/>
      <c r="BR402" s="658"/>
      <c r="BS402" s="658"/>
      <c r="BT402" s="658"/>
      <c r="BU402" s="658"/>
      <c r="BV402" s="658"/>
      <c r="BW402" s="658"/>
      <c r="BX402" s="658"/>
      <c r="BY402" s="658"/>
      <c r="BZ402" s="658"/>
      <c r="CA402" s="658"/>
      <c r="CB402" s="658"/>
      <c r="CC402" s="658"/>
      <c r="CD402" s="658"/>
      <c r="CE402" s="658"/>
      <c r="CF402" s="658"/>
      <c r="CG402" s="658"/>
      <c r="CH402" s="658"/>
      <c r="CI402" s="658"/>
      <c r="CJ402" s="658"/>
      <c r="CK402" s="658"/>
      <c r="CL402" s="658"/>
      <c r="CM402" s="658"/>
      <c r="CN402" s="658"/>
      <c r="CO402" s="658"/>
      <c r="CP402" s="658"/>
      <c r="CQ402" s="658"/>
      <c r="CR402" s="658"/>
      <c r="CS402" s="658"/>
      <c r="CT402" s="658"/>
      <c r="CU402" s="658"/>
      <c r="CV402" s="658"/>
      <c r="CW402" s="658"/>
      <c r="CX402" s="658"/>
      <c r="CY402" s="658"/>
      <c r="CZ402" s="658"/>
      <c r="DA402" s="658"/>
      <c r="DB402" s="658"/>
      <c r="DC402" s="658"/>
      <c r="DD402" s="658"/>
      <c r="DE402" s="658"/>
      <c r="DF402" s="658"/>
      <c r="DG402" s="658"/>
      <c r="DH402" s="658"/>
      <c r="DI402" s="658"/>
      <c r="DJ402" s="658"/>
      <c r="DK402" s="658"/>
      <c r="DL402" s="658"/>
      <c r="DM402" s="658"/>
      <c r="DN402" s="658"/>
      <c r="DO402" s="177">
        <f t="shared" si="2954"/>
        <v>0</v>
      </c>
      <c r="DP402" s="612" t="e">
        <f t="shared" si="2955"/>
        <v>#N/A</v>
      </c>
      <c r="DQ402" s="612" t="e">
        <f t="shared" si="2951"/>
        <v>#NUM!</v>
      </c>
      <c r="DR402" s="177"/>
      <c r="DS402" s="177"/>
      <c r="DT402" s="177"/>
      <c r="DU402" s="177"/>
      <c r="DV402" s="177"/>
      <c r="DW402" s="177"/>
      <c r="DX402" s="177"/>
      <c r="DY402" s="177"/>
      <c r="DZ402" s="177"/>
      <c r="EA402" s="613"/>
    </row>
    <row r="403" spans="1:131" ht="13.5">
      <c r="A403" s="652" t="str">
        <f t="shared" si="2947"/>
        <v>기준수익률</v>
      </c>
      <c r="B403" s="653" t="s">
        <v>354</v>
      </c>
      <c r="C403" s="784"/>
      <c r="D403" s="785"/>
      <c r="E403" s="785"/>
      <c r="F403" s="230"/>
      <c r="G403" s="230"/>
      <c r="I403" s="657">
        <f t="shared" si="2952"/>
        <v>0</v>
      </c>
      <c r="J403" s="606" t="str">
        <f t="shared" si="2953"/>
        <v>N/A</v>
      </c>
      <c r="K403" s="471"/>
      <c r="L403" s="607"/>
      <c r="M403" s="300"/>
      <c r="N403" s="608"/>
      <c r="O403" s="609">
        <f t="shared" si="2948"/>
        <v>0</v>
      </c>
      <c r="P403" s="609">
        <f t="shared" si="2949"/>
        <v>0</v>
      </c>
      <c r="Q403" s="609">
        <f t="shared" si="2950"/>
        <v>0</v>
      </c>
      <c r="R403" s="610" t="str">
        <f>IFERROR(Q403/Q408,"")</f>
        <v/>
      </c>
      <c r="S403" s="658"/>
      <c r="T403" s="658"/>
      <c r="U403" s="658"/>
      <c r="V403" s="658"/>
      <c r="W403" s="658"/>
      <c r="X403" s="658"/>
      <c r="Y403" s="658"/>
      <c r="Z403" s="658"/>
      <c r="AA403" s="658"/>
      <c r="AB403" s="658"/>
      <c r="AC403" s="658"/>
      <c r="AD403" s="658"/>
      <c r="AE403" s="658"/>
      <c r="AF403" s="658"/>
      <c r="AG403" s="658"/>
      <c r="AH403" s="658"/>
      <c r="AI403" s="658"/>
      <c r="AJ403" s="658"/>
      <c r="AK403" s="658"/>
      <c r="AL403" s="658"/>
      <c r="AM403" s="658"/>
      <c r="AN403" s="658"/>
      <c r="AO403" s="658"/>
      <c r="AP403" s="658"/>
      <c r="AQ403" s="658"/>
      <c r="AR403" s="658"/>
      <c r="AS403" s="658"/>
      <c r="AT403" s="658"/>
      <c r="AU403" s="658"/>
      <c r="AV403" s="658"/>
      <c r="AW403" s="658"/>
      <c r="AX403" s="658"/>
      <c r="AY403" s="658"/>
      <c r="AZ403" s="658"/>
      <c r="BA403" s="658"/>
      <c r="BB403" s="658"/>
      <c r="BC403" s="658"/>
      <c r="BD403" s="658"/>
      <c r="BE403" s="658"/>
      <c r="BF403" s="658"/>
      <c r="BG403" s="658"/>
      <c r="BH403" s="658"/>
      <c r="BI403" s="658"/>
      <c r="BJ403" s="658"/>
      <c r="BK403" s="658"/>
      <c r="BL403" s="658"/>
      <c r="BM403" s="658"/>
      <c r="BN403" s="658"/>
      <c r="BO403" s="658"/>
      <c r="BP403" s="658"/>
      <c r="BQ403" s="658"/>
      <c r="BR403" s="658"/>
      <c r="BS403" s="658"/>
      <c r="BT403" s="658"/>
      <c r="BU403" s="658"/>
      <c r="BV403" s="658"/>
      <c r="BW403" s="658"/>
      <c r="BX403" s="658"/>
      <c r="BY403" s="658"/>
      <c r="BZ403" s="658"/>
      <c r="CA403" s="658"/>
      <c r="CB403" s="658"/>
      <c r="CC403" s="658"/>
      <c r="CD403" s="658"/>
      <c r="CE403" s="658"/>
      <c r="CF403" s="658"/>
      <c r="CG403" s="658"/>
      <c r="CH403" s="658"/>
      <c r="CI403" s="658"/>
      <c r="CJ403" s="658"/>
      <c r="CK403" s="658"/>
      <c r="CL403" s="658"/>
      <c r="CM403" s="658"/>
      <c r="CN403" s="658"/>
      <c r="CO403" s="658"/>
      <c r="CP403" s="658"/>
      <c r="CQ403" s="658"/>
      <c r="CR403" s="658"/>
      <c r="CS403" s="658"/>
      <c r="CT403" s="658"/>
      <c r="CU403" s="658"/>
      <c r="CV403" s="658"/>
      <c r="CW403" s="658"/>
      <c r="CX403" s="658"/>
      <c r="CY403" s="658"/>
      <c r="CZ403" s="658"/>
      <c r="DA403" s="658"/>
      <c r="DB403" s="658"/>
      <c r="DC403" s="658"/>
      <c r="DD403" s="658"/>
      <c r="DE403" s="658"/>
      <c r="DF403" s="658"/>
      <c r="DG403" s="658"/>
      <c r="DH403" s="658"/>
      <c r="DI403" s="658"/>
      <c r="DJ403" s="658"/>
      <c r="DK403" s="658"/>
      <c r="DL403" s="658"/>
      <c r="DM403" s="658"/>
      <c r="DN403" s="658"/>
      <c r="DO403" s="177">
        <f t="shared" si="2954"/>
        <v>0</v>
      </c>
      <c r="DP403" s="612" t="e">
        <f t="shared" si="2955"/>
        <v>#N/A</v>
      </c>
      <c r="DQ403" s="612" t="e">
        <f t="shared" si="2951"/>
        <v>#NUM!</v>
      </c>
      <c r="DR403" s="177"/>
      <c r="DS403" s="177"/>
      <c r="DT403" s="177"/>
      <c r="DU403" s="177"/>
      <c r="DV403" s="177"/>
      <c r="DW403" s="177"/>
      <c r="DX403" s="177"/>
      <c r="DY403" s="177"/>
      <c r="DZ403" s="177"/>
      <c r="EA403" s="613"/>
    </row>
    <row r="404" spans="1:131" ht="13.5">
      <c r="A404" s="652" t="str">
        <f t="shared" si="2947"/>
        <v>평가방법론</v>
      </c>
      <c r="B404" s="653" t="s">
        <v>7</v>
      </c>
      <c r="C404" s="786"/>
      <c r="D404" s="786"/>
      <c r="E404" s="786"/>
      <c r="F404" s="230"/>
      <c r="G404" s="230"/>
      <c r="I404" s="657">
        <f t="shared" si="2952"/>
        <v>0</v>
      </c>
      <c r="J404" s="606" t="str">
        <f t="shared" si="2953"/>
        <v>N/A</v>
      </c>
      <c r="K404" s="471"/>
      <c r="L404" s="607"/>
      <c r="M404" s="300"/>
      <c r="N404" s="608"/>
      <c r="O404" s="609">
        <f t="shared" si="2948"/>
        <v>0</v>
      </c>
      <c r="P404" s="609">
        <f t="shared" si="2949"/>
        <v>0</v>
      </c>
      <c r="Q404" s="609">
        <f t="shared" si="2950"/>
        <v>0</v>
      </c>
      <c r="R404" s="610" t="str">
        <f>IFERROR(Q404/Q408,"")</f>
        <v/>
      </c>
      <c r="S404" s="658"/>
      <c r="T404" s="658"/>
      <c r="U404" s="658"/>
      <c r="V404" s="658"/>
      <c r="W404" s="658"/>
      <c r="X404" s="658"/>
      <c r="Y404" s="658"/>
      <c r="Z404" s="658"/>
      <c r="AA404" s="658"/>
      <c r="AB404" s="658"/>
      <c r="AC404" s="658"/>
      <c r="AD404" s="658"/>
      <c r="AE404" s="658"/>
      <c r="AF404" s="658"/>
      <c r="AG404" s="658"/>
      <c r="AH404" s="658"/>
      <c r="AI404" s="658"/>
      <c r="AJ404" s="658"/>
      <c r="AK404" s="658"/>
      <c r="AL404" s="658"/>
      <c r="AM404" s="658"/>
      <c r="AN404" s="658"/>
      <c r="AO404" s="658"/>
      <c r="AP404" s="658"/>
      <c r="AQ404" s="658"/>
      <c r="AR404" s="658"/>
      <c r="AS404" s="658"/>
      <c r="AT404" s="658"/>
      <c r="AU404" s="658"/>
      <c r="AV404" s="658"/>
      <c r="AW404" s="658"/>
      <c r="AX404" s="658"/>
      <c r="AY404" s="658"/>
      <c r="AZ404" s="658"/>
      <c r="BA404" s="658"/>
      <c r="BB404" s="658"/>
      <c r="BC404" s="658"/>
      <c r="BD404" s="658"/>
      <c r="BE404" s="658"/>
      <c r="BF404" s="658"/>
      <c r="BG404" s="658"/>
      <c r="BH404" s="658"/>
      <c r="BI404" s="658"/>
      <c r="BJ404" s="658"/>
      <c r="BK404" s="658"/>
      <c r="BL404" s="658"/>
      <c r="BM404" s="658"/>
      <c r="BN404" s="658"/>
      <c r="BO404" s="658"/>
      <c r="BP404" s="658"/>
      <c r="BQ404" s="658"/>
      <c r="BR404" s="658"/>
      <c r="BS404" s="658"/>
      <c r="BT404" s="658"/>
      <c r="BU404" s="658"/>
      <c r="BV404" s="658"/>
      <c r="BW404" s="658"/>
      <c r="BX404" s="658"/>
      <c r="BY404" s="658"/>
      <c r="BZ404" s="658"/>
      <c r="CA404" s="658"/>
      <c r="CB404" s="658"/>
      <c r="CC404" s="658"/>
      <c r="CD404" s="658"/>
      <c r="CE404" s="658"/>
      <c r="CF404" s="658"/>
      <c r="CG404" s="658"/>
      <c r="CH404" s="658"/>
      <c r="CI404" s="658"/>
      <c r="CJ404" s="658"/>
      <c r="CK404" s="658"/>
      <c r="CL404" s="658"/>
      <c r="CM404" s="658"/>
      <c r="CN404" s="658"/>
      <c r="CO404" s="658"/>
      <c r="CP404" s="658"/>
      <c r="CQ404" s="658"/>
      <c r="CR404" s="658"/>
      <c r="CS404" s="658"/>
      <c r="CT404" s="658"/>
      <c r="CU404" s="658"/>
      <c r="CV404" s="658"/>
      <c r="CW404" s="658"/>
      <c r="CX404" s="658"/>
      <c r="CY404" s="658"/>
      <c r="CZ404" s="658"/>
      <c r="DA404" s="658"/>
      <c r="DB404" s="658"/>
      <c r="DC404" s="658"/>
      <c r="DD404" s="658"/>
      <c r="DE404" s="658"/>
      <c r="DF404" s="658"/>
      <c r="DG404" s="658"/>
      <c r="DH404" s="658"/>
      <c r="DI404" s="658"/>
      <c r="DJ404" s="658"/>
      <c r="DK404" s="658"/>
      <c r="DL404" s="658"/>
      <c r="DM404" s="658"/>
      <c r="DN404" s="658"/>
      <c r="DO404" s="177">
        <f t="shared" si="2954"/>
        <v>0</v>
      </c>
      <c r="DP404" s="612" t="e">
        <f t="shared" si="2955"/>
        <v>#N/A</v>
      </c>
      <c r="DQ404" s="612" t="e">
        <f t="shared" si="2951"/>
        <v>#NUM!</v>
      </c>
      <c r="DR404" s="177"/>
      <c r="DS404" s="177"/>
      <c r="DT404" s="177"/>
      <c r="DU404" s="177"/>
      <c r="DV404" s="177"/>
      <c r="DW404" s="177"/>
      <c r="DX404" s="177"/>
      <c r="DY404" s="177"/>
      <c r="DZ404" s="177"/>
      <c r="EA404" s="613"/>
    </row>
    <row r="405" spans="1:131" ht="13.5">
      <c r="A405" s="652" t="str">
        <f t="shared" si="2947"/>
        <v>분배 조항 여부</v>
      </c>
      <c r="B405" s="653" t="s">
        <v>355</v>
      </c>
      <c r="C405" s="786"/>
      <c r="D405" s="786"/>
      <c r="E405" s="786"/>
      <c r="F405" s="230"/>
      <c r="G405" s="230"/>
      <c r="I405" s="657">
        <f t="shared" si="2952"/>
        <v>0</v>
      </c>
      <c r="J405" s="606" t="str">
        <f t="shared" si="2953"/>
        <v>N/A</v>
      </c>
      <c r="K405" s="471"/>
      <c r="L405" s="607"/>
      <c r="M405" s="300"/>
      <c r="N405" s="608"/>
      <c r="O405" s="609">
        <f t="shared" si="2948"/>
        <v>0</v>
      </c>
      <c r="P405" s="609">
        <f t="shared" si="2949"/>
        <v>0</v>
      </c>
      <c r="Q405" s="609">
        <f t="shared" si="2950"/>
        <v>0</v>
      </c>
      <c r="R405" s="610" t="str">
        <f>IFERROR(Q405/Q408,"")</f>
        <v/>
      </c>
      <c r="S405" s="658"/>
      <c r="T405" s="658"/>
      <c r="U405" s="658"/>
      <c r="V405" s="658"/>
      <c r="W405" s="658"/>
      <c r="X405" s="658"/>
      <c r="Y405" s="658"/>
      <c r="Z405" s="658"/>
      <c r="AA405" s="658"/>
      <c r="AB405" s="658"/>
      <c r="AC405" s="658"/>
      <c r="AD405" s="658"/>
      <c r="AE405" s="658"/>
      <c r="AF405" s="658"/>
      <c r="AG405" s="658"/>
      <c r="AH405" s="658"/>
      <c r="AI405" s="658"/>
      <c r="AJ405" s="658"/>
      <c r="AK405" s="658"/>
      <c r="AL405" s="658"/>
      <c r="AM405" s="658"/>
      <c r="AN405" s="658"/>
      <c r="AO405" s="658"/>
      <c r="AP405" s="658"/>
      <c r="AQ405" s="658"/>
      <c r="AR405" s="658"/>
      <c r="AS405" s="658"/>
      <c r="AT405" s="658"/>
      <c r="AU405" s="658"/>
      <c r="AV405" s="658"/>
      <c r="AW405" s="658"/>
      <c r="AX405" s="658"/>
      <c r="AY405" s="658"/>
      <c r="AZ405" s="658"/>
      <c r="BA405" s="658"/>
      <c r="BB405" s="658"/>
      <c r="BC405" s="658"/>
      <c r="BD405" s="658"/>
      <c r="BE405" s="658"/>
      <c r="BF405" s="658"/>
      <c r="BG405" s="658"/>
      <c r="BH405" s="658"/>
      <c r="BI405" s="658"/>
      <c r="BJ405" s="658"/>
      <c r="BK405" s="658"/>
      <c r="BL405" s="658"/>
      <c r="BM405" s="658"/>
      <c r="BN405" s="658"/>
      <c r="BO405" s="658"/>
      <c r="BP405" s="658"/>
      <c r="BQ405" s="658"/>
      <c r="BR405" s="658"/>
      <c r="BS405" s="658"/>
      <c r="BT405" s="658"/>
      <c r="BU405" s="658"/>
      <c r="BV405" s="658"/>
      <c r="BW405" s="658"/>
      <c r="BX405" s="658"/>
      <c r="BY405" s="658"/>
      <c r="BZ405" s="658"/>
      <c r="CA405" s="658"/>
      <c r="CB405" s="658"/>
      <c r="CC405" s="658"/>
      <c r="CD405" s="658"/>
      <c r="CE405" s="658"/>
      <c r="CF405" s="658"/>
      <c r="CG405" s="658"/>
      <c r="CH405" s="658"/>
      <c r="CI405" s="658"/>
      <c r="CJ405" s="658"/>
      <c r="CK405" s="658"/>
      <c r="CL405" s="658"/>
      <c r="CM405" s="658"/>
      <c r="CN405" s="658"/>
      <c r="CO405" s="658"/>
      <c r="CP405" s="658"/>
      <c r="CQ405" s="658"/>
      <c r="CR405" s="658"/>
      <c r="CS405" s="658"/>
      <c r="CT405" s="658"/>
      <c r="CU405" s="658"/>
      <c r="CV405" s="658"/>
      <c r="CW405" s="658"/>
      <c r="CX405" s="658"/>
      <c r="CY405" s="658"/>
      <c r="CZ405" s="658"/>
      <c r="DA405" s="658"/>
      <c r="DB405" s="658"/>
      <c r="DC405" s="658"/>
      <c r="DD405" s="658"/>
      <c r="DE405" s="658"/>
      <c r="DF405" s="658"/>
      <c r="DG405" s="658"/>
      <c r="DH405" s="658"/>
      <c r="DI405" s="658"/>
      <c r="DJ405" s="658"/>
      <c r="DK405" s="658"/>
      <c r="DL405" s="658"/>
      <c r="DM405" s="658"/>
      <c r="DN405" s="658"/>
      <c r="DO405" s="177">
        <f t="shared" si="2954"/>
        <v>0</v>
      </c>
      <c r="DP405" s="612" t="e">
        <f t="shared" si="2955"/>
        <v>#N/A</v>
      </c>
      <c r="DQ405" s="612" t="e">
        <f t="shared" si="2951"/>
        <v>#NUM!</v>
      </c>
      <c r="DR405" s="177"/>
      <c r="DS405" s="177"/>
      <c r="DT405" s="177"/>
      <c r="DU405" s="177"/>
      <c r="DV405" s="177"/>
      <c r="DW405" s="177"/>
      <c r="DX405" s="177"/>
      <c r="DY405" s="177"/>
      <c r="DZ405" s="177"/>
      <c r="EA405" s="613"/>
    </row>
    <row r="406" spans="1:131" ht="14.25" thickBot="1">
      <c r="A406" s="652" t="str">
        <f t="shared" si="2947"/>
        <v>모펀드 출자 지분율</v>
      </c>
      <c r="B406" s="660" t="s">
        <v>356</v>
      </c>
      <c r="C406" s="787"/>
      <c r="D406" s="787"/>
      <c r="E406" s="787"/>
      <c r="F406" s="230"/>
      <c r="G406" s="230"/>
      <c r="I406" s="657">
        <f t="shared" si="2952"/>
        <v>0</v>
      </c>
      <c r="J406" s="606" t="str">
        <f t="shared" si="2953"/>
        <v>N/A</v>
      </c>
      <c r="K406" s="471"/>
      <c r="L406" s="607"/>
      <c r="M406" s="300"/>
      <c r="N406" s="608"/>
      <c r="O406" s="609">
        <f t="shared" si="2948"/>
        <v>0</v>
      </c>
      <c r="P406" s="609">
        <f t="shared" si="2949"/>
        <v>0</v>
      </c>
      <c r="Q406" s="609">
        <f t="shared" si="2950"/>
        <v>0</v>
      </c>
      <c r="R406" s="610" t="str">
        <f>IFERROR(Q406/Q408,"")</f>
        <v/>
      </c>
      <c r="S406" s="658"/>
      <c r="T406" s="658"/>
      <c r="U406" s="658"/>
      <c r="V406" s="658"/>
      <c r="W406" s="658"/>
      <c r="X406" s="658"/>
      <c r="Y406" s="658"/>
      <c r="Z406" s="658"/>
      <c r="AA406" s="658"/>
      <c r="AB406" s="658"/>
      <c r="AC406" s="658"/>
      <c r="AD406" s="658"/>
      <c r="AE406" s="658"/>
      <c r="AF406" s="658"/>
      <c r="AG406" s="658"/>
      <c r="AH406" s="658"/>
      <c r="AI406" s="658"/>
      <c r="AJ406" s="658"/>
      <c r="AK406" s="658"/>
      <c r="AL406" s="658"/>
      <c r="AM406" s="658"/>
      <c r="AN406" s="658"/>
      <c r="AO406" s="658"/>
      <c r="AP406" s="658"/>
      <c r="AQ406" s="658"/>
      <c r="AR406" s="658"/>
      <c r="AS406" s="658"/>
      <c r="AT406" s="658"/>
      <c r="AU406" s="658"/>
      <c r="AV406" s="658"/>
      <c r="AW406" s="658"/>
      <c r="AX406" s="658"/>
      <c r="AY406" s="658"/>
      <c r="AZ406" s="658"/>
      <c r="BA406" s="658"/>
      <c r="BB406" s="658"/>
      <c r="BC406" s="658"/>
      <c r="BD406" s="658"/>
      <c r="BE406" s="658"/>
      <c r="BF406" s="658"/>
      <c r="BG406" s="658"/>
      <c r="BH406" s="658"/>
      <c r="BI406" s="658"/>
      <c r="BJ406" s="658"/>
      <c r="BK406" s="658"/>
      <c r="BL406" s="658"/>
      <c r="BM406" s="658"/>
      <c r="BN406" s="658"/>
      <c r="BO406" s="658"/>
      <c r="BP406" s="658"/>
      <c r="BQ406" s="658"/>
      <c r="BR406" s="658"/>
      <c r="BS406" s="658"/>
      <c r="BT406" s="658"/>
      <c r="BU406" s="658"/>
      <c r="BV406" s="658"/>
      <c r="BW406" s="658"/>
      <c r="BX406" s="658"/>
      <c r="BY406" s="658"/>
      <c r="BZ406" s="658"/>
      <c r="CA406" s="658"/>
      <c r="CB406" s="658"/>
      <c r="CC406" s="658"/>
      <c r="CD406" s="658"/>
      <c r="CE406" s="658"/>
      <c r="CF406" s="658"/>
      <c r="CG406" s="658"/>
      <c r="CH406" s="658"/>
      <c r="CI406" s="658"/>
      <c r="CJ406" s="658"/>
      <c r="CK406" s="658"/>
      <c r="CL406" s="658"/>
      <c r="CM406" s="658"/>
      <c r="CN406" s="658"/>
      <c r="CO406" s="658"/>
      <c r="CP406" s="658"/>
      <c r="CQ406" s="658"/>
      <c r="CR406" s="658"/>
      <c r="CS406" s="658"/>
      <c r="CT406" s="658"/>
      <c r="CU406" s="658"/>
      <c r="CV406" s="658"/>
      <c r="CW406" s="658"/>
      <c r="CX406" s="658"/>
      <c r="CY406" s="658"/>
      <c r="CZ406" s="658"/>
      <c r="DA406" s="658"/>
      <c r="DB406" s="658"/>
      <c r="DC406" s="658"/>
      <c r="DD406" s="658"/>
      <c r="DE406" s="658"/>
      <c r="DF406" s="658"/>
      <c r="DG406" s="658"/>
      <c r="DH406" s="658"/>
      <c r="DI406" s="658"/>
      <c r="DJ406" s="658"/>
      <c r="DK406" s="658"/>
      <c r="DL406" s="658"/>
      <c r="DM406" s="658"/>
      <c r="DN406" s="658"/>
      <c r="DO406" s="177">
        <f t="shared" si="2954"/>
        <v>0</v>
      </c>
      <c r="DP406" s="612" t="e">
        <f t="shared" si="2955"/>
        <v>#N/A</v>
      </c>
      <c r="DQ406" s="612" t="e">
        <f t="shared" si="2951"/>
        <v>#NUM!</v>
      </c>
      <c r="DR406" s="177"/>
      <c r="DS406" s="177"/>
      <c r="DT406" s="177"/>
      <c r="DU406" s="177"/>
      <c r="DV406" s="177"/>
      <c r="DW406" s="177"/>
      <c r="DX406" s="177"/>
      <c r="DY406" s="177"/>
      <c r="DZ406" s="177"/>
      <c r="EA406" s="613"/>
    </row>
    <row r="407" spans="1:131" ht="14.25" thickBot="1">
      <c r="B407" s="778" t="s">
        <v>3404</v>
      </c>
      <c r="C407" s="616" t="s">
        <v>223</v>
      </c>
      <c r="D407" s="616" t="s">
        <v>224</v>
      </c>
      <c r="E407" s="616" t="s">
        <v>225</v>
      </c>
      <c r="F407" s="230"/>
      <c r="G407" s="230"/>
      <c r="I407" s="657">
        <f t="shared" si="2952"/>
        <v>0</v>
      </c>
      <c r="J407" s="606" t="str">
        <f t="shared" si="2953"/>
        <v>N/A</v>
      </c>
      <c r="K407" s="471"/>
      <c r="L407" s="607"/>
      <c r="M407" s="300"/>
      <c r="N407" s="608"/>
      <c r="O407" s="609">
        <f t="shared" si="2948"/>
        <v>0</v>
      </c>
      <c r="P407" s="609">
        <f t="shared" si="2949"/>
        <v>0</v>
      </c>
      <c r="Q407" s="609">
        <f t="shared" si="2950"/>
        <v>0</v>
      </c>
      <c r="R407" s="610" t="str">
        <f>IFERROR(Q407/Q408,"")</f>
        <v/>
      </c>
      <c r="S407" s="658"/>
      <c r="T407" s="658"/>
      <c r="U407" s="658"/>
      <c r="V407" s="658"/>
      <c r="W407" s="658"/>
      <c r="X407" s="658"/>
      <c r="Y407" s="658"/>
      <c r="Z407" s="658"/>
      <c r="AA407" s="658"/>
      <c r="AB407" s="658"/>
      <c r="AC407" s="658"/>
      <c r="AD407" s="658"/>
      <c r="AE407" s="658"/>
      <c r="AF407" s="658"/>
      <c r="AG407" s="658"/>
      <c r="AH407" s="658"/>
      <c r="AI407" s="658"/>
      <c r="AJ407" s="658"/>
      <c r="AK407" s="658"/>
      <c r="AL407" s="658"/>
      <c r="AM407" s="658"/>
      <c r="AN407" s="658"/>
      <c r="AO407" s="658"/>
      <c r="AP407" s="658"/>
      <c r="AQ407" s="658"/>
      <c r="AR407" s="658"/>
      <c r="AS407" s="658"/>
      <c r="AT407" s="658"/>
      <c r="AU407" s="658"/>
      <c r="AV407" s="658"/>
      <c r="AW407" s="658"/>
      <c r="AX407" s="658"/>
      <c r="AY407" s="658"/>
      <c r="AZ407" s="658"/>
      <c r="BA407" s="658"/>
      <c r="BB407" s="658"/>
      <c r="BC407" s="658"/>
      <c r="BD407" s="658"/>
      <c r="BE407" s="658"/>
      <c r="BF407" s="658"/>
      <c r="BG407" s="658"/>
      <c r="BH407" s="658"/>
      <c r="BI407" s="658"/>
      <c r="BJ407" s="658"/>
      <c r="BK407" s="658"/>
      <c r="BL407" s="658"/>
      <c r="BM407" s="658"/>
      <c r="BN407" s="658"/>
      <c r="BO407" s="658"/>
      <c r="BP407" s="658"/>
      <c r="BQ407" s="658"/>
      <c r="BR407" s="658"/>
      <c r="BS407" s="658"/>
      <c r="BT407" s="658"/>
      <c r="BU407" s="658"/>
      <c r="BV407" s="658"/>
      <c r="BW407" s="658"/>
      <c r="BX407" s="658"/>
      <c r="BY407" s="658"/>
      <c r="BZ407" s="658"/>
      <c r="CA407" s="658"/>
      <c r="CB407" s="658"/>
      <c r="CC407" s="658"/>
      <c r="CD407" s="658"/>
      <c r="CE407" s="658"/>
      <c r="CF407" s="658"/>
      <c r="CG407" s="658"/>
      <c r="CH407" s="658"/>
      <c r="CI407" s="658"/>
      <c r="CJ407" s="658"/>
      <c r="CK407" s="658"/>
      <c r="CL407" s="658"/>
      <c r="CM407" s="658"/>
      <c r="CN407" s="658"/>
      <c r="CO407" s="658"/>
      <c r="CP407" s="658"/>
      <c r="CQ407" s="658"/>
      <c r="CR407" s="658"/>
      <c r="CS407" s="658"/>
      <c r="CT407" s="658"/>
      <c r="CU407" s="658"/>
      <c r="CV407" s="658"/>
      <c r="CW407" s="658"/>
      <c r="CX407" s="658"/>
      <c r="CY407" s="658"/>
      <c r="CZ407" s="658"/>
      <c r="DA407" s="658"/>
      <c r="DB407" s="658"/>
      <c r="DC407" s="658"/>
      <c r="DD407" s="658"/>
      <c r="DE407" s="658"/>
      <c r="DF407" s="658"/>
      <c r="DG407" s="658"/>
      <c r="DH407" s="658"/>
      <c r="DI407" s="658"/>
      <c r="DJ407" s="658"/>
      <c r="DK407" s="658"/>
      <c r="DL407" s="658"/>
      <c r="DM407" s="658"/>
      <c r="DN407" s="658"/>
      <c r="DO407" s="177">
        <f t="shared" si="2954"/>
        <v>0</v>
      </c>
      <c r="DP407" s="612" t="e">
        <f t="shared" si="2955"/>
        <v>#N/A</v>
      </c>
      <c r="DQ407" s="612" t="e">
        <f t="shared" si="2951"/>
        <v>#NUM!</v>
      </c>
      <c r="DR407" s="177"/>
      <c r="DS407" s="177"/>
      <c r="DT407" s="177"/>
      <c r="DU407" s="177"/>
      <c r="DV407" s="177"/>
      <c r="DW407" s="177"/>
      <c r="DX407" s="177"/>
      <c r="DY407" s="177"/>
      <c r="DZ407" s="177"/>
      <c r="EA407" s="613"/>
    </row>
    <row r="408" spans="1:131" ht="14.25" thickBot="1">
      <c r="A408" s="317"/>
      <c r="B408" s="779"/>
      <c r="C408" s="661"/>
      <c r="D408" s="661"/>
      <c r="E408" s="661"/>
      <c r="F408" s="662"/>
      <c r="G408" s="662"/>
      <c r="H408" s="317"/>
      <c r="I408" s="634">
        <f>SUM(I400:I407)</f>
        <v>0</v>
      </c>
      <c r="J408" s="663"/>
      <c r="K408" s="664"/>
      <c r="L408" s="664"/>
      <c r="M408" s="664"/>
      <c r="N408" s="634">
        <f t="shared" ref="N408:R408" si="2956">SUM(N400:N407)</f>
        <v>0</v>
      </c>
      <c r="O408" s="634">
        <f t="shared" si="2956"/>
        <v>0</v>
      </c>
      <c r="P408" s="634">
        <f t="shared" si="2956"/>
        <v>0</v>
      </c>
      <c r="Q408" s="634">
        <f t="shared" si="2956"/>
        <v>0</v>
      </c>
      <c r="R408" s="665">
        <f t="shared" si="2956"/>
        <v>0</v>
      </c>
      <c r="S408" s="634">
        <f>SUM(S400:S407)</f>
        <v>0</v>
      </c>
      <c r="T408" s="634">
        <f t="shared" ref="T408" si="2957">SUM(T400:T407)</f>
        <v>0</v>
      </c>
      <c r="U408" s="634">
        <f t="shared" ref="U408" si="2958">SUM(U400:U407)</f>
        <v>0</v>
      </c>
      <c r="V408" s="634">
        <f t="shared" ref="V408" si="2959">SUM(V400:V407)</f>
        <v>0</v>
      </c>
      <c r="W408" s="634">
        <f t="shared" ref="W408" si="2960">SUM(W400:W407)</f>
        <v>0</v>
      </c>
      <c r="X408" s="634">
        <f t="shared" ref="X408" si="2961">SUM(X400:X407)</f>
        <v>0</v>
      </c>
      <c r="Y408" s="634">
        <f t="shared" ref="Y408" si="2962">SUM(Y400:Y407)</f>
        <v>0</v>
      </c>
      <c r="Z408" s="634">
        <f t="shared" ref="Z408" si="2963">SUM(Z400:Z407)</f>
        <v>0</v>
      </c>
      <c r="AA408" s="634">
        <f t="shared" ref="AA408" si="2964">SUM(AA400:AA407)</f>
        <v>0</v>
      </c>
      <c r="AB408" s="634">
        <f t="shared" ref="AB408" si="2965">SUM(AB400:AB407)</f>
        <v>0</v>
      </c>
      <c r="AC408" s="634">
        <f t="shared" ref="AC408" si="2966">SUM(AC400:AC407)</f>
        <v>0</v>
      </c>
      <c r="AD408" s="634">
        <f t="shared" ref="AD408" si="2967">SUM(AD400:AD407)</f>
        <v>0</v>
      </c>
      <c r="AE408" s="634">
        <f t="shared" ref="AE408" si="2968">SUM(AE400:AE407)</f>
        <v>0</v>
      </c>
      <c r="AF408" s="634">
        <f t="shared" ref="AF408" si="2969">SUM(AF400:AF407)</f>
        <v>0</v>
      </c>
      <c r="AG408" s="634">
        <f t="shared" ref="AG408" si="2970">SUM(AG400:AG407)</f>
        <v>0</v>
      </c>
      <c r="AH408" s="634">
        <f t="shared" ref="AH408" si="2971">SUM(AH400:AH407)</f>
        <v>0</v>
      </c>
      <c r="AI408" s="634">
        <f t="shared" ref="AI408" si="2972">SUM(AI400:AI407)</f>
        <v>0</v>
      </c>
      <c r="AJ408" s="634">
        <f t="shared" ref="AJ408" si="2973">SUM(AJ400:AJ407)</f>
        <v>0</v>
      </c>
      <c r="AK408" s="634">
        <f t="shared" ref="AK408" si="2974">SUM(AK400:AK407)</f>
        <v>0</v>
      </c>
      <c r="AL408" s="634">
        <f t="shared" ref="AL408" si="2975">SUM(AL400:AL407)</f>
        <v>0</v>
      </c>
      <c r="AM408" s="634">
        <f t="shared" ref="AM408" si="2976">SUM(AM400:AM407)</f>
        <v>0</v>
      </c>
      <c r="AN408" s="634">
        <f t="shared" ref="AN408" si="2977">SUM(AN400:AN407)</f>
        <v>0</v>
      </c>
      <c r="AO408" s="634">
        <f t="shared" ref="AO408" si="2978">SUM(AO400:AO407)</f>
        <v>0</v>
      </c>
      <c r="AP408" s="634">
        <f t="shared" ref="AP408" si="2979">SUM(AP400:AP407)</f>
        <v>0</v>
      </c>
      <c r="AQ408" s="634">
        <f t="shared" ref="AQ408" si="2980">SUM(AQ400:AQ407)</f>
        <v>0</v>
      </c>
      <c r="AR408" s="634">
        <f t="shared" ref="AR408" si="2981">SUM(AR400:AR407)</f>
        <v>0</v>
      </c>
      <c r="AS408" s="634">
        <f t="shared" ref="AS408" si="2982">SUM(AS400:AS407)</f>
        <v>0</v>
      </c>
      <c r="AT408" s="634">
        <f t="shared" ref="AT408" si="2983">SUM(AT400:AT407)</f>
        <v>0</v>
      </c>
      <c r="AU408" s="634">
        <f t="shared" ref="AU408" si="2984">SUM(AU400:AU407)</f>
        <v>0</v>
      </c>
      <c r="AV408" s="634">
        <f t="shared" ref="AV408" si="2985">SUM(AV400:AV407)</f>
        <v>0</v>
      </c>
      <c r="AW408" s="634">
        <f t="shared" ref="AW408" si="2986">SUM(AW400:AW407)</f>
        <v>0</v>
      </c>
      <c r="AX408" s="634">
        <f t="shared" ref="AX408" si="2987">SUM(AX400:AX407)</f>
        <v>0</v>
      </c>
      <c r="AY408" s="634">
        <f t="shared" ref="AY408" si="2988">SUM(AY400:AY407)</f>
        <v>0</v>
      </c>
      <c r="AZ408" s="634">
        <f t="shared" ref="AZ408" si="2989">SUM(AZ400:AZ407)</f>
        <v>0</v>
      </c>
      <c r="BA408" s="634">
        <f t="shared" ref="BA408" si="2990">SUM(BA400:BA407)</f>
        <v>0</v>
      </c>
      <c r="BB408" s="634">
        <f t="shared" ref="BB408" si="2991">SUM(BB400:BB407)</f>
        <v>0</v>
      </c>
      <c r="BC408" s="634">
        <f t="shared" ref="BC408" si="2992">SUM(BC400:BC407)</f>
        <v>0</v>
      </c>
      <c r="BD408" s="634">
        <f t="shared" ref="BD408" si="2993">SUM(BD400:BD407)</f>
        <v>0</v>
      </c>
      <c r="BE408" s="634">
        <f t="shared" ref="BE408" si="2994">SUM(BE400:BE407)</f>
        <v>0</v>
      </c>
      <c r="BF408" s="634">
        <f t="shared" ref="BF408" si="2995">SUM(BF400:BF407)</f>
        <v>0</v>
      </c>
      <c r="BG408" s="634">
        <f t="shared" ref="BG408" si="2996">SUM(BG400:BG407)</f>
        <v>0</v>
      </c>
      <c r="BH408" s="634">
        <f t="shared" ref="BH408" si="2997">SUM(BH400:BH407)</f>
        <v>0</v>
      </c>
      <c r="BI408" s="634">
        <f t="shared" ref="BI408" si="2998">SUM(BI400:BI407)</f>
        <v>0</v>
      </c>
      <c r="BJ408" s="634">
        <f t="shared" ref="BJ408" si="2999">SUM(BJ400:BJ407)</f>
        <v>0</v>
      </c>
      <c r="BK408" s="634">
        <f t="shared" ref="BK408" si="3000">SUM(BK400:BK407)</f>
        <v>0</v>
      </c>
      <c r="BL408" s="634">
        <f t="shared" ref="BL408" si="3001">SUM(BL400:BL407)</f>
        <v>0</v>
      </c>
      <c r="BM408" s="634">
        <f t="shared" ref="BM408" si="3002">SUM(BM400:BM407)</f>
        <v>0</v>
      </c>
      <c r="BN408" s="634">
        <f t="shared" ref="BN408" si="3003">SUM(BN400:BN407)</f>
        <v>0</v>
      </c>
      <c r="BO408" s="634">
        <f t="shared" ref="BO408" si="3004">SUM(BO400:BO407)</f>
        <v>0</v>
      </c>
      <c r="BP408" s="634">
        <f t="shared" ref="BP408" si="3005">SUM(BP400:BP407)</f>
        <v>0</v>
      </c>
      <c r="BQ408" s="634">
        <f t="shared" ref="BQ408" si="3006">SUM(BQ400:BQ407)</f>
        <v>0</v>
      </c>
      <c r="BR408" s="634">
        <f t="shared" ref="BR408" si="3007">SUM(BR400:BR407)</f>
        <v>0</v>
      </c>
      <c r="BS408" s="634">
        <f t="shared" ref="BS408" si="3008">SUM(BS400:BS407)</f>
        <v>0</v>
      </c>
      <c r="BT408" s="634">
        <f t="shared" ref="BT408" si="3009">SUM(BT400:BT407)</f>
        <v>0</v>
      </c>
      <c r="BU408" s="634">
        <f t="shared" ref="BU408" si="3010">SUM(BU400:BU407)</f>
        <v>0</v>
      </c>
      <c r="BV408" s="634">
        <f t="shared" ref="BV408" si="3011">SUM(BV400:BV407)</f>
        <v>0</v>
      </c>
      <c r="BW408" s="634">
        <f t="shared" ref="BW408" si="3012">SUM(BW400:BW407)</f>
        <v>0</v>
      </c>
      <c r="BX408" s="634">
        <f t="shared" ref="BX408" si="3013">SUM(BX400:BX407)</f>
        <v>0</v>
      </c>
      <c r="BY408" s="634">
        <f t="shared" ref="BY408" si="3014">SUM(BY400:BY407)</f>
        <v>0</v>
      </c>
      <c r="BZ408" s="634">
        <f t="shared" ref="BZ408" si="3015">SUM(BZ400:BZ407)</f>
        <v>0</v>
      </c>
      <c r="CA408" s="634">
        <f t="shared" ref="CA408" si="3016">SUM(CA400:CA407)</f>
        <v>0</v>
      </c>
      <c r="CB408" s="634">
        <f t="shared" ref="CB408" si="3017">SUM(CB400:CB407)</f>
        <v>0</v>
      </c>
      <c r="CC408" s="634">
        <f t="shared" ref="CC408" si="3018">SUM(CC400:CC407)</f>
        <v>0</v>
      </c>
      <c r="CD408" s="634">
        <f t="shared" ref="CD408" si="3019">SUM(CD400:CD407)</f>
        <v>0</v>
      </c>
      <c r="CE408" s="634">
        <f t="shared" ref="CE408" si="3020">SUM(CE400:CE407)</f>
        <v>0</v>
      </c>
      <c r="CF408" s="634">
        <f t="shared" ref="CF408" si="3021">SUM(CF400:CF407)</f>
        <v>0</v>
      </c>
      <c r="CG408" s="634">
        <f t="shared" ref="CG408" si="3022">SUM(CG400:CG407)</f>
        <v>0</v>
      </c>
      <c r="CH408" s="634">
        <f t="shared" ref="CH408" si="3023">SUM(CH400:CH407)</f>
        <v>0</v>
      </c>
      <c r="CI408" s="634">
        <f t="shared" ref="CI408" si="3024">SUM(CI400:CI407)</f>
        <v>0</v>
      </c>
      <c r="CJ408" s="634">
        <f t="shared" ref="CJ408" si="3025">SUM(CJ400:CJ407)</f>
        <v>0</v>
      </c>
      <c r="CK408" s="634">
        <f t="shared" ref="CK408" si="3026">SUM(CK400:CK407)</f>
        <v>0</v>
      </c>
      <c r="CL408" s="634">
        <f t="shared" ref="CL408" si="3027">SUM(CL400:CL407)</f>
        <v>0</v>
      </c>
      <c r="CM408" s="634">
        <f t="shared" ref="CM408" si="3028">SUM(CM400:CM407)</f>
        <v>0</v>
      </c>
      <c r="CN408" s="634">
        <f t="shared" ref="CN408" si="3029">SUM(CN400:CN407)</f>
        <v>0</v>
      </c>
      <c r="CO408" s="634">
        <f t="shared" ref="CO408" si="3030">SUM(CO400:CO407)</f>
        <v>0</v>
      </c>
      <c r="CP408" s="634">
        <f t="shared" ref="CP408" si="3031">SUM(CP400:CP407)</f>
        <v>0</v>
      </c>
      <c r="CQ408" s="634">
        <f t="shared" ref="CQ408" si="3032">SUM(CQ400:CQ407)</f>
        <v>0</v>
      </c>
      <c r="CR408" s="634">
        <f t="shared" ref="CR408" si="3033">SUM(CR400:CR407)</f>
        <v>0</v>
      </c>
      <c r="CS408" s="634">
        <f t="shared" ref="CS408" si="3034">SUM(CS400:CS407)</f>
        <v>0</v>
      </c>
      <c r="CT408" s="634">
        <f t="shared" ref="CT408" si="3035">SUM(CT400:CT407)</f>
        <v>0</v>
      </c>
      <c r="CU408" s="634">
        <f t="shared" ref="CU408" si="3036">SUM(CU400:CU407)</f>
        <v>0</v>
      </c>
      <c r="CV408" s="634">
        <f t="shared" ref="CV408" si="3037">SUM(CV400:CV407)</f>
        <v>0</v>
      </c>
      <c r="CW408" s="634">
        <f t="shared" ref="CW408" si="3038">SUM(CW400:CW407)</f>
        <v>0</v>
      </c>
      <c r="CX408" s="634">
        <f t="shared" ref="CX408" si="3039">SUM(CX400:CX407)</f>
        <v>0</v>
      </c>
      <c r="CY408" s="634">
        <f t="shared" ref="CY408" si="3040">SUM(CY400:CY407)</f>
        <v>0</v>
      </c>
      <c r="CZ408" s="634">
        <f t="shared" ref="CZ408" si="3041">SUM(CZ400:CZ407)</f>
        <v>0</v>
      </c>
      <c r="DA408" s="634">
        <f t="shared" ref="DA408" si="3042">SUM(DA400:DA407)</f>
        <v>0</v>
      </c>
      <c r="DB408" s="634">
        <f t="shared" ref="DB408" si="3043">SUM(DB400:DB407)</f>
        <v>0</v>
      </c>
      <c r="DC408" s="634">
        <f t="shared" ref="DC408" si="3044">SUM(DC400:DC407)</f>
        <v>0</v>
      </c>
      <c r="DD408" s="634">
        <f t="shared" ref="DD408" si="3045">SUM(DD400:DD407)</f>
        <v>0</v>
      </c>
      <c r="DE408" s="634">
        <f t="shared" ref="DE408" si="3046">SUM(DE400:DE407)</f>
        <v>0</v>
      </c>
      <c r="DF408" s="634">
        <f t="shared" ref="DF408" si="3047">SUM(DF400:DF407)</f>
        <v>0</v>
      </c>
      <c r="DG408" s="634">
        <f t="shared" ref="DG408" si="3048">SUM(DG400:DG407)</f>
        <v>0</v>
      </c>
      <c r="DH408" s="634">
        <f t="shared" ref="DH408" si="3049">SUM(DH400:DH407)</f>
        <v>0</v>
      </c>
      <c r="DI408" s="634">
        <f t="shared" ref="DI408" si="3050">SUM(DI400:DI407)</f>
        <v>0</v>
      </c>
      <c r="DJ408" s="634">
        <f t="shared" ref="DJ408" si="3051">SUM(DJ400:DJ407)</f>
        <v>0</v>
      </c>
      <c r="DK408" s="634">
        <f t="shared" ref="DK408" si="3052">SUM(DK400:DK407)</f>
        <v>0</v>
      </c>
      <c r="DL408" s="634">
        <f t="shared" ref="DL408" si="3053">SUM(DL400:DL407)</f>
        <v>0</v>
      </c>
      <c r="DM408" s="634">
        <f t="shared" ref="DM408" si="3054">SUM(DM400:DM407)</f>
        <v>0</v>
      </c>
      <c r="DN408" s="634">
        <f t="shared" ref="DN408" si="3055">SUM(DN400:DN407)</f>
        <v>0</v>
      </c>
      <c r="DO408" s="634">
        <f t="shared" ref="DO408" si="3056">SUM(DO400:DO407)</f>
        <v>0</v>
      </c>
      <c r="DP408" s="666"/>
      <c r="DQ408" s="638" t="e">
        <f>XIRR(S408:DO408,$S$399:$DO$399)</f>
        <v>#NUM!</v>
      </c>
      <c r="DR408" s="636">
        <f t="shared" ref="DR408:DX408" si="3057">SUM(DR400:DR407)</f>
        <v>0</v>
      </c>
      <c r="DS408" s="636">
        <f t="shared" si="3057"/>
        <v>0</v>
      </c>
      <c r="DT408" s="636">
        <f t="shared" si="3057"/>
        <v>0</v>
      </c>
      <c r="DU408" s="636">
        <f t="shared" si="3057"/>
        <v>0</v>
      </c>
      <c r="DV408" s="636">
        <f t="shared" si="3057"/>
        <v>0</v>
      </c>
      <c r="DW408" s="636">
        <f t="shared" si="3057"/>
        <v>0</v>
      </c>
      <c r="DX408" s="636">
        <f t="shared" si="3057"/>
        <v>0</v>
      </c>
      <c r="DY408" s="636">
        <f>SUM(DY400:DY407)</f>
        <v>0</v>
      </c>
      <c r="DZ408" s="636">
        <f>SUM(DZ400:DZ407)</f>
        <v>0</v>
      </c>
      <c r="EA408" s="636">
        <f>SUM(EA400:EA407)</f>
        <v>0</v>
      </c>
    </row>
  </sheetData>
  <mergeCells count="672">
    <mergeCell ref="C401:E401"/>
    <mergeCell ref="C402:E402"/>
    <mergeCell ref="C403:E403"/>
    <mergeCell ref="C404:E404"/>
    <mergeCell ref="C405:E405"/>
    <mergeCell ref="C406:E406"/>
    <mergeCell ref="C389:E389"/>
    <mergeCell ref="C390:E390"/>
    <mergeCell ref="C391:E391"/>
    <mergeCell ref="C392:E392"/>
    <mergeCell ref="C393:E393"/>
    <mergeCell ref="C394:E394"/>
    <mergeCell ref="C398:E398"/>
    <mergeCell ref="C399:E399"/>
    <mergeCell ref="C400:E400"/>
    <mergeCell ref="C379:E379"/>
    <mergeCell ref="C380:E380"/>
    <mergeCell ref="C381:E381"/>
    <mergeCell ref="C382:E382"/>
    <mergeCell ref="C386:E386"/>
    <mergeCell ref="C387:E387"/>
    <mergeCell ref="C388:E388"/>
    <mergeCell ref="C369:E369"/>
    <mergeCell ref="C370:E370"/>
    <mergeCell ref="C374:E374"/>
    <mergeCell ref="C375:E375"/>
    <mergeCell ref="C376:E376"/>
    <mergeCell ref="C377:E377"/>
    <mergeCell ref="C378:E378"/>
    <mergeCell ref="C362:E362"/>
    <mergeCell ref="C363:E363"/>
    <mergeCell ref="C364:E364"/>
    <mergeCell ref="C365:E365"/>
    <mergeCell ref="C366:E366"/>
    <mergeCell ref="C367:E367"/>
    <mergeCell ref="C368:E368"/>
    <mergeCell ref="C352:E352"/>
    <mergeCell ref="C353:E353"/>
    <mergeCell ref="C354:E354"/>
    <mergeCell ref="C355:E355"/>
    <mergeCell ref="C356:E356"/>
    <mergeCell ref="C357:E357"/>
    <mergeCell ref="C358:E358"/>
    <mergeCell ref="C342:E342"/>
    <mergeCell ref="C343:E343"/>
    <mergeCell ref="C344:E344"/>
    <mergeCell ref="C345:E345"/>
    <mergeCell ref="C346:E346"/>
    <mergeCell ref="C350:E350"/>
    <mergeCell ref="C351:E351"/>
    <mergeCell ref="C330:E330"/>
    <mergeCell ref="C331:E331"/>
    <mergeCell ref="C332:E332"/>
    <mergeCell ref="C333:E333"/>
    <mergeCell ref="C334:E334"/>
    <mergeCell ref="C338:E338"/>
    <mergeCell ref="C339:E339"/>
    <mergeCell ref="C340:E340"/>
    <mergeCell ref="C329:E329"/>
    <mergeCell ref="C310:E310"/>
    <mergeCell ref="C314:E314"/>
    <mergeCell ref="C315:E315"/>
    <mergeCell ref="C316:E316"/>
    <mergeCell ref="C317:E317"/>
    <mergeCell ref="C318:E318"/>
    <mergeCell ref="C319:E319"/>
    <mergeCell ref="C341:E341"/>
    <mergeCell ref="C297:E297"/>
    <mergeCell ref="C298:E298"/>
    <mergeCell ref="C302:E302"/>
    <mergeCell ref="C320:E320"/>
    <mergeCell ref="C321:E321"/>
    <mergeCell ref="C322:E322"/>
    <mergeCell ref="C326:E326"/>
    <mergeCell ref="C327:E327"/>
    <mergeCell ref="C328:E328"/>
    <mergeCell ref="C281:E281"/>
    <mergeCell ref="C282:E282"/>
    <mergeCell ref="C283:E283"/>
    <mergeCell ref="C284:E284"/>
    <mergeCell ref="C285:E285"/>
    <mergeCell ref="C286:E286"/>
    <mergeCell ref="C290:E290"/>
    <mergeCell ref="C291:E291"/>
    <mergeCell ref="C292:E292"/>
    <mergeCell ref="C271:E271"/>
    <mergeCell ref="C272:E272"/>
    <mergeCell ref="C273:E273"/>
    <mergeCell ref="C274:E274"/>
    <mergeCell ref="C278:E278"/>
    <mergeCell ref="C279:E279"/>
    <mergeCell ref="C280:E280"/>
    <mergeCell ref="C261:E261"/>
    <mergeCell ref="C262:E262"/>
    <mergeCell ref="C266:E266"/>
    <mergeCell ref="C267:E267"/>
    <mergeCell ref="C268:E268"/>
    <mergeCell ref="C269:E269"/>
    <mergeCell ref="C270:E270"/>
    <mergeCell ref="C254:E254"/>
    <mergeCell ref="C255:E255"/>
    <mergeCell ref="C256:E256"/>
    <mergeCell ref="C257:E257"/>
    <mergeCell ref="C258:E258"/>
    <mergeCell ref="C259:E259"/>
    <mergeCell ref="C260:E260"/>
    <mergeCell ref="C245:E245"/>
    <mergeCell ref="C246:E246"/>
    <mergeCell ref="C247:E247"/>
    <mergeCell ref="C248:E248"/>
    <mergeCell ref="C249:E249"/>
    <mergeCell ref="C250:E250"/>
    <mergeCell ref="C218:E218"/>
    <mergeCell ref="C230:E230"/>
    <mergeCell ref="C242:E242"/>
    <mergeCell ref="C235:E235"/>
    <mergeCell ref="C236:E236"/>
    <mergeCell ref="C237:E237"/>
    <mergeCell ref="C238:E238"/>
    <mergeCell ref="C208:E208"/>
    <mergeCell ref="C209:E209"/>
    <mergeCell ref="C210:E210"/>
    <mergeCell ref="C211:E211"/>
    <mergeCell ref="C212:E212"/>
    <mergeCell ref="C213:E213"/>
    <mergeCell ref="C214:E214"/>
    <mergeCell ref="C243:E243"/>
    <mergeCell ref="C244:E244"/>
    <mergeCell ref="C225:E225"/>
    <mergeCell ref="C226:E226"/>
    <mergeCell ref="C231:E231"/>
    <mergeCell ref="C232:E232"/>
    <mergeCell ref="C233:E233"/>
    <mergeCell ref="C234:E234"/>
    <mergeCell ref="C219:E219"/>
    <mergeCell ref="C220:E220"/>
    <mergeCell ref="C221:E221"/>
    <mergeCell ref="C222:E222"/>
    <mergeCell ref="C223:E223"/>
    <mergeCell ref="C224:E224"/>
    <mergeCell ref="C202:E202"/>
    <mergeCell ref="C207:E207"/>
    <mergeCell ref="C186:E186"/>
    <mergeCell ref="C187:E187"/>
    <mergeCell ref="C188:E188"/>
    <mergeCell ref="C189:E189"/>
    <mergeCell ref="C190:E190"/>
    <mergeCell ref="C195:E195"/>
    <mergeCell ref="C196:E196"/>
    <mergeCell ref="C194:E194"/>
    <mergeCell ref="C206:E206"/>
    <mergeCell ref="C197:E197"/>
    <mergeCell ref="C198:E198"/>
    <mergeCell ref="C199:E199"/>
    <mergeCell ref="C200:E200"/>
    <mergeCell ref="C201:E201"/>
    <mergeCell ref="C176:E176"/>
    <mergeCell ref="C177:E177"/>
    <mergeCell ref="C178:E178"/>
    <mergeCell ref="C183:E183"/>
    <mergeCell ref="C184:E184"/>
    <mergeCell ref="C185:E185"/>
    <mergeCell ref="C166:E166"/>
    <mergeCell ref="C171:E171"/>
    <mergeCell ref="C172:E172"/>
    <mergeCell ref="C173:E173"/>
    <mergeCell ref="C174:E174"/>
    <mergeCell ref="C175:E175"/>
    <mergeCell ref="C170:E170"/>
    <mergeCell ref="C182:E182"/>
    <mergeCell ref="C159:E159"/>
    <mergeCell ref="C160:E160"/>
    <mergeCell ref="C161:E161"/>
    <mergeCell ref="C162:E162"/>
    <mergeCell ref="C163:E163"/>
    <mergeCell ref="C164:E164"/>
    <mergeCell ref="C165:E165"/>
    <mergeCell ref="C153:E153"/>
    <mergeCell ref="C154:E154"/>
    <mergeCell ref="C158:E158"/>
    <mergeCell ref="C149:E149"/>
    <mergeCell ref="C150:E150"/>
    <mergeCell ref="C151:E151"/>
    <mergeCell ref="C152:E152"/>
    <mergeCell ref="C142:E142"/>
    <mergeCell ref="C146:E146"/>
    <mergeCell ref="C147:E147"/>
    <mergeCell ref="C148:E148"/>
    <mergeCell ref="C137:E137"/>
    <mergeCell ref="C138:E138"/>
    <mergeCell ref="C139:E139"/>
    <mergeCell ref="C140:E140"/>
    <mergeCell ref="C141:E141"/>
    <mergeCell ref="C7:E7"/>
    <mergeCell ref="C8:E8"/>
    <mergeCell ref="C134:E134"/>
    <mergeCell ref="C135:E135"/>
    <mergeCell ref="C136:E136"/>
    <mergeCell ref="Q6:Q7"/>
    <mergeCell ref="R6:R7"/>
    <mergeCell ref="DP6:DP7"/>
    <mergeCell ref="DQ6:DQ7"/>
    <mergeCell ref="M6:M7"/>
    <mergeCell ref="N6:N7"/>
    <mergeCell ref="P6:P7"/>
    <mergeCell ref="H6:H7"/>
    <mergeCell ref="I6:I7"/>
    <mergeCell ref="J6:J7"/>
    <mergeCell ref="K6:K7"/>
    <mergeCell ref="L6:L7"/>
    <mergeCell ref="O6:O7"/>
    <mergeCell ref="C62:E62"/>
    <mergeCell ref="C63:E63"/>
    <mergeCell ref="C64:E64"/>
    <mergeCell ref="C65:E65"/>
    <mergeCell ref="C66:E66"/>
    <mergeCell ref="C82:E82"/>
    <mergeCell ref="B23:B24"/>
    <mergeCell ref="C9:E9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C19:E19"/>
    <mergeCell ref="C20:E20"/>
    <mergeCell ref="C22:E22"/>
    <mergeCell ref="C21:E21"/>
    <mergeCell ref="C78:E78"/>
    <mergeCell ref="C79:E79"/>
    <mergeCell ref="C80:E80"/>
    <mergeCell ref="C81:E81"/>
    <mergeCell ref="C74:E74"/>
    <mergeCell ref="C75:E75"/>
    <mergeCell ref="C76:E76"/>
    <mergeCell ref="B25:B26"/>
    <mergeCell ref="C25:D25"/>
    <mergeCell ref="C26:D26"/>
    <mergeCell ref="C37:E37"/>
    <mergeCell ref="C67:E67"/>
    <mergeCell ref="C77:E77"/>
    <mergeCell ref="C86:E86"/>
    <mergeCell ref="C87:E87"/>
    <mergeCell ref="C88:E88"/>
    <mergeCell ref="C89:E89"/>
    <mergeCell ref="C90:E90"/>
    <mergeCell ref="C91:E91"/>
    <mergeCell ref="C92:E92"/>
    <mergeCell ref="C93:E93"/>
    <mergeCell ref="C94:E94"/>
    <mergeCell ref="C98:E98"/>
    <mergeCell ref="C99:E99"/>
    <mergeCell ref="C100:E100"/>
    <mergeCell ref="C101:E101"/>
    <mergeCell ref="C102:E102"/>
    <mergeCell ref="C103:E103"/>
    <mergeCell ref="C104:E104"/>
    <mergeCell ref="C105:E105"/>
    <mergeCell ref="C106:E106"/>
    <mergeCell ref="C110:E110"/>
    <mergeCell ref="C111:E111"/>
    <mergeCell ref="C112:E112"/>
    <mergeCell ref="C113:E113"/>
    <mergeCell ref="C114:E114"/>
    <mergeCell ref="C115:E115"/>
    <mergeCell ref="C124:E124"/>
    <mergeCell ref="C130:E130"/>
    <mergeCell ref="C116:E116"/>
    <mergeCell ref="C117:E117"/>
    <mergeCell ref="C118:E118"/>
    <mergeCell ref="C125:E125"/>
    <mergeCell ref="C126:E126"/>
    <mergeCell ref="C127:E127"/>
    <mergeCell ref="C128:E128"/>
    <mergeCell ref="C129:E129"/>
    <mergeCell ref="C122:E122"/>
    <mergeCell ref="C123:E123"/>
    <mergeCell ref="Q62:Q63"/>
    <mergeCell ref="R62:R63"/>
    <mergeCell ref="DP62:DP63"/>
    <mergeCell ref="DQ62:DQ63"/>
    <mergeCell ref="B71:B72"/>
    <mergeCell ref="I62:I63"/>
    <mergeCell ref="J62:J63"/>
    <mergeCell ref="K62:K63"/>
    <mergeCell ref="L62:L63"/>
    <mergeCell ref="M62:M63"/>
    <mergeCell ref="N62:N63"/>
    <mergeCell ref="O62:O63"/>
    <mergeCell ref="P62:P63"/>
    <mergeCell ref="C68:E68"/>
    <mergeCell ref="C69:E69"/>
    <mergeCell ref="C70:E70"/>
    <mergeCell ref="R74:R75"/>
    <mergeCell ref="DP74:DP75"/>
    <mergeCell ref="DQ74:DQ75"/>
    <mergeCell ref="I74:I75"/>
    <mergeCell ref="J74:J75"/>
    <mergeCell ref="K74:K75"/>
    <mergeCell ref="L74:L75"/>
    <mergeCell ref="M74:M75"/>
    <mergeCell ref="N74:N75"/>
    <mergeCell ref="O74:O75"/>
    <mergeCell ref="P74:P75"/>
    <mergeCell ref="Q74:Q75"/>
    <mergeCell ref="R86:R87"/>
    <mergeCell ref="DP86:DP87"/>
    <mergeCell ref="DQ86:DQ87"/>
    <mergeCell ref="I98:I99"/>
    <mergeCell ref="J98:J99"/>
    <mergeCell ref="K98:K99"/>
    <mergeCell ref="L98:L99"/>
    <mergeCell ref="M98:M99"/>
    <mergeCell ref="N98:N99"/>
    <mergeCell ref="O98:O99"/>
    <mergeCell ref="P98:P99"/>
    <mergeCell ref="Q98:Q99"/>
    <mergeCell ref="I86:I87"/>
    <mergeCell ref="J86:J87"/>
    <mergeCell ref="K86:K87"/>
    <mergeCell ref="L86:L87"/>
    <mergeCell ref="M86:M87"/>
    <mergeCell ref="N86:N87"/>
    <mergeCell ref="O86:O87"/>
    <mergeCell ref="P86:P87"/>
    <mergeCell ref="Q86:Q87"/>
    <mergeCell ref="R98:R99"/>
    <mergeCell ref="DP98:DP99"/>
    <mergeCell ref="DQ98:DQ99"/>
    <mergeCell ref="I110:I111"/>
    <mergeCell ref="J110:J111"/>
    <mergeCell ref="K110:K111"/>
    <mergeCell ref="L110:L111"/>
    <mergeCell ref="M110:M111"/>
    <mergeCell ref="N110:N111"/>
    <mergeCell ref="O110:O111"/>
    <mergeCell ref="P110:P111"/>
    <mergeCell ref="Q110:Q111"/>
    <mergeCell ref="R110:R111"/>
    <mergeCell ref="DP110:DP111"/>
    <mergeCell ref="DQ110:DQ111"/>
    <mergeCell ref="R122:R123"/>
    <mergeCell ref="DP122:DP123"/>
    <mergeCell ref="DQ122:DQ123"/>
    <mergeCell ref="I134:I135"/>
    <mergeCell ref="J134:J135"/>
    <mergeCell ref="K134:K135"/>
    <mergeCell ref="L134:L135"/>
    <mergeCell ref="M134:M135"/>
    <mergeCell ref="N134:N135"/>
    <mergeCell ref="O134:O135"/>
    <mergeCell ref="P134:P135"/>
    <mergeCell ref="Q134:Q135"/>
    <mergeCell ref="R134:R135"/>
    <mergeCell ref="DP134:DP135"/>
    <mergeCell ref="DQ134:DQ135"/>
    <mergeCell ref="I122:I123"/>
    <mergeCell ref="J122:J123"/>
    <mergeCell ref="K122:K123"/>
    <mergeCell ref="L122:L123"/>
    <mergeCell ref="M122:M123"/>
    <mergeCell ref="N122:N123"/>
    <mergeCell ref="O122:O123"/>
    <mergeCell ref="P122:P123"/>
    <mergeCell ref="Q122:Q123"/>
    <mergeCell ref="R146:R147"/>
    <mergeCell ref="DP146:DP147"/>
    <mergeCell ref="DQ146:DQ147"/>
    <mergeCell ref="I158:I159"/>
    <mergeCell ref="J158:J159"/>
    <mergeCell ref="K158:K159"/>
    <mergeCell ref="L158:L159"/>
    <mergeCell ref="M158:M159"/>
    <mergeCell ref="N158:N159"/>
    <mergeCell ref="O158:O159"/>
    <mergeCell ref="P158:P159"/>
    <mergeCell ref="Q158:Q159"/>
    <mergeCell ref="R158:R159"/>
    <mergeCell ref="DP158:DP159"/>
    <mergeCell ref="DQ158:DQ159"/>
    <mergeCell ref="I146:I147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70:R171"/>
    <mergeCell ref="DP170:DP171"/>
    <mergeCell ref="DQ170:DQ171"/>
    <mergeCell ref="I182:I183"/>
    <mergeCell ref="J182:J183"/>
    <mergeCell ref="K182:K183"/>
    <mergeCell ref="L182:L183"/>
    <mergeCell ref="M182:M183"/>
    <mergeCell ref="N182:N183"/>
    <mergeCell ref="O182:O183"/>
    <mergeCell ref="P182:P183"/>
    <mergeCell ref="Q182:Q183"/>
    <mergeCell ref="R182:R183"/>
    <mergeCell ref="DP182:DP183"/>
    <mergeCell ref="DQ182:DQ183"/>
    <mergeCell ref="I170:I171"/>
    <mergeCell ref="J170:J171"/>
    <mergeCell ref="K170:K171"/>
    <mergeCell ref="L170:L171"/>
    <mergeCell ref="M170:M171"/>
    <mergeCell ref="N170:N171"/>
    <mergeCell ref="O170:O171"/>
    <mergeCell ref="P170:P171"/>
    <mergeCell ref="Q170:Q171"/>
    <mergeCell ref="R194:R195"/>
    <mergeCell ref="DP194:DP195"/>
    <mergeCell ref="DQ194:DQ195"/>
    <mergeCell ref="I206:I207"/>
    <mergeCell ref="J206:J207"/>
    <mergeCell ref="K206:K207"/>
    <mergeCell ref="L206:L207"/>
    <mergeCell ref="M206:M207"/>
    <mergeCell ref="N206:N207"/>
    <mergeCell ref="O206:O207"/>
    <mergeCell ref="P206:P207"/>
    <mergeCell ref="Q206:Q207"/>
    <mergeCell ref="R206:R207"/>
    <mergeCell ref="DP206:DP207"/>
    <mergeCell ref="DQ206:DQ207"/>
    <mergeCell ref="I194:I195"/>
    <mergeCell ref="J194:J195"/>
    <mergeCell ref="K194:K195"/>
    <mergeCell ref="L194:L195"/>
    <mergeCell ref="M194:M195"/>
    <mergeCell ref="N194:N195"/>
    <mergeCell ref="O194:O195"/>
    <mergeCell ref="P194:P195"/>
    <mergeCell ref="Q194:Q195"/>
    <mergeCell ref="R218:R219"/>
    <mergeCell ref="DP218:DP219"/>
    <mergeCell ref="DQ218:DQ219"/>
    <mergeCell ref="I230:I231"/>
    <mergeCell ref="J230:J231"/>
    <mergeCell ref="K230:K231"/>
    <mergeCell ref="L230:L231"/>
    <mergeCell ref="M230:M231"/>
    <mergeCell ref="N230:N231"/>
    <mergeCell ref="O230:O231"/>
    <mergeCell ref="P230:P231"/>
    <mergeCell ref="Q230:Q231"/>
    <mergeCell ref="R230:R231"/>
    <mergeCell ref="DP230:DP231"/>
    <mergeCell ref="DQ230:DQ231"/>
    <mergeCell ref="I218:I219"/>
    <mergeCell ref="J218:J219"/>
    <mergeCell ref="K218:K219"/>
    <mergeCell ref="L218:L219"/>
    <mergeCell ref="M218:M219"/>
    <mergeCell ref="N218:N219"/>
    <mergeCell ref="O218:O219"/>
    <mergeCell ref="P218:P219"/>
    <mergeCell ref="Q218:Q219"/>
    <mergeCell ref="R242:R243"/>
    <mergeCell ref="DP242:DP243"/>
    <mergeCell ref="DQ242:DQ243"/>
    <mergeCell ref="I254:I255"/>
    <mergeCell ref="J254:J255"/>
    <mergeCell ref="K254:K255"/>
    <mergeCell ref="L254:L255"/>
    <mergeCell ref="M254:M255"/>
    <mergeCell ref="N254:N255"/>
    <mergeCell ref="O254:O255"/>
    <mergeCell ref="P254:P255"/>
    <mergeCell ref="Q254:Q255"/>
    <mergeCell ref="R254:R255"/>
    <mergeCell ref="DP254:DP255"/>
    <mergeCell ref="DQ254:DQ255"/>
    <mergeCell ref="I242:I243"/>
    <mergeCell ref="J242:J243"/>
    <mergeCell ref="K242:K243"/>
    <mergeCell ref="L242:L243"/>
    <mergeCell ref="M242:M243"/>
    <mergeCell ref="N242:N243"/>
    <mergeCell ref="O242:O243"/>
    <mergeCell ref="P242:P243"/>
    <mergeCell ref="Q242:Q243"/>
    <mergeCell ref="I266:I267"/>
    <mergeCell ref="J266:J267"/>
    <mergeCell ref="K266:K267"/>
    <mergeCell ref="L266:L267"/>
    <mergeCell ref="M266:M267"/>
    <mergeCell ref="N266:N267"/>
    <mergeCell ref="O266:O267"/>
    <mergeCell ref="P266:P267"/>
    <mergeCell ref="Q266:Q267"/>
    <mergeCell ref="I278:I279"/>
    <mergeCell ref="J278:J279"/>
    <mergeCell ref="K278:K279"/>
    <mergeCell ref="L278:L279"/>
    <mergeCell ref="M278:M279"/>
    <mergeCell ref="N278:N279"/>
    <mergeCell ref="O278:O279"/>
    <mergeCell ref="P278:P279"/>
    <mergeCell ref="Q278:Q279"/>
    <mergeCell ref="L290:L291"/>
    <mergeCell ref="M290:M291"/>
    <mergeCell ref="N290:N291"/>
    <mergeCell ref="O290:O291"/>
    <mergeCell ref="P290:P291"/>
    <mergeCell ref="Q290:Q291"/>
    <mergeCell ref="R266:R267"/>
    <mergeCell ref="DP266:DP267"/>
    <mergeCell ref="DQ266:DQ267"/>
    <mergeCell ref="R278:R279"/>
    <mergeCell ref="DP278:DP279"/>
    <mergeCell ref="DQ278:DQ279"/>
    <mergeCell ref="R290:R291"/>
    <mergeCell ref="DP290:DP291"/>
    <mergeCell ref="DQ290:DQ291"/>
    <mergeCell ref="B83:B84"/>
    <mergeCell ref="B95:B96"/>
    <mergeCell ref="B107:B108"/>
    <mergeCell ref="B119:B120"/>
    <mergeCell ref="B131:B132"/>
    <mergeCell ref="B143:B144"/>
    <mergeCell ref="B155:B156"/>
    <mergeCell ref="B167:B168"/>
    <mergeCell ref="B179:B180"/>
    <mergeCell ref="B191:B192"/>
    <mergeCell ref="B203:B204"/>
    <mergeCell ref="B215:B216"/>
    <mergeCell ref="B227:B228"/>
    <mergeCell ref="B239:B240"/>
    <mergeCell ref="B251:B252"/>
    <mergeCell ref="B263:B264"/>
    <mergeCell ref="B275:B276"/>
    <mergeCell ref="B287:B288"/>
    <mergeCell ref="I290:I291"/>
    <mergeCell ref="J290:J291"/>
    <mergeCell ref="K290:K291"/>
    <mergeCell ref="B407:B408"/>
    <mergeCell ref="B299:B300"/>
    <mergeCell ref="B311:B312"/>
    <mergeCell ref="B323:B324"/>
    <mergeCell ref="B335:B336"/>
    <mergeCell ref="B347:B348"/>
    <mergeCell ref="B359:B360"/>
    <mergeCell ref="B371:B372"/>
    <mergeCell ref="B383:B384"/>
    <mergeCell ref="B395:B396"/>
    <mergeCell ref="C303:E303"/>
    <mergeCell ref="C304:E304"/>
    <mergeCell ref="C305:E305"/>
    <mergeCell ref="C306:E306"/>
    <mergeCell ref="C307:E307"/>
    <mergeCell ref="C308:E308"/>
    <mergeCell ref="C309:E309"/>
    <mergeCell ref="C293:E293"/>
    <mergeCell ref="C294:E294"/>
    <mergeCell ref="C295:E295"/>
    <mergeCell ref="C296:E296"/>
    <mergeCell ref="R302:R303"/>
    <mergeCell ref="DP302:DP303"/>
    <mergeCell ref="DQ302:DQ303"/>
    <mergeCell ref="I314:I315"/>
    <mergeCell ref="J314:J315"/>
    <mergeCell ref="K314:K315"/>
    <mergeCell ref="L314:L315"/>
    <mergeCell ref="M314:M315"/>
    <mergeCell ref="N314:N315"/>
    <mergeCell ref="O314:O315"/>
    <mergeCell ref="P314:P315"/>
    <mergeCell ref="Q314:Q315"/>
    <mergeCell ref="R314:R315"/>
    <mergeCell ref="DP314:DP315"/>
    <mergeCell ref="DQ314:DQ315"/>
    <mergeCell ref="I302:I303"/>
    <mergeCell ref="J302:J303"/>
    <mergeCell ref="K302:K303"/>
    <mergeCell ref="L302:L303"/>
    <mergeCell ref="M302:M303"/>
    <mergeCell ref="N302:N303"/>
    <mergeCell ref="O302:O303"/>
    <mergeCell ref="P302:P303"/>
    <mergeCell ref="Q302:Q303"/>
    <mergeCell ref="R326:R327"/>
    <mergeCell ref="DP326:DP327"/>
    <mergeCell ref="DQ326:DQ327"/>
    <mergeCell ref="I338:I339"/>
    <mergeCell ref="J338:J339"/>
    <mergeCell ref="K338:K339"/>
    <mergeCell ref="L338:L339"/>
    <mergeCell ref="M338:M339"/>
    <mergeCell ref="N338:N339"/>
    <mergeCell ref="O338:O339"/>
    <mergeCell ref="P338:P339"/>
    <mergeCell ref="Q338:Q339"/>
    <mergeCell ref="R338:R339"/>
    <mergeCell ref="DP338:DP339"/>
    <mergeCell ref="DQ338:DQ339"/>
    <mergeCell ref="I326:I327"/>
    <mergeCell ref="J326:J327"/>
    <mergeCell ref="K326:K327"/>
    <mergeCell ref="L326:L327"/>
    <mergeCell ref="M326:M327"/>
    <mergeCell ref="N326:N327"/>
    <mergeCell ref="O326:O327"/>
    <mergeCell ref="P326:P327"/>
    <mergeCell ref="Q326:Q327"/>
    <mergeCell ref="R350:R351"/>
    <mergeCell ref="DP350:DP351"/>
    <mergeCell ref="DQ350:DQ351"/>
    <mergeCell ref="I362:I363"/>
    <mergeCell ref="J362:J363"/>
    <mergeCell ref="K362:K363"/>
    <mergeCell ref="L362:L363"/>
    <mergeCell ref="M362:M363"/>
    <mergeCell ref="N362:N363"/>
    <mergeCell ref="O362:O363"/>
    <mergeCell ref="P362:P363"/>
    <mergeCell ref="Q362:Q363"/>
    <mergeCell ref="R362:R363"/>
    <mergeCell ref="DP362:DP363"/>
    <mergeCell ref="DQ362:DQ363"/>
    <mergeCell ref="I350:I351"/>
    <mergeCell ref="J350:J351"/>
    <mergeCell ref="K350:K351"/>
    <mergeCell ref="L350:L351"/>
    <mergeCell ref="M350:M351"/>
    <mergeCell ref="N350:N351"/>
    <mergeCell ref="O350:O351"/>
    <mergeCell ref="P350:P351"/>
    <mergeCell ref="Q350:Q351"/>
    <mergeCell ref="R374:R375"/>
    <mergeCell ref="DP374:DP375"/>
    <mergeCell ref="DQ374:DQ375"/>
    <mergeCell ref="I386:I387"/>
    <mergeCell ref="J386:J387"/>
    <mergeCell ref="K386:K387"/>
    <mergeCell ref="L386:L387"/>
    <mergeCell ref="M386:M387"/>
    <mergeCell ref="N386:N387"/>
    <mergeCell ref="O386:O387"/>
    <mergeCell ref="P386:P387"/>
    <mergeCell ref="Q386:Q387"/>
    <mergeCell ref="R386:R387"/>
    <mergeCell ref="DP386:DP387"/>
    <mergeCell ref="DQ386:DQ387"/>
    <mergeCell ref="I374:I375"/>
    <mergeCell ref="J374:J375"/>
    <mergeCell ref="K374:K375"/>
    <mergeCell ref="L374:L375"/>
    <mergeCell ref="M374:M375"/>
    <mergeCell ref="N374:N375"/>
    <mergeCell ref="O374:O375"/>
    <mergeCell ref="P374:P375"/>
    <mergeCell ref="Q374:Q375"/>
    <mergeCell ref="R398:R399"/>
    <mergeCell ref="DP398:DP399"/>
    <mergeCell ref="DQ398:DQ399"/>
    <mergeCell ref="I398:I399"/>
    <mergeCell ref="J398:J399"/>
    <mergeCell ref="K398:K399"/>
    <mergeCell ref="L398:L399"/>
    <mergeCell ref="M398:M399"/>
    <mergeCell ref="N398:N399"/>
    <mergeCell ref="O398:O399"/>
    <mergeCell ref="P398:P399"/>
    <mergeCell ref="Q398:Q399"/>
  </mergeCells>
  <phoneticPr fontId="7" type="noConversion"/>
  <conditionalFormatting sqref="DU8:DW57">
    <cfRule type="expression" dxfId="494" priority="6">
      <formula>IF($C$22="선순위 → IRR → 중순위 → IRR → 후순위 → IRR",TRUE,FALSE)</formula>
    </cfRule>
  </conditionalFormatting>
  <conditionalFormatting sqref="DV8:DW57">
    <cfRule type="expression" dxfId="493" priority="5">
      <formula>IF($C$22="선순위 → 중순위 → 후순위 → IRR",TRUE,FALSE)</formula>
    </cfRule>
  </conditionalFormatting>
  <conditionalFormatting sqref="DX8:DX57">
    <cfRule type="expression" dxfId="492" priority="4">
      <formula>IF($DX$6&lt;=0,TRUE,FALSE)</formula>
    </cfRule>
  </conditionalFormatting>
  <conditionalFormatting sqref="DY57">
    <cfRule type="expression" dxfId="491" priority="3">
      <formula>IF($DX$6&lt;=0,TRUE,FALSE)</formula>
    </cfRule>
  </conditionalFormatting>
  <conditionalFormatting sqref="DY8:DY56">
    <cfRule type="expression" dxfId="490" priority="1">
      <formula>IF($DX$6&lt;=0,TRUE,FALSE)</formula>
    </cfRule>
  </conditionalFormatting>
  <dataValidations count="2">
    <dataValidation type="list" allowBlank="1" showInputMessage="1" showErrorMessage="1" sqref="C129:E129 C81:E81 C393:E393 C93:E93 C105:E105 C117:E117 C69:E69 C153:E153 C141:E141 C213:E213 C165:E165 C177:E177 C189:E189 C201:E201 C225:E225 C237:E237 C297:E297 C249:E249 C261:E261 C273:E273 C285:E285 C309:E309 C321:E321 C333:E333 C381:E381 C345:E345 C357:E357 C369:E369 C405:E405">
      <formula1>"YES, NO"</formula1>
    </dataValidation>
    <dataValidation type="list" allowBlank="1" showInputMessage="1" showErrorMessage="1" sqref="C9:E9">
      <formula1>"PEF, VC"</formula1>
    </dataValidation>
  </dataValidations>
  <pageMargins left="0.7" right="0.7" top="0.75" bottom="0.75" header="0.3" footer="0.3"/>
  <pageSetup paperSize="9" orientation="portrait" r:id="rId1"/>
  <ignoredErrors>
    <ignoredError sqref="DV6 R57" formula="1"/>
    <ignoredError sqref="DU7 DR7:DT7" unlockedFormula="1"/>
    <ignoredError sqref="DP64:DQ75 DP85:DP87 DP84 DP97:DP99 DP96 DP408 DP76:DP83 DP88:DP95 DQ168:DQ171 DQ397:DQ399 DQ385:DQ387 DQ373:DQ375 DQ361:DQ363 DQ349:DQ351 DQ337:DQ339 DQ325:DQ327 DQ313:DQ315 DQ301:DQ303 DQ289:DQ291 DQ277:DQ279 DQ265:DQ267 DQ253:DQ255 DQ241:DQ243 DQ229:DQ231 DQ217:DQ219 DQ205:DQ207 DQ193:DQ195 DQ181:DQ183 DQ157:DQ159 DQ145:DQ147 DQ133:DQ135 DQ121:DQ123 DQ109:DQ111 DQ97:DQ99 DQ85:DQ87 DQ76:DQ84 DQ88:DQ96 DQ100:DQ108 DQ112:DQ120 DQ124:DQ132 DQ136:DQ144 DQ148:DQ156 DQ160:DQ167 DQ184:DQ192 DQ196:DQ204 DQ208:DQ216 DQ220:DQ228 DQ232:DQ240 DQ244:DQ252 DQ256:DQ264 DQ268:DQ276 DQ280:DQ288 DQ292:DQ300 DQ304:DQ312 DQ316:DQ324 DQ328:DQ336 DQ340:DQ348 DQ352:DQ360 DQ364:DQ372 DQ376:DQ384 DQ388:DQ396 DQ400:DQ408 DQ172:DQ180 DP168:DP171 DP396 DP397:DP399 DP384 DP385:DP387 DP372 DP373:DP375 DP360 DP361:DP363 DP348 DP349:DP351 DP336 DP337:DP339 DP324 DP325:DP327 DP312 DP313:DP315 DP300 DP301:DP303 DP288 DP289:DP291 DP276 DP277:DP279 DP264 DP265:DP267 DP252 DP253:DP255 DP240 DP241:DP243 DP228 DP229:DP231 DP216 DP217:DP219 DP204 DP205:DP207 DP192 DP193:DP195 DP180 DP181:DP183 DP156 DP157:DP159 DP144 DP145:DP147 DP132 DP133:DP135 DP120 DP121:DP123 DP108 DP109:DP111 DP100:DP107 DP112:DP119 DP124:DP131 DP136:DP143 DP148:DP155 DP160:DP167 DP184:DP191 DP196:DP203 DP208:DP215 DP220:DP227 DP232:DP239 DP244:DP251 DP256:DP263 DP268:DP275 DP280:DP287 DP292:DP299 DP304:DP311 DP316:DP323 DP328:DP335 DP340:DP347 DP352:DP359 DP364:DP371 DP376:DP383 DP388:DP395 DP400:DP407 DP172:DP17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개요_시트이동1">
                <anchor moveWithCells="1" sizeWithCells="1">
                  <from>
                    <xdr:col>6</xdr:col>
                    <xdr:colOff>19050</xdr:colOff>
                    <xdr:row>63</xdr:row>
                    <xdr:rowOff>0</xdr:rowOff>
                  </from>
                  <to>
                    <xdr:col>7</xdr:col>
                    <xdr:colOff>571500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개요_시트이동2">
                <anchor moveWithCells="1" sizeWithCells="1">
                  <from>
                    <xdr:col>6</xdr:col>
                    <xdr:colOff>38100</xdr:colOff>
                    <xdr:row>75</xdr:row>
                    <xdr:rowOff>19050</xdr:rowOff>
                  </from>
                  <to>
                    <xdr:col>7</xdr:col>
                    <xdr:colOff>619125</xdr:colOff>
                    <xdr:row>80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개요_시트이동3">
                <anchor moveWithCells="1" sizeWithCells="1">
                  <from>
                    <xdr:col>6</xdr:col>
                    <xdr:colOff>38100</xdr:colOff>
                    <xdr:row>87</xdr:row>
                    <xdr:rowOff>28575</xdr:rowOff>
                  </from>
                  <to>
                    <xdr:col>7</xdr:col>
                    <xdr:colOff>619125</xdr:colOff>
                    <xdr:row>92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개요_시트이동4">
                <anchor moveWithCells="1" sizeWithCells="1">
                  <from>
                    <xdr:col>6</xdr:col>
                    <xdr:colOff>38100</xdr:colOff>
                    <xdr:row>99</xdr:row>
                    <xdr:rowOff>28575</xdr:rowOff>
                  </from>
                  <to>
                    <xdr:col>7</xdr:col>
                    <xdr:colOff>619125</xdr:colOff>
                    <xdr:row>104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개요_시트이동5">
                <anchor moveWithCells="1" sizeWithCells="1">
                  <from>
                    <xdr:col>6</xdr:col>
                    <xdr:colOff>38100</xdr:colOff>
                    <xdr:row>111</xdr:row>
                    <xdr:rowOff>28575</xdr:rowOff>
                  </from>
                  <to>
                    <xdr:col>7</xdr:col>
                    <xdr:colOff>619125</xdr:colOff>
                    <xdr:row>116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개요_시트이동6">
                <anchor moveWithCells="1" sizeWithCells="1">
                  <from>
                    <xdr:col>6</xdr:col>
                    <xdr:colOff>38100</xdr:colOff>
                    <xdr:row>123</xdr:row>
                    <xdr:rowOff>28575</xdr:rowOff>
                  </from>
                  <to>
                    <xdr:col>7</xdr:col>
                    <xdr:colOff>619125</xdr:colOff>
                    <xdr:row>128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0" name="Button 9">
              <controlPr defaultSize="0" print="0" autoFill="0" autoPict="0" macro="[0]!개요_시트이동7">
                <anchor moveWithCells="1" sizeWithCells="1">
                  <from>
                    <xdr:col>6</xdr:col>
                    <xdr:colOff>38100</xdr:colOff>
                    <xdr:row>135</xdr:row>
                    <xdr:rowOff>28575</xdr:rowOff>
                  </from>
                  <to>
                    <xdr:col>7</xdr:col>
                    <xdr:colOff>619125</xdr:colOff>
                    <xdr:row>140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1" name="Button 10">
              <controlPr defaultSize="0" print="0" autoFill="0" autoPict="0" macro="[0]!개요_시트이동8">
                <anchor moveWithCells="1" sizeWithCells="1">
                  <from>
                    <xdr:col>6</xdr:col>
                    <xdr:colOff>38100</xdr:colOff>
                    <xdr:row>147</xdr:row>
                    <xdr:rowOff>28575</xdr:rowOff>
                  </from>
                  <to>
                    <xdr:col>7</xdr:col>
                    <xdr:colOff>619125</xdr:colOff>
                    <xdr:row>152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2" name="Button 11">
              <controlPr defaultSize="0" print="0" autoFill="0" autoPict="0" macro="[0]!개요_시트이동9">
                <anchor moveWithCells="1" sizeWithCells="1">
                  <from>
                    <xdr:col>6</xdr:col>
                    <xdr:colOff>38100</xdr:colOff>
                    <xdr:row>159</xdr:row>
                    <xdr:rowOff>28575</xdr:rowOff>
                  </from>
                  <to>
                    <xdr:col>7</xdr:col>
                    <xdr:colOff>619125</xdr:colOff>
                    <xdr:row>164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3" name="Button 12">
              <controlPr defaultSize="0" print="0" autoFill="0" autoPict="0" macro="[0]!개요_시트이동10">
                <anchor moveWithCells="1" sizeWithCells="1">
                  <from>
                    <xdr:col>6</xdr:col>
                    <xdr:colOff>38100</xdr:colOff>
                    <xdr:row>171</xdr:row>
                    <xdr:rowOff>28575</xdr:rowOff>
                  </from>
                  <to>
                    <xdr:col>7</xdr:col>
                    <xdr:colOff>619125</xdr:colOff>
                    <xdr:row>176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4" name="Button 13">
              <controlPr defaultSize="0" print="0" autoFill="0" autoPict="0" macro="[0]!개요_시트이동11">
                <anchor moveWithCells="1" sizeWithCells="1">
                  <from>
                    <xdr:col>6</xdr:col>
                    <xdr:colOff>38100</xdr:colOff>
                    <xdr:row>183</xdr:row>
                    <xdr:rowOff>28575</xdr:rowOff>
                  </from>
                  <to>
                    <xdr:col>7</xdr:col>
                    <xdr:colOff>619125</xdr:colOff>
                    <xdr:row>188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5" name="Button 14">
              <controlPr defaultSize="0" print="0" autoFill="0" autoPict="0" macro="[0]!개요_시트이동12">
                <anchor moveWithCells="1" sizeWithCells="1">
                  <from>
                    <xdr:col>6</xdr:col>
                    <xdr:colOff>38100</xdr:colOff>
                    <xdr:row>195</xdr:row>
                    <xdr:rowOff>28575</xdr:rowOff>
                  </from>
                  <to>
                    <xdr:col>7</xdr:col>
                    <xdr:colOff>619125</xdr:colOff>
                    <xdr:row>200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6" name="Button 15">
              <controlPr defaultSize="0" print="0" autoFill="0" autoPict="0" macro="[0]!개요_시트이동13">
                <anchor moveWithCells="1" sizeWithCells="1">
                  <from>
                    <xdr:col>6</xdr:col>
                    <xdr:colOff>38100</xdr:colOff>
                    <xdr:row>207</xdr:row>
                    <xdr:rowOff>28575</xdr:rowOff>
                  </from>
                  <to>
                    <xdr:col>7</xdr:col>
                    <xdr:colOff>619125</xdr:colOff>
                    <xdr:row>212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7" name="Button 16">
              <controlPr defaultSize="0" print="0" autoFill="0" autoPict="0" macro="[0]!개요_시트이동14">
                <anchor moveWithCells="1" sizeWithCells="1">
                  <from>
                    <xdr:col>6</xdr:col>
                    <xdr:colOff>38100</xdr:colOff>
                    <xdr:row>219</xdr:row>
                    <xdr:rowOff>28575</xdr:rowOff>
                  </from>
                  <to>
                    <xdr:col>7</xdr:col>
                    <xdr:colOff>619125</xdr:colOff>
                    <xdr:row>224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8" name="Button 17">
              <controlPr defaultSize="0" print="0" autoFill="0" autoPict="0" macro="[0]!개요_시트이동15">
                <anchor moveWithCells="1" sizeWithCells="1">
                  <from>
                    <xdr:col>6</xdr:col>
                    <xdr:colOff>38100</xdr:colOff>
                    <xdr:row>231</xdr:row>
                    <xdr:rowOff>28575</xdr:rowOff>
                  </from>
                  <to>
                    <xdr:col>7</xdr:col>
                    <xdr:colOff>619125</xdr:colOff>
                    <xdr:row>236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9" name="Button 18">
              <controlPr defaultSize="0" print="0" autoFill="0" autoPict="0" macro="[0]!개요_시트이동16">
                <anchor moveWithCells="1" sizeWithCells="1">
                  <from>
                    <xdr:col>6</xdr:col>
                    <xdr:colOff>38100</xdr:colOff>
                    <xdr:row>243</xdr:row>
                    <xdr:rowOff>28575</xdr:rowOff>
                  </from>
                  <to>
                    <xdr:col>7</xdr:col>
                    <xdr:colOff>619125</xdr:colOff>
                    <xdr:row>248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0" name="Button 19">
              <controlPr defaultSize="0" print="0" autoFill="0" autoPict="0" macro="[0]!개요_시트이동17">
                <anchor moveWithCells="1" sizeWithCells="1">
                  <from>
                    <xdr:col>6</xdr:col>
                    <xdr:colOff>38100</xdr:colOff>
                    <xdr:row>255</xdr:row>
                    <xdr:rowOff>28575</xdr:rowOff>
                  </from>
                  <to>
                    <xdr:col>7</xdr:col>
                    <xdr:colOff>619125</xdr:colOff>
                    <xdr:row>260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1" name="Button 20">
              <controlPr defaultSize="0" print="0" autoFill="0" autoPict="0" macro="[0]!개요_시트이동18">
                <anchor moveWithCells="1" sizeWithCells="1">
                  <from>
                    <xdr:col>6</xdr:col>
                    <xdr:colOff>38100</xdr:colOff>
                    <xdr:row>267</xdr:row>
                    <xdr:rowOff>28575</xdr:rowOff>
                  </from>
                  <to>
                    <xdr:col>7</xdr:col>
                    <xdr:colOff>619125</xdr:colOff>
                    <xdr:row>272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2" name="Button 21">
              <controlPr defaultSize="0" print="0" autoFill="0" autoPict="0" macro="[0]!개요_시트이동19">
                <anchor moveWithCells="1" sizeWithCells="1">
                  <from>
                    <xdr:col>6</xdr:col>
                    <xdr:colOff>38100</xdr:colOff>
                    <xdr:row>279</xdr:row>
                    <xdr:rowOff>28575</xdr:rowOff>
                  </from>
                  <to>
                    <xdr:col>7</xdr:col>
                    <xdr:colOff>619125</xdr:colOff>
                    <xdr:row>284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3" name="Button 22">
              <controlPr defaultSize="0" print="0" autoFill="0" autoPict="0" macro="[0]!개요_시트이동20">
                <anchor moveWithCells="1" sizeWithCells="1">
                  <from>
                    <xdr:col>6</xdr:col>
                    <xdr:colOff>38100</xdr:colOff>
                    <xdr:row>291</xdr:row>
                    <xdr:rowOff>28575</xdr:rowOff>
                  </from>
                  <to>
                    <xdr:col>7</xdr:col>
                    <xdr:colOff>619125</xdr:colOff>
                    <xdr:row>296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4" name="Button 23">
              <controlPr defaultSize="0" print="0" autoFill="0" autoPict="0" macro="[0]!개요_시트이동21">
                <anchor moveWithCells="1" sizeWithCells="1">
                  <from>
                    <xdr:col>6</xdr:col>
                    <xdr:colOff>38100</xdr:colOff>
                    <xdr:row>303</xdr:row>
                    <xdr:rowOff>28575</xdr:rowOff>
                  </from>
                  <to>
                    <xdr:col>7</xdr:col>
                    <xdr:colOff>619125</xdr:colOff>
                    <xdr:row>308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5" name="Button 24">
              <controlPr defaultSize="0" print="0" autoFill="0" autoPict="0" macro="[0]!개요_시트이동22">
                <anchor moveWithCells="1" sizeWithCells="1">
                  <from>
                    <xdr:col>6</xdr:col>
                    <xdr:colOff>38100</xdr:colOff>
                    <xdr:row>315</xdr:row>
                    <xdr:rowOff>28575</xdr:rowOff>
                  </from>
                  <to>
                    <xdr:col>7</xdr:col>
                    <xdr:colOff>619125</xdr:colOff>
                    <xdr:row>320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6" name="Button 25">
              <controlPr defaultSize="0" print="0" autoFill="0" autoPict="0" macro="[0]!개요_시트이동23">
                <anchor moveWithCells="1" sizeWithCells="1">
                  <from>
                    <xdr:col>6</xdr:col>
                    <xdr:colOff>38100</xdr:colOff>
                    <xdr:row>327</xdr:row>
                    <xdr:rowOff>28575</xdr:rowOff>
                  </from>
                  <to>
                    <xdr:col>7</xdr:col>
                    <xdr:colOff>619125</xdr:colOff>
                    <xdr:row>332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7" name="Button 26">
              <controlPr defaultSize="0" print="0" autoFill="0" autoPict="0" macro="[0]!개요_시트이동24">
                <anchor moveWithCells="1" sizeWithCells="1">
                  <from>
                    <xdr:col>6</xdr:col>
                    <xdr:colOff>38100</xdr:colOff>
                    <xdr:row>339</xdr:row>
                    <xdr:rowOff>28575</xdr:rowOff>
                  </from>
                  <to>
                    <xdr:col>7</xdr:col>
                    <xdr:colOff>619125</xdr:colOff>
                    <xdr:row>344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8" name="Button 27">
              <controlPr defaultSize="0" print="0" autoFill="0" autoPict="0" macro="[0]!개요_시트이동25">
                <anchor moveWithCells="1" sizeWithCells="1">
                  <from>
                    <xdr:col>6</xdr:col>
                    <xdr:colOff>38100</xdr:colOff>
                    <xdr:row>351</xdr:row>
                    <xdr:rowOff>28575</xdr:rowOff>
                  </from>
                  <to>
                    <xdr:col>7</xdr:col>
                    <xdr:colOff>619125</xdr:colOff>
                    <xdr:row>356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29" name="Button 28">
              <controlPr defaultSize="0" print="0" autoFill="0" autoPict="0" macro="[0]!개요_시트이동26">
                <anchor moveWithCells="1" sizeWithCells="1">
                  <from>
                    <xdr:col>6</xdr:col>
                    <xdr:colOff>38100</xdr:colOff>
                    <xdr:row>363</xdr:row>
                    <xdr:rowOff>28575</xdr:rowOff>
                  </from>
                  <to>
                    <xdr:col>7</xdr:col>
                    <xdr:colOff>619125</xdr:colOff>
                    <xdr:row>368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0" name="Button 29">
              <controlPr defaultSize="0" print="0" autoFill="0" autoPict="0" macro="[0]!개요_시트이동27">
                <anchor moveWithCells="1" sizeWithCells="1">
                  <from>
                    <xdr:col>6</xdr:col>
                    <xdr:colOff>38100</xdr:colOff>
                    <xdr:row>375</xdr:row>
                    <xdr:rowOff>28575</xdr:rowOff>
                  </from>
                  <to>
                    <xdr:col>7</xdr:col>
                    <xdr:colOff>619125</xdr:colOff>
                    <xdr:row>380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1" name="Button 30">
              <controlPr defaultSize="0" print="0" autoFill="0" autoPict="0" macro="[0]!개요_시트이동28">
                <anchor moveWithCells="1" sizeWithCells="1">
                  <from>
                    <xdr:col>6</xdr:col>
                    <xdr:colOff>38100</xdr:colOff>
                    <xdr:row>387</xdr:row>
                    <xdr:rowOff>28575</xdr:rowOff>
                  </from>
                  <to>
                    <xdr:col>7</xdr:col>
                    <xdr:colOff>619125</xdr:colOff>
                    <xdr:row>392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2" name="Button 31">
              <controlPr defaultSize="0" print="0" autoFill="0" autoPict="0" macro="[0]!개요_시트이동29">
                <anchor moveWithCells="1" sizeWithCells="1">
                  <from>
                    <xdr:col>6</xdr:col>
                    <xdr:colOff>38100</xdr:colOff>
                    <xdr:row>399</xdr:row>
                    <xdr:rowOff>28575</xdr:rowOff>
                  </from>
                  <to>
                    <xdr:col>7</xdr:col>
                    <xdr:colOff>619125</xdr:colOff>
                    <xdr:row>404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33" name="Button 39">
              <controlPr defaultSize="0" print="0" autoFill="0" autoPict="0" macro="[0]!개요_검증">
                <anchor moveWithCells="1" sizeWithCells="1">
                  <from>
                    <xdr:col>1</xdr:col>
                    <xdr:colOff>95250</xdr:colOff>
                    <xdr:row>37</xdr:row>
                    <xdr:rowOff>104775</xdr:rowOff>
                  </from>
                  <to>
                    <xdr:col>4</xdr:col>
                    <xdr:colOff>923925</xdr:colOff>
                    <xdr:row>39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Dropbox!$K$3:$K$5</xm:f>
          </x14:formula1>
          <xm:sqref>C22:E22</xm:sqref>
        </x14:dataValidation>
        <x14:dataValidation type="list" allowBlank="1" showInputMessage="1" showErrorMessage="1">
          <x14:formula1>
            <xm:f>Dropbox!$N$3:$N$6</xm:f>
          </x14:formula1>
          <xm:sqref>S6:DN6 S62:DN62 S74:DN74 S290:DN290 S98:DN98 S110:DN110 S122:DN122 S134:DN134 S146:DN146 S158:DN158 S170:DN170 S182:DN182 S194:DN194 S206:DN206 S218:DN218 S230:DN230 S242:DN242 S254:DN254 S266:DN266 S278:DN278 S86:DN86 S302:DN302 S314:DN314 S326:DN326 S338:DN338 S350:DN350 S362:DN362 S374:DN374 S386:DN386 S398:DN398</xm:sqref>
        </x14:dataValidation>
        <x14:dataValidation type="list" allowBlank="1" showInputMessage="1" showErrorMessage="1">
          <x14:formula1>
            <xm:f>Dropbox!$H$3:$H$12</xm:f>
          </x14:formula1>
          <xm:sqref>C102:E102 C78:E78 C126:E126 C390:E390 C90:E90 C16:E16 C114:E114 C150:E150 C186:E186 C198:E198 C174:E174 C162:E162 C138:E138 C210:E210 C222:E222 C270:E270 C282:E282 C258:E258 C246:E246 C234:E234 C294:E294 C306:E306 C318:E318 C366:E366 C378:E378 C354:E354 C342:E342 C330:E330 C402:E402 C66:E66</xm:sqref>
        </x14:dataValidation>
        <x14:dataValidation type="list" allowBlank="1" showInputMessage="1" showErrorMessage="1">
          <x14:formula1>
            <xm:f>Dropbox!$L$3:$L$4</xm:f>
          </x14:formula1>
          <xm:sqref>K8:K56</xm:sqref>
        </x14:dataValidation>
        <x14:dataValidation type="list" allowBlank="1" showInputMessage="1" showErrorMessage="1">
          <x14:formula1>
            <xm:f>Dropbox!$M$3:$M$5</xm:f>
          </x14:formula1>
          <xm:sqref>L400:L407 L64:L71 L76:L83 L292:L299 L100:L107 L112:L119 L124:L131 L136:L143 L148:L155 L160:L167 L172:L179 L184:L191 L196:L203 L208:L215 L220:L227 L232:L239 L244:L251 L256:L263 L268:L275 L280:L287 L88:L95 L304:L311 L316:L323 L328:L335 L340:L347 L352:L359 L364:L371 L376:L383 L388:L395 L8:L56</xm:sqref>
        </x14:dataValidation>
        <x14:dataValidation type="list" allowBlank="1" showInputMessage="1">
          <x14:formula1>
            <xm:f>Dropbox!$I$3:$I$52</xm:f>
          </x14:formula1>
          <xm:sqref>B61 B397 B373 B361 B349 B337 B325 B313 B301 B289 B277 B265 B253 B241 B385 B229 B217 B205 B193 B181 B169 B157 B145 B133 B121 B109 B97 B85 B73</xm:sqref>
        </x14:dataValidation>
        <x14:dataValidation type="list" allowBlank="1" showInputMessage="1" showErrorMessage="1">
          <x14:formula1>
            <xm:f>Dropbox!$F$18:$F$19</xm:f>
          </x14:formula1>
          <xm:sqref>C19:E19</xm:sqref>
        </x14:dataValidation>
        <x14:dataValidation type="list" allowBlank="1" showInputMessage="1" showErrorMessage="1">
          <x14:formula1>
            <xm:f>Dropbox!$F$22:$F$25</xm:f>
          </x14:formula1>
          <xm:sqref>C80:E80 C68:E68 C404:E404 C380:E380 C368:E368 C356:E356 C344:E344 C332:E332 C320:E320 C308:E308 C296:E296 C284:E284 C272:E272 C260:E260 C248:E248 C236:E236 C224:E224 C212:E212 C200:E200 C188:E188 C176:E176 C164:E164 C140:E140 C152:E152 C116:E116 C128:E128 C104:E104 C92:E92 C392:E392</xm:sqref>
        </x14:dataValidation>
        <x14:dataValidation type="list" allowBlank="1" showInputMessage="1" showErrorMessage="1">
          <x14:formula1>
            <xm:f>Dropbox!$C$29:$C$34</xm:f>
          </x14:formula1>
          <xm:sqref>K400:K407 K64:K71 K388:K395 K376:K383 K364:K371 K352:K359 K340:K347 K328:K335 K316:K323 K304:K311 K88:K95 K280:K287 K268:K275 K256:K263 K244:K251 K232:K239 K220:K227 K208:K215 K196:K203 K184:K191 K172:K179 K160:K167 K148:K155 K136:K143 K124:K131 K112:K119 K100:K107 K292:K299 K76:K83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4" tint="-0.249977111117893"/>
  </sheetPr>
  <dimension ref="A1:AK1299"/>
  <sheetViews>
    <sheetView showGridLines="0" tabSelected="1" topLeftCell="M13" zoomScaleNormal="100" workbookViewId="0">
      <selection activeCell="L27" sqref="L27"/>
    </sheetView>
  </sheetViews>
  <sheetFormatPr defaultColWidth="8.88671875" defaultRowHeight="12" outlineLevelRow="1"/>
  <cols>
    <col min="1" max="1" width="8.77734375" style="304" customWidth="1"/>
    <col min="2" max="2" width="7.6640625" style="304" customWidth="1"/>
    <col min="3" max="3" width="22.44140625" style="304" bestFit="1" customWidth="1"/>
    <col min="4" max="5" width="13.77734375" style="304" customWidth="1"/>
    <col min="6" max="6" width="7.77734375" style="304" customWidth="1"/>
    <col min="7" max="7" width="13.77734375" style="304" customWidth="1"/>
    <col min="8" max="8" width="10.77734375" style="304" customWidth="1"/>
    <col min="9" max="9" width="5.77734375" style="522" customWidth="1"/>
    <col min="10" max="10" width="20.77734375" style="304" customWidth="1"/>
    <col min="11" max="11" width="10.77734375" style="304" customWidth="1"/>
    <col min="12" max="12" width="13.77734375" style="304" customWidth="1"/>
    <col min="13" max="14" width="10.77734375" style="304" customWidth="1"/>
    <col min="15" max="16" width="8.77734375" style="304" customWidth="1"/>
    <col min="17" max="17" width="13.77734375" style="413" customWidth="1"/>
    <col min="18" max="21" width="13.77734375" style="304" customWidth="1"/>
    <col min="22" max="22" width="5.77734375" style="304" customWidth="1"/>
    <col min="23" max="23" width="13.77734375" style="413" customWidth="1"/>
    <col min="24" max="24" width="13.77734375" style="304" customWidth="1"/>
    <col min="25" max="26" width="13.77734375" style="413" customWidth="1"/>
    <col min="27" max="29" width="8.77734375" style="304" customWidth="1"/>
    <col min="30" max="30" width="8.77734375" style="414" customWidth="1"/>
    <col min="31" max="32" width="13.77734375" style="304" customWidth="1"/>
    <col min="33" max="34" width="12.77734375" style="304" customWidth="1"/>
    <col min="35" max="35" width="8.88671875" style="304"/>
    <col min="36" max="16384" width="8.88671875" style="151"/>
  </cols>
  <sheetData>
    <row r="1" spans="1:37" s="404" customFormat="1" ht="12.75" thickBot="1">
      <c r="A1" s="401"/>
      <c r="B1" s="401"/>
      <c r="C1" s="401" t="s">
        <v>43</v>
      </c>
      <c r="D1" s="401" t="s">
        <v>280</v>
      </c>
      <c r="E1" s="401" t="s">
        <v>281</v>
      </c>
      <c r="F1" s="401"/>
      <c r="G1" s="401"/>
      <c r="H1" s="401"/>
      <c r="I1" s="401"/>
      <c r="J1" s="401" t="s">
        <v>39</v>
      </c>
      <c r="K1" s="401" t="s">
        <v>3454</v>
      </c>
      <c r="L1" s="401" t="s">
        <v>48</v>
      </c>
      <c r="M1" s="401"/>
      <c r="N1" s="401"/>
      <c r="O1" s="401"/>
      <c r="P1" s="401"/>
      <c r="Q1" s="402"/>
      <c r="R1" s="401"/>
      <c r="S1" s="401"/>
      <c r="T1" s="401"/>
      <c r="U1" s="401"/>
      <c r="V1" s="401"/>
      <c r="W1" s="402"/>
      <c r="X1" s="401"/>
      <c r="Y1" s="402"/>
      <c r="Z1" s="402"/>
      <c r="AA1" s="401"/>
      <c r="AB1" s="401"/>
      <c r="AC1" s="401"/>
      <c r="AD1" s="403"/>
      <c r="AE1" s="401"/>
      <c r="AF1" s="401"/>
      <c r="AG1" s="401"/>
      <c r="AH1" s="401"/>
    </row>
    <row r="2" spans="1:37" s="412" customFormat="1" ht="13.5" thickTop="1" thickBot="1">
      <c r="A2" s="405"/>
      <c r="B2" s="405"/>
      <c r="C2" s="406">
        <f>$C$7</f>
        <v>45473</v>
      </c>
      <c r="D2" s="407">
        <f>IF(E41="",IF(E40="",$E$39,E40),E41)</f>
        <v>2.2156856236637315</v>
      </c>
      <c r="E2" s="408">
        <f>$F$53</f>
        <v>-4.4915169595841631E-2</v>
      </c>
      <c r="F2" s="405"/>
      <c r="G2" s="405"/>
      <c r="H2" s="405"/>
      <c r="I2" s="405"/>
      <c r="J2" s="409">
        <f>개요!$C$18</f>
        <v>7.0000000000000007E-2</v>
      </c>
      <c r="K2" s="405" t="str">
        <f>개요!$C$20</f>
        <v>YES</v>
      </c>
      <c r="L2" s="405" t="str">
        <f>개요!$C$21</f>
        <v>YES</v>
      </c>
      <c r="M2" s="405"/>
      <c r="N2" s="405"/>
      <c r="O2" s="405"/>
      <c r="P2" s="405"/>
      <c r="Q2" s="410"/>
      <c r="R2" s="405"/>
      <c r="S2" s="405"/>
      <c r="T2" s="405"/>
      <c r="U2" s="405"/>
      <c r="V2" s="405"/>
      <c r="W2" s="410"/>
      <c r="X2" s="405"/>
      <c r="Y2" s="410"/>
      <c r="Z2" s="410"/>
      <c r="AA2" s="405"/>
      <c r="AB2" s="405"/>
      <c r="AC2" s="405"/>
      <c r="AD2" s="411"/>
      <c r="AE2" s="405"/>
      <c r="AF2" s="405"/>
      <c r="AG2" s="405"/>
      <c r="AH2" s="405"/>
      <c r="AI2" s="404"/>
    </row>
    <row r="3" spans="1:37">
      <c r="I3" s="304"/>
      <c r="AI3" s="404"/>
    </row>
    <row r="4" spans="1:37">
      <c r="A4" s="415"/>
      <c r="B4" s="416" t="s">
        <v>726</v>
      </c>
      <c r="C4" s="417"/>
      <c r="D4" s="418"/>
      <c r="E4" s="419"/>
      <c r="F4" s="420"/>
      <c r="I4" s="415"/>
      <c r="J4" s="416" t="s">
        <v>252</v>
      </c>
      <c r="K4" s="417"/>
      <c r="L4" s="418"/>
      <c r="M4" s="419"/>
      <c r="N4" s="419"/>
      <c r="O4" s="419"/>
      <c r="P4" s="419"/>
      <c r="Q4" s="421"/>
      <c r="R4" s="419"/>
      <c r="S4" s="419"/>
      <c r="T4" s="419"/>
      <c r="U4" s="419"/>
      <c r="V4" s="419"/>
      <c r="W4" s="422"/>
      <c r="X4" s="415"/>
      <c r="Y4" s="422"/>
      <c r="Z4" s="422"/>
      <c r="AA4" s="415"/>
      <c r="AB4" s="415"/>
      <c r="AC4" s="415"/>
      <c r="AD4" s="423"/>
      <c r="AE4" s="415"/>
      <c r="AF4" s="415"/>
      <c r="AG4" s="415"/>
      <c r="AH4" s="415"/>
      <c r="AI4" s="404"/>
      <c r="AJ4" s="424"/>
      <c r="AK4" s="424"/>
    </row>
    <row r="5" spans="1:37" ht="12.75" thickBot="1">
      <c r="A5" s="415"/>
      <c r="B5" s="425"/>
      <c r="C5" s="426"/>
      <c r="E5" s="415"/>
      <c r="F5" s="420"/>
      <c r="I5" s="427"/>
      <c r="J5" s="428" t="s">
        <v>273</v>
      </c>
      <c r="K5" s="415"/>
      <c r="L5" s="420"/>
      <c r="M5" s="415"/>
      <c r="N5" s="415"/>
      <c r="O5" s="415"/>
      <c r="P5" s="415"/>
      <c r="Q5" s="422"/>
      <c r="R5" s="415"/>
      <c r="S5" s="415"/>
      <c r="T5" s="415"/>
      <c r="U5" s="415"/>
      <c r="V5" s="415"/>
      <c r="W5" s="422"/>
      <c r="X5" s="415"/>
      <c r="Y5" s="422"/>
      <c r="Z5" s="422"/>
      <c r="AA5" s="415"/>
      <c r="AB5" s="415"/>
      <c r="AC5" s="415"/>
      <c r="AD5" s="423"/>
      <c r="AE5" s="415"/>
      <c r="AF5" s="415"/>
      <c r="AG5" s="415"/>
      <c r="AH5" s="415"/>
      <c r="AI5" s="404"/>
      <c r="AJ5" s="424"/>
      <c r="AK5" s="424"/>
    </row>
    <row r="6" spans="1:37" ht="12.75" thickBot="1">
      <c r="A6" s="415"/>
      <c r="B6" s="429" t="s">
        <v>73</v>
      </c>
      <c r="C6" s="430" t="str">
        <f>개요!C7:E7</f>
        <v>포스코KAICI신기술사업투자조합제1호</v>
      </c>
      <c r="E6" s="431" t="s">
        <v>977</v>
      </c>
      <c r="F6" s="420"/>
      <c r="I6" s="432"/>
      <c r="J6" s="433"/>
      <c r="K6" s="434"/>
      <c r="L6" s="434"/>
      <c r="M6" s="434"/>
      <c r="N6" s="434"/>
      <c r="O6" s="434"/>
      <c r="P6" s="434"/>
      <c r="Q6" s="435"/>
      <c r="R6" s="434"/>
      <c r="S6" s="434"/>
      <c r="T6" s="434"/>
      <c r="U6" s="434"/>
      <c r="V6" s="436"/>
      <c r="AA6" s="415"/>
      <c r="AB6" s="415"/>
      <c r="AC6" s="415"/>
      <c r="AI6" s="404"/>
    </row>
    <row r="7" spans="1:37">
      <c r="A7" s="415"/>
      <c r="B7" s="437" t="s">
        <v>74</v>
      </c>
      <c r="C7" s="438">
        <v>45473</v>
      </c>
      <c r="D7" s="439" t="str">
        <f>IF((C7-C8)&gt;94,"기준일 확인필요",IF(C7&lt;C8,"기준일 확인필요","TRUE"))</f>
        <v>TRUE</v>
      </c>
      <c r="E7" s="440">
        <f>COUNTA(개요!B61,개요!B73,개요!B85,개요!B97,개요!B109,개요!B121,개요!B133,개요!B145,개요!B157,개요!B169,개요!B181,개요!B193,개요!B205,개요!B217,개요!B229,개요!B241,개요!B253,개요!B265,개요!B277,개요!B289,개요!B301,개요!B313,개요!B325,개요!B337,개요!B349,개요!B361,개요!B373,개요!B385,개요!B397)</f>
        <v>0</v>
      </c>
      <c r="F7" s="420"/>
      <c r="I7" s="441"/>
      <c r="J7" s="442"/>
      <c r="K7" s="151"/>
      <c r="L7" s="151"/>
      <c r="M7" s="151"/>
      <c r="N7" s="151"/>
      <c r="O7" s="151"/>
      <c r="P7" s="151"/>
      <c r="Q7" s="443"/>
      <c r="R7" s="151"/>
      <c r="S7" s="151"/>
      <c r="T7" s="151"/>
      <c r="U7" s="151"/>
      <c r="V7" s="444"/>
      <c r="AA7" s="415"/>
      <c r="AB7" s="415"/>
      <c r="AC7" s="415"/>
      <c r="AI7" s="404"/>
    </row>
    <row r="8" spans="1:37" ht="12.75" thickBot="1">
      <c r="A8" s="415"/>
      <c r="B8" s="437" t="s">
        <v>75</v>
      </c>
      <c r="C8" s="445">
        <f>FS!$F$8</f>
        <v>45473</v>
      </c>
      <c r="E8" s="446" t="s">
        <v>978</v>
      </c>
      <c r="F8" s="447"/>
      <c r="G8" s="420"/>
      <c r="H8" s="448"/>
      <c r="I8" s="432"/>
      <c r="J8" s="442"/>
      <c r="K8" s="151"/>
      <c r="L8" s="151"/>
      <c r="M8" s="151"/>
      <c r="N8" s="151"/>
      <c r="O8" s="151"/>
      <c r="P8" s="151"/>
      <c r="Q8" s="443"/>
      <c r="R8" s="151"/>
      <c r="S8" s="151"/>
      <c r="T8" s="151"/>
      <c r="U8" s="151"/>
      <c r="V8" s="444"/>
      <c r="AA8" s="415"/>
      <c r="AB8" s="415"/>
      <c r="AC8" s="415"/>
      <c r="AI8" s="404"/>
    </row>
    <row r="9" spans="1:37" ht="12.75" thickBot="1">
      <c r="A9" s="415"/>
      <c r="B9" s="449" t="s">
        <v>291</v>
      </c>
      <c r="C9" s="450" t="s">
        <v>292</v>
      </c>
      <c r="D9" s="451"/>
      <c r="E9" s="452">
        <f>I42+I212+I250+I288+I326+I364+I402+I440+I478+I516+I554+I592+I630+I668+I706+I744+I782+I820+I858+I896+I934+I972+I1010+I1048+I1086+I1124+I1162+I1200+I1238+I1276</f>
        <v>1</v>
      </c>
      <c r="F9" s="420"/>
      <c r="G9" s="420"/>
      <c r="H9" s="448"/>
      <c r="I9" s="432"/>
      <c r="J9" s="453"/>
      <c r="K9" s="454"/>
      <c r="L9" s="454"/>
      <c r="M9" s="454"/>
      <c r="N9" s="454"/>
      <c r="O9" s="454"/>
      <c r="P9" s="454"/>
      <c r="Q9" s="455"/>
      <c r="R9" s="454"/>
      <c r="S9" s="454"/>
      <c r="T9" s="454"/>
      <c r="U9" s="454"/>
      <c r="V9" s="456"/>
      <c r="AA9" s="415"/>
      <c r="AB9" s="415"/>
      <c r="AC9" s="415"/>
      <c r="AI9" s="404"/>
    </row>
    <row r="10" spans="1:37">
      <c r="A10" s="222" t="s">
        <v>194</v>
      </c>
      <c r="C10" s="457"/>
      <c r="D10" s="451"/>
      <c r="E10" s="451"/>
      <c r="F10" s="420"/>
      <c r="G10" s="420"/>
      <c r="H10" s="448"/>
      <c r="I10" s="432"/>
      <c r="J10" s="428" t="s">
        <v>274</v>
      </c>
      <c r="K10" s="448"/>
      <c r="L10" s="420"/>
      <c r="M10" s="448"/>
      <c r="N10" s="448"/>
      <c r="O10" s="448"/>
      <c r="P10" s="415"/>
      <c r="Q10" s="422"/>
      <c r="R10" s="415"/>
      <c r="S10" s="415"/>
      <c r="T10" s="415"/>
      <c r="U10" s="415"/>
      <c r="V10" s="415"/>
      <c r="W10" s="422"/>
      <c r="Z10" s="458"/>
      <c r="AA10" s="459"/>
      <c r="AE10" s="803" t="s">
        <v>8</v>
      </c>
      <c r="AF10" s="803"/>
      <c r="AG10" s="460"/>
      <c r="AH10" s="460"/>
      <c r="AI10" s="404"/>
    </row>
    <row r="11" spans="1:37" ht="12.75" thickBot="1">
      <c r="A11" s="461" t="str">
        <f>IF(AND(B12:B39),"검증완료","검증필요")</f>
        <v>검증완료</v>
      </c>
      <c r="B11" s="462" t="s">
        <v>38</v>
      </c>
      <c r="C11" s="462" t="s">
        <v>9</v>
      </c>
      <c r="D11" s="462" t="s">
        <v>10</v>
      </c>
      <c r="E11" s="462" t="s">
        <v>11</v>
      </c>
      <c r="F11" s="463"/>
      <c r="G11" s="463"/>
      <c r="H11" s="463"/>
      <c r="I11" s="463"/>
      <c r="J11" s="462" t="s">
        <v>87</v>
      </c>
      <c r="K11" s="464" t="s">
        <v>0</v>
      </c>
      <c r="L11" s="462" t="s">
        <v>260</v>
      </c>
      <c r="M11" s="462" t="s">
        <v>255</v>
      </c>
      <c r="N11" s="462" t="s">
        <v>257</v>
      </c>
      <c r="O11" s="462" t="s">
        <v>256</v>
      </c>
      <c r="P11" s="464" t="s">
        <v>85</v>
      </c>
      <c r="Q11" s="465" t="s">
        <v>304</v>
      </c>
      <c r="R11" s="466" t="s">
        <v>299</v>
      </c>
      <c r="S11" s="466" t="s">
        <v>303</v>
      </c>
      <c r="T11" s="462" t="s">
        <v>261</v>
      </c>
      <c r="U11" s="462" t="s">
        <v>263</v>
      </c>
      <c r="V11" s="462" t="s">
        <v>264</v>
      </c>
      <c r="W11" s="465" t="s">
        <v>258</v>
      </c>
      <c r="X11" s="462" t="s">
        <v>262</v>
      </c>
      <c r="Y11" s="465" t="s">
        <v>259</v>
      </c>
      <c r="Z11" s="465" t="s">
        <v>3522</v>
      </c>
      <c r="AA11" s="464" t="s">
        <v>13</v>
      </c>
      <c r="AE11" s="467" t="s">
        <v>3634</v>
      </c>
      <c r="AF11" s="467" t="s">
        <v>3635</v>
      </c>
      <c r="AG11" s="467" t="s">
        <v>3631</v>
      </c>
      <c r="AH11" s="467" t="s">
        <v>3632</v>
      </c>
      <c r="AI11" s="404"/>
    </row>
    <row r="12" spans="1:37" ht="12.75" thickBot="1">
      <c r="A12" s="415"/>
      <c r="B12" s="415"/>
      <c r="C12" s="468" t="s">
        <v>16</v>
      </c>
      <c r="D12" s="469">
        <f>SUM(D13:D14)</f>
        <v>17314014</v>
      </c>
      <c r="E12" s="469">
        <f>SUM(E13:E14)</f>
        <v>17314014</v>
      </c>
      <c r="F12" s="470"/>
      <c r="G12" s="470"/>
      <c r="H12" s="427"/>
      <c r="I12" s="427">
        <v>1</v>
      </c>
      <c r="J12" s="471"/>
      <c r="K12" s="472"/>
      <c r="L12" s="473" t="str">
        <f>IF($J12="","SPC 없음",VLOOKUP($J12&amp;"SPC명",개요!$A$3:$E$1932,3,0))</f>
        <v>SPC 없음</v>
      </c>
      <c r="M12" s="474" t="str">
        <f>IF($J12="","SPC 없음",VLOOKUP($J12&amp;"설정일",개요!$A$3:$E$1932,3,0))</f>
        <v>SPC 없음</v>
      </c>
      <c r="N12" s="475" t="str">
        <f t="shared" ref="N12:N40" si="0">IF($J12="","SPC 없음",VLOOKUP($J12&amp;"자본금",$B$4:$E$2079,3,0)*VLOOKUP($J12&amp;"보유지분율(%)",$B$4:$E$2079,3,0))</f>
        <v>SPC 없음</v>
      </c>
      <c r="O12" s="471"/>
      <c r="P12" s="476"/>
      <c r="Q12" s="477"/>
      <c r="R12" s="478"/>
      <c r="S12" s="479" t="str">
        <f t="shared" ref="S12:S40" si="1">IF($J12="","SPC 없음",IF(P12="총액",IF(T12="장부가액 준용",W12,(VLOOKUP($J12&amp;"보유지분율(%)",$B$4:$E$2079,4,0))*V12),Q12*R12))</f>
        <v>SPC 없음</v>
      </c>
      <c r="T12" s="471"/>
      <c r="U12" s="471" t="s">
        <v>94</v>
      </c>
      <c r="V12" s="480">
        <f>IF(U12="한국 원화(KRW)",1,IF(OR(U12=환율!$A$6,U12=환율!$A$7),VLOOKUP(NAV!U12,환율!$A$6:$B$7,2,),IF(RIGHT(U12,5)="(100)",(VLOOKUP(NAV!U12,환율!$A$11:$B$65,2,))/100,VLOOKUP(NAV!U12,환율!$A$11:$B$65,2,))))</f>
        <v>1</v>
      </c>
      <c r="W12" s="481"/>
      <c r="X12" s="482">
        <f t="shared" ref="X12:X40" si="2">IFERROR(IF(P12="만원당",10000,Y12/Q12),0)</f>
        <v>0</v>
      </c>
      <c r="Y12" s="481"/>
      <c r="Z12" s="481" t="s">
        <v>7215</v>
      </c>
      <c r="AA12" s="483">
        <f>IFERROR(IF(Z12="",S12/W12-1,S12/Z12-1),0)</f>
        <v>0</v>
      </c>
      <c r="AE12" s="484" t="str">
        <f t="shared" ref="AE12:AE40" si="3">IF($J12="","SPC 없음",IF(P12="총액",(VLOOKUP($J12&amp;"지분율 반영 순자산가치",$AD$4:$AH$4973,2,0))*V12,AG12*$Q12))</f>
        <v>SPC 없음</v>
      </c>
      <c r="AF12" s="484" t="str">
        <f t="shared" ref="AF12:AF40" si="4">IF($J12="","SPC 없음",IF(P12="총액",(VLOOKUP($J12&amp;"지분율 반영 순자산가치",$AD$4:$AH$4973,3,0))*V12,AH12*$Q12))</f>
        <v>SPC 없음</v>
      </c>
      <c r="AG12" s="485"/>
      <c r="AH12" s="485"/>
      <c r="AI12" s="404"/>
    </row>
    <row r="13" spans="1:37" ht="12.75" thickBot="1">
      <c r="A13" s="415"/>
      <c r="B13" s="415"/>
      <c r="C13" s="486" t="s">
        <v>155</v>
      </c>
      <c r="D13" s="487">
        <f>SUMIF(FS!$C$9:$C$39,개요!$C$9&amp;RIGHT(NAV!C13,10),FS!$F$9:$F$39)</f>
        <v>17314014</v>
      </c>
      <c r="E13" s="487">
        <f>D13+F13</f>
        <v>17314014</v>
      </c>
      <c r="F13" s="470"/>
      <c r="G13" s="488"/>
      <c r="H13" s="427"/>
      <c r="I13" s="427">
        <f>I12+1</f>
        <v>2</v>
      </c>
      <c r="J13" s="471"/>
      <c r="K13" s="472"/>
      <c r="L13" s="473" t="str">
        <f>IF($J13="","SPC 없음",VLOOKUP($J13&amp;"SPC명",개요!$A$3:$E$1932,3,0))</f>
        <v>SPC 없음</v>
      </c>
      <c r="M13" s="474" t="str">
        <f>IF($J13="","SPC 없음",VLOOKUP($J13&amp;"설정일",개요!$A$3:$E$1932,3,0))</f>
        <v>SPC 없음</v>
      </c>
      <c r="N13" s="475" t="str">
        <f t="shared" si="0"/>
        <v>SPC 없음</v>
      </c>
      <c r="O13" s="471"/>
      <c r="P13" s="476"/>
      <c r="Q13" s="477"/>
      <c r="R13" s="478"/>
      <c r="S13" s="479" t="str">
        <f t="shared" si="1"/>
        <v>SPC 없음</v>
      </c>
      <c r="T13" s="471"/>
      <c r="U13" s="471" t="s">
        <v>94</v>
      </c>
      <c r="V13" s="480">
        <f>IF(U13="한국 원화(KRW)",1,IF(OR(U13=환율!$A$6,U13=환율!$A$7),VLOOKUP(NAV!U13,환율!$A$6:$B$7,2,),IF(RIGHT(U13,5)="(100)",(VLOOKUP(NAV!U13,환율!$A$11:$B$65,2,))/100,VLOOKUP(NAV!U13,환율!$A$11:$B$65,2,))))</f>
        <v>1</v>
      </c>
      <c r="W13" s="481"/>
      <c r="X13" s="482">
        <f t="shared" si="2"/>
        <v>0</v>
      </c>
      <c r="Y13" s="481"/>
      <c r="Z13" s="481" t="s">
        <v>7215</v>
      </c>
      <c r="AA13" s="483">
        <f t="shared" ref="AA13:AA40" si="5">IFERROR(IF(Z13="",S13/W13-1,S13/Z13-1),0)</f>
        <v>0</v>
      </c>
      <c r="AE13" s="484" t="str">
        <f t="shared" si="3"/>
        <v>SPC 없음</v>
      </c>
      <c r="AF13" s="484" t="str">
        <f t="shared" si="4"/>
        <v>SPC 없음</v>
      </c>
      <c r="AG13" s="485"/>
      <c r="AH13" s="485"/>
      <c r="AI13" s="404"/>
    </row>
    <row r="14" spans="1:37" ht="12.75" thickBot="1">
      <c r="A14" s="415"/>
      <c r="B14" s="415"/>
      <c r="C14" s="486" t="s">
        <v>156</v>
      </c>
      <c r="D14" s="487">
        <f>SUMIF(FS!$C$9:$C$39,개요!$C$9&amp;RIGHT(NAV!C14,4),FS!$F$9:$F$39)</f>
        <v>0</v>
      </c>
      <c r="E14" s="487">
        <f>D14</f>
        <v>0</v>
      </c>
      <c r="F14" s="470"/>
      <c r="G14" s="470"/>
      <c r="H14" s="427"/>
      <c r="I14" s="427">
        <f t="shared" ref="I14:I40" si="6">I13+1</f>
        <v>3</v>
      </c>
      <c r="J14" s="471"/>
      <c r="K14" s="472"/>
      <c r="L14" s="473" t="str">
        <f>IF($J14="","SPC 없음",VLOOKUP($J14&amp;"SPC명",개요!$A$3:$E$1932,3,0))</f>
        <v>SPC 없음</v>
      </c>
      <c r="M14" s="474" t="str">
        <f>IF($J14="","SPC 없음",VLOOKUP($J14&amp;"설정일",개요!$A$3:$E$1932,3,0))</f>
        <v>SPC 없음</v>
      </c>
      <c r="N14" s="475" t="str">
        <f t="shared" si="0"/>
        <v>SPC 없음</v>
      </c>
      <c r="O14" s="471"/>
      <c r="P14" s="476"/>
      <c r="Q14" s="477"/>
      <c r="R14" s="478"/>
      <c r="S14" s="479" t="str">
        <f t="shared" si="1"/>
        <v>SPC 없음</v>
      </c>
      <c r="T14" s="471"/>
      <c r="U14" s="471" t="s">
        <v>94</v>
      </c>
      <c r="V14" s="480">
        <f>IF(U14="한국 원화(KRW)",1,IF(OR(U14=환율!$A$6,U14=환율!$A$7),VLOOKUP(NAV!U14,환율!$A$6:$B$7,2,),IF(RIGHT(U14,5)="(100)",(VLOOKUP(NAV!U14,환율!$A$11:$B$65,2,))/100,VLOOKUP(NAV!U14,환율!$A$11:$B$65,2,))))</f>
        <v>1</v>
      </c>
      <c r="W14" s="481"/>
      <c r="X14" s="482">
        <f t="shared" si="2"/>
        <v>0</v>
      </c>
      <c r="Y14" s="481"/>
      <c r="Z14" s="481" t="s">
        <v>7215</v>
      </c>
      <c r="AA14" s="483">
        <f t="shared" si="5"/>
        <v>0</v>
      </c>
      <c r="AE14" s="484" t="str">
        <f t="shared" si="3"/>
        <v>SPC 없음</v>
      </c>
      <c r="AF14" s="484" t="str">
        <f t="shared" si="4"/>
        <v>SPC 없음</v>
      </c>
      <c r="AG14" s="485"/>
      <c r="AH14" s="485"/>
      <c r="AI14" s="404"/>
    </row>
    <row r="15" spans="1:37" ht="12.75" thickBot="1">
      <c r="A15" s="489" t="s">
        <v>164</v>
      </c>
      <c r="B15" s="490" t="b">
        <f>SUM(W43:W193,W12:W40)=D15</f>
        <v>1</v>
      </c>
      <c r="C15" s="468" t="s">
        <v>17</v>
      </c>
      <c r="D15" s="469">
        <f>SUMIF(FS!$C$9:$C$39,개요!$C$9&amp;RIGHT(NAV!C15,4),FS!$F$9:$F$39)</f>
        <v>9999990000</v>
      </c>
      <c r="E15" s="469">
        <f>SUM(S12:S40)+SUM(S43:S192)</f>
        <v>25961792220</v>
      </c>
      <c r="F15" s="491"/>
      <c r="G15" s="491"/>
      <c r="I15" s="427">
        <f t="shared" si="6"/>
        <v>4</v>
      </c>
      <c r="J15" s="471"/>
      <c r="K15" s="472"/>
      <c r="L15" s="473" t="str">
        <f>IF($J15="","SPC 없음",VLOOKUP($J15&amp;"SPC명",개요!$A$3:$E$1932,3,0))</f>
        <v>SPC 없음</v>
      </c>
      <c r="M15" s="474" t="str">
        <f>IF($J15="","SPC 없음",VLOOKUP($J15&amp;"설정일",개요!$A$3:$E$1932,3,0))</f>
        <v>SPC 없음</v>
      </c>
      <c r="N15" s="475" t="str">
        <f t="shared" si="0"/>
        <v>SPC 없음</v>
      </c>
      <c r="O15" s="471"/>
      <c r="P15" s="476"/>
      <c r="Q15" s="477"/>
      <c r="R15" s="478"/>
      <c r="S15" s="479" t="str">
        <f t="shared" si="1"/>
        <v>SPC 없음</v>
      </c>
      <c r="T15" s="471"/>
      <c r="U15" s="471" t="s">
        <v>94</v>
      </c>
      <c r="V15" s="480">
        <f>IF(U15="한국 원화(KRW)",1,IF(OR(U15=환율!$A$6,U15=환율!$A$7),VLOOKUP(NAV!U15,환율!$A$6:$B$7,2,),IF(RIGHT(U15,5)="(100)",(VLOOKUP(NAV!U15,환율!$A$11:$B$65,2,))/100,VLOOKUP(NAV!U15,환율!$A$11:$B$65,2,))))</f>
        <v>1</v>
      </c>
      <c r="W15" s="481"/>
      <c r="X15" s="482">
        <f t="shared" si="2"/>
        <v>0</v>
      </c>
      <c r="Y15" s="481"/>
      <c r="Z15" s="481" t="s">
        <v>7215</v>
      </c>
      <c r="AA15" s="483">
        <f t="shared" si="5"/>
        <v>0</v>
      </c>
      <c r="AE15" s="484" t="str">
        <f t="shared" si="3"/>
        <v>SPC 없음</v>
      </c>
      <c r="AF15" s="484" t="str">
        <f t="shared" si="4"/>
        <v>SPC 없음</v>
      </c>
      <c r="AG15" s="485"/>
      <c r="AH15" s="485"/>
      <c r="AI15" s="404"/>
    </row>
    <row r="16" spans="1:37" ht="12.75" thickBot="1">
      <c r="A16" s="492" t="s">
        <v>165</v>
      </c>
      <c r="B16" s="415" t="b">
        <f>D13+D14+D15=D16</f>
        <v>1</v>
      </c>
      <c r="C16" s="493" t="s">
        <v>2</v>
      </c>
      <c r="D16" s="494">
        <f>D12+D15</f>
        <v>10017304014</v>
      </c>
      <c r="E16" s="494">
        <f>E12+E15</f>
        <v>25979106234</v>
      </c>
      <c r="F16" s="495"/>
      <c r="G16" s="495"/>
      <c r="H16" s="415"/>
      <c r="I16" s="427">
        <f t="shared" si="6"/>
        <v>5</v>
      </c>
      <c r="J16" s="471"/>
      <c r="K16" s="472"/>
      <c r="L16" s="473" t="str">
        <f>IF($J16="","SPC 없음",VLOOKUP($J16&amp;"SPC명",개요!$A$3:$E$1932,3,0))</f>
        <v>SPC 없음</v>
      </c>
      <c r="M16" s="474" t="str">
        <f>IF($J16="","SPC 없음",VLOOKUP($J16&amp;"설정일",개요!$A$3:$E$1932,3,0))</f>
        <v>SPC 없음</v>
      </c>
      <c r="N16" s="475" t="str">
        <f t="shared" si="0"/>
        <v>SPC 없음</v>
      </c>
      <c r="O16" s="471"/>
      <c r="P16" s="476"/>
      <c r="Q16" s="477"/>
      <c r="R16" s="478"/>
      <c r="S16" s="479" t="str">
        <f t="shared" si="1"/>
        <v>SPC 없음</v>
      </c>
      <c r="T16" s="471"/>
      <c r="U16" s="471" t="s">
        <v>94</v>
      </c>
      <c r="V16" s="480">
        <f>IF(U16="한국 원화(KRW)",1,IF(OR(U16=환율!$A$6,U16=환율!$A$7),VLOOKUP(NAV!U16,환율!$A$6:$B$7,2,),IF(RIGHT(U16,5)="(100)",(VLOOKUP(NAV!U16,환율!$A$11:$B$65,2,))/100,VLOOKUP(NAV!U16,환율!$A$11:$B$65,2,))))</f>
        <v>1</v>
      </c>
      <c r="W16" s="481"/>
      <c r="X16" s="482">
        <f t="shared" si="2"/>
        <v>0</v>
      </c>
      <c r="Y16" s="481"/>
      <c r="Z16" s="481" t="s">
        <v>7215</v>
      </c>
      <c r="AA16" s="483">
        <f t="shared" si="5"/>
        <v>0</v>
      </c>
      <c r="AE16" s="484" t="str">
        <f t="shared" si="3"/>
        <v>SPC 없음</v>
      </c>
      <c r="AF16" s="484" t="str">
        <f t="shared" si="4"/>
        <v>SPC 없음</v>
      </c>
      <c r="AG16" s="485"/>
      <c r="AH16" s="485"/>
      <c r="AI16" s="404"/>
    </row>
    <row r="17" spans="1:35" ht="12.75" thickBot="1">
      <c r="A17" s="492"/>
      <c r="B17" s="496"/>
      <c r="C17" s="468" t="s">
        <v>18</v>
      </c>
      <c r="D17" s="469">
        <f>SUM(D18:D21)</f>
        <v>107420000</v>
      </c>
      <c r="E17" s="469">
        <f>SUM(E18:E21)</f>
        <v>107420000</v>
      </c>
      <c r="F17" s="305"/>
      <c r="G17" s="305"/>
      <c r="H17" s="415"/>
      <c r="I17" s="427">
        <f t="shared" si="6"/>
        <v>6</v>
      </c>
      <c r="J17" s="471"/>
      <c r="K17" s="472"/>
      <c r="L17" s="473" t="str">
        <f>IF($J17="","SPC 없음",VLOOKUP($J17&amp;"SPC명",개요!$A$3:$E$1932,3,0))</f>
        <v>SPC 없음</v>
      </c>
      <c r="M17" s="474" t="str">
        <f>IF($J17="","SPC 없음",VLOOKUP($J17&amp;"설정일",개요!$A$3:$E$1932,3,0))</f>
        <v>SPC 없음</v>
      </c>
      <c r="N17" s="475" t="str">
        <f t="shared" si="0"/>
        <v>SPC 없음</v>
      </c>
      <c r="O17" s="471"/>
      <c r="P17" s="476"/>
      <c r="Q17" s="477"/>
      <c r="R17" s="478"/>
      <c r="S17" s="479" t="str">
        <f t="shared" si="1"/>
        <v>SPC 없음</v>
      </c>
      <c r="T17" s="471"/>
      <c r="U17" s="471" t="s">
        <v>94</v>
      </c>
      <c r="V17" s="480">
        <f>IF(U17="한국 원화(KRW)",1,IF(OR(U17=환율!$A$6,U17=환율!$A$7),VLOOKUP(NAV!U17,환율!$A$6:$B$7,2,),IF(RIGHT(U17,5)="(100)",(VLOOKUP(NAV!U17,환율!$A$11:$B$65,2,))/100,VLOOKUP(NAV!U17,환율!$A$11:$B$65,2,))))</f>
        <v>1</v>
      </c>
      <c r="W17" s="481"/>
      <c r="X17" s="482">
        <f t="shared" si="2"/>
        <v>0</v>
      </c>
      <c r="Y17" s="481"/>
      <c r="Z17" s="481" t="s">
        <v>7215</v>
      </c>
      <c r="AA17" s="483">
        <f t="shared" si="5"/>
        <v>0</v>
      </c>
      <c r="AE17" s="484" t="str">
        <f t="shared" si="3"/>
        <v>SPC 없음</v>
      </c>
      <c r="AF17" s="484" t="str">
        <f t="shared" si="4"/>
        <v>SPC 없음</v>
      </c>
      <c r="AG17" s="485"/>
      <c r="AH17" s="485"/>
      <c r="AI17" s="404"/>
    </row>
    <row r="18" spans="1:35" ht="12.75" thickBot="1">
      <c r="A18" s="492"/>
      <c r="B18" s="496"/>
      <c r="C18" s="486" t="s">
        <v>152</v>
      </c>
      <c r="D18" s="487">
        <f>SUMIF(FS!$C$9:$C$39,개요!$C$9&amp;RIGHT(NAV!C18,5),FS!$F$9:$F$39)</f>
        <v>107420000</v>
      </c>
      <c r="E18" s="487">
        <f>D18</f>
        <v>107420000</v>
      </c>
      <c r="F18" s="495"/>
      <c r="G18" s="495"/>
      <c r="H18" s="415"/>
      <c r="I18" s="427">
        <f t="shared" si="6"/>
        <v>7</v>
      </c>
      <c r="J18" s="471"/>
      <c r="K18" s="472"/>
      <c r="L18" s="473" t="str">
        <f>IF($J18="","SPC 없음",VLOOKUP($J18&amp;"SPC명",개요!$A$3:$E$1932,3,0))</f>
        <v>SPC 없음</v>
      </c>
      <c r="M18" s="474" t="str">
        <f>IF($J18="","SPC 없음",VLOOKUP($J18&amp;"설정일",개요!$A$3:$E$1932,3,0))</f>
        <v>SPC 없음</v>
      </c>
      <c r="N18" s="475" t="str">
        <f t="shared" si="0"/>
        <v>SPC 없음</v>
      </c>
      <c r="O18" s="471"/>
      <c r="P18" s="476"/>
      <c r="Q18" s="477"/>
      <c r="R18" s="478"/>
      <c r="S18" s="479" t="str">
        <f t="shared" si="1"/>
        <v>SPC 없음</v>
      </c>
      <c r="T18" s="471"/>
      <c r="U18" s="471" t="s">
        <v>94</v>
      </c>
      <c r="V18" s="480">
        <f>IF(U18="한국 원화(KRW)",1,IF(OR(U18=환율!$A$6,U18=환율!$A$7),VLOOKUP(NAV!U18,환율!$A$6:$B$7,2,),IF(RIGHT(U18,5)="(100)",(VLOOKUP(NAV!U18,환율!$A$11:$B$65,2,))/100,VLOOKUP(NAV!U18,환율!$A$11:$B$65,2,))))</f>
        <v>1</v>
      </c>
      <c r="W18" s="481"/>
      <c r="X18" s="482">
        <f t="shared" si="2"/>
        <v>0</v>
      </c>
      <c r="Y18" s="481"/>
      <c r="Z18" s="481" t="s">
        <v>7215</v>
      </c>
      <c r="AA18" s="483">
        <f t="shared" si="5"/>
        <v>0</v>
      </c>
      <c r="AE18" s="484" t="str">
        <f t="shared" si="3"/>
        <v>SPC 없음</v>
      </c>
      <c r="AF18" s="484" t="str">
        <f t="shared" si="4"/>
        <v>SPC 없음</v>
      </c>
      <c r="AG18" s="485"/>
      <c r="AH18" s="485"/>
      <c r="AI18" s="404"/>
    </row>
    <row r="19" spans="1:35" ht="12.75" thickBot="1">
      <c r="A19" s="492"/>
      <c r="B19" s="496"/>
      <c r="C19" s="486" t="s">
        <v>157</v>
      </c>
      <c r="D19" s="487">
        <f>SUMIF(FS!$C$9:$C$39,개요!$C$9&amp;RIGHT(NAV!C19,3),FS!$F$9:$F$39)</f>
        <v>0</v>
      </c>
      <c r="E19" s="487">
        <f>D19</f>
        <v>0</v>
      </c>
      <c r="F19" s="495"/>
      <c r="G19" s="495"/>
      <c r="H19" s="415"/>
      <c r="I19" s="427">
        <f t="shared" si="6"/>
        <v>8</v>
      </c>
      <c r="J19" s="471"/>
      <c r="K19" s="472"/>
      <c r="L19" s="473" t="str">
        <f>IF($J19="","SPC 없음",VLOOKUP($J19&amp;"SPC명",개요!$A$3:$E$1932,3,0))</f>
        <v>SPC 없음</v>
      </c>
      <c r="M19" s="474" t="str">
        <f>IF($J19="","SPC 없음",VLOOKUP($J19&amp;"설정일",개요!$A$3:$E$1932,3,0))</f>
        <v>SPC 없음</v>
      </c>
      <c r="N19" s="475" t="str">
        <f t="shared" si="0"/>
        <v>SPC 없음</v>
      </c>
      <c r="O19" s="471"/>
      <c r="P19" s="476"/>
      <c r="Q19" s="477"/>
      <c r="R19" s="478"/>
      <c r="S19" s="479" t="str">
        <f t="shared" si="1"/>
        <v>SPC 없음</v>
      </c>
      <c r="T19" s="471"/>
      <c r="U19" s="471" t="s">
        <v>94</v>
      </c>
      <c r="V19" s="480">
        <f>IF(U19="한국 원화(KRW)",1,IF(OR(U19=환율!$A$6,U19=환율!$A$7),VLOOKUP(NAV!U19,환율!$A$6:$B$7,2,),IF(RIGHT(U19,5)="(100)",(VLOOKUP(NAV!U19,환율!$A$11:$B$65,2,))/100,VLOOKUP(NAV!U19,환율!$A$11:$B$65,2,))))</f>
        <v>1</v>
      </c>
      <c r="W19" s="481"/>
      <c r="X19" s="482">
        <f t="shared" si="2"/>
        <v>0</v>
      </c>
      <c r="Y19" s="481"/>
      <c r="Z19" s="481" t="s">
        <v>7215</v>
      </c>
      <c r="AA19" s="483">
        <f t="shared" si="5"/>
        <v>0</v>
      </c>
      <c r="AE19" s="484" t="str">
        <f t="shared" si="3"/>
        <v>SPC 없음</v>
      </c>
      <c r="AF19" s="484" t="str">
        <f t="shared" si="4"/>
        <v>SPC 없음</v>
      </c>
      <c r="AG19" s="485"/>
      <c r="AH19" s="485"/>
      <c r="AI19" s="404"/>
    </row>
    <row r="20" spans="1:35" ht="12.75" thickBot="1">
      <c r="A20" s="492"/>
      <c r="B20" s="496"/>
      <c r="C20" s="486" t="s">
        <v>158</v>
      </c>
      <c r="D20" s="487">
        <f>SUMIF(FS!$C$9:$C$39,개요!$C$9&amp;RIGHT(NAV!C20,6),FS!$F$9:$F$39)</f>
        <v>0</v>
      </c>
      <c r="E20" s="487">
        <f>D20</f>
        <v>0</v>
      </c>
      <c r="F20" s="495"/>
      <c r="G20" s="495"/>
      <c r="H20" s="415"/>
      <c r="I20" s="427">
        <f t="shared" si="6"/>
        <v>9</v>
      </c>
      <c r="J20" s="471"/>
      <c r="K20" s="472"/>
      <c r="L20" s="473" t="str">
        <f>IF($J20="","SPC 없음",VLOOKUP($J20&amp;"SPC명",개요!$A$3:$E$1932,3,0))</f>
        <v>SPC 없음</v>
      </c>
      <c r="M20" s="474" t="str">
        <f>IF($J20="","SPC 없음",VLOOKUP($J20&amp;"설정일",개요!$A$3:$E$1932,3,0))</f>
        <v>SPC 없음</v>
      </c>
      <c r="N20" s="475" t="str">
        <f t="shared" si="0"/>
        <v>SPC 없음</v>
      </c>
      <c r="O20" s="471"/>
      <c r="P20" s="476"/>
      <c r="Q20" s="477"/>
      <c r="R20" s="478"/>
      <c r="S20" s="479" t="str">
        <f t="shared" si="1"/>
        <v>SPC 없음</v>
      </c>
      <c r="T20" s="471"/>
      <c r="U20" s="471" t="s">
        <v>94</v>
      </c>
      <c r="V20" s="480">
        <f>IF(U20="한국 원화(KRW)",1,IF(OR(U20=환율!$A$6,U20=환율!$A$7),VLOOKUP(NAV!U20,환율!$A$6:$B$7,2,),IF(RIGHT(U20,5)="(100)",(VLOOKUP(NAV!U20,환율!$A$11:$B$65,2,))/100,VLOOKUP(NAV!U20,환율!$A$11:$B$65,2,))))</f>
        <v>1</v>
      </c>
      <c r="W20" s="481"/>
      <c r="X20" s="482">
        <f t="shared" si="2"/>
        <v>0</v>
      </c>
      <c r="Y20" s="481"/>
      <c r="Z20" s="481" t="s">
        <v>7215</v>
      </c>
      <c r="AA20" s="483">
        <f t="shared" si="5"/>
        <v>0</v>
      </c>
      <c r="AE20" s="484" t="str">
        <f t="shared" si="3"/>
        <v>SPC 없음</v>
      </c>
      <c r="AF20" s="484" t="str">
        <f t="shared" si="4"/>
        <v>SPC 없음</v>
      </c>
      <c r="AG20" s="485"/>
      <c r="AH20" s="485"/>
      <c r="AI20" s="404"/>
    </row>
    <row r="21" spans="1:35" ht="12.75" thickBot="1">
      <c r="A21" s="492"/>
      <c r="B21" s="496"/>
      <c r="C21" s="486" t="s">
        <v>3385</v>
      </c>
      <c r="D21" s="487">
        <f>SUMIF(FS!$C$9:$C$39,개요!$C$9&amp;RIGHT(NAV!C21,7),FS!$F$9:$F$39)</f>
        <v>0</v>
      </c>
      <c r="E21" s="487">
        <f>D21</f>
        <v>0</v>
      </c>
      <c r="F21" s="495"/>
      <c r="G21" s="495"/>
      <c r="H21" s="415"/>
      <c r="I21" s="427">
        <f t="shared" si="6"/>
        <v>10</v>
      </c>
      <c r="J21" s="471"/>
      <c r="K21" s="472"/>
      <c r="L21" s="473" t="str">
        <f>IF($J21="","SPC 없음",VLOOKUP($J21&amp;"SPC명",개요!$A$3:$E$1932,3,0))</f>
        <v>SPC 없음</v>
      </c>
      <c r="M21" s="474" t="str">
        <f>IF($J21="","SPC 없음",VLOOKUP($J21&amp;"설정일",개요!$A$3:$E$1932,3,0))</f>
        <v>SPC 없음</v>
      </c>
      <c r="N21" s="475" t="str">
        <f t="shared" si="0"/>
        <v>SPC 없음</v>
      </c>
      <c r="O21" s="471"/>
      <c r="P21" s="476"/>
      <c r="Q21" s="477"/>
      <c r="R21" s="478"/>
      <c r="S21" s="479" t="str">
        <f t="shared" si="1"/>
        <v>SPC 없음</v>
      </c>
      <c r="T21" s="471"/>
      <c r="U21" s="471" t="s">
        <v>94</v>
      </c>
      <c r="V21" s="480">
        <f>IF(U21="한국 원화(KRW)",1,IF(OR(U21=환율!$A$6,U21=환율!$A$7),VLOOKUP(NAV!U21,환율!$A$6:$B$7,2,),IF(RIGHT(U21,5)="(100)",(VLOOKUP(NAV!U21,환율!$A$11:$B$65,2,))/100,VLOOKUP(NAV!U21,환율!$A$11:$B$65,2,))))</f>
        <v>1</v>
      </c>
      <c r="W21" s="481"/>
      <c r="X21" s="482">
        <f t="shared" si="2"/>
        <v>0</v>
      </c>
      <c r="Y21" s="481"/>
      <c r="Z21" s="481" t="s">
        <v>7215</v>
      </c>
      <c r="AA21" s="483">
        <f t="shared" si="5"/>
        <v>0</v>
      </c>
      <c r="AE21" s="484" t="str">
        <f t="shared" si="3"/>
        <v>SPC 없음</v>
      </c>
      <c r="AF21" s="484" t="str">
        <f t="shared" si="4"/>
        <v>SPC 없음</v>
      </c>
      <c r="AG21" s="485"/>
      <c r="AH21" s="485"/>
      <c r="AI21" s="404"/>
    </row>
    <row r="22" spans="1:35" ht="12.75" thickBot="1">
      <c r="A22" s="492"/>
      <c r="B22" s="496"/>
      <c r="C22" s="468" t="s">
        <v>21</v>
      </c>
      <c r="D22" s="469">
        <f>SUM(D23:D24)</f>
        <v>0</v>
      </c>
      <c r="E22" s="469">
        <f>SUM(E23:E24)</f>
        <v>0</v>
      </c>
      <c r="F22" s="305"/>
      <c r="G22" s="305"/>
      <c r="H22" s="415"/>
      <c r="I22" s="427">
        <f t="shared" si="6"/>
        <v>11</v>
      </c>
      <c r="J22" s="471"/>
      <c r="K22" s="472"/>
      <c r="L22" s="473" t="str">
        <f>IF($J22="","SPC 없음",VLOOKUP($J22&amp;"SPC명",개요!$A$3:$E$1932,3,0))</f>
        <v>SPC 없음</v>
      </c>
      <c r="M22" s="474" t="str">
        <f>IF($J22="","SPC 없음",VLOOKUP($J22&amp;"설정일",개요!$A$3:$E$1932,3,0))</f>
        <v>SPC 없음</v>
      </c>
      <c r="N22" s="475" t="str">
        <f t="shared" si="0"/>
        <v>SPC 없음</v>
      </c>
      <c r="O22" s="471"/>
      <c r="P22" s="476"/>
      <c r="Q22" s="477"/>
      <c r="R22" s="478"/>
      <c r="S22" s="479" t="str">
        <f t="shared" si="1"/>
        <v>SPC 없음</v>
      </c>
      <c r="T22" s="471"/>
      <c r="U22" s="471" t="s">
        <v>94</v>
      </c>
      <c r="V22" s="480">
        <f>IF(U22="한국 원화(KRW)",1,IF(OR(U22=환율!$A$6,U22=환율!$A$7),VLOOKUP(NAV!U22,환율!$A$6:$B$7,2,),IF(RIGHT(U22,5)="(100)",(VLOOKUP(NAV!U22,환율!$A$11:$B$65,2,))/100,VLOOKUP(NAV!U22,환율!$A$11:$B$65,2,))))</f>
        <v>1</v>
      </c>
      <c r="W22" s="481"/>
      <c r="X22" s="482">
        <f t="shared" si="2"/>
        <v>0</v>
      </c>
      <c r="Y22" s="481"/>
      <c r="Z22" s="481" t="s">
        <v>7215</v>
      </c>
      <c r="AA22" s="483">
        <f t="shared" si="5"/>
        <v>0</v>
      </c>
      <c r="AE22" s="484" t="str">
        <f t="shared" si="3"/>
        <v>SPC 없음</v>
      </c>
      <c r="AF22" s="484" t="str">
        <f t="shared" si="4"/>
        <v>SPC 없음</v>
      </c>
      <c r="AG22" s="485"/>
      <c r="AH22" s="485"/>
      <c r="AI22" s="404"/>
    </row>
    <row r="23" spans="1:35" ht="12.75" thickBot="1">
      <c r="A23" s="492"/>
      <c r="B23" s="496"/>
      <c r="C23" s="486" t="s">
        <v>3386</v>
      </c>
      <c r="D23" s="487">
        <f>SUMIF(FS!$C$9:$C$39,개요!$C$9&amp;RIGHT(NAV!C23,3),FS!$F$9:$F$39)</f>
        <v>0</v>
      </c>
      <c r="E23" s="487">
        <f>D23</f>
        <v>0</v>
      </c>
      <c r="F23" s="495"/>
      <c r="G23" s="495"/>
      <c r="H23" s="415"/>
      <c r="I23" s="427">
        <f t="shared" si="6"/>
        <v>12</v>
      </c>
      <c r="J23" s="471"/>
      <c r="K23" s="472"/>
      <c r="L23" s="473" t="str">
        <f>IF($J23="","SPC 없음",VLOOKUP($J23&amp;"SPC명",개요!$A$3:$E$1932,3,0))</f>
        <v>SPC 없음</v>
      </c>
      <c r="M23" s="474" t="str">
        <f>IF($J23="","SPC 없음",VLOOKUP($J23&amp;"설정일",개요!$A$3:$E$1932,3,0))</f>
        <v>SPC 없음</v>
      </c>
      <c r="N23" s="475" t="str">
        <f t="shared" si="0"/>
        <v>SPC 없음</v>
      </c>
      <c r="O23" s="471"/>
      <c r="P23" s="476"/>
      <c r="Q23" s="477"/>
      <c r="R23" s="478"/>
      <c r="S23" s="479" t="str">
        <f t="shared" si="1"/>
        <v>SPC 없음</v>
      </c>
      <c r="T23" s="471"/>
      <c r="U23" s="471" t="s">
        <v>94</v>
      </c>
      <c r="V23" s="480">
        <f>IF(U23="한국 원화(KRW)",1,IF(OR(U23=환율!$A$6,U23=환율!$A$7),VLOOKUP(NAV!U23,환율!$A$6:$B$7,2,),IF(RIGHT(U23,5)="(100)",(VLOOKUP(NAV!U23,환율!$A$11:$B$65,2,))/100,VLOOKUP(NAV!U23,환율!$A$11:$B$65,2,))))</f>
        <v>1</v>
      </c>
      <c r="W23" s="481"/>
      <c r="X23" s="482">
        <f t="shared" si="2"/>
        <v>0</v>
      </c>
      <c r="Y23" s="481"/>
      <c r="Z23" s="481" t="s">
        <v>7215</v>
      </c>
      <c r="AA23" s="483">
        <f t="shared" si="5"/>
        <v>0</v>
      </c>
      <c r="AE23" s="484" t="str">
        <f t="shared" si="3"/>
        <v>SPC 없음</v>
      </c>
      <c r="AF23" s="484" t="str">
        <f t="shared" si="4"/>
        <v>SPC 없음</v>
      </c>
      <c r="AG23" s="485"/>
      <c r="AH23" s="485"/>
      <c r="AI23" s="404"/>
    </row>
    <row r="24" spans="1:35" ht="12.75" thickBot="1">
      <c r="A24" s="492"/>
      <c r="B24" s="496"/>
      <c r="C24" s="486" t="s">
        <v>3387</v>
      </c>
      <c r="D24" s="487">
        <f>SUMIF(FS!$C$9:$C$39,개요!$C$9&amp;RIGHT(NAV!C24,4),FS!$F$9:$F$39)</f>
        <v>0</v>
      </c>
      <c r="E24" s="487">
        <f>D24</f>
        <v>0</v>
      </c>
      <c r="F24" s="497"/>
      <c r="G24" s="497"/>
      <c r="H24" s="489"/>
      <c r="I24" s="427">
        <f t="shared" si="6"/>
        <v>13</v>
      </c>
      <c r="J24" s="471"/>
      <c r="K24" s="472"/>
      <c r="L24" s="473" t="str">
        <f>IF($J24="","SPC 없음",VLOOKUP($J24&amp;"SPC명",개요!$A$3:$E$1932,3,0))</f>
        <v>SPC 없음</v>
      </c>
      <c r="M24" s="474" t="str">
        <f>IF($J24="","SPC 없음",VLOOKUP($J24&amp;"설정일",개요!$A$3:$E$1932,3,0))</f>
        <v>SPC 없음</v>
      </c>
      <c r="N24" s="475" t="str">
        <f t="shared" si="0"/>
        <v>SPC 없음</v>
      </c>
      <c r="O24" s="471"/>
      <c r="P24" s="476"/>
      <c r="Q24" s="477"/>
      <c r="R24" s="478"/>
      <c r="S24" s="479" t="str">
        <f t="shared" si="1"/>
        <v>SPC 없음</v>
      </c>
      <c r="T24" s="471"/>
      <c r="U24" s="471" t="s">
        <v>94</v>
      </c>
      <c r="V24" s="480">
        <f>IF(U24="한국 원화(KRW)",1,IF(OR(U24=환율!$A$6,U24=환율!$A$7),VLOOKUP(NAV!U24,환율!$A$6:$B$7,2,),IF(RIGHT(U24,5)="(100)",(VLOOKUP(NAV!U24,환율!$A$11:$B$65,2,))/100,VLOOKUP(NAV!U24,환율!$A$11:$B$65,2,))))</f>
        <v>1</v>
      </c>
      <c r="W24" s="481"/>
      <c r="X24" s="482">
        <f t="shared" si="2"/>
        <v>0</v>
      </c>
      <c r="Y24" s="481"/>
      <c r="Z24" s="481" t="s">
        <v>7215</v>
      </c>
      <c r="AA24" s="483">
        <f t="shared" si="5"/>
        <v>0</v>
      </c>
      <c r="AE24" s="484" t="str">
        <f t="shared" si="3"/>
        <v>SPC 없음</v>
      </c>
      <c r="AF24" s="484" t="str">
        <f t="shared" si="4"/>
        <v>SPC 없음</v>
      </c>
      <c r="AG24" s="485"/>
      <c r="AH24" s="485"/>
      <c r="AI24" s="404"/>
    </row>
    <row r="25" spans="1:35" ht="12.75" thickBot="1">
      <c r="A25" s="489" t="s">
        <v>166</v>
      </c>
      <c r="B25" s="498" t="b">
        <f>D18+D19+D20+D21+D23+D24=D25</f>
        <v>1</v>
      </c>
      <c r="C25" s="493" t="s">
        <v>22</v>
      </c>
      <c r="D25" s="494">
        <f>D17+D22</f>
        <v>107420000</v>
      </c>
      <c r="E25" s="494">
        <f>E17+E22</f>
        <v>107420000</v>
      </c>
      <c r="F25" s="497"/>
      <c r="G25" s="497"/>
      <c r="H25" s="489"/>
      <c r="I25" s="427">
        <f t="shared" si="6"/>
        <v>14</v>
      </c>
      <c r="J25" s="471"/>
      <c r="K25" s="472"/>
      <c r="L25" s="473" t="str">
        <f>IF($J25="","SPC 없음",VLOOKUP($J25&amp;"SPC명",개요!$A$3:$E$1932,3,0))</f>
        <v>SPC 없음</v>
      </c>
      <c r="M25" s="474" t="str">
        <f>IF($J25="","SPC 없음",VLOOKUP($J25&amp;"설정일",개요!$A$3:$E$1932,3,0))</f>
        <v>SPC 없음</v>
      </c>
      <c r="N25" s="475" t="str">
        <f t="shared" si="0"/>
        <v>SPC 없음</v>
      </c>
      <c r="O25" s="471"/>
      <c r="P25" s="476"/>
      <c r="Q25" s="477"/>
      <c r="R25" s="478"/>
      <c r="S25" s="479" t="str">
        <f t="shared" si="1"/>
        <v>SPC 없음</v>
      </c>
      <c r="T25" s="471"/>
      <c r="U25" s="471" t="s">
        <v>94</v>
      </c>
      <c r="V25" s="480">
        <f>IF(U25="한국 원화(KRW)",1,IF(OR(U25=환율!$A$6,U25=환율!$A$7),VLOOKUP(NAV!U25,환율!$A$6:$B$7,2,),IF(RIGHT(U25,5)="(100)",(VLOOKUP(NAV!U25,환율!$A$11:$B$65,2,))/100,VLOOKUP(NAV!U25,환율!$A$11:$B$65,2,))))</f>
        <v>1</v>
      </c>
      <c r="W25" s="481"/>
      <c r="X25" s="482">
        <f t="shared" si="2"/>
        <v>0</v>
      </c>
      <c r="Y25" s="481"/>
      <c r="Z25" s="481" t="s">
        <v>7215</v>
      </c>
      <c r="AA25" s="483">
        <f t="shared" si="5"/>
        <v>0</v>
      </c>
      <c r="AE25" s="484" t="str">
        <f t="shared" si="3"/>
        <v>SPC 없음</v>
      </c>
      <c r="AF25" s="484" t="str">
        <f t="shared" si="4"/>
        <v>SPC 없음</v>
      </c>
      <c r="AG25" s="485"/>
      <c r="AH25" s="485"/>
      <c r="AI25" s="404"/>
    </row>
    <row r="26" spans="1:35" ht="12.75" thickBot="1">
      <c r="A26" s="492"/>
      <c r="B26" s="496"/>
      <c r="C26" s="486" t="s">
        <v>3388</v>
      </c>
      <c r="D26" s="487">
        <f>SUMIF(FS!$C$9:$C$39,개요!$C$9&amp;RIGHT(NAV!C26,3),FS!$F$9:$F$39)</f>
        <v>10500000000</v>
      </c>
      <c r="E26" s="487">
        <f>D26</f>
        <v>10500000000</v>
      </c>
      <c r="F26" s="497"/>
      <c r="G26" s="497"/>
      <c r="H26" s="489"/>
      <c r="I26" s="427">
        <f t="shared" si="6"/>
        <v>15</v>
      </c>
      <c r="J26" s="471"/>
      <c r="K26" s="472"/>
      <c r="L26" s="473" t="str">
        <f>IF($J26="","SPC 없음",VLOOKUP($J26&amp;"SPC명",개요!$A$3:$E$1932,3,0))</f>
        <v>SPC 없음</v>
      </c>
      <c r="M26" s="474" t="str">
        <f>IF($J26="","SPC 없음",VLOOKUP($J26&amp;"설정일",개요!$A$3:$E$1932,3,0))</f>
        <v>SPC 없음</v>
      </c>
      <c r="N26" s="475" t="str">
        <f t="shared" si="0"/>
        <v>SPC 없음</v>
      </c>
      <c r="O26" s="471"/>
      <c r="P26" s="476"/>
      <c r="Q26" s="477"/>
      <c r="R26" s="478"/>
      <c r="S26" s="479" t="str">
        <f t="shared" si="1"/>
        <v>SPC 없음</v>
      </c>
      <c r="T26" s="471"/>
      <c r="U26" s="471" t="s">
        <v>94</v>
      </c>
      <c r="V26" s="480">
        <f>IF(U26="한국 원화(KRW)",1,IF(OR(U26=환율!$A$6,U26=환율!$A$7),VLOOKUP(NAV!U26,환율!$A$6:$B$7,2,),IF(RIGHT(U26,5)="(100)",(VLOOKUP(NAV!U26,환율!$A$11:$B$65,2,))/100,VLOOKUP(NAV!U26,환율!$A$11:$B$65,2,))))</f>
        <v>1</v>
      </c>
      <c r="W26" s="481"/>
      <c r="X26" s="482">
        <f t="shared" si="2"/>
        <v>0</v>
      </c>
      <c r="Y26" s="481"/>
      <c r="Z26" s="481" t="s">
        <v>7215</v>
      </c>
      <c r="AA26" s="483">
        <f t="shared" si="5"/>
        <v>0</v>
      </c>
      <c r="AE26" s="484" t="str">
        <f t="shared" si="3"/>
        <v>SPC 없음</v>
      </c>
      <c r="AF26" s="484" t="str">
        <f t="shared" si="4"/>
        <v>SPC 없음</v>
      </c>
      <c r="AG26" s="485"/>
      <c r="AH26" s="485"/>
      <c r="AI26" s="404"/>
    </row>
    <row r="27" spans="1:35" ht="12.75" thickBot="1">
      <c r="C27" s="486" t="s">
        <v>119</v>
      </c>
      <c r="D27" s="487">
        <f>SUMIF(FS!$C$9:$C$39,개요!$C$9&amp;RIGHT(NAV!C27,10),FS!$F$9:$F$39)</f>
        <v>-590115986</v>
      </c>
      <c r="E27" s="487">
        <f>D27</f>
        <v>-590115986</v>
      </c>
      <c r="F27" s="497"/>
      <c r="G27" s="497"/>
      <c r="H27" s="489"/>
      <c r="I27" s="427">
        <f t="shared" si="6"/>
        <v>16</v>
      </c>
      <c r="J27" s="471"/>
      <c r="K27" s="472"/>
      <c r="L27" s="473" t="str">
        <f>IF($J27="","SPC 없음",VLOOKUP($J27&amp;"SPC명",개요!$A$3:$E$1932,3,0))</f>
        <v>SPC 없음</v>
      </c>
      <c r="M27" s="474" t="str">
        <f>IF($J27="","SPC 없음",VLOOKUP($J27&amp;"설정일",개요!$A$3:$E$1932,3,0))</f>
        <v>SPC 없음</v>
      </c>
      <c r="N27" s="475" t="str">
        <f t="shared" si="0"/>
        <v>SPC 없음</v>
      </c>
      <c r="O27" s="471"/>
      <c r="P27" s="476"/>
      <c r="Q27" s="477"/>
      <c r="R27" s="478"/>
      <c r="S27" s="479" t="str">
        <f t="shared" si="1"/>
        <v>SPC 없음</v>
      </c>
      <c r="T27" s="471"/>
      <c r="U27" s="471" t="s">
        <v>94</v>
      </c>
      <c r="V27" s="480">
        <f>IF(U27="한국 원화(KRW)",1,IF(OR(U27=환율!$A$6,U27=환율!$A$7),VLOOKUP(NAV!U27,환율!$A$6:$B$7,2,),IF(RIGHT(U27,5)="(100)",(VLOOKUP(NAV!U27,환율!$A$11:$B$65,2,))/100,VLOOKUP(NAV!U27,환율!$A$11:$B$65,2,))))</f>
        <v>1</v>
      </c>
      <c r="W27" s="481"/>
      <c r="X27" s="482">
        <f t="shared" si="2"/>
        <v>0</v>
      </c>
      <c r="Y27" s="481"/>
      <c r="Z27" s="481" t="s">
        <v>7215</v>
      </c>
      <c r="AA27" s="483">
        <f t="shared" si="5"/>
        <v>0</v>
      </c>
      <c r="AE27" s="484" t="str">
        <f t="shared" si="3"/>
        <v>SPC 없음</v>
      </c>
      <c r="AF27" s="484" t="str">
        <f t="shared" si="4"/>
        <v>SPC 없음</v>
      </c>
      <c r="AG27" s="485"/>
      <c r="AH27" s="485"/>
      <c r="AI27" s="404"/>
    </row>
    <row r="28" spans="1:35" ht="12.75" thickBot="1">
      <c r="A28" s="489"/>
      <c r="B28" s="415"/>
      <c r="C28" s="486" t="s">
        <v>121</v>
      </c>
      <c r="D28" s="487">
        <f>SUMIF(FS!$C$9:$C$39,개요!$C$9&amp;RIGHT(NAV!C28,8),FS!$F$9:$F$39)</f>
        <v>0</v>
      </c>
      <c r="E28" s="487">
        <f>D28</f>
        <v>0</v>
      </c>
      <c r="I28" s="427">
        <f t="shared" si="6"/>
        <v>17</v>
      </c>
      <c r="J28" s="471"/>
      <c r="K28" s="472"/>
      <c r="L28" s="473" t="str">
        <f>IF($J28="","SPC 없음",VLOOKUP($J28&amp;"SPC명",개요!$A$3:$E$1932,3,0))</f>
        <v>SPC 없음</v>
      </c>
      <c r="M28" s="474" t="str">
        <f>IF($J28="","SPC 없음",VLOOKUP($J28&amp;"설정일",개요!$A$3:$E$1932,3,0))</f>
        <v>SPC 없음</v>
      </c>
      <c r="N28" s="475" t="str">
        <f t="shared" si="0"/>
        <v>SPC 없음</v>
      </c>
      <c r="O28" s="471"/>
      <c r="P28" s="476"/>
      <c r="Q28" s="477"/>
      <c r="R28" s="478"/>
      <c r="S28" s="479" t="str">
        <f t="shared" si="1"/>
        <v>SPC 없음</v>
      </c>
      <c r="T28" s="471"/>
      <c r="U28" s="471" t="s">
        <v>94</v>
      </c>
      <c r="V28" s="480">
        <f>IF(U28="한국 원화(KRW)",1,IF(OR(U28=환율!$A$6,U28=환율!$A$7),VLOOKUP(NAV!U28,환율!$A$6:$B$7,2,),IF(RIGHT(U28,5)="(100)",(VLOOKUP(NAV!U28,환율!$A$11:$B$65,2,))/100,VLOOKUP(NAV!U28,환율!$A$11:$B$65,2,))))</f>
        <v>1</v>
      </c>
      <c r="W28" s="481"/>
      <c r="X28" s="482">
        <f t="shared" si="2"/>
        <v>0</v>
      </c>
      <c r="Y28" s="481"/>
      <c r="Z28" s="481" t="s">
        <v>7215</v>
      </c>
      <c r="AA28" s="483">
        <f t="shared" si="5"/>
        <v>0</v>
      </c>
      <c r="AE28" s="484" t="str">
        <f t="shared" si="3"/>
        <v>SPC 없음</v>
      </c>
      <c r="AF28" s="484" t="str">
        <f t="shared" si="4"/>
        <v>SPC 없음</v>
      </c>
      <c r="AG28" s="485"/>
      <c r="AH28" s="485"/>
      <c r="AI28" s="404"/>
    </row>
    <row r="29" spans="1:35" ht="12.75" thickBot="1">
      <c r="A29" s="489" t="s">
        <v>167</v>
      </c>
      <c r="B29" s="415" t="b">
        <f>D29=SUM(D26:D28)</f>
        <v>1</v>
      </c>
      <c r="C29" s="493" t="s">
        <v>79</v>
      </c>
      <c r="D29" s="494">
        <f>D16-D25</f>
        <v>9909884014</v>
      </c>
      <c r="E29" s="494">
        <f>E16-E25</f>
        <v>25871686234</v>
      </c>
      <c r="I29" s="427">
        <f t="shared" si="6"/>
        <v>18</v>
      </c>
      <c r="J29" s="471"/>
      <c r="K29" s="472"/>
      <c r="L29" s="473" t="str">
        <f>IF($J29="","SPC 없음",VLOOKUP($J29&amp;"SPC명",개요!$A$3:$E$1932,3,0))</f>
        <v>SPC 없음</v>
      </c>
      <c r="M29" s="474" t="str">
        <f>IF($J29="","SPC 없음",VLOOKUP($J29&amp;"설정일",개요!$A$3:$E$1932,3,0))</f>
        <v>SPC 없음</v>
      </c>
      <c r="N29" s="475" t="str">
        <f t="shared" si="0"/>
        <v>SPC 없음</v>
      </c>
      <c r="O29" s="471"/>
      <c r="P29" s="476"/>
      <c r="Q29" s="477"/>
      <c r="R29" s="478"/>
      <c r="S29" s="479" t="str">
        <f t="shared" si="1"/>
        <v>SPC 없음</v>
      </c>
      <c r="T29" s="471"/>
      <c r="U29" s="471" t="s">
        <v>94</v>
      </c>
      <c r="V29" s="480">
        <f>IF(U29="한국 원화(KRW)",1,IF(OR(U29=환율!$A$6,U29=환율!$A$7),VLOOKUP(NAV!U29,환율!$A$6:$B$7,2,),IF(RIGHT(U29,5)="(100)",(VLOOKUP(NAV!U29,환율!$A$11:$B$65,2,))/100,VLOOKUP(NAV!U29,환율!$A$11:$B$65,2,))))</f>
        <v>1</v>
      </c>
      <c r="W29" s="481"/>
      <c r="X29" s="482">
        <f t="shared" si="2"/>
        <v>0</v>
      </c>
      <c r="Y29" s="481"/>
      <c r="Z29" s="481" t="s">
        <v>7215</v>
      </c>
      <c r="AA29" s="483">
        <f t="shared" si="5"/>
        <v>0</v>
      </c>
      <c r="AE29" s="484" t="str">
        <f t="shared" si="3"/>
        <v>SPC 없음</v>
      </c>
      <c r="AF29" s="484" t="str">
        <f t="shared" si="4"/>
        <v>SPC 없음</v>
      </c>
      <c r="AG29" s="485"/>
      <c r="AH29" s="485"/>
      <c r="AI29" s="404"/>
    </row>
    <row r="30" spans="1:35" ht="12.75" thickBot="1">
      <c r="A30" s="489"/>
      <c r="B30" s="415"/>
      <c r="C30" s="486" t="s">
        <v>3389</v>
      </c>
      <c r="D30" s="487">
        <v>0</v>
      </c>
      <c r="E30" s="499"/>
      <c r="I30" s="427">
        <f t="shared" si="6"/>
        <v>19</v>
      </c>
      <c r="J30" s="471"/>
      <c r="K30" s="472"/>
      <c r="L30" s="473" t="str">
        <f>IF($J30="","SPC 없음",VLOOKUP($J30&amp;"SPC명",개요!$A$3:$E$1932,3,0))</f>
        <v>SPC 없음</v>
      </c>
      <c r="M30" s="474" t="str">
        <f>IF($J30="","SPC 없음",VLOOKUP($J30&amp;"설정일",개요!$A$3:$E$1932,3,0))</f>
        <v>SPC 없음</v>
      </c>
      <c r="N30" s="475" t="str">
        <f t="shared" si="0"/>
        <v>SPC 없음</v>
      </c>
      <c r="O30" s="471"/>
      <c r="P30" s="476"/>
      <c r="Q30" s="477"/>
      <c r="R30" s="478"/>
      <c r="S30" s="479" t="str">
        <f t="shared" si="1"/>
        <v>SPC 없음</v>
      </c>
      <c r="T30" s="471"/>
      <c r="U30" s="471" t="s">
        <v>94</v>
      </c>
      <c r="V30" s="480">
        <f>IF(U30="한국 원화(KRW)",1,IF(OR(U30=환율!$A$6,U30=환율!$A$7),VLOOKUP(NAV!U30,환율!$A$6:$B$7,2,),IF(RIGHT(U30,5)="(100)",(VLOOKUP(NAV!U30,환율!$A$11:$B$65,2,))/100,VLOOKUP(NAV!U30,환율!$A$11:$B$65,2,))))</f>
        <v>1</v>
      </c>
      <c r="W30" s="481"/>
      <c r="X30" s="482">
        <f t="shared" si="2"/>
        <v>0</v>
      </c>
      <c r="Y30" s="481"/>
      <c r="Z30" s="481" t="s">
        <v>7215</v>
      </c>
      <c r="AA30" s="483">
        <f t="shared" si="5"/>
        <v>0</v>
      </c>
      <c r="AE30" s="484" t="str">
        <f t="shared" si="3"/>
        <v>SPC 없음</v>
      </c>
      <c r="AF30" s="484" t="str">
        <f t="shared" si="4"/>
        <v>SPC 없음</v>
      </c>
      <c r="AG30" s="485"/>
      <c r="AH30" s="485"/>
      <c r="AI30" s="404"/>
    </row>
    <row r="31" spans="1:35" ht="12.75" thickBot="1">
      <c r="A31" s="489"/>
      <c r="B31" s="415"/>
      <c r="C31" s="486" t="s">
        <v>3390</v>
      </c>
      <c r="D31" s="487">
        <v>0</v>
      </c>
      <c r="E31" s="499"/>
      <c r="I31" s="427">
        <f t="shared" si="6"/>
        <v>20</v>
      </c>
      <c r="J31" s="471"/>
      <c r="K31" s="472"/>
      <c r="L31" s="473" t="str">
        <f>IF($J31="","SPC 없음",VLOOKUP($J31&amp;"SPC명",개요!$A$3:$E$1932,3,0))</f>
        <v>SPC 없음</v>
      </c>
      <c r="M31" s="474" t="str">
        <f>IF($J31="","SPC 없음",VLOOKUP($J31&amp;"설정일",개요!$A$3:$E$1932,3,0))</f>
        <v>SPC 없음</v>
      </c>
      <c r="N31" s="475" t="str">
        <f t="shared" si="0"/>
        <v>SPC 없음</v>
      </c>
      <c r="O31" s="471"/>
      <c r="P31" s="476"/>
      <c r="Q31" s="477"/>
      <c r="R31" s="478"/>
      <c r="S31" s="479" t="str">
        <f t="shared" si="1"/>
        <v>SPC 없음</v>
      </c>
      <c r="T31" s="471"/>
      <c r="U31" s="471" t="s">
        <v>94</v>
      </c>
      <c r="V31" s="480">
        <f>IF(U31="한국 원화(KRW)",1,IF(OR(U31=환율!$A$6,U31=환율!$A$7),VLOOKUP(NAV!U31,환율!$A$6:$B$7,2,),IF(RIGHT(U31,5)="(100)",(VLOOKUP(NAV!U31,환율!$A$11:$B$65,2,))/100,VLOOKUP(NAV!U31,환율!$A$11:$B$65,2,))))</f>
        <v>1</v>
      </c>
      <c r="W31" s="481"/>
      <c r="X31" s="482">
        <f t="shared" si="2"/>
        <v>0</v>
      </c>
      <c r="Y31" s="481"/>
      <c r="Z31" s="481" t="s">
        <v>7215</v>
      </c>
      <c r="AA31" s="483">
        <f t="shared" si="5"/>
        <v>0</v>
      </c>
      <c r="AE31" s="484" t="str">
        <f t="shared" si="3"/>
        <v>SPC 없음</v>
      </c>
      <c r="AF31" s="484" t="str">
        <f t="shared" si="4"/>
        <v>SPC 없음</v>
      </c>
      <c r="AG31" s="485"/>
      <c r="AH31" s="485"/>
      <c r="AI31" s="404"/>
    </row>
    <row r="32" spans="1:35" ht="12.75" thickBot="1">
      <c r="A32" s="489"/>
      <c r="B32" s="415"/>
      <c r="C32" s="493" t="s">
        <v>123</v>
      </c>
      <c r="D32" s="494">
        <f>D29+D30-D31</f>
        <v>9909884014</v>
      </c>
      <c r="E32" s="494">
        <f>IF(E29+E30-E31&gt;0,E29+E30-E31,0)</f>
        <v>25871686234</v>
      </c>
      <c r="I32" s="427">
        <f t="shared" si="6"/>
        <v>21</v>
      </c>
      <c r="J32" s="471"/>
      <c r="K32" s="472"/>
      <c r="L32" s="473" t="str">
        <f>IF($J32="","SPC 없음",VLOOKUP($J32&amp;"SPC명",개요!$A$3:$E$1932,3,0))</f>
        <v>SPC 없음</v>
      </c>
      <c r="M32" s="474" t="str">
        <f>IF($J32="","SPC 없음",VLOOKUP($J32&amp;"설정일",개요!$A$3:$E$1932,3,0))</f>
        <v>SPC 없음</v>
      </c>
      <c r="N32" s="475" t="str">
        <f t="shared" si="0"/>
        <v>SPC 없음</v>
      </c>
      <c r="O32" s="471"/>
      <c r="P32" s="476"/>
      <c r="Q32" s="477"/>
      <c r="R32" s="478"/>
      <c r="S32" s="479" t="str">
        <f t="shared" si="1"/>
        <v>SPC 없음</v>
      </c>
      <c r="T32" s="471"/>
      <c r="U32" s="471" t="s">
        <v>94</v>
      </c>
      <c r="V32" s="480">
        <f>IF(U32="한국 원화(KRW)",1,IF(OR(U32=환율!$A$6,U32=환율!$A$7),VLOOKUP(NAV!U32,환율!$A$6:$B$7,2,),IF(RIGHT(U32,5)="(100)",(VLOOKUP(NAV!U32,환율!$A$11:$B$65,2,))/100,VLOOKUP(NAV!U32,환율!$A$11:$B$65,2,))))</f>
        <v>1</v>
      </c>
      <c r="W32" s="481"/>
      <c r="X32" s="482">
        <f t="shared" si="2"/>
        <v>0</v>
      </c>
      <c r="Y32" s="481"/>
      <c r="Z32" s="481" t="s">
        <v>7215</v>
      </c>
      <c r="AA32" s="483">
        <f t="shared" si="5"/>
        <v>0</v>
      </c>
      <c r="AE32" s="484" t="str">
        <f t="shared" si="3"/>
        <v>SPC 없음</v>
      </c>
      <c r="AF32" s="484" t="str">
        <f t="shared" si="4"/>
        <v>SPC 없음</v>
      </c>
      <c r="AG32" s="485"/>
      <c r="AH32" s="485"/>
      <c r="AI32" s="404"/>
    </row>
    <row r="33" spans="1:35" ht="12.75" thickBot="1">
      <c r="A33" s="489"/>
      <c r="B33" s="415"/>
      <c r="C33" s="461" t="s">
        <v>3451</v>
      </c>
      <c r="D33" s="500" t="str">
        <f>개요!$C$20</f>
        <v>YES</v>
      </c>
      <c r="E33" s="501" t="str">
        <f>IF(AND($D$33="YES",(NAV!$E$36+개요!$P$57)&lt;개요!$O$57),"우선분배 적용 필요","우선분배 해당 없음")</f>
        <v>우선분배 해당 없음</v>
      </c>
      <c r="I33" s="427">
        <f t="shared" si="6"/>
        <v>22</v>
      </c>
      <c r="J33" s="471"/>
      <c r="K33" s="472"/>
      <c r="L33" s="473" t="str">
        <f>IF($J33="","SPC 없음",VLOOKUP($J33&amp;"SPC명",개요!$A$3:$E$1932,3,0))</f>
        <v>SPC 없음</v>
      </c>
      <c r="M33" s="474" t="str">
        <f>IF($J33="","SPC 없음",VLOOKUP($J33&amp;"설정일",개요!$A$3:$E$1932,3,0))</f>
        <v>SPC 없음</v>
      </c>
      <c r="N33" s="475" t="str">
        <f t="shared" si="0"/>
        <v>SPC 없음</v>
      </c>
      <c r="O33" s="471"/>
      <c r="P33" s="476"/>
      <c r="Q33" s="477"/>
      <c r="R33" s="478"/>
      <c r="S33" s="479" t="str">
        <f t="shared" si="1"/>
        <v>SPC 없음</v>
      </c>
      <c r="T33" s="471"/>
      <c r="U33" s="471" t="s">
        <v>94</v>
      </c>
      <c r="V33" s="480">
        <f>IF(U33="한국 원화(KRW)",1,IF(OR(U33=환율!$A$6,U33=환율!$A$7),VLOOKUP(NAV!U33,환율!$A$6:$B$7,2,),IF(RIGHT(U33,5)="(100)",(VLOOKUP(NAV!U33,환율!$A$11:$B$65,2,))/100,VLOOKUP(NAV!U33,환율!$A$11:$B$65,2,))))</f>
        <v>1</v>
      </c>
      <c r="W33" s="481"/>
      <c r="X33" s="482">
        <f t="shared" si="2"/>
        <v>0</v>
      </c>
      <c r="Y33" s="481"/>
      <c r="Z33" s="481" t="s">
        <v>7215</v>
      </c>
      <c r="AA33" s="483">
        <f t="shared" si="5"/>
        <v>0</v>
      </c>
      <c r="AE33" s="484" t="str">
        <f t="shared" si="3"/>
        <v>SPC 없음</v>
      </c>
      <c r="AF33" s="484" t="str">
        <f t="shared" si="4"/>
        <v>SPC 없음</v>
      </c>
      <c r="AG33" s="485"/>
      <c r="AH33" s="485"/>
      <c r="AI33" s="404"/>
    </row>
    <row r="34" spans="1:35" ht="12.75" thickBot="1">
      <c r="A34" s="489"/>
      <c r="B34" s="415"/>
      <c r="C34" s="502" t="s">
        <v>144</v>
      </c>
      <c r="D34" s="502" t="str">
        <f>개요!C21</f>
        <v>YES</v>
      </c>
      <c r="G34" s="503" t="s">
        <v>287</v>
      </c>
      <c r="I34" s="427">
        <f t="shared" si="6"/>
        <v>23</v>
      </c>
      <c r="J34" s="471"/>
      <c r="K34" s="472"/>
      <c r="L34" s="473" t="str">
        <f>IF($J34="","SPC 없음",VLOOKUP($J34&amp;"SPC명",개요!$A$3:$E$1932,3,0))</f>
        <v>SPC 없음</v>
      </c>
      <c r="M34" s="474" t="str">
        <f>IF($J34="","SPC 없음",VLOOKUP($J34&amp;"설정일",개요!$A$3:$E$1932,3,0))</f>
        <v>SPC 없음</v>
      </c>
      <c r="N34" s="475" t="str">
        <f t="shared" si="0"/>
        <v>SPC 없음</v>
      </c>
      <c r="O34" s="471"/>
      <c r="P34" s="476"/>
      <c r="Q34" s="477"/>
      <c r="R34" s="478"/>
      <c r="S34" s="479" t="str">
        <f t="shared" si="1"/>
        <v>SPC 없음</v>
      </c>
      <c r="T34" s="471"/>
      <c r="U34" s="471" t="s">
        <v>94</v>
      </c>
      <c r="V34" s="480">
        <f>IF(U34="한국 원화(KRW)",1,IF(OR(U34=환율!$A$6,U34=환율!$A$7),VLOOKUP(NAV!U34,환율!$A$6:$B$7,2,),IF(RIGHT(U34,5)="(100)",(VLOOKUP(NAV!U34,환율!$A$11:$B$65,2,))/100,VLOOKUP(NAV!U34,환율!$A$11:$B$65,2,))))</f>
        <v>1</v>
      </c>
      <c r="W34" s="481"/>
      <c r="X34" s="482">
        <f t="shared" si="2"/>
        <v>0</v>
      </c>
      <c r="Y34" s="481"/>
      <c r="Z34" s="481" t="s">
        <v>7215</v>
      </c>
      <c r="AA34" s="483">
        <f t="shared" si="5"/>
        <v>0</v>
      </c>
      <c r="AE34" s="484" t="str">
        <f t="shared" si="3"/>
        <v>SPC 없음</v>
      </c>
      <c r="AF34" s="484" t="str">
        <f t="shared" si="4"/>
        <v>SPC 없음</v>
      </c>
      <c r="AG34" s="485"/>
      <c r="AH34" s="485"/>
      <c r="AI34" s="404"/>
    </row>
    <row r="35" spans="1:35" ht="12.75" thickBot="1">
      <c r="A35" s="489"/>
      <c r="D35" s="504" t="s">
        <v>43</v>
      </c>
      <c r="E35" s="505">
        <f>$C$7</f>
        <v>45473</v>
      </c>
      <c r="F35" s="506"/>
      <c r="G35" s="505">
        <f>C54</f>
        <v>45382</v>
      </c>
      <c r="I35" s="427">
        <f t="shared" si="6"/>
        <v>24</v>
      </c>
      <c r="J35" s="471"/>
      <c r="K35" s="472"/>
      <c r="L35" s="473" t="str">
        <f>IF($J35="","SPC 없음",VLOOKUP($J35&amp;"SPC명",개요!$A$3:$E$1932,3,0))</f>
        <v>SPC 없음</v>
      </c>
      <c r="M35" s="474" t="str">
        <f>IF($J35="","SPC 없음",VLOOKUP($J35&amp;"설정일",개요!$A$3:$E$1932,3,0))</f>
        <v>SPC 없음</v>
      </c>
      <c r="N35" s="475" t="str">
        <f t="shared" si="0"/>
        <v>SPC 없음</v>
      </c>
      <c r="O35" s="471"/>
      <c r="P35" s="476"/>
      <c r="Q35" s="477"/>
      <c r="R35" s="478"/>
      <c r="S35" s="479" t="str">
        <f t="shared" si="1"/>
        <v>SPC 없음</v>
      </c>
      <c r="T35" s="471"/>
      <c r="U35" s="471" t="s">
        <v>94</v>
      </c>
      <c r="V35" s="480">
        <f>IF(U35="한국 원화(KRW)",1,IF(OR(U35=환율!$A$6,U35=환율!$A$7),VLOOKUP(NAV!U35,환율!$A$6:$B$7,2,),IF(RIGHT(U35,5)="(100)",(VLOOKUP(NAV!U35,환율!$A$11:$B$65,2,))/100,VLOOKUP(NAV!U35,환율!$A$11:$B$65,2,))))</f>
        <v>1</v>
      </c>
      <c r="W35" s="481"/>
      <c r="X35" s="482">
        <f t="shared" si="2"/>
        <v>0</v>
      </c>
      <c r="Y35" s="481"/>
      <c r="Z35" s="481" t="s">
        <v>7215</v>
      </c>
      <c r="AA35" s="483">
        <f t="shared" si="5"/>
        <v>0</v>
      </c>
      <c r="AE35" s="484" t="str">
        <f t="shared" si="3"/>
        <v>SPC 없음</v>
      </c>
      <c r="AF35" s="484" t="str">
        <f t="shared" si="4"/>
        <v>SPC 없음</v>
      </c>
      <c r="AG35" s="485"/>
      <c r="AH35" s="485"/>
      <c r="AI35" s="404"/>
    </row>
    <row r="36" spans="1:35" ht="12.75" thickBot="1">
      <c r="D36" s="486" t="s">
        <v>248</v>
      </c>
      <c r="E36" s="487">
        <f>E32</f>
        <v>25871686234</v>
      </c>
      <c r="F36" s="507">
        <f>E36/G36-1</f>
        <v>-5.2074881722908972E-2</v>
      </c>
      <c r="G36" s="487">
        <v>27292964112</v>
      </c>
      <c r="I36" s="427">
        <f t="shared" si="6"/>
        <v>25</v>
      </c>
      <c r="J36" s="471"/>
      <c r="K36" s="472"/>
      <c r="L36" s="473" t="str">
        <f>IF($J36="","SPC 없음",VLOOKUP($J36&amp;"SPC명",개요!$A$3:$E$1932,3,0))</f>
        <v>SPC 없음</v>
      </c>
      <c r="M36" s="474" t="str">
        <f>IF($J36="","SPC 없음",VLOOKUP($J36&amp;"설정일",개요!$A$3:$E$1932,3,0))</f>
        <v>SPC 없음</v>
      </c>
      <c r="N36" s="475" t="str">
        <f t="shared" si="0"/>
        <v>SPC 없음</v>
      </c>
      <c r="O36" s="471"/>
      <c r="P36" s="476"/>
      <c r="Q36" s="477"/>
      <c r="R36" s="478"/>
      <c r="S36" s="479" t="str">
        <f t="shared" si="1"/>
        <v>SPC 없음</v>
      </c>
      <c r="T36" s="471"/>
      <c r="U36" s="471" t="s">
        <v>94</v>
      </c>
      <c r="V36" s="480">
        <f>IF(U36="한국 원화(KRW)",1,IF(OR(U36=환율!$A$6,U36=환율!$A$7),VLOOKUP(NAV!U36,환율!$A$6:$B$7,2,),IF(RIGHT(U36,5)="(100)",(VLOOKUP(NAV!U36,환율!$A$11:$B$65,2,))/100,VLOOKUP(NAV!U36,환율!$A$11:$B$65,2,))))</f>
        <v>1</v>
      </c>
      <c r="W36" s="481"/>
      <c r="X36" s="482">
        <f t="shared" si="2"/>
        <v>0</v>
      </c>
      <c r="Y36" s="481"/>
      <c r="Z36" s="481" t="s">
        <v>7215</v>
      </c>
      <c r="AA36" s="483">
        <f t="shared" si="5"/>
        <v>0</v>
      </c>
      <c r="AE36" s="484" t="str">
        <f t="shared" si="3"/>
        <v>SPC 없음</v>
      </c>
      <c r="AF36" s="484" t="str">
        <f t="shared" si="4"/>
        <v>SPC 없음</v>
      </c>
      <c r="AG36" s="485"/>
      <c r="AH36" s="485"/>
      <c r="AI36" s="404"/>
    </row>
    <row r="37" spans="1:35" ht="12.75" thickBot="1">
      <c r="A37" s="489"/>
      <c r="B37" s="415"/>
      <c r="D37" s="486" t="s">
        <v>249</v>
      </c>
      <c r="E37" s="487">
        <f>개요!$C$17</f>
        <v>10500000000</v>
      </c>
      <c r="G37" s="487">
        <v>10500000000</v>
      </c>
      <c r="I37" s="427">
        <f t="shared" si="6"/>
        <v>26</v>
      </c>
      <c r="J37" s="471"/>
      <c r="K37" s="472"/>
      <c r="L37" s="473" t="str">
        <f>IF($J37="","SPC 없음",VLOOKUP($J37&amp;"SPC명",개요!$A$3:$E$1932,3,0))</f>
        <v>SPC 없음</v>
      </c>
      <c r="M37" s="474" t="str">
        <f>IF($J37="","SPC 없음",VLOOKUP($J37&amp;"설정일",개요!$A$3:$E$1932,3,0))</f>
        <v>SPC 없음</v>
      </c>
      <c r="N37" s="475" t="str">
        <f t="shared" si="0"/>
        <v>SPC 없음</v>
      </c>
      <c r="O37" s="471"/>
      <c r="P37" s="476"/>
      <c r="Q37" s="477"/>
      <c r="R37" s="478"/>
      <c r="S37" s="479" t="str">
        <f t="shared" si="1"/>
        <v>SPC 없음</v>
      </c>
      <c r="T37" s="471"/>
      <c r="U37" s="471" t="s">
        <v>94</v>
      </c>
      <c r="V37" s="480">
        <f>IF(U37="한국 원화(KRW)",1,IF(OR(U37=환율!$A$6,U37=환율!$A$7),VLOOKUP(NAV!U37,환율!$A$6:$B$7,2,),IF(RIGHT(U37,5)="(100)",(VLOOKUP(NAV!U37,환율!$A$11:$B$65,2,))/100,VLOOKUP(NAV!U37,환율!$A$11:$B$65,2,))))</f>
        <v>1</v>
      </c>
      <c r="W37" s="481"/>
      <c r="X37" s="482">
        <f t="shared" si="2"/>
        <v>0</v>
      </c>
      <c r="Y37" s="481"/>
      <c r="Z37" s="481" t="s">
        <v>7215</v>
      </c>
      <c r="AA37" s="483">
        <f t="shared" si="5"/>
        <v>0</v>
      </c>
      <c r="AE37" s="484" t="str">
        <f t="shared" si="3"/>
        <v>SPC 없음</v>
      </c>
      <c r="AF37" s="484" t="str">
        <f t="shared" si="4"/>
        <v>SPC 없음</v>
      </c>
      <c r="AG37" s="485"/>
      <c r="AH37" s="485"/>
      <c r="AI37" s="404"/>
    </row>
    <row r="38" spans="1:35" ht="12.75" thickBot="1">
      <c r="A38" s="489"/>
      <c r="B38" s="415"/>
      <c r="D38" s="486" t="s">
        <v>250</v>
      </c>
      <c r="E38" s="487">
        <f>개요!$C$16</f>
        <v>1</v>
      </c>
      <c r="F38" s="506"/>
      <c r="G38" s="487">
        <v>1</v>
      </c>
      <c r="I38" s="427">
        <f t="shared" si="6"/>
        <v>27</v>
      </c>
      <c r="J38" s="471"/>
      <c r="K38" s="472"/>
      <c r="L38" s="473" t="str">
        <f>IF($J38="","SPC 없음",VLOOKUP($J38&amp;"SPC명",개요!$A$3:$E$1932,3,0))</f>
        <v>SPC 없음</v>
      </c>
      <c r="M38" s="474" t="str">
        <f>IF($J38="","SPC 없음",VLOOKUP($J38&amp;"설정일",개요!$A$3:$E$1932,3,0))</f>
        <v>SPC 없음</v>
      </c>
      <c r="N38" s="475" t="str">
        <f t="shared" si="0"/>
        <v>SPC 없음</v>
      </c>
      <c r="O38" s="471"/>
      <c r="P38" s="476"/>
      <c r="Q38" s="477"/>
      <c r="R38" s="478"/>
      <c r="S38" s="479" t="str">
        <f t="shared" si="1"/>
        <v>SPC 없음</v>
      </c>
      <c r="T38" s="471"/>
      <c r="U38" s="471" t="s">
        <v>94</v>
      </c>
      <c r="V38" s="480">
        <f>IF(U38="한국 원화(KRW)",1,IF(OR(U38=환율!$A$6,U38=환율!$A$7),VLOOKUP(NAV!U38,환율!$A$6:$B$7,2,),IF(RIGHT(U38,5)="(100)",(VLOOKUP(NAV!U38,환율!$A$11:$B$65,2,))/100,VLOOKUP(NAV!U38,환율!$A$11:$B$65,2,))))</f>
        <v>1</v>
      </c>
      <c r="W38" s="481"/>
      <c r="X38" s="482">
        <f t="shared" si="2"/>
        <v>0</v>
      </c>
      <c r="Y38" s="481"/>
      <c r="Z38" s="481" t="s">
        <v>7215</v>
      </c>
      <c r="AA38" s="483">
        <f t="shared" si="5"/>
        <v>0</v>
      </c>
      <c r="AE38" s="484" t="str">
        <f t="shared" si="3"/>
        <v>SPC 없음</v>
      </c>
      <c r="AF38" s="484" t="str">
        <f t="shared" si="4"/>
        <v>SPC 없음</v>
      </c>
      <c r="AG38" s="485"/>
      <c r="AH38" s="485"/>
      <c r="AI38" s="404"/>
    </row>
    <row r="39" spans="1:35" ht="12.75" thickBot="1">
      <c r="A39" s="489"/>
      <c r="B39" s="415"/>
      <c r="C39" s="502" t="str">
        <f>IF(D26=(E37*E38),"자본금과 일치","자본금과 출자금 확인필요")</f>
        <v>자본금과 일치</v>
      </c>
      <c r="D39" s="508" t="s">
        <v>251</v>
      </c>
      <c r="E39" s="509">
        <f>E36/E37</f>
        <v>2.4639701175238096</v>
      </c>
      <c r="F39" s="507">
        <f>E39/G39-1</f>
        <v>-5.2074881722909083E-2</v>
      </c>
      <c r="G39" s="509">
        <v>2.5993299154285716</v>
      </c>
      <c r="I39" s="427">
        <f t="shared" si="6"/>
        <v>28</v>
      </c>
      <c r="J39" s="471"/>
      <c r="K39" s="472"/>
      <c r="L39" s="473" t="str">
        <f>IF($J39="","SPC 없음",VLOOKUP($J39&amp;"SPC명",개요!$A$3:$E$1932,3,0))</f>
        <v>SPC 없음</v>
      </c>
      <c r="M39" s="474" t="str">
        <f>IF($J39="","SPC 없음",VLOOKUP($J39&amp;"설정일",개요!$A$3:$E$1932,3,0))</f>
        <v>SPC 없음</v>
      </c>
      <c r="N39" s="475" t="str">
        <f t="shared" si="0"/>
        <v>SPC 없음</v>
      </c>
      <c r="O39" s="471"/>
      <c r="P39" s="476"/>
      <c r="Q39" s="477"/>
      <c r="R39" s="478"/>
      <c r="S39" s="479" t="str">
        <f t="shared" si="1"/>
        <v>SPC 없음</v>
      </c>
      <c r="T39" s="471"/>
      <c r="U39" s="471" t="s">
        <v>94</v>
      </c>
      <c r="V39" s="480">
        <f>IF(U39="한국 원화(KRW)",1,IF(OR(U39=환율!$A$6,U39=환율!$A$7),VLOOKUP(NAV!U39,환율!$A$6:$B$7,2,),IF(RIGHT(U39,5)="(100)",(VLOOKUP(NAV!U39,환율!$A$11:$B$65,2,))/100,VLOOKUP(NAV!U39,환율!$A$11:$B$65,2,))))</f>
        <v>1</v>
      </c>
      <c r="W39" s="481"/>
      <c r="X39" s="482">
        <f t="shared" si="2"/>
        <v>0</v>
      </c>
      <c r="Y39" s="481"/>
      <c r="Z39" s="481" t="s">
        <v>7215</v>
      </c>
      <c r="AA39" s="483">
        <f t="shared" si="5"/>
        <v>0</v>
      </c>
      <c r="AE39" s="484" t="str">
        <f t="shared" si="3"/>
        <v>SPC 없음</v>
      </c>
      <c r="AF39" s="484" t="str">
        <f t="shared" si="4"/>
        <v>SPC 없음</v>
      </c>
      <c r="AG39" s="485"/>
      <c r="AH39" s="485"/>
      <c r="AI39" s="404"/>
    </row>
    <row r="40" spans="1:35" ht="13.5" customHeight="1" thickBot="1">
      <c r="C40" s="804" t="s">
        <v>3606</v>
      </c>
      <c r="D40" s="510" t="s">
        <v>3447</v>
      </c>
      <c r="E40" s="511"/>
      <c r="F40" s="507" t="e">
        <f>E40/G40-1</f>
        <v>#DIV/0!</v>
      </c>
      <c r="G40" s="512"/>
      <c r="I40" s="427">
        <f t="shared" si="6"/>
        <v>29</v>
      </c>
      <c r="J40" s="471"/>
      <c r="K40" s="472"/>
      <c r="L40" s="473" t="str">
        <f>IF($J40="","SPC 없음",VLOOKUP($J40&amp;"SPC명",개요!$A$3:$E$1932,3,0))</f>
        <v>SPC 없음</v>
      </c>
      <c r="M40" s="474" t="str">
        <f>IF($J40="","SPC 없음",VLOOKUP($J40&amp;"설정일",개요!$A$3:$E$1932,3,0))</f>
        <v>SPC 없음</v>
      </c>
      <c r="N40" s="475" t="str">
        <f t="shared" si="0"/>
        <v>SPC 없음</v>
      </c>
      <c r="O40" s="471"/>
      <c r="P40" s="476"/>
      <c r="Q40" s="477"/>
      <c r="R40" s="478"/>
      <c r="S40" s="479" t="str">
        <f t="shared" si="1"/>
        <v>SPC 없음</v>
      </c>
      <c r="T40" s="471"/>
      <c r="U40" s="471" t="s">
        <v>94</v>
      </c>
      <c r="V40" s="480">
        <f>IF(U40="한국 원화(KRW)",1,IF(OR(U40=환율!$A$6,U40=환율!$A$7),VLOOKUP(NAV!U40,환율!$A$6:$B$7,2,),IF(RIGHT(U40,5)="(100)",(VLOOKUP(NAV!U40,환율!$A$11:$B$65,2,))/100,VLOOKUP(NAV!U40,환율!$A$11:$B$65,2,))))</f>
        <v>1</v>
      </c>
      <c r="W40" s="481"/>
      <c r="X40" s="482">
        <f t="shared" si="2"/>
        <v>0</v>
      </c>
      <c r="Y40" s="481"/>
      <c r="Z40" s="481" t="s">
        <v>7215</v>
      </c>
      <c r="AA40" s="483">
        <f t="shared" si="5"/>
        <v>0</v>
      </c>
      <c r="AE40" s="484" t="str">
        <f t="shared" si="3"/>
        <v>SPC 없음</v>
      </c>
      <c r="AF40" s="484" t="str">
        <f t="shared" si="4"/>
        <v>SPC 없음</v>
      </c>
      <c r="AG40" s="485"/>
      <c r="AH40" s="485"/>
      <c r="AI40" s="404"/>
    </row>
    <row r="41" spans="1:35">
      <c r="A41" s="415"/>
      <c r="B41" s="415"/>
      <c r="C41" s="805"/>
      <c r="D41" s="513" t="s">
        <v>3450</v>
      </c>
      <c r="E41" s="514">
        <f>개요!J12</f>
        <v>2.2156856236637315</v>
      </c>
      <c r="F41" s="507">
        <f>E41/G41-1</f>
        <v>-4.4915169595841631E-2</v>
      </c>
      <c r="G41" s="515">
        <v>2.3198835884830578</v>
      </c>
      <c r="I41" s="516"/>
      <c r="J41" s="428" t="s">
        <v>276</v>
      </c>
      <c r="K41" s="415"/>
      <c r="L41" s="305"/>
      <c r="M41" s="415"/>
      <c r="N41" s="415"/>
      <c r="O41" s="415"/>
      <c r="P41" s="415"/>
      <c r="Q41" s="422"/>
      <c r="R41" s="415"/>
      <c r="S41" s="415"/>
      <c r="T41" s="415"/>
      <c r="U41" s="415"/>
      <c r="W41" s="517" t="b">
        <f>SUM(W12:W40)+SUM(W43:W193)=D15</f>
        <v>1</v>
      </c>
      <c r="X41" s="415"/>
      <c r="Y41" s="422"/>
      <c r="Z41" s="422"/>
      <c r="AA41" s="459" t="str">
        <f>IF(OR(MAX(AA12:AA40,AA43:AA192)&gt;0.2,MIN(AA12:AA40,AA43:AA192)&lt;-0.2),"특이사항 확인","특이사항 없음")</f>
        <v>특이사항 없음</v>
      </c>
      <c r="AB41" s="415"/>
      <c r="AF41" s="415"/>
      <c r="AG41" s="415"/>
      <c r="AI41" s="404"/>
    </row>
    <row r="42" spans="1:35" ht="12.75" thickBot="1">
      <c r="A42" s="415"/>
      <c r="B42" s="415"/>
      <c r="I42" s="518">
        <f>COUNTA(J43:J192)</f>
        <v>1</v>
      </c>
      <c r="J42" s="464" t="s">
        <v>265</v>
      </c>
      <c r="K42" s="464" t="s">
        <v>0</v>
      </c>
      <c r="L42" s="464" t="s">
        <v>82</v>
      </c>
      <c r="M42" s="464" t="s">
        <v>83</v>
      </c>
      <c r="N42" s="464" t="s">
        <v>84</v>
      </c>
      <c r="O42" s="464" t="s">
        <v>266</v>
      </c>
      <c r="P42" s="464" t="s">
        <v>85</v>
      </c>
      <c r="Q42" s="519" t="s">
        <v>14</v>
      </c>
      <c r="R42" s="466" t="s">
        <v>299</v>
      </c>
      <c r="S42" s="466" t="s">
        <v>3525</v>
      </c>
      <c r="T42" s="464" t="s">
        <v>12</v>
      </c>
      <c r="U42" s="464" t="s">
        <v>72</v>
      </c>
      <c r="V42" s="464" t="s">
        <v>267</v>
      </c>
      <c r="W42" s="519" t="s">
        <v>268</v>
      </c>
      <c r="X42" s="464" t="s">
        <v>269</v>
      </c>
      <c r="Y42" s="519" t="s">
        <v>300</v>
      </c>
      <c r="Z42" s="519" t="s">
        <v>3524</v>
      </c>
      <c r="AA42" s="464" t="s">
        <v>13</v>
      </c>
      <c r="AB42" s="464" t="s">
        <v>15</v>
      </c>
      <c r="AC42" s="464" t="s">
        <v>40</v>
      </c>
      <c r="AD42" s="520"/>
      <c r="AE42" s="467" t="s">
        <v>3634</v>
      </c>
      <c r="AF42" s="467" t="s">
        <v>3633</v>
      </c>
      <c r="AG42" s="467" t="s">
        <v>3631</v>
      </c>
      <c r="AH42" s="467" t="s">
        <v>3632</v>
      </c>
      <c r="AI42" s="404"/>
    </row>
    <row r="43" spans="1:35" ht="12.75" thickBot="1">
      <c r="A43" s="415"/>
      <c r="B43" s="415"/>
      <c r="C43" s="521" t="s">
        <v>293</v>
      </c>
      <c r="I43" s="522">
        <v>1</v>
      </c>
      <c r="J43" s="523" t="s">
        <v>7182</v>
      </c>
      <c r="K43" s="472">
        <v>1701110075540</v>
      </c>
      <c r="L43" s="523" t="s">
        <v>7183</v>
      </c>
      <c r="M43" s="476" t="s">
        <v>7213</v>
      </c>
      <c r="N43" s="476" t="s">
        <v>41</v>
      </c>
      <c r="O43" s="523">
        <v>0</v>
      </c>
      <c r="P43" s="476" t="s">
        <v>7212</v>
      </c>
      <c r="Q43" s="524">
        <v>909090</v>
      </c>
      <c r="R43" s="478">
        <f>IFERROR(INDEX(기초자산!M$6:M$408,MATCH(K43&amp;N43&amp;O43,기초자산!$A$6:$A$408,0),0),0)</f>
        <v>28558</v>
      </c>
      <c r="S43" s="479">
        <f>IFERROR(IF(T43="취득원가 준용",Y43,IF(T43="장부가액 준용",W43,IF(P43="주당",R43*Q43*V43,IF(RIGHT(U43,5)="(100)",Y43/1000*R43*V43,Y43/10000*R43*V43)))),0)</f>
        <v>25961792220</v>
      </c>
      <c r="T43" s="476" t="s">
        <v>7184</v>
      </c>
      <c r="U43" s="471" t="s">
        <v>94</v>
      </c>
      <c r="V43" s="480">
        <f>IF(U43="한국 원화(KRW)",1,IF(OR(U43=환율!$A$6,U43=환율!$A$7),VLOOKUP(NAV!U43,환율!$A$6:$B$7,2,),IF(RIGHT(U43,5)="(100)",(VLOOKUP(NAV!U43,환율!$A$11:$B$65,2,))/100,VLOOKUP(NAV!U43,환율!$A$11:$B$65,2,))))</f>
        <v>1</v>
      </c>
      <c r="W43" s="524">
        <v>9999990000</v>
      </c>
      <c r="X43" s="482">
        <f>IFERROR(IF(P43="만원당",10000,Y43/Q43),0)</f>
        <v>11000</v>
      </c>
      <c r="Y43" s="524">
        <v>9999990000</v>
      </c>
      <c r="Z43" s="524">
        <v>27328154490</v>
      </c>
      <c r="AA43" s="483">
        <f t="shared" ref="AA43:AA106" si="7">IFERROR(IF(Z43="",S43/W43-1,S43/Z43-1),0)</f>
        <v>-4.9998336715345482E-2</v>
      </c>
      <c r="AB43" s="773">
        <v>44390</v>
      </c>
      <c r="AC43" s="526" t="str">
        <f>IF(($C$7-AB43)/365&gt;2,"2년이상","2년미만")</f>
        <v>2년이상</v>
      </c>
      <c r="AD43" s="520" t="str">
        <f>IF(OR(AA43&gt;20%,AA43&lt;-20%),"(1) Note 기재","")</f>
        <v/>
      </c>
      <c r="AE43" s="527">
        <f>IF(OR(T43="MTP",T43="과거거래 이용법",T43="취득원가 준용",T43="장부가액 준용",T43="상장종가 적용"),S43,IF(P43="주당",AG43*Q43*V43,Y43/10000*AG43*V43))</f>
        <v>30507242220</v>
      </c>
      <c r="AF43" s="527">
        <f>IF(OR(T43="MTP",T43="과거거래 이용법",T43="취득원가 준용",T43="장부가액 준용",T43="상장종가 적용"),S43,IF(P43="주당",AH43*Q43*V43,Y43/10000*AH43*V43))</f>
        <v>22779068130</v>
      </c>
      <c r="AG43" s="485">
        <v>33558</v>
      </c>
      <c r="AH43" s="485">
        <v>25057</v>
      </c>
      <c r="AI43" s="404"/>
    </row>
    <row r="44" spans="1:35" ht="12.75" thickBot="1">
      <c r="A44" s="415"/>
      <c r="B44" s="415"/>
      <c r="C44" s="504" t="s">
        <v>8</v>
      </c>
      <c r="D44" s="504" t="s">
        <v>285</v>
      </c>
      <c r="E44" s="504" t="s">
        <v>286</v>
      </c>
      <c r="I44" s="522">
        <v>2</v>
      </c>
      <c r="J44" s="523"/>
      <c r="K44" s="472"/>
      <c r="L44" s="523"/>
      <c r="M44" s="476"/>
      <c r="N44" s="476"/>
      <c r="O44" s="523"/>
      <c r="P44" s="476"/>
      <c r="Q44" s="524"/>
      <c r="R44" s="478">
        <f>IFERROR(INDEX(기초자산!M$6:M$408,MATCH(K44&amp;N44&amp;O44,기초자산!$A$6:$A$408,0),0),0)</f>
        <v>0</v>
      </c>
      <c r="S44" s="479">
        <f t="shared" ref="S44:S107" si="8">IFERROR(IF(T44="취득원가 준용",Y44,IF(T44="장부가액 준용",W44,IF(P44="주당",R44*Q44*V44,IF(RIGHT(U44,5)="(100)",Y44/1000*R44*V44,Y44/10000*R44*V44)))),0)</f>
        <v>0</v>
      </c>
      <c r="T44" s="476"/>
      <c r="U44" s="471" t="s">
        <v>94</v>
      </c>
      <c r="V44" s="480">
        <f>IF(U44="한국 원화(KRW)",1,IF(OR(U44=환율!$A$6,U44=환율!$A$7),VLOOKUP(NAV!U44,환율!$A$6:$B$7,2,),IF(RIGHT(U44,5)="(100)",(VLOOKUP(NAV!U44,환율!$A$11:$B$65,2,))/100,VLOOKUP(NAV!U44,환율!$A$11:$B$65,2,))))</f>
        <v>1</v>
      </c>
      <c r="W44" s="524"/>
      <c r="X44" s="482">
        <f t="shared" ref="X44:X107" si="9">IFERROR(IF(P44="만원당",10000,Y44/Q44),0)</f>
        <v>0</v>
      </c>
      <c r="Y44" s="524"/>
      <c r="Z44" s="524">
        <v>0</v>
      </c>
      <c r="AA44" s="483">
        <f t="shared" si="7"/>
        <v>0</v>
      </c>
      <c r="AB44" s="525"/>
      <c r="AC44" s="526" t="str">
        <f t="shared" ref="AC44:AC107" si="10">IF(($C$7-AB44)/365&gt;2,"2년이상","2년미만")</f>
        <v>2년이상</v>
      </c>
      <c r="AD44" s="520" t="str">
        <f t="shared" ref="AD44:AD107" si="11">IF(OR(AA44&gt;20%,AA44&lt;-20%),"(1) Note 기재","")</f>
        <v/>
      </c>
      <c r="AE44" s="527">
        <f t="shared" ref="AE44:AE72" si="12">IF(OR(T44="MTP",T44="과거거래 이용법",T44="취득원가 준용",T44="장부가액 준용",T44="상장종가 적용"),S44,IF(P44="주당",AG44*Q44*V44,Y44/10000*AG44*V44))</f>
        <v>0</v>
      </c>
      <c r="AF44" s="527">
        <f t="shared" ref="AF44:AF72" si="13">IF(OR(T44="MTP",T44="과거거래 이용법",T44="취득원가 준용",T44="장부가액 준용",T44="상장종가 적용"),S44,IF(P44="주당",AH44*Q44*V44,Y44/10000*AH44*V44))</f>
        <v>0</v>
      </c>
      <c r="AG44" s="485"/>
      <c r="AH44" s="485"/>
      <c r="AI44" s="404"/>
    </row>
    <row r="45" spans="1:35" ht="12.75" thickBot="1">
      <c r="A45" s="415"/>
      <c r="B45" s="415"/>
      <c r="C45" s="528" t="s">
        <v>79</v>
      </c>
      <c r="D45" s="529">
        <f>$E$12+SUM(AE12:AE40)+SUM(AE43:AE193)-$E$25</f>
        <v>30417136234</v>
      </c>
      <c r="E45" s="529">
        <f>$E$12+SUM(AF12:AF40)+SUM(AF43:AF193)-$E$25</f>
        <v>22688962144</v>
      </c>
      <c r="I45" s="522">
        <v>3</v>
      </c>
      <c r="J45" s="523"/>
      <c r="K45" s="472"/>
      <c r="L45" s="523"/>
      <c r="M45" s="476"/>
      <c r="N45" s="476"/>
      <c r="O45" s="523"/>
      <c r="P45" s="476"/>
      <c r="Q45" s="524"/>
      <c r="R45" s="478">
        <f>IFERROR(INDEX(기초자산!M$6:M$408,MATCH(K45&amp;N45&amp;O45,기초자산!$A$6:$A$408,0),0),0)</f>
        <v>0</v>
      </c>
      <c r="S45" s="479">
        <f t="shared" si="8"/>
        <v>0</v>
      </c>
      <c r="T45" s="476"/>
      <c r="U45" s="471" t="s">
        <v>94</v>
      </c>
      <c r="V45" s="480">
        <f>IF(U45="한국 원화(KRW)",1,IF(OR(U45=환율!$A$6,U45=환율!$A$7),VLOOKUP(NAV!U45,환율!$A$6:$B$7,2,),IF(RIGHT(U45,5)="(100)",(VLOOKUP(NAV!U45,환율!$A$11:$B$65,2,))/100,VLOOKUP(NAV!U45,환율!$A$11:$B$65,2,))))</f>
        <v>1</v>
      </c>
      <c r="W45" s="524"/>
      <c r="X45" s="482">
        <f t="shared" si="9"/>
        <v>0</v>
      </c>
      <c r="Y45" s="524"/>
      <c r="Z45" s="524">
        <v>0</v>
      </c>
      <c r="AA45" s="483">
        <f t="shared" si="7"/>
        <v>0</v>
      </c>
      <c r="AB45" s="525"/>
      <c r="AC45" s="526" t="str">
        <f t="shared" si="10"/>
        <v>2년이상</v>
      </c>
      <c r="AD45" s="520" t="str">
        <f t="shared" si="11"/>
        <v/>
      </c>
      <c r="AE45" s="527">
        <f t="shared" si="12"/>
        <v>0</v>
      </c>
      <c r="AF45" s="527">
        <f t="shared" si="13"/>
        <v>0</v>
      </c>
      <c r="AG45" s="485"/>
      <c r="AH45" s="485"/>
      <c r="AI45" s="404"/>
    </row>
    <row r="46" spans="1:35" ht="12.75" thickBot="1">
      <c r="A46" s="415"/>
      <c r="B46" s="415"/>
      <c r="C46" s="528" t="s">
        <v>249</v>
      </c>
      <c r="D46" s="529">
        <f>$E$37</f>
        <v>10500000000</v>
      </c>
      <c r="E46" s="529">
        <f>$E$37</f>
        <v>10500000000</v>
      </c>
      <c r="I46" s="522">
        <v>4</v>
      </c>
      <c r="J46" s="523"/>
      <c r="K46" s="472"/>
      <c r="L46" s="523"/>
      <c r="M46" s="476"/>
      <c r="N46" s="476"/>
      <c r="O46" s="523"/>
      <c r="P46" s="476"/>
      <c r="Q46" s="524"/>
      <c r="R46" s="478">
        <f>IFERROR(INDEX(기초자산!M$6:M$408,MATCH(K46&amp;N46&amp;O46,기초자산!$A$6:$A$408,0),0),0)</f>
        <v>0</v>
      </c>
      <c r="S46" s="479">
        <f t="shared" si="8"/>
        <v>0</v>
      </c>
      <c r="T46" s="476"/>
      <c r="U46" s="471" t="s">
        <v>94</v>
      </c>
      <c r="V46" s="480">
        <f>IF(U46="한국 원화(KRW)",1,IF(OR(U46=환율!$A$6,U46=환율!$A$7),VLOOKUP(NAV!U46,환율!$A$6:$B$7,2,),IF(RIGHT(U46,5)="(100)",(VLOOKUP(NAV!U46,환율!$A$11:$B$65,2,))/100,VLOOKUP(NAV!U46,환율!$A$11:$B$65,2,))))</f>
        <v>1</v>
      </c>
      <c r="W46" s="524"/>
      <c r="X46" s="482">
        <f t="shared" si="9"/>
        <v>0</v>
      </c>
      <c r="Y46" s="524"/>
      <c r="Z46" s="524">
        <v>0</v>
      </c>
      <c r="AA46" s="483">
        <f t="shared" si="7"/>
        <v>0</v>
      </c>
      <c r="AB46" s="525"/>
      <c r="AC46" s="526" t="str">
        <f t="shared" si="10"/>
        <v>2년이상</v>
      </c>
      <c r="AD46" s="520" t="str">
        <f t="shared" si="11"/>
        <v/>
      </c>
      <c r="AE46" s="527">
        <f t="shared" si="12"/>
        <v>0</v>
      </c>
      <c r="AF46" s="527">
        <f t="shared" si="13"/>
        <v>0</v>
      </c>
      <c r="AG46" s="485"/>
      <c r="AH46" s="485"/>
      <c r="AI46" s="404"/>
    </row>
    <row r="47" spans="1:35" ht="12.75" thickBot="1">
      <c r="A47" s="415"/>
      <c r="B47" s="415"/>
      <c r="C47" s="528" t="s">
        <v>270</v>
      </c>
      <c r="D47" s="529">
        <f>$E$38</f>
        <v>1</v>
      </c>
      <c r="E47" s="529">
        <f>$E$38</f>
        <v>1</v>
      </c>
      <c r="I47" s="522">
        <v>5</v>
      </c>
      <c r="J47" s="523"/>
      <c r="K47" s="472"/>
      <c r="L47" s="523"/>
      <c r="M47" s="476"/>
      <c r="N47" s="476"/>
      <c r="O47" s="523"/>
      <c r="P47" s="476"/>
      <c r="Q47" s="524"/>
      <c r="R47" s="478">
        <f>IFERROR(INDEX(기초자산!M$6:M$408,MATCH(K47&amp;N47&amp;O47,기초자산!$A$6:$A$408,0),0),0)</f>
        <v>0</v>
      </c>
      <c r="S47" s="479">
        <f t="shared" si="8"/>
        <v>0</v>
      </c>
      <c r="T47" s="476"/>
      <c r="U47" s="471" t="s">
        <v>94</v>
      </c>
      <c r="V47" s="480">
        <f>IF(U47="한국 원화(KRW)",1,IF(OR(U47=환율!$A$6,U47=환율!$A$7),VLOOKUP(NAV!U47,환율!$A$6:$B$7,2,),IF(RIGHT(U47,5)="(100)",(VLOOKUP(NAV!U47,환율!$A$11:$B$65,2,))/100,VLOOKUP(NAV!U47,환율!$A$11:$B$65,2,))))</f>
        <v>1</v>
      </c>
      <c r="W47" s="524"/>
      <c r="X47" s="482">
        <f t="shared" si="9"/>
        <v>0</v>
      </c>
      <c r="Y47" s="524"/>
      <c r="Z47" s="524">
        <v>0</v>
      </c>
      <c r="AA47" s="483">
        <f t="shared" si="7"/>
        <v>0</v>
      </c>
      <c r="AB47" s="525"/>
      <c r="AC47" s="526" t="str">
        <f t="shared" si="10"/>
        <v>2년이상</v>
      </c>
      <c r="AD47" s="520" t="str">
        <f t="shared" si="11"/>
        <v/>
      </c>
      <c r="AE47" s="527">
        <f t="shared" si="12"/>
        <v>0</v>
      </c>
      <c r="AF47" s="527">
        <f t="shared" si="13"/>
        <v>0</v>
      </c>
      <c r="AG47" s="485"/>
      <c r="AH47" s="485"/>
      <c r="AI47" s="404"/>
    </row>
    <row r="48" spans="1:35" ht="12.75" thickBot="1">
      <c r="A48" s="415"/>
      <c r="B48" s="415"/>
      <c r="C48" s="528" t="s">
        <v>271</v>
      </c>
      <c r="D48" s="530">
        <f>D45/D46</f>
        <v>2.8968701175238096</v>
      </c>
      <c r="E48" s="530">
        <f>E45/E46</f>
        <v>2.1608535375238094</v>
      </c>
      <c r="I48" s="522">
        <v>6</v>
      </c>
      <c r="J48" s="523"/>
      <c r="K48" s="472"/>
      <c r="L48" s="523"/>
      <c r="M48" s="476"/>
      <c r="N48" s="476"/>
      <c r="O48" s="523"/>
      <c r="P48" s="476"/>
      <c r="Q48" s="524"/>
      <c r="R48" s="478">
        <f>IFERROR(INDEX(기초자산!M$6:M$408,MATCH(K48&amp;N48&amp;O48,기초자산!$A$6:$A$408,0),0),0)</f>
        <v>0</v>
      </c>
      <c r="S48" s="479">
        <f t="shared" si="8"/>
        <v>0</v>
      </c>
      <c r="T48" s="476"/>
      <c r="U48" s="471" t="s">
        <v>94</v>
      </c>
      <c r="V48" s="480">
        <f>IF(U48="한국 원화(KRW)",1,IF(OR(U48=환율!$A$6,U48=환율!$A$7),VLOOKUP(NAV!U48,환율!$A$6:$B$7,2,),IF(RIGHT(U48,5)="(100)",(VLOOKUP(NAV!U48,환율!$A$11:$B$65,2,))/100,VLOOKUP(NAV!U48,환율!$A$11:$B$65,2,))))</f>
        <v>1</v>
      </c>
      <c r="W48" s="524"/>
      <c r="X48" s="482">
        <f t="shared" si="9"/>
        <v>0</v>
      </c>
      <c r="Y48" s="524"/>
      <c r="Z48" s="524">
        <v>0</v>
      </c>
      <c r="AA48" s="483">
        <f t="shared" si="7"/>
        <v>0</v>
      </c>
      <c r="AB48" s="525"/>
      <c r="AC48" s="526" t="str">
        <f t="shared" si="10"/>
        <v>2년이상</v>
      </c>
      <c r="AD48" s="520" t="str">
        <f t="shared" si="11"/>
        <v/>
      </c>
      <c r="AE48" s="527">
        <f t="shared" si="12"/>
        <v>0</v>
      </c>
      <c r="AF48" s="527">
        <f t="shared" si="13"/>
        <v>0</v>
      </c>
      <c r="AG48" s="485"/>
      <c r="AH48" s="485"/>
      <c r="AI48" s="404"/>
    </row>
    <row r="49" spans="1:35" ht="12.75" thickBot="1">
      <c r="A49" s="415"/>
      <c r="B49" s="415"/>
      <c r="C49" s="528" t="s">
        <v>3458</v>
      </c>
      <c r="D49" s="531"/>
      <c r="E49" s="531"/>
      <c r="I49" s="522">
        <v>7</v>
      </c>
      <c r="J49" s="523"/>
      <c r="K49" s="472"/>
      <c r="L49" s="523"/>
      <c r="M49" s="476"/>
      <c r="N49" s="476"/>
      <c r="O49" s="523"/>
      <c r="P49" s="476"/>
      <c r="Q49" s="524"/>
      <c r="R49" s="478">
        <f>IFERROR(INDEX(기초자산!M$6:M$408,MATCH(K49&amp;N49&amp;O49,기초자산!$A$6:$A$408,0),0),0)</f>
        <v>0</v>
      </c>
      <c r="S49" s="479">
        <f t="shared" si="8"/>
        <v>0</v>
      </c>
      <c r="T49" s="476"/>
      <c r="U49" s="471" t="s">
        <v>94</v>
      </c>
      <c r="V49" s="480">
        <f>IF(U49="한국 원화(KRW)",1,IF(OR(U49=환율!$A$6,U49=환율!$A$7),VLOOKUP(NAV!U49,환율!$A$6:$B$7,2,),IF(RIGHT(U49,5)="(100)",(VLOOKUP(NAV!U49,환율!$A$11:$B$65,2,))/100,VLOOKUP(NAV!U49,환율!$A$11:$B$65,2,))))</f>
        <v>1</v>
      </c>
      <c r="W49" s="524"/>
      <c r="X49" s="482">
        <f t="shared" si="9"/>
        <v>0</v>
      </c>
      <c r="Y49" s="524"/>
      <c r="Z49" s="524">
        <v>0</v>
      </c>
      <c r="AA49" s="483">
        <f t="shared" si="7"/>
        <v>0</v>
      </c>
      <c r="AB49" s="525"/>
      <c r="AC49" s="526" t="str">
        <f t="shared" si="10"/>
        <v>2년이상</v>
      </c>
      <c r="AD49" s="520" t="str">
        <f t="shared" si="11"/>
        <v/>
      </c>
      <c r="AE49" s="527">
        <f t="shared" si="12"/>
        <v>0</v>
      </c>
      <c r="AF49" s="527">
        <f t="shared" si="13"/>
        <v>0</v>
      </c>
      <c r="AG49" s="485"/>
      <c r="AH49" s="485"/>
      <c r="AI49" s="404"/>
    </row>
    <row r="50" spans="1:35" ht="12.75" thickBot="1">
      <c r="A50" s="415"/>
      <c r="B50" s="415"/>
      <c r="C50" s="528" t="s">
        <v>3450</v>
      </c>
      <c r="D50" s="531"/>
      <c r="E50" s="766"/>
      <c r="I50" s="522">
        <v>8</v>
      </c>
      <c r="J50" s="523"/>
      <c r="K50" s="472"/>
      <c r="L50" s="523"/>
      <c r="M50" s="476"/>
      <c r="N50" s="476"/>
      <c r="O50" s="523"/>
      <c r="P50" s="476"/>
      <c r="Q50" s="524"/>
      <c r="R50" s="478">
        <f>IFERROR(INDEX(기초자산!M$6:M$408,MATCH(K50&amp;N50&amp;O50,기초자산!$A$6:$A$408,0),0),0)</f>
        <v>0</v>
      </c>
      <c r="S50" s="479">
        <f t="shared" si="8"/>
        <v>0</v>
      </c>
      <c r="T50" s="476"/>
      <c r="U50" s="471" t="s">
        <v>94</v>
      </c>
      <c r="V50" s="480">
        <f>IF(U50="한국 원화(KRW)",1,IF(OR(U50=환율!$A$6,U50=환율!$A$7),VLOOKUP(NAV!U50,환율!$A$6:$B$7,2,),IF(RIGHT(U50,5)="(100)",(VLOOKUP(NAV!U50,환율!$A$11:$B$65,2,))/100,VLOOKUP(NAV!U50,환율!$A$11:$B$65,2,))))</f>
        <v>1</v>
      </c>
      <c r="W50" s="524"/>
      <c r="X50" s="482">
        <f t="shared" si="9"/>
        <v>0</v>
      </c>
      <c r="Y50" s="524"/>
      <c r="Z50" s="524">
        <v>0</v>
      </c>
      <c r="AA50" s="483">
        <f t="shared" si="7"/>
        <v>0</v>
      </c>
      <c r="AB50" s="525"/>
      <c r="AC50" s="526" t="str">
        <f t="shared" si="10"/>
        <v>2년이상</v>
      </c>
      <c r="AD50" s="520" t="str">
        <f t="shared" si="11"/>
        <v/>
      </c>
      <c r="AE50" s="527">
        <f t="shared" si="12"/>
        <v>0</v>
      </c>
      <c r="AF50" s="527">
        <f t="shared" si="13"/>
        <v>0</v>
      </c>
      <c r="AG50" s="485"/>
      <c r="AH50" s="485"/>
      <c r="AI50" s="404"/>
    </row>
    <row r="51" spans="1:35" ht="12.75" thickBot="1">
      <c r="A51" s="415"/>
      <c r="B51" s="415"/>
      <c r="I51" s="522">
        <v>9</v>
      </c>
      <c r="J51" s="523"/>
      <c r="K51" s="472"/>
      <c r="L51" s="523"/>
      <c r="M51" s="476"/>
      <c r="N51" s="476"/>
      <c r="O51" s="523"/>
      <c r="P51" s="476"/>
      <c r="Q51" s="524"/>
      <c r="R51" s="478">
        <f>IFERROR(INDEX(기초자산!M$6:M$408,MATCH(K51&amp;N51&amp;O51,기초자산!$A$6:$A$408,0),0),0)</f>
        <v>0</v>
      </c>
      <c r="S51" s="479">
        <f t="shared" si="8"/>
        <v>0</v>
      </c>
      <c r="T51" s="476"/>
      <c r="U51" s="471" t="s">
        <v>94</v>
      </c>
      <c r="V51" s="480">
        <f>IF(U51="한국 원화(KRW)",1,IF(OR(U51=환율!$A$6,U51=환율!$A$7),VLOOKUP(NAV!U51,환율!$A$6:$B$7,2,),IF(RIGHT(U51,5)="(100)",(VLOOKUP(NAV!U51,환율!$A$11:$B$65,2,))/100,VLOOKUP(NAV!U51,환율!$A$11:$B$65,2,))))</f>
        <v>1</v>
      </c>
      <c r="W51" s="524"/>
      <c r="X51" s="482">
        <f t="shared" si="9"/>
        <v>0</v>
      </c>
      <c r="Y51" s="524"/>
      <c r="Z51" s="524">
        <v>0</v>
      </c>
      <c r="AA51" s="483">
        <f t="shared" si="7"/>
        <v>0</v>
      </c>
      <c r="AB51" s="525"/>
      <c r="AC51" s="526" t="str">
        <f t="shared" si="10"/>
        <v>2년이상</v>
      </c>
      <c r="AD51" s="520" t="str">
        <f t="shared" si="11"/>
        <v/>
      </c>
      <c r="AE51" s="527">
        <f t="shared" si="12"/>
        <v>0</v>
      </c>
      <c r="AF51" s="527">
        <f t="shared" si="13"/>
        <v>0</v>
      </c>
      <c r="AG51" s="485"/>
      <c r="AH51" s="485"/>
      <c r="AI51" s="404"/>
    </row>
    <row r="52" spans="1:35" ht="12.75" thickBot="1">
      <c r="A52" s="415"/>
      <c r="B52" s="415"/>
      <c r="C52" s="504" t="s">
        <v>348</v>
      </c>
      <c r="D52" s="504" t="s">
        <v>79</v>
      </c>
      <c r="E52" s="504" t="s">
        <v>237</v>
      </c>
      <c r="F52" s="504" t="s">
        <v>281</v>
      </c>
      <c r="I52" s="522">
        <v>10</v>
      </c>
      <c r="J52" s="523"/>
      <c r="K52" s="472"/>
      <c r="L52" s="523"/>
      <c r="M52" s="476"/>
      <c r="N52" s="476"/>
      <c r="O52" s="523"/>
      <c r="P52" s="476"/>
      <c r="Q52" s="524"/>
      <c r="R52" s="478">
        <f>IFERROR(INDEX(기초자산!M$6:M$408,MATCH(K52&amp;N52&amp;O52,기초자산!$A$6:$A$408,0),0),0)</f>
        <v>0</v>
      </c>
      <c r="S52" s="479">
        <f t="shared" si="8"/>
        <v>0</v>
      </c>
      <c r="T52" s="476"/>
      <c r="U52" s="471" t="s">
        <v>94</v>
      </c>
      <c r="V52" s="480">
        <f>IF(U52="한국 원화(KRW)",1,IF(OR(U52=환율!$A$6,U52=환율!$A$7),VLOOKUP(NAV!U52,환율!$A$6:$B$7,2,),IF(RIGHT(U52,5)="(100)",(VLOOKUP(NAV!U52,환율!$A$11:$B$65,2,))/100,VLOOKUP(NAV!U52,환율!$A$11:$B$65,2,))))</f>
        <v>1</v>
      </c>
      <c r="W52" s="524"/>
      <c r="X52" s="482">
        <f t="shared" si="9"/>
        <v>0</v>
      </c>
      <c r="Y52" s="524"/>
      <c r="Z52" s="524">
        <v>0</v>
      </c>
      <c r="AA52" s="483">
        <f t="shared" si="7"/>
        <v>0</v>
      </c>
      <c r="AB52" s="525"/>
      <c r="AC52" s="526" t="str">
        <f t="shared" si="10"/>
        <v>2년이상</v>
      </c>
      <c r="AD52" s="520" t="str">
        <f t="shared" si="11"/>
        <v/>
      </c>
      <c r="AE52" s="527">
        <f t="shared" si="12"/>
        <v>0</v>
      </c>
      <c r="AF52" s="527">
        <f t="shared" si="13"/>
        <v>0</v>
      </c>
      <c r="AG52" s="485"/>
      <c r="AH52" s="485"/>
      <c r="AI52" s="404"/>
    </row>
    <row r="53" spans="1:35" ht="12.75" thickBot="1">
      <c r="A53" s="415"/>
      <c r="B53" s="415"/>
      <c r="C53" s="532">
        <f>$C$2</f>
        <v>45473</v>
      </c>
      <c r="D53" s="533">
        <f>E32</f>
        <v>25871686234</v>
      </c>
      <c r="E53" s="530">
        <f>D2</f>
        <v>2.2156856236637315</v>
      </c>
      <c r="F53" s="534">
        <f>E53/E54-1</f>
        <v>-4.4915169595841631E-2</v>
      </c>
      <c r="I53" s="522">
        <v>11</v>
      </c>
      <c r="J53" s="523"/>
      <c r="K53" s="472"/>
      <c r="L53" s="523"/>
      <c r="M53" s="476"/>
      <c r="N53" s="476"/>
      <c r="O53" s="523"/>
      <c r="P53" s="476"/>
      <c r="Q53" s="524"/>
      <c r="R53" s="478">
        <f>IFERROR(INDEX(기초자산!M$6:M$408,MATCH(K53&amp;N53&amp;O53,기초자산!$A$6:$A$408,0),0),0)</f>
        <v>0</v>
      </c>
      <c r="S53" s="479">
        <f t="shared" si="8"/>
        <v>0</v>
      </c>
      <c r="T53" s="476"/>
      <c r="U53" s="471" t="s">
        <v>94</v>
      </c>
      <c r="V53" s="480">
        <f>IF(U53="한국 원화(KRW)",1,IF(OR(U53=환율!$A$6,U53=환율!$A$7),VLOOKUP(NAV!U53,환율!$A$6:$B$7,2,),IF(RIGHT(U53,5)="(100)",(VLOOKUP(NAV!U53,환율!$A$11:$B$65,2,))/100,VLOOKUP(NAV!U53,환율!$A$11:$B$65,2,))))</f>
        <v>1</v>
      </c>
      <c r="W53" s="524"/>
      <c r="X53" s="482">
        <f t="shared" si="9"/>
        <v>0</v>
      </c>
      <c r="Y53" s="524"/>
      <c r="Z53" s="524">
        <v>0</v>
      </c>
      <c r="AA53" s="483">
        <f t="shared" si="7"/>
        <v>0</v>
      </c>
      <c r="AB53" s="525"/>
      <c r="AC53" s="526" t="str">
        <f t="shared" si="10"/>
        <v>2년이상</v>
      </c>
      <c r="AD53" s="520" t="str">
        <f t="shared" si="11"/>
        <v/>
      </c>
      <c r="AE53" s="527">
        <f t="shared" si="12"/>
        <v>0</v>
      </c>
      <c r="AF53" s="527">
        <f t="shared" si="13"/>
        <v>0</v>
      </c>
      <c r="AG53" s="485"/>
      <c r="AH53" s="485"/>
      <c r="AI53" s="404"/>
    </row>
    <row r="54" spans="1:35" ht="12" customHeight="1" thickBot="1">
      <c r="A54" s="415"/>
      <c r="B54" s="415"/>
      <c r="C54" s="532">
        <v>45382</v>
      </c>
      <c r="D54" s="533">
        <v>27292964112</v>
      </c>
      <c r="E54" s="530">
        <v>2.3198835884830578</v>
      </c>
      <c r="F54" s="534">
        <v>1.6768516766225705E-3</v>
      </c>
      <c r="I54" s="522">
        <v>12</v>
      </c>
      <c r="J54" s="523"/>
      <c r="K54" s="472"/>
      <c r="L54" s="523"/>
      <c r="M54" s="476"/>
      <c r="N54" s="476"/>
      <c r="O54" s="523"/>
      <c r="P54" s="476"/>
      <c r="Q54" s="524"/>
      <c r="R54" s="478">
        <f>IFERROR(INDEX(기초자산!M$6:M$408,MATCH(K54&amp;N54&amp;O54,기초자산!$A$6:$A$408,0),0),0)</f>
        <v>0</v>
      </c>
      <c r="S54" s="479">
        <f t="shared" si="8"/>
        <v>0</v>
      </c>
      <c r="T54" s="476"/>
      <c r="U54" s="471" t="s">
        <v>94</v>
      </c>
      <c r="V54" s="480">
        <f>IF(U54="한국 원화(KRW)",1,IF(OR(U54=환율!$A$6,U54=환율!$A$7),VLOOKUP(NAV!U54,환율!$A$6:$B$7,2,),IF(RIGHT(U54,5)="(100)",(VLOOKUP(NAV!U54,환율!$A$11:$B$65,2,))/100,VLOOKUP(NAV!U54,환율!$A$11:$B$65,2,))))</f>
        <v>1</v>
      </c>
      <c r="W54" s="524"/>
      <c r="X54" s="482">
        <f t="shared" si="9"/>
        <v>0</v>
      </c>
      <c r="Y54" s="524"/>
      <c r="Z54" s="524">
        <v>0</v>
      </c>
      <c r="AA54" s="483">
        <f t="shared" si="7"/>
        <v>0</v>
      </c>
      <c r="AB54" s="525"/>
      <c r="AC54" s="526" t="str">
        <f t="shared" si="10"/>
        <v>2년이상</v>
      </c>
      <c r="AD54" s="520" t="str">
        <f t="shared" si="11"/>
        <v/>
      </c>
      <c r="AE54" s="527">
        <f t="shared" si="12"/>
        <v>0</v>
      </c>
      <c r="AF54" s="527">
        <f t="shared" si="13"/>
        <v>0</v>
      </c>
      <c r="AG54" s="485"/>
      <c r="AH54" s="485"/>
      <c r="AI54" s="404"/>
    </row>
    <row r="55" spans="1:35" ht="12.75" thickBot="1">
      <c r="A55" s="415"/>
      <c r="B55" s="415"/>
      <c r="C55" s="532">
        <v>45291</v>
      </c>
      <c r="D55" s="533">
        <v>27300236832</v>
      </c>
      <c r="E55" s="530">
        <v>2.3159999999999998</v>
      </c>
      <c r="F55" s="534">
        <v>-7.4999999999999997E-3</v>
      </c>
      <c r="I55" s="522">
        <v>13</v>
      </c>
      <c r="J55" s="523"/>
      <c r="K55" s="472"/>
      <c r="L55" s="523"/>
      <c r="M55" s="476"/>
      <c r="N55" s="476"/>
      <c r="O55" s="523"/>
      <c r="P55" s="476"/>
      <c r="Q55" s="524"/>
      <c r="R55" s="478">
        <f>IFERROR(INDEX(기초자산!M$6:M$408,MATCH(K55&amp;N55&amp;O55,기초자산!$A$6:$A$408,0),0),0)</f>
        <v>0</v>
      </c>
      <c r="S55" s="479">
        <f t="shared" si="8"/>
        <v>0</v>
      </c>
      <c r="T55" s="476"/>
      <c r="U55" s="471" t="s">
        <v>94</v>
      </c>
      <c r="V55" s="480">
        <f>IF(U55="한국 원화(KRW)",1,IF(OR(U55=환율!$A$6,U55=환율!$A$7),VLOOKUP(NAV!U55,환율!$A$6:$B$7,2,),IF(RIGHT(U55,5)="(100)",(VLOOKUP(NAV!U55,환율!$A$11:$B$65,2,))/100,VLOOKUP(NAV!U55,환율!$A$11:$B$65,2,))))</f>
        <v>1</v>
      </c>
      <c r="W55" s="524"/>
      <c r="X55" s="482">
        <f t="shared" si="9"/>
        <v>0</v>
      </c>
      <c r="Y55" s="524"/>
      <c r="Z55" s="524">
        <v>0</v>
      </c>
      <c r="AA55" s="483">
        <f t="shared" si="7"/>
        <v>0</v>
      </c>
      <c r="AB55" s="525"/>
      <c r="AC55" s="526" t="str">
        <f t="shared" si="10"/>
        <v>2년이상</v>
      </c>
      <c r="AD55" s="520" t="str">
        <f t="shared" si="11"/>
        <v/>
      </c>
      <c r="AE55" s="527">
        <f t="shared" si="12"/>
        <v>0</v>
      </c>
      <c r="AF55" s="527">
        <f t="shared" si="13"/>
        <v>0</v>
      </c>
      <c r="AG55" s="485"/>
      <c r="AH55" s="485"/>
      <c r="AI55" s="404"/>
    </row>
    <row r="56" spans="1:35" ht="12.75" thickBot="1">
      <c r="A56" s="415"/>
      <c r="B56" s="415"/>
      <c r="C56" s="532">
        <v>45199</v>
      </c>
      <c r="D56" s="533">
        <v>27531103473</v>
      </c>
      <c r="E56" s="530">
        <v>2.3340000000000001</v>
      </c>
      <c r="F56" s="534">
        <v>-1.6899999999999998E-2</v>
      </c>
      <c r="I56" s="522">
        <v>14</v>
      </c>
      <c r="J56" s="523"/>
      <c r="K56" s="472"/>
      <c r="L56" s="523"/>
      <c r="M56" s="476"/>
      <c r="N56" s="476"/>
      <c r="O56" s="523"/>
      <c r="P56" s="476"/>
      <c r="Q56" s="524"/>
      <c r="R56" s="478">
        <f>IFERROR(INDEX(기초자산!M$6:M$408,MATCH(K56&amp;N56&amp;O56,기초자산!$A$6:$A$408,0),0),0)</f>
        <v>0</v>
      </c>
      <c r="S56" s="479">
        <f t="shared" si="8"/>
        <v>0</v>
      </c>
      <c r="T56" s="476"/>
      <c r="U56" s="471" t="s">
        <v>94</v>
      </c>
      <c r="V56" s="480">
        <f>IF(U56="한국 원화(KRW)",1,IF(OR(U56=환율!$A$6,U56=환율!$A$7),VLOOKUP(NAV!U56,환율!$A$6:$B$7,2,),IF(RIGHT(U56,5)="(100)",(VLOOKUP(NAV!U56,환율!$A$11:$B$65,2,))/100,VLOOKUP(NAV!U56,환율!$A$11:$B$65,2,))))</f>
        <v>1</v>
      </c>
      <c r="W56" s="524"/>
      <c r="X56" s="482">
        <f t="shared" si="9"/>
        <v>0</v>
      </c>
      <c r="Y56" s="524"/>
      <c r="Z56" s="524">
        <v>0</v>
      </c>
      <c r="AA56" s="483">
        <f t="shared" si="7"/>
        <v>0</v>
      </c>
      <c r="AB56" s="525"/>
      <c r="AC56" s="526" t="str">
        <f t="shared" si="10"/>
        <v>2년이상</v>
      </c>
      <c r="AD56" s="520" t="str">
        <f t="shared" si="11"/>
        <v/>
      </c>
      <c r="AE56" s="527">
        <f t="shared" si="12"/>
        <v>0</v>
      </c>
      <c r="AF56" s="527">
        <f t="shared" si="13"/>
        <v>0</v>
      </c>
      <c r="AG56" s="485"/>
      <c r="AH56" s="485"/>
      <c r="AI56" s="404"/>
    </row>
    <row r="57" spans="1:35" ht="12.75" thickBot="1">
      <c r="A57" s="415"/>
      <c r="B57" s="415"/>
      <c r="C57" s="532">
        <v>45199</v>
      </c>
      <c r="D57" s="533">
        <v>28111837429</v>
      </c>
      <c r="E57" s="530">
        <v>2.3740000000000001</v>
      </c>
      <c r="F57" s="534">
        <v>1.5900000000000001E-2</v>
      </c>
      <c r="I57" s="522">
        <v>15</v>
      </c>
      <c r="J57" s="523"/>
      <c r="K57" s="472"/>
      <c r="L57" s="523"/>
      <c r="M57" s="476"/>
      <c r="N57" s="476"/>
      <c r="O57" s="523"/>
      <c r="P57" s="476"/>
      <c r="Q57" s="524"/>
      <c r="R57" s="478">
        <f>IFERROR(INDEX(기초자산!M$6:M$408,MATCH(K57&amp;N57&amp;O57,기초자산!$A$6:$A$408,0),0),0)</f>
        <v>0</v>
      </c>
      <c r="S57" s="479">
        <f t="shared" si="8"/>
        <v>0</v>
      </c>
      <c r="T57" s="476"/>
      <c r="U57" s="471" t="s">
        <v>94</v>
      </c>
      <c r="V57" s="480">
        <f>IF(U57="한국 원화(KRW)",1,IF(OR(U57=환율!$A$6,U57=환율!$A$7),VLOOKUP(NAV!U57,환율!$A$6:$B$7,2,),IF(RIGHT(U57,5)="(100)",(VLOOKUP(NAV!U57,환율!$A$11:$B$65,2,))/100,VLOOKUP(NAV!U57,환율!$A$11:$B$65,2,))))</f>
        <v>1</v>
      </c>
      <c r="W57" s="524"/>
      <c r="X57" s="482">
        <f t="shared" si="9"/>
        <v>0</v>
      </c>
      <c r="Y57" s="524"/>
      <c r="Z57" s="524">
        <v>0</v>
      </c>
      <c r="AA57" s="483">
        <f t="shared" si="7"/>
        <v>0</v>
      </c>
      <c r="AB57" s="525"/>
      <c r="AC57" s="526" t="str">
        <f t="shared" si="10"/>
        <v>2년이상</v>
      </c>
      <c r="AD57" s="520" t="str">
        <f t="shared" si="11"/>
        <v/>
      </c>
      <c r="AE57" s="527">
        <f t="shared" si="12"/>
        <v>0</v>
      </c>
      <c r="AF57" s="527">
        <f t="shared" si="13"/>
        <v>0</v>
      </c>
      <c r="AG57" s="485"/>
      <c r="AH57" s="485"/>
      <c r="AI57" s="404"/>
    </row>
    <row r="58" spans="1:35" ht="12.75" thickBot="1">
      <c r="A58" s="415"/>
      <c r="B58" s="415"/>
      <c r="C58" s="532">
        <v>45107</v>
      </c>
      <c r="D58" s="533">
        <v>27680186199</v>
      </c>
      <c r="E58" s="530">
        <v>2.3370000000000002</v>
      </c>
      <c r="F58" s="534">
        <v>3.4500000000000003E-2</v>
      </c>
      <c r="I58" s="522">
        <v>16</v>
      </c>
      <c r="J58" s="523"/>
      <c r="K58" s="472"/>
      <c r="L58" s="523"/>
      <c r="M58" s="476"/>
      <c r="N58" s="476"/>
      <c r="O58" s="523"/>
      <c r="P58" s="476"/>
      <c r="Q58" s="524"/>
      <c r="R58" s="478">
        <f>IFERROR(INDEX(기초자산!M$6:M$408,MATCH(K58&amp;N58&amp;O58,기초자산!$A$6:$A$408,0),0),0)</f>
        <v>0</v>
      </c>
      <c r="S58" s="479">
        <f t="shared" si="8"/>
        <v>0</v>
      </c>
      <c r="T58" s="476"/>
      <c r="U58" s="471" t="s">
        <v>94</v>
      </c>
      <c r="V58" s="480">
        <f>IF(U58="한국 원화(KRW)",1,IF(OR(U58=환율!$A$6,U58=환율!$A$7),VLOOKUP(NAV!U58,환율!$A$6:$B$7,2,),IF(RIGHT(U58,5)="(100)",(VLOOKUP(NAV!U58,환율!$A$11:$B$65,2,))/100,VLOOKUP(NAV!U58,환율!$A$11:$B$65,2,))))</f>
        <v>1</v>
      </c>
      <c r="W58" s="524"/>
      <c r="X58" s="482">
        <f t="shared" si="9"/>
        <v>0</v>
      </c>
      <c r="Y58" s="524"/>
      <c r="Z58" s="524">
        <v>0</v>
      </c>
      <c r="AA58" s="483">
        <f t="shared" si="7"/>
        <v>0</v>
      </c>
      <c r="AB58" s="525"/>
      <c r="AC58" s="526" t="str">
        <f t="shared" si="10"/>
        <v>2년이상</v>
      </c>
      <c r="AD58" s="520" t="str">
        <f t="shared" si="11"/>
        <v/>
      </c>
      <c r="AE58" s="527">
        <f t="shared" si="12"/>
        <v>0</v>
      </c>
      <c r="AF58" s="527">
        <f t="shared" si="13"/>
        <v>0</v>
      </c>
      <c r="AG58" s="485"/>
      <c r="AH58" s="485"/>
      <c r="AI58" s="404"/>
    </row>
    <row r="59" spans="1:35" ht="12.75" thickBot="1">
      <c r="A59" s="415"/>
      <c r="B59" s="415"/>
      <c r="C59" s="532">
        <v>45016</v>
      </c>
      <c r="D59" s="533">
        <v>26699389901</v>
      </c>
      <c r="E59" s="530">
        <v>2.2589999999999999</v>
      </c>
      <c r="F59" s="534">
        <v>1.3169</v>
      </c>
      <c r="I59" s="522">
        <v>17</v>
      </c>
      <c r="J59" s="523"/>
      <c r="K59" s="472"/>
      <c r="L59" s="523"/>
      <c r="M59" s="476"/>
      <c r="N59" s="476"/>
      <c r="O59" s="523"/>
      <c r="P59" s="476"/>
      <c r="Q59" s="524"/>
      <c r="R59" s="478">
        <f>IFERROR(INDEX(기초자산!M$6:M$408,MATCH(K59&amp;N59&amp;O59,기초자산!$A$6:$A$408,0),0),0)</f>
        <v>0</v>
      </c>
      <c r="S59" s="479">
        <f t="shared" si="8"/>
        <v>0</v>
      </c>
      <c r="T59" s="476"/>
      <c r="U59" s="471" t="s">
        <v>94</v>
      </c>
      <c r="V59" s="480">
        <f>IF(U59="한국 원화(KRW)",1,IF(OR(U59=환율!$A$6,U59=환율!$A$7),VLOOKUP(NAV!U59,환율!$A$6:$B$7,2,),IF(RIGHT(U59,5)="(100)",(VLOOKUP(NAV!U59,환율!$A$11:$B$65,2,))/100,VLOOKUP(NAV!U59,환율!$A$11:$B$65,2,))))</f>
        <v>1</v>
      </c>
      <c r="W59" s="524"/>
      <c r="X59" s="482">
        <f t="shared" si="9"/>
        <v>0</v>
      </c>
      <c r="Y59" s="524"/>
      <c r="Z59" s="524">
        <v>0</v>
      </c>
      <c r="AA59" s="483">
        <f t="shared" si="7"/>
        <v>0</v>
      </c>
      <c r="AB59" s="525"/>
      <c r="AC59" s="526" t="str">
        <f t="shared" si="10"/>
        <v>2년이상</v>
      </c>
      <c r="AD59" s="520" t="str">
        <f t="shared" si="11"/>
        <v/>
      </c>
      <c r="AE59" s="527">
        <f t="shared" si="12"/>
        <v>0</v>
      </c>
      <c r="AF59" s="527">
        <f t="shared" si="13"/>
        <v>0</v>
      </c>
      <c r="AG59" s="485"/>
      <c r="AH59" s="485"/>
      <c r="AI59" s="404"/>
    </row>
    <row r="60" spans="1:35" ht="12.75" thickBot="1">
      <c r="A60" s="415"/>
      <c r="B60" s="415"/>
      <c r="C60" s="532">
        <v>44926</v>
      </c>
      <c r="D60" s="533">
        <v>10235092243</v>
      </c>
      <c r="E60" s="530">
        <v>0.97499999999999998</v>
      </c>
      <c r="F60" s="534">
        <v>-5.1000000000000004E-3</v>
      </c>
      <c r="I60" s="522">
        <v>18</v>
      </c>
      <c r="J60" s="523"/>
      <c r="K60" s="472"/>
      <c r="L60" s="523"/>
      <c r="M60" s="476"/>
      <c r="N60" s="476"/>
      <c r="O60" s="523"/>
      <c r="P60" s="476"/>
      <c r="Q60" s="524"/>
      <c r="R60" s="478">
        <f>IFERROR(INDEX(기초자산!M$6:M$408,MATCH(K60&amp;N60&amp;O60,기초자산!$A$6:$A$408,0),0),0)</f>
        <v>0</v>
      </c>
      <c r="S60" s="479">
        <f t="shared" si="8"/>
        <v>0</v>
      </c>
      <c r="T60" s="476"/>
      <c r="U60" s="471" t="s">
        <v>94</v>
      </c>
      <c r="V60" s="480">
        <f>IF(U60="한국 원화(KRW)",1,IF(OR(U60=환율!$A$6,U60=환율!$A$7),VLOOKUP(NAV!U60,환율!$A$6:$B$7,2,),IF(RIGHT(U60,5)="(100)",(VLOOKUP(NAV!U60,환율!$A$11:$B$65,2,))/100,VLOOKUP(NAV!U60,환율!$A$11:$B$65,2,))))</f>
        <v>1</v>
      </c>
      <c r="W60" s="524"/>
      <c r="X60" s="482">
        <f t="shared" si="9"/>
        <v>0</v>
      </c>
      <c r="Y60" s="524"/>
      <c r="Z60" s="524">
        <v>0</v>
      </c>
      <c r="AA60" s="483">
        <f t="shared" si="7"/>
        <v>0</v>
      </c>
      <c r="AB60" s="525"/>
      <c r="AC60" s="526" t="str">
        <f t="shared" si="10"/>
        <v>2년이상</v>
      </c>
      <c r="AD60" s="520" t="str">
        <f t="shared" si="11"/>
        <v/>
      </c>
      <c r="AE60" s="527">
        <f t="shared" si="12"/>
        <v>0</v>
      </c>
      <c r="AF60" s="527">
        <f t="shared" si="13"/>
        <v>0</v>
      </c>
      <c r="AG60" s="485"/>
      <c r="AH60" s="485"/>
      <c r="AI60" s="404"/>
    </row>
    <row r="61" spans="1:35" ht="12.75" thickBot="1">
      <c r="A61" s="415"/>
      <c r="B61" s="415"/>
      <c r="C61" s="532">
        <v>44834</v>
      </c>
      <c r="D61" s="533">
        <v>10290268226</v>
      </c>
      <c r="E61" s="530">
        <v>0.98</v>
      </c>
      <c r="F61" s="534">
        <v>-5.1000000000000004E-3</v>
      </c>
      <c r="I61" s="522">
        <v>19</v>
      </c>
      <c r="J61" s="523"/>
      <c r="K61" s="472"/>
      <c r="L61" s="523"/>
      <c r="M61" s="476"/>
      <c r="N61" s="476"/>
      <c r="O61" s="523"/>
      <c r="P61" s="476"/>
      <c r="Q61" s="524"/>
      <c r="R61" s="478">
        <f>IFERROR(INDEX(기초자산!M$6:M$408,MATCH(K61&amp;N61&amp;O61,기초자산!$A$6:$A$408,0),0),0)</f>
        <v>0</v>
      </c>
      <c r="S61" s="479">
        <f t="shared" si="8"/>
        <v>0</v>
      </c>
      <c r="T61" s="476"/>
      <c r="U61" s="471" t="s">
        <v>94</v>
      </c>
      <c r="V61" s="480">
        <f>IF(U61="한국 원화(KRW)",1,IF(OR(U61=환율!$A$6,U61=환율!$A$7),VLOOKUP(NAV!U61,환율!$A$6:$B$7,2,),IF(RIGHT(U61,5)="(100)",(VLOOKUP(NAV!U61,환율!$A$11:$B$65,2,))/100,VLOOKUP(NAV!U61,환율!$A$11:$B$65,2,))))</f>
        <v>1</v>
      </c>
      <c r="W61" s="524"/>
      <c r="X61" s="482">
        <f t="shared" si="9"/>
        <v>0</v>
      </c>
      <c r="Y61" s="524"/>
      <c r="Z61" s="524">
        <v>0</v>
      </c>
      <c r="AA61" s="483">
        <f t="shared" si="7"/>
        <v>0</v>
      </c>
      <c r="AB61" s="525"/>
      <c r="AC61" s="526" t="str">
        <f t="shared" si="10"/>
        <v>2년이상</v>
      </c>
      <c r="AD61" s="520" t="str">
        <f t="shared" si="11"/>
        <v/>
      </c>
      <c r="AE61" s="527">
        <f t="shared" si="12"/>
        <v>0</v>
      </c>
      <c r="AF61" s="527">
        <f t="shared" si="13"/>
        <v>0</v>
      </c>
      <c r="AG61" s="485"/>
      <c r="AH61" s="485"/>
      <c r="AI61" s="404"/>
    </row>
    <row r="62" spans="1:35" ht="12.75" thickBot="1">
      <c r="A62" s="415"/>
      <c r="B62" s="415"/>
      <c r="C62" s="532">
        <v>44742</v>
      </c>
      <c r="D62" s="533">
        <v>10344398803</v>
      </c>
      <c r="E62" s="530">
        <v>0.98499999999999999</v>
      </c>
      <c r="F62" s="534">
        <v>-5.1000000000000004E-3</v>
      </c>
      <c r="I62" s="522">
        <v>20</v>
      </c>
      <c r="J62" s="523"/>
      <c r="K62" s="472"/>
      <c r="L62" s="523"/>
      <c r="M62" s="476"/>
      <c r="N62" s="476"/>
      <c r="O62" s="523"/>
      <c r="P62" s="476"/>
      <c r="Q62" s="524"/>
      <c r="R62" s="478">
        <f>IFERROR(INDEX(기초자산!M$6:M$408,MATCH(K62&amp;N62&amp;O62,기초자산!$A$6:$A$408,0),0),0)</f>
        <v>0</v>
      </c>
      <c r="S62" s="479">
        <f t="shared" si="8"/>
        <v>0</v>
      </c>
      <c r="T62" s="476"/>
      <c r="U62" s="471" t="s">
        <v>94</v>
      </c>
      <c r="V62" s="480">
        <f>IF(U62="한국 원화(KRW)",1,IF(OR(U62=환율!$A$6,U62=환율!$A$7),VLOOKUP(NAV!U62,환율!$A$6:$B$7,2,),IF(RIGHT(U62,5)="(100)",(VLOOKUP(NAV!U62,환율!$A$11:$B$65,2,))/100,VLOOKUP(NAV!U62,환율!$A$11:$B$65,2,))))</f>
        <v>1</v>
      </c>
      <c r="W62" s="524"/>
      <c r="X62" s="482">
        <f t="shared" si="9"/>
        <v>0</v>
      </c>
      <c r="Y62" s="524"/>
      <c r="Z62" s="524">
        <v>0</v>
      </c>
      <c r="AA62" s="483">
        <f t="shared" si="7"/>
        <v>0</v>
      </c>
      <c r="AB62" s="525"/>
      <c r="AC62" s="526" t="str">
        <f t="shared" si="10"/>
        <v>2년이상</v>
      </c>
      <c r="AD62" s="520" t="str">
        <f t="shared" si="11"/>
        <v/>
      </c>
      <c r="AE62" s="527">
        <f t="shared" si="12"/>
        <v>0</v>
      </c>
      <c r="AF62" s="527">
        <f t="shared" si="13"/>
        <v>0</v>
      </c>
      <c r="AG62" s="485"/>
      <c r="AH62" s="485"/>
      <c r="AI62" s="404"/>
    </row>
    <row r="63" spans="1:35" ht="12.75" thickBot="1">
      <c r="A63" s="415"/>
      <c r="B63" s="415"/>
      <c r="C63" s="532">
        <v>44651</v>
      </c>
      <c r="D63" s="533">
        <v>10399546963</v>
      </c>
      <c r="E63" s="530">
        <v>0.99</v>
      </c>
      <c r="F63" s="534">
        <v>-6.0000000000000001E-3</v>
      </c>
      <c r="I63" s="522">
        <v>21</v>
      </c>
      <c r="J63" s="523"/>
      <c r="K63" s="472"/>
      <c r="L63" s="523"/>
      <c r="M63" s="476"/>
      <c r="N63" s="476"/>
      <c r="O63" s="523"/>
      <c r="P63" s="476"/>
      <c r="Q63" s="524"/>
      <c r="R63" s="478">
        <f>IFERROR(INDEX(기초자산!M$6:M$408,MATCH(K63&amp;N63&amp;O63,기초자산!$A$6:$A$408,0),0),0)</f>
        <v>0</v>
      </c>
      <c r="S63" s="479">
        <f t="shared" si="8"/>
        <v>0</v>
      </c>
      <c r="T63" s="476"/>
      <c r="U63" s="471" t="s">
        <v>94</v>
      </c>
      <c r="V63" s="480">
        <f>IF(U63="한국 원화(KRW)",1,IF(OR(U63=환율!$A$6,U63=환율!$A$7),VLOOKUP(NAV!U63,환율!$A$6:$B$7,2,),IF(RIGHT(U63,5)="(100)",(VLOOKUP(NAV!U63,환율!$A$11:$B$65,2,))/100,VLOOKUP(NAV!U63,환율!$A$11:$B$65,2,))))</f>
        <v>1</v>
      </c>
      <c r="W63" s="524"/>
      <c r="X63" s="482">
        <f t="shared" si="9"/>
        <v>0</v>
      </c>
      <c r="Y63" s="524"/>
      <c r="Z63" s="524">
        <v>0</v>
      </c>
      <c r="AA63" s="483">
        <f t="shared" si="7"/>
        <v>0</v>
      </c>
      <c r="AB63" s="525"/>
      <c r="AC63" s="526" t="str">
        <f t="shared" si="10"/>
        <v>2년이상</v>
      </c>
      <c r="AD63" s="520" t="str">
        <f t="shared" si="11"/>
        <v/>
      </c>
      <c r="AE63" s="527">
        <f t="shared" si="12"/>
        <v>0</v>
      </c>
      <c r="AF63" s="527">
        <f t="shared" si="13"/>
        <v>0</v>
      </c>
      <c r="AG63" s="485"/>
      <c r="AH63" s="485"/>
      <c r="AI63" s="404"/>
    </row>
    <row r="64" spans="1:35" ht="12.75" thickBot="1">
      <c r="A64" s="415"/>
      <c r="B64" s="415"/>
      <c r="C64" s="532">
        <v>44561</v>
      </c>
      <c r="D64" s="533">
        <v>10453566440</v>
      </c>
      <c r="E64" s="530">
        <v>0.996</v>
      </c>
      <c r="F64" s="534">
        <v>-4.0000000000000001E-3</v>
      </c>
      <c r="I64" s="522">
        <v>22</v>
      </c>
      <c r="J64" s="523"/>
      <c r="K64" s="472"/>
      <c r="L64" s="523"/>
      <c r="M64" s="476"/>
      <c r="N64" s="476"/>
      <c r="O64" s="523"/>
      <c r="P64" s="476"/>
      <c r="Q64" s="524"/>
      <c r="R64" s="478">
        <f>IFERROR(INDEX(기초자산!M$6:M$408,MATCH(K64&amp;N64&amp;O64,기초자산!$A$6:$A$408,0),0),0)</f>
        <v>0</v>
      </c>
      <c r="S64" s="479">
        <f t="shared" si="8"/>
        <v>0</v>
      </c>
      <c r="T64" s="476"/>
      <c r="U64" s="471" t="s">
        <v>94</v>
      </c>
      <c r="V64" s="480">
        <f>IF(U64="한국 원화(KRW)",1,IF(OR(U64=환율!$A$6,U64=환율!$A$7),VLOOKUP(NAV!U64,환율!$A$6:$B$7,2,),IF(RIGHT(U64,5)="(100)",(VLOOKUP(NAV!U64,환율!$A$11:$B$65,2,))/100,VLOOKUP(NAV!U64,환율!$A$11:$B$65,2,))))</f>
        <v>1</v>
      </c>
      <c r="W64" s="524"/>
      <c r="X64" s="482">
        <f t="shared" si="9"/>
        <v>0</v>
      </c>
      <c r="Y64" s="524"/>
      <c r="Z64" s="524">
        <v>0</v>
      </c>
      <c r="AA64" s="483">
        <f t="shared" si="7"/>
        <v>0</v>
      </c>
      <c r="AB64" s="525"/>
      <c r="AC64" s="526" t="str">
        <f t="shared" si="10"/>
        <v>2년이상</v>
      </c>
      <c r="AD64" s="520" t="str">
        <f t="shared" si="11"/>
        <v/>
      </c>
      <c r="AE64" s="527">
        <f t="shared" si="12"/>
        <v>0</v>
      </c>
      <c r="AF64" s="527">
        <f t="shared" si="13"/>
        <v>0</v>
      </c>
      <c r="AG64" s="485"/>
      <c r="AH64" s="485"/>
      <c r="AI64" s="404"/>
    </row>
    <row r="65" spans="1:35" ht="12.75" thickBot="1">
      <c r="A65" s="415"/>
      <c r="B65" s="415"/>
      <c r="C65" s="532">
        <v>44469</v>
      </c>
      <c r="D65" s="533">
        <v>10500000000</v>
      </c>
      <c r="E65" s="530">
        <v>1</v>
      </c>
      <c r="F65" s="534"/>
      <c r="I65" s="522">
        <v>23</v>
      </c>
      <c r="J65" s="523"/>
      <c r="K65" s="472"/>
      <c r="L65" s="523"/>
      <c r="M65" s="476"/>
      <c r="N65" s="476"/>
      <c r="O65" s="523"/>
      <c r="P65" s="476"/>
      <c r="Q65" s="524"/>
      <c r="R65" s="478">
        <f>IFERROR(INDEX(기초자산!M$6:M$408,MATCH(K65&amp;N65&amp;O65,기초자산!$A$6:$A$408,0),0),0)</f>
        <v>0</v>
      </c>
      <c r="S65" s="479">
        <f t="shared" si="8"/>
        <v>0</v>
      </c>
      <c r="T65" s="476"/>
      <c r="U65" s="471" t="s">
        <v>94</v>
      </c>
      <c r="V65" s="480">
        <f>IF(U65="한국 원화(KRW)",1,IF(OR(U65=환율!$A$6,U65=환율!$A$7),VLOOKUP(NAV!U65,환율!$A$6:$B$7,2,),IF(RIGHT(U65,5)="(100)",(VLOOKUP(NAV!U65,환율!$A$11:$B$65,2,))/100,VLOOKUP(NAV!U65,환율!$A$11:$B$65,2,))))</f>
        <v>1</v>
      </c>
      <c r="W65" s="524"/>
      <c r="X65" s="482">
        <f t="shared" si="9"/>
        <v>0</v>
      </c>
      <c r="Y65" s="524"/>
      <c r="Z65" s="524">
        <v>0</v>
      </c>
      <c r="AA65" s="483">
        <f t="shared" si="7"/>
        <v>0</v>
      </c>
      <c r="AB65" s="525"/>
      <c r="AC65" s="526" t="str">
        <f t="shared" si="10"/>
        <v>2년이상</v>
      </c>
      <c r="AD65" s="520" t="str">
        <f t="shared" si="11"/>
        <v/>
      </c>
      <c r="AE65" s="527">
        <f t="shared" si="12"/>
        <v>0</v>
      </c>
      <c r="AF65" s="527">
        <f t="shared" si="13"/>
        <v>0</v>
      </c>
      <c r="AG65" s="485"/>
      <c r="AH65" s="485"/>
      <c r="AI65" s="404"/>
    </row>
    <row r="66" spans="1:35" ht="12.75" thickBot="1">
      <c r="A66" s="415"/>
      <c r="B66" s="415"/>
      <c r="C66" s="532"/>
      <c r="D66" s="533"/>
      <c r="E66" s="530"/>
      <c r="F66" s="534"/>
      <c r="I66" s="522">
        <v>24</v>
      </c>
      <c r="J66" s="523"/>
      <c r="K66" s="472"/>
      <c r="L66" s="523"/>
      <c r="M66" s="476"/>
      <c r="N66" s="476"/>
      <c r="O66" s="523"/>
      <c r="P66" s="476"/>
      <c r="Q66" s="524"/>
      <c r="R66" s="478">
        <f>IFERROR(INDEX(기초자산!M$6:M$408,MATCH(K66&amp;N66&amp;O66,기초자산!$A$6:$A$408,0),0),0)</f>
        <v>0</v>
      </c>
      <c r="S66" s="479">
        <f t="shared" si="8"/>
        <v>0</v>
      </c>
      <c r="T66" s="476"/>
      <c r="U66" s="471" t="s">
        <v>94</v>
      </c>
      <c r="V66" s="480">
        <f>IF(U66="한국 원화(KRW)",1,IF(OR(U66=환율!$A$6,U66=환율!$A$7),VLOOKUP(NAV!U66,환율!$A$6:$B$7,2,),IF(RIGHT(U66,5)="(100)",(VLOOKUP(NAV!U66,환율!$A$11:$B$65,2,))/100,VLOOKUP(NAV!U66,환율!$A$11:$B$65,2,))))</f>
        <v>1</v>
      </c>
      <c r="W66" s="524"/>
      <c r="X66" s="482">
        <f t="shared" si="9"/>
        <v>0</v>
      </c>
      <c r="Y66" s="524"/>
      <c r="Z66" s="524">
        <v>0</v>
      </c>
      <c r="AA66" s="483">
        <f t="shared" si="7"/>
        <v>0</v>
      </c>
      <c r="AB66" s="525"/>
      <c r="AC66" s="526" t="str">
        <f t="shared" si="10"/>
        <v>2년이상</v>
      </c>
      <c r="AD66" s="520" t="str">
        <f t="shared" si="11"/>
        <v/>
      </c>
      <c r="AE66" s="527">
        <f t="shared" si="12"/>
        <v>0</v>
      </c>
      <c r="AF66" s="527">
        <f t="shared" si="13"/>
        <v>0</v>
      </c>
      <c r="AG66" s="485"/>
      <c r="AH66" s="485"/>
      <c r="AI66" s="404"/>
    </row>
    <row r="67" spans="1:35" ht="12.75" thickBot="1">
      <c r="A67" s="415"/>
      <c r="B67" s="415"/>
      <c r="C67" s="532"/>
      <c r="D67" s="533"/>
      <c r="E67" s="530"/>
      <c r="F67" s="534"/>
      <c r="I67" s="522">
        <v>25</v>
      </c>
      <c r="J67" s="523"/>
      <c r="K67" s="472"/>
      <c r="L67" s="523"/>
      <c r="M67" s="476"/>
      <c r="N67" s="476"/>
      <c r="O67" s="523"/>
      <c r="P67" s="476"/>
      <c r="Q67" s="524"/>
      <c r="R67" s="478">
        <f>IFERROR(INDEX(기초자산!M$6:M$408,MATCH(K67&amp;N67&amp;O67,기초자산!$A$6:$A$408,0),0),0)</f>
        <v>0</v>
      </c>
      <c r="S67" s="479">
        <f t="shared" si="8"/>
        <v>0</v>
      </c>
      <c r="T67" s="476"/>
      <c r="U67" s="471" t="s">
        <v>94</v>
      </c>
      <c r="V67" s="480">
        <f>IF(U67="한국 원화(KRW)",1,IF(OR(U67=환율!$A$6,U67=환율!$A$7),VLOOKUP(NAV!U67,환율!$A$6:$B$7,2,),IF(RIGHT(U67,5)="(100)",(VLOOKUP(NAV!U67,환율!$A$11:$B$65,2,))/100,VLOOKUP(NAV!U67,환율!$A$11:$B$65,2,))))</f>
        <v>1</v>
      </c>
      <c r="W67" s="524"/>
      <c r="X67" s="482">
        <f t="shared" si="9"/>
        <v>0</v>
      </c>
      <c r="Y67" s="524"/>
      <c r="Z67" s="524">
        <v>0</v>
      </c>
      <c r="AA67" s="483">
        <f t="shared" si="7"/>
        <v>0</v>
      </c>
      <c r="AB67" s="525"/>
      <c r="AC67" s="526" t="str">
        <f t="shared" si="10"/>
        <v>2년이상</v>
      </c>
      <c r="AD67" s="520" t="str">
        <f t="shared" si="11"/>
        <v/>
      </c>
      <c r="AE67" s="527">
        <f t="shared" si="12"/>
        <v>0</v>
      </c>
      <c r="AF67" s="527">
        <f t="shared" si="13"/>
        <v>0</v>
      </c>
      <c r="AG67" s="485"/>
      <c r="AH67" s="485"/>
      <c r="AI67" s="404"/>
    </row>
    <row r="68" spans="1:35" ht="12.75" thickBot="1">
      <c r="A68" s="415"/>
      <c r="B68" s="415"/>
      <c r="C68" s="532"/>
      <c r="D68" s="533"/>
      <c r="E68" s="530"/>
      <c r="F68" s="534"/>
      <c r="I68" s="522">
        <v>26</v>
      </c>
      <c r="J68" s="523"/>
      <c r="K68" s="472"/>
      <c r="L68" s="523"/>
      <c r="M68" s="476"/>
      <c r="N68" s="476"/>
      <c r="O68" s="523"/>
      <c r="P68" s="476"/>
      <c r="Q68" s="524"/>
      <c r="R68" s="478">
        <f>IFERROR(INDEX(기초자산!M$6:M$408,MATCH(K68&amp;N68&amp;O68,기초자산!$A$6:$A$408,0),0),0)</f>
        <v>0</v>
      </c>
      <c r="S68" s="479">
        <f t="shared" si="8"/>
        <v>0</v>
      </c>
      <c r="T68" s="476"/>
      <c r="U68" s="471" t="s">
        <v>94</v>
      </c>
      <c r="V68" s="480">
        <f>IF(U68="한국 원화(KRW)",1,IF(OR(U68=환율!$A$6,U68=환율!$A$7),VLOOKUP(NAV!U68,환율!$A$6:$B$7,2,),IF(RIGHT(U68,5)="(100)",(VLOOKUP(NAV!U68,환율!$A$11:$B$65,2,))/100,VLOOKUP(NAV!U68,환율!$A$11:$B$65,2,))))</f>
        <v>1</v>
      </c>
      <c r="W68" s="524"/>
      <c r="X68" s="482">
        <f t="shared" si="9"/>
        <v>0</v>
      </c>
      <c r="Y68" s="524"/>
      <c r="Z68" s="524">
        <v>0</v>
      </c>
      <c r="AA68" s="483">
        <f t="shared" si="7"/>
        <v>0</v>
      </c>
      <c r="AB68" s="525"/>
      <c r="AC68" s="526" t="str">
        <f t="shared" si="10"/>
        <v>2년이상</v>
      </c>
      <c r="AD68" s="520" t="str">
        <f t="shared" si="11"/>
        <v/>
      </c>
      <c r="AE68" s="527">
        <f t="shared" si="12"/>
        <v>0</v>
      </c>
      <c r="AF68" s="527">
        <f t="shared" si="13"/>
        <v>0</v>
      </c>
      <c r="AG68" s="485"/>
      <c r="AH68" s="485"/>
      <c r="AI68" s="404"/>
    </row>
    <row r="69" spans="1:35" ht="12.75" thickBot="1">
      <c r="A69" s="415"/>
      <c r="B69" s="415"/>
      <c r="C69" s="532"/>
      <c r="D69" s="533"/>
      <c r="E69" s="530"/>
      <c r="F69" s="534"/>
      <c r="I69" s="522">
        <v>27</v>
      </c>
      <c r="J69" s="523"/>
      <c r="K69" s="472"/>
      <c r="L69" s="523"/>
      <c r="M69" s="476"/>
      <c r="N69" s="476"/>
      <c r="O69" s="523"/>
      <c r="P69" s="476"/>
      <c r="Q69" s="524"/>
      <c r="R69" s="478">
        <f>IFERROR(INDEX(기초자산!M$6:M$408,MATCH(K69&amp;N69&amp;O69,기초자산!$A$6:$A$408,0),0),0)</f>
        <v>0</v>
      </c>
      <c r="S69" s="479">
        <f t="shared" si="8"/>
        <v>0</v>
      </c>
      <c r="T69" s="476"/>
      <c r="U69" s="471" t="s">
        <v>94</v>
      </c>
      <c r="V69" s="480">
        <f>IF(U69="한국 원화(KRW)",1,IF(OR(U69=환율!$A$6,U69=환율!$A$7),VLOOKUP(NAV!U69,환율!$A$6:$B$7,2,),IF(RIGHT(U69,5)="(100)",(VLOOKUP(NAV!U69,환율!$A$11:$B$65,2,))/100,VLOOKUP(NAV!U69,환율!$A$11:$B$65,2,))))</f>
        <v>1</v>
      </c>
      <c r="W69" s="524"/>
      <c r="X69" s="482">
        <f t="shared" si="9"/>
        <v>0</v>
      </c>
      <c r="Y69" s="524"/>
      <c r="Z69" s="524">
        <v>0</v>
      </c>
      <c r="AA69" s="483">
        <f t="shared" si="7"/>
        <v>0</v>
      </c>
      <c r="AB69" s="525"/>
      <c r="AC69" s="526" t="str">
        <f t="shared" si="10"/>
        <v>2년이상</v>
      </c>
      <c r="AD69" s="520" t="str">
        <f t="shared" si="11"/>
        <v/>
      </c>
      <c r="AE69" s="527">
        <f t="shared" si="12"/>
        <v>0</v>
      </c>
      <c r="AF69" s="527">
        <f t="shared" si="13"/>
        <v>0</v>
      </c>
      <c r="AG69" s="485"/>
      <c r="AH69" s="485"/>
      <c r="AI69" s="404"/>
    </row>
    <row r="70" spans="1:35" ht="12.75" thickBot="1">
      <c r="A70" s="415"/>
      <c r="B70" s="415"/>
      <c r="C70" s="532"/>
      <c r="D70" s="533"/>
      <c r="E70" s="530"/>
      <c r="F70" s="534"/>
      <c r="I70" s="522">
        <v>28</v>
      </c>
      <c r="J70" s="523"/>
      <c r="K70" s="472"/>
      <c r="L70" s="523"/>
      <c r="M70" s="476"/>
      <c r="N70" s="476"/>
      <c r="O70" s="523"/>
      <c r="P70" s="476"/>
      <c r="Q70" s="524"/>
      <c r="R70" s="478">
        <f>IFERROR(INDEX(기초자산!M$6:M$408,MATCH(K70&amp;N70&amp;O70,기초자산!$A$6:$A$408,0),0),0)</f>
        <v>0</v>
      </c>
      <c r="S70" s="479">
        <f t="shared" si="8"/>
        <v>0</v>
      </c>
      <c r="T70" s="476"/>
      <c r="U70" s="471" t="s">
        <v>94</v>
      </c>
      <c r="V70" s="480">
        <f>IF(U70="한국 원화(KRW)",1,IF(OR(U70=환율!$A$6,U70=환율!$A$7),VLOOKUP(NAV!U70,환율!$A$6:$B$7,2,),IF(RIGHT(U70,5)="(100)",(VLOOKUP(NAV!U70,환율!$A$11:$B$65,2,))/100,VLOOKUP(NAV!U70,환율!$A$11:$B$65,2,))))</f>
        <v>1</v>
      </c>
      <c r="W70" s="524"/>
      <c r="X70" s="482">
        <f t="shared" si="9"/>
        <v>0</v>
      </c>
      <c r="Y70" s="524"/>
      <c r="Z70" s="524">
        <v>0</v>
      </c>
      <c r="AA70" s="483">
        <f t="shared" si="7"/>
        <v>0</v>
      </c>
      <c r="AB70" s="525"/>
      <c r="AC70" s="526" t="str">
        <f t="shared" si="10"/>
        <v>2년이상</v>
      </c>
      <c r="AD70" s="520" t="str">
        <f t="shared" si="11"/>
        <v/>
      </c>
      <c r="AE70" s="527">
        <f t="shared" si="12"/>
        <v>0</v>
      </c>
      <c r="AF70" s="527">
        <f t="shared" si="13"/>
        <v>0</v>
      </c>
      <c r="AG70" s="485"/>
      <c r="AH70" s="485"/>
      <c r="AI70" s="404"/>
    </row>
    <row r="71" spans="1:35" ht="12.75" thickBot="1">
      <c r="A71" s="415"/>
      <c r="B71" s="415"/>
      <c r="C71" s="532"/>
      <c r="D71" s="533"/>
      <c r="E71" s="530"/>
      <c r="F71" s="534"/>
      <c r="I71" s="522">
        <v>29</v>
      </c>
      <c r="J71" s="523"/>
      <c r="K71" s="472"/>
      <c r="L71" s="523"/>
      <c r="M71" s="476"/>
      <c r="N71" s="476"/>
      <c r="O71" s="523"/>
      <c r="P71" s="476"/>
      <c r="Q71" s="524"/>
      <c r="R71" s="478">
        <f>IFERROR(INDEX(기초자산!M$6:M$408,MATCH(K71&amp;N71&amp;O71,기초자산!$A$6:$A$408,0),0),0)</f>
        <v>0</v>
      </c>
      <c r="S71" s="479">
        <f t="shared" si="8"/>
        <v>0</v>
      </c>
      <c r="T71" s="476"/>
      <c r="U71" s="471" t="s">
        <v>94</v>
      </c>
      <c r="V71" s="480">
        <f>IF(U71="한국 원화(KRW)",1,IF(OR(U71=환율!$A$6,U71=환율!$A$7),VLOOKUP(NAV!U71,환율!$A$6:$B$7,2,),IF(RIGHT(U71,5)="(100)",(VLOOKUP(NAV!U71,환율!$A$11:$B$65,2,))/100,VLOOKUP(NAV!U71,환율!$A$11:$B$65,2,))))</f>
        <v>1</v>
      </c>
      <c r="W71" s="524"/>
      <c r="X71" s="482">
        <f t="shared" si="9"/>
        <v>0</v>
      </c>
      <c r="Y71" s="524"/>
      <c r="Z71" s="524">
        <v>0</v>
      </c>
      <c r="AA71" s="483">
        <f t="shared" si="7"/>
        <v>0</v>
      </c>
      <c r="AB71" s="525"/>
      <c r="AC71" s="526" t="str">
        <f t="shared" si="10"/>
        <v>2년이상</v>
      </c>
      <c r="AD71" s="520" t="str">
        <f t="shared" si="11"/>
        <v/>
      </c>
      <c r="AE71" s="527">
        <f t="shared" si="12"/>
        <v>0</v>
      </c>
      <c r="AF71" s="527">
        <f t="shared" si="13"/>
        <v>0</v>
      </c>
      <c r="AG71" s="485"/>
      <c r="AH71" s="485"/>
      <c r="AI71" s="404"/>
    </row>
    <row r="72" spans="1:35" ht="12.75" thickBot="1">
      <c r="A72" s="415"/>
      <c r="B72" s="415"/>
      <c r="C72" s="532"/>
      <c r="D72" s="533"/>
      <c r="E72" s="530"/>
      <c r="F72" s="534"/>
      <c r="I72" s="522">
        <v>30</v>
      </c>
      <c r="J72" s="523"/>
      <c r="K72" s="472"/>
      <c r="L72" s="523"/>
      <c r="M72" s="476"/>
      <c r="N72" s="476"/>
      <c r="O72" s="523"/>
      <c r="P72" s="476"/>
      <c r="Q72" s="524"/>
      <c r="R72" s="478">
        <f>IFERROR(INDEX(기초자산!M$6:M$408,MATCH(K72&amp;N72&amp;O72,기초자산!$A$6:$A$408,0),0),0)</f>
        <v>0</v>
      </c>
      <c r="S72" s="479">
        <f t="shared" si="8"/>
        <v>0</v>
      </c>
      <c r="T72" s="476"/>
      <c r="U72" s="471" t="s">
        <v>94</v>
      </c>
      <c r="V72" s="480">
        <f>IF(U72="한국 원화(KRW)",1,IF(OR(U72=환율!$A$6,U72=환율!$A$7),VLOOKUP(NAV!U72,환율!$A$6:$B$7,2,),IF(RIGHT(U72,5)="(100)",(VLOOKUP(NAV!U72,환율!$A$11:$B$65,2,))/100,VLOOKUP(NAV!U72,환율!$A$11:$B$65,2,))))</f>
        <v>1</v>
      </c>
      <c r="W72" s="524"/>
      <c r="X72" s="482">
        <f t="shared" si="9"/>
        <v>0</v>
      </c>
      <c r="Y72" s="524"/>
      <c r="Z72" s="524">
        <v>0</v>
      </c>
      <c r="AA72" s="483">
        <f t="shared" si="7"/>
        <v>0</v>
      </c>
      <c r="AB72" s="525"/>
      <c r="AC72" s="526" t="str">
        <f t="shared" si="10"/>
        <v>2년이상</v>
      </c>
      <c r="AD72" s="520" t="str">
        <f t="shared" si="11"/>
        <v/>
      </c>
      <c r="AE72" s="527">
        <f t="shared" si="12"/>
        <v>0</v>
      </c>
      <c r="AF72" s="527">
        <f t="shared" si="13"/>
        <v>0</v>
      </c>
      <c r="AG72" s="485"/>
      <c r="AH72" s="485"/>
      <c r="AI72" s="404"/>
    </row>
    <row r="73" spans="1:35" ht="12.75" hidden="1" outlineLevel="1" thickBot="1">
      <c r="A73" s="415"/>
      <c r="B73" s="415"/>
      <c r="I73" s="522">
        <v>31</v>
      </c>
      <c r="J73" s="523"/>
      <c r="K73" s="472"/>
      <c r="L73" s="523"/>
      <c r="M73" s="476"/>
      <c r="N73" s="476"/>
      <c r="O73" s="523"/>
      <c r="P73" s="476"/>
      <c r="Q73" s="524"/>
      <c r="R73" s="478">
        <f>IFERROR(INDEX(기초자산!M$6:M$408,MATCH(K73&amp;N73&amp;O73,기초자산!$A$6:$A$408,0),0),0)</f>
        <v>0</v>
      </c>
      <c r="S73" s="479">
        <f t="shared" si="8"/>
        <v>0</v>
      </c>
      <c r="T73" s="476"/>
      <c r="U73" s="471" t="s">
        <v>94</v>
      </c>
      <c r="V73" s="480">
        <f>IF(U73="한국 원화(KRW)",1,IF(OR(U73=환율!$A$6,U73=환율!$A$7),VLOOKUP(NAV!U73,환율!$A$6:$B$7,2,),IF(RIGHT(U73,5)="(100)",(VLOOKUP(NAV!U73,환율!$A$11:$B$65,2,))/100,VLOOKUP(NAV!U73,환율!$A$11:$B$65,2,))))</f>
        <v>1</v>
      </c>
      <c r="W73" s="524"/>
      <c r="X73" s="482">
        <f t="shared" si="9"/>
        <v>0</v>
      </c>
      <c r="Y73" s="524"/>
      <c r="Z73" s="524">
        <v>0</v>
      </c>
      <c r="AA73" s="483">
        <f t="shared" si="7"/>
        <v>0</v>
      </c>
      <c r="AB73" s="525"/>
      <c r="AC73" s="526" t="str">
        <f t="shared" si="10"/>
        <v>2년이상</v>
      </c>
      <c r="AD73" s="520" t="str">
        <f t="shared" si="11"/>
        <v/>
      </c>
      <c r="AE73" s="527">
        <f t="shared" ref="AE73:AE107" si="14">IF(OR(T73="MTP",T73="과거거래 이용법",T73="취득원가 준용",T73="장부가액 준용",T73="상장종가 적용"),S73,AG73*$Q73*$V73)</f>
        <v>0</v>
      </c>
      <c r="AF73" s="527">
        <f t="shared" ref="AF73:AF107" si="15">IF(OR(T73="MTP",T73="과거거래 이용법",T73="취득원가 준용",T73="장부가액 준용",T73="상장종가 적용"),S73,AH73*$Q73*$V73)</f>
        <v>0</v>
      </c>
      <c r="AG73" s="485"/>
      <c r="AH73" s="485"/>
      <c r="AI73" s="404"/>
    </row>
    <row r="74" spans="1:35" ht="12.75" hidden="1" outlineLevel="1" thickBot="1">
      <c r="A74" s="415"/>
      <c r="B74" s="415"/>
      <c r="I74" s="522">
        <v>32</v>
      </c>
      <c r="J74" s="523"/>
      <c r="K74" s="472"/>
      <c r="L74" s="523"/>
      <c r="M74" s="476"/>
      <c r="N74" s="476"/>
      <c r="O74" s="523"/>
      <c r="P74" s="476"/>
      <c r="Q74" s="524"/>
      <c r="R74" s="478">
        <f>IFERROR(INDEX(기초자산!M$6:M$408,MATCH(K74&amp;N74&amp;O74,기초자산!$A$6:$A$408,0),0),0)</f>
        <v>0</v>
      </c>
      <c r="S74" s="479">
        <f t="shared" si="8"/>
        <v>0</v>
      </c>
      <c r="T74" s="476"/>
      <c r="U74" s="471" t="s">
        <v>94</v>
      </c>
      <c r="V74" s="480">
        <f>IF(U74="한국 원화(KRW)",1,IF(OR(U74=환율!$A$6,U74=환율!$A$7),VLOOKUP(NAV!U74,환율!$A$6:$B$7,2,),IF(RIGHT(U74,5)="(100)",(VLOOKUP(NAV!U74,환율!$A$11:$B$65,2,))/100,VLOOKUP(NAV!U74,환율!$A$11:$B$65,2,))))</f>
        <v>1</v>
      </c>
      <c r="W74" s="524"/>
      <c r="X74" s="482">
        <f t="shared" si="9"/>
        <v>0</v>
      </c>
      <c r="Y74" s="524"/>
      <c r="Z74" s="524">
        <v>0</v>
      </c>
      <c r="AA74" s="483">
        <f t="shared" si="7"/>
        <v>0</v>
      </c>
      <c r="AB74" s="525"/>
      <c r="AC74" s="526" t="str">
        <f t="shared" si="10"/>
        <v>2년이상</v>
      </c>
      <c r="AD74" s="520" t="str">
        <f t="shared" si="11"/>
        <v/>
      </c>
      <c r="AE74" s="527">
        <f t="shared" si="14"/>
        <v>0</v>
      </c>
      <c r="AF74" s="527">
        <f t="shared" si="15"/>
        <v>0</v>
      </c>
      <c r="AG74" s="485"/>
      <c r="AH74" s="485"/>
      <c r="AI74" s="404"/>
    </row>
    <row r="75" spans="1:35" ht="12.75" hidden="1" outlineLevel="1" thickBot="1">
      <c r="A75" s="415"/>
      <c r="B75" s="415"/>
      <c r="I75" s="522">
        <v>33</v>
      </c>
      <c r="J75" s="523"/>
      <c r="K75" s="472"/>
      <c r="L75" s="523"/>
      <c r="M75" s="476"/>
      <c r="N75" s="476"/>
      <c r="O75" s="523"/>
      <c r="P75" s="476"/>
      <c r="Q75" s="524"/>
      <c r="R75" s="478">
        <f>IFERROR(INDEX(기초자산!M$6:M$408,MATCH(K75&amp;N75&amp;O75,기초자산!$A$6:$A$408,0),0),0)</f>
        <v>0</v>
      </c>
      <c r="S75" s="479">
        <f t="shared" si="8"/>
        <v>0</v>
      </c>
      <c r="T75" s="476"/>
      <c r="U75" s="471" t="s">
        <v>94</v>
      </c>
      <c r="V75" s="480">
        <f>IF(U75="한국 원화(KRW)",1,IF(OR(U75=환율!$A$6,U75=환율!$A$7),VLOOKUP(NAV!U75,환율!$A$6:$B$7,2,),IF(RIGHT(U75,5)="(100)",(VLOOKUP(NAV!U75,환율!$A$11:$B$65,2,))/100,VLOOKUP(NAV!U75,환율!$A$11:$B$65,2,))))</f>
        <v>1</v>
      </c>
      <c r="W75" s="524"/>
      <c r="X75" s="482">
        <f t="shared" si="9"/>
        <v>0</v>
      </c>
      <c r="Y75" s="524"/>
      <c r="Z75" s="524">
        <v>0</v>
      </c>
      <c r="AA75" s="483">
        <f t="shared" si="7"/>
        <v>0</v>
      </c>
      <c r="AB75" s="525"/>
      <c r="AC75" s="526" t="str">
        <f t="shared" si="10"/>
        <v>2년이상</v>
      </c>
      <c r="AD75" s="520" t="str">
        <f t="shared" si="11"/>
        <v/>
      </c>
      <c r="AE75" s="527">
        <f t="shared" si="14"/>
        <v>0</v>
      </c>
      <c r="AF75" s="527">
        <f t="shared" si="15"/>
        <v>0</v>
      </c>
      <c r="AG75" s="485"/>
      <c r="AH75" s="485"/>
      <c r="AI75" s="404"/>
    </row>
    <row r="76" spans="1:35" ht="12.75" hidden="1" outlineLevel="1" thickBot="1">
      <c r="A76" s="415"/>
      <c r="B76" s="415"/>
      <c r="I76" s="522">
        <v>34</v>
      </c>
      <c r="J76" s="523"/>
      <c r="K76" s="472"/>
      <c r="L76" s="523"/>
      <c r="M76" s="476"/>
      <c r="N76" s="476"/>
      <c r="O76" s="523"/>
      <c r="P76" s="476"/>
      <c r="Q76" s="524"/>
      <c r="R76" s="478">
        <f>IFERROR(INDEX(기초자산!M$6:M$408,MATCH(K76&amp;N76&amp;O76,기초자산!$A$6:$A$408,0),0),0)</f>
        <v>0</v>
      </c>
      <c r="S76" s="479">
        <f t="shared" si="8"/>
        <v>0</v>
      </c>
      <c r="T76" s="476"/>
      <c r="U76" s="471" t="s">
        <v>94</v>
      </c>
      <c r="V76" s="480">
        <f>IF(U76="한국 원화(KRW)",1,IF(OR(U76=환율!$A$6,U76=환율!$A$7),VLOOKUP(NAV!U76,환율!$A$6:$B$7,2,),IF(RIGHT(U76,5)="(100)",(VLOOKUP(NAV!U76,환율!$A$11:$B$65,2,))/100,VLOOKUP(NAV!U76,환율!$A$11:$B$65,2,))))</f>
        <v>1</v>
      </c>
      <c r="W76" s="524"/>
      <c r="X76" s="482">
        <f t="shared" si="9"/>
        <v>0</v>
      </c>
      <c r="Y76" s="524"/>
      <c r="Z76" s="524">
        <v>0</v>
      </c>
      <c r="AA76" s="483">
        <f t="shared" si="7"/>
        <v>0</v>
      </c>
      <c r="AB76" s="525"/>
      <c r="AC76" s="526" t="str">
        <f t="shared" si="10"/>
        <v>2년이상</v>
      </c>
      <c r="AD76" s="520" t="str">
        <f t="shared" si="11"/>
        <v/>
      </c>
      <c r="AE76" s="527">
        <f t="shared" si="14"/>
        <v>0</v>
      </c>
      <c r="AF76" s="527">
        <f t="shared" si="15"/>
        <v>0</v>
      </c>
      <c r="AG76" s="485"/>
      <c r="AH76" s="485"/>
      <c r="AI76" s="404"/>
    </row>
    <row r="77" spans="1:35" ht="12.75" hidden="1" outlineLevel="1" thickBot="1">
      <c r="A77" s="415"/>
      <c r="B77" s="415"/>
      <c r="I77" s="522">
        <v>35</v>
      </c>
      <c r="J77" s="523"/>
      <c r="K77" s="472"/>
      <c r="L77" s="523"/>
      <c r="M77" s="476"/>
      <c r="N77" s="476"/>
      <c r="O77" s="523"/>
      <c r="P77" s="476"/>
      <c r="Q77" s="524"/>
      <c r="R77" s="478">
        <f>IFERROR(INDEX(기초자산!M$6:M$408,MATCH(K77&amp;N77&amp;O77,기초자산!$A$6:$A$408,0),0),0)</f>
        <v>0</v>
      </c>
      <c r="S77" s="479">
        <f t="shared" si="8"/>
        <v>0</v>
      </c>
      <c r="T77" s="476"/>
      <c r="U77" s="471" t="s">
        <v>94</v>
      </c>
      <c r="V77" s="480">
        <f>IF(U77="한국 원화(KRW)",1,IF(OR(U77=환율!$A$6,U77=환율!$A$7),VLOOKUP(NAV!U77,환율!$A$6:$B$7,2,),IF(RIGHT(U77,5)="(100)",(VLOOKUP(NAV!U77,환율!$A$11:$B$65,2,))/100,VLOOKUP(NAV!U77,환율!$A$11:$B$65,2,))))</f>
        <v>1</v>
      </c>
      <c r="W77" s="524"/>
      <c r="X77" s="482">
        <f t="shared" si="9"/>
        <v>0</v>
      </c>
      <c r="Y77" s="524"/>
      <c r="Z77" s="524">
        <v>0</v>
      </c>
      <c r="AA77" s="483">
        <f t="shared" si="7"/>
        <v>0</v>
      </c>
      <c r="AB77" s="525"/>
      <c r="AC77" s="526" t="str">
        <f t="shared" si="10"/>
        <v>2년이상</v>
      </c>
      <c r="AD77" s="520" t="str">
        <f t="shared" si="11"/>
        <v/>
      </c>
      <c r="AE77" s="527">
        <f t="shared" si="14"/>
        <v>0</v>
      </c>
      <c r="AF77" s="527">
        <f t="shared" si="15"/>
        <v>0</v>
      </c>
      <c r="AG77" s="485"/>
      <c r="AH77" s="485"/>
      <c r="AI77" s="404"/>
    </row>
    <row r="78" spans="1:35" ht="12.75" hidden="1" outlineLevel="1" thickBot="1">
      <c r="A78" s="415"/>
      <c r="B78" s="415"/>
      <c r="I78" s="522">
        <v>36</v>
      </c>
      <c r="J78" s="523"/>
      <c r="K78" s="472"/>
      <c r="L78" s="523"/>
      <c r="M78" s="476"/>
      <c r="N78" s="476"/>
      <c r="O78" s="523"/>
      <c r="P78" s="476"/>
      <c r="Q78" s="524"/>
      <c r="R78" s="478">
        <f>IFERROR(INDEX(기초자산!M$6:M$408,MATCH(K78&amp;N78&amp;O78,기초자산!$A$6:$A$408,0),0),0)</f>
        <v>0</v>
      </c>
      <c r="S78" s="479">
        <f t="shared" si="8"/>
        <v>0</v>
      </c>
      <c r="T78" s="476"/>
      <c r="U78" s="471" t="s">
        <v>94</v>
      </c>
      <c r="V78" s="480">
        <f>IF(U78="한국 원화(KRW)",1,IF(OR(U78=환율!$A$6,U78=환율!$A$7),VLOOKUP(NAV!U78,환율!$A$6:$B$7,2,),IF(RIGHT(U78,5)="(100)",(VLOOKUP(NAV!U78,환율!$A$11:$B$65,2,))/100,VLOOKUP(NAV!U78,환율!$A$11:$B$65,2,))))</f>
        <v>1</v>
      </c>
      <c r="W78" s="524"/>
      <c r="X78" s="482">
        <f t="shared" si="9"/>
        <v>0</v>
      </c>
      <c r="Y78" s="524"/>
      <c r="Z78" s="524">
        <v>0</v>
      </c>
      <c r="AA78" s="483">
        <f t="shared" si="7"/>
        <v>0</v>
      </c>
      <c r="AB78" s="525"/>
      <c r="AC78" s="526" t="str">
        <f t="shared" si="10"/>
        <v>2년이상</v>
      </c>
      <c r="AD78" s="520" t="str">
        <f t="shared" si="11"/>
        <v/>
      </c>
      <c r="AE78" s="527">
        <f t="shared" si="14"/>
        <v>0</v>
      </c>
      <c r="AF78" s="527">
        <f t="shared" si="15"/>
        <v>0</v>
      </c>
      <c r="AG78" s="485"/>
      <c r="AH78" s="485"/>
      <c r="AI78" s="404"/>
    </row>
    <row r="79" spans="1:35" ht="12.75" hidden="1" outlineLevel="1" thickBot="1">
      <c r="A79" s="415"/>
      <c r="B79" s="415"/>
      <c r="I79" s="522">
        <v>37</v>
      </c>
      <c r="J79" s="523"/>
      <c r="K79" s="472"/>
      <c r="L79" s="523"/>
      <c r="M79" s="476"/>
      <c r="N79" s="476"/>
      <c r="O79" s="523"/>
      <c r="P79" s="476"/>
      <c r="Q79" s="524"/>
      <c r="R79" s="478">
        <f>IFERROR(INDEX(기초자산!M$6:M$408,MATCH(K79&amp;N79&amp;O79,기초자산!$A$6:$A$408,0),0),0)</f>
        <v>0</v>
      </c>
      <c r="S79" s="479">
        <f t="shared" si="8"/>
        <v>0</v>
      </c>
      <c r="T79" s="476"/>
      <c r="U79" s="471" t="s">
        <v>94</v>
      </c>
      <c r="V79" s="480">
        <f>IF(U79="한국 원화(KRW)",1,IF(OR(U79=환율!$A$6,U79=환율!$A$7),VLOOKUP(NAV!U79,환율!$A$6:$B$7,2,),IF(RIGHT(U79,5)="(100)",(VLOOKUP(NAV!U79,환율!$A$11:$B$65,2,))/100,VLOOKUP(NAV!U79,환율!$A$11:$B$65,2,))))</f>
        <v>1</v>
      </c>
      <c r="W79" s="524"/>
      <c r="X79" s="482">
        <f t="shared" si="9"/>
        <v>0</v>
      </c>
      <c r="Y79" s="524"/>
      <c r="Z79" s="524">
        <v>0</v>
      </c>
      <c r="AA79" s="483">
        <f t="shared" si="7"/>
        <v>0</v>
      </c>
      <c r="AB79" s="525"/>
      <c r="AC79" s="526" t="str">
        <f t="shared" si="10"/>
        <v>2년이상</v>
      </c>
      <c r="AD79" s="520" t="str">
        <f t="shared" si="11"/>
        <v/>
      </c>
      <c r="AE79" s="527">
        <f t="shared" si="14"/>
        <v>0</v>
      </c>
      <c r="AF79" s="527">
        <f t="shared" si="15"/>
        <v>0</v>
      </c>
      <c r="AG79" s="485"/>
      <c r="AH79" s="485"/>
      <c r="AI79" s="404"/>
    </row>
    <row r="80" spans="1:35" ht="12.75" hidden="1" outlineLevel="1" thickBot="1">
      <c r="A80" s="415"/>
      <c r="B80" s="415"/>
      <c r="I80" s="522">
        <v>38</v>
      </c>
      <c r="J80" s="523"/>
      <c r="K80" s="472"/>
      <c r="L80" s="523"/>
      <c r="M80" s="476"/>
      <c r="N80" s="476"/>
      <c r="O80" s="523"/>
      <c r="P80" s="476"/>
      <c r="Q80" s="524"/>
      <c r="R80" s="478">
        <f>IFERROR(INDEX(기초자산!M$6:M$408,MATCH(K80&amp;N80&amp;O80,기초자산!$A$6:$A$408,0),0),0)</f>
        <v>0</v>
      </c>
      <c r="S80" s="479">
        <f t="shared" si="8"/>
        <v>0</v>
      </c>
      <c r="T80" s="476"/>
      <c r="U80" s="471" t="s">
        <v>94</v>
      </c>
      <c r="V80" s="480">
        <f>IF(U80="한국 원화(KRW)",1,IF(OR(U80=환율!$A$6,U80=환율!$A$7),VLOOKUP(NAV!U80,환율!$A$6:$B$7,2,),IF(RIGHT(U80,5)="(100)",(VLOOKUP(NAV!U80,환율!$A$11:$B$65,2,))/100,VLOOKUP(NAV!U80,환율!$A$11:$B$65,2,))))</f>
        <v>1</v>
      </c>
      <c r="W80" s="524"/>
      <c r="X80" s="482">
        <f t="shared" si="9"/>
        <v>0</v>
      </c>
      <c r="Y80" s="524"/>
      <c r="Z80" s="524">
        <v>0</v>
      </c>
      <c r="AA80" s="483">
        <f t="shared" si="7"/>
        <v>0</v>
      </c>
      <c r="AB80" s="525"/>
      <c r="AC80" s="526" t="str">
        <f t="shared" si="10"/>
        <v>2년이상</v>
      </c>
      <c r="AD80" s="520" t="str">
        <f t="shared" si="11"/>
        <v/>
      </c>
      <c r="AE80" s="527">
        <f t="shared" si="14"/>
        <v>0</v>
      </c>
      <c r="AF80" s="527">
        <f t="shared" si="15"/>
        <v>0</v>
      </c>
      <c r="AG80" s="485"/>
      <c r="AH80" s="485"/>
      <c r="AI80" s="404"/>
    </row>
    <row r="81" spans="1:35" ht="12.75" hidden="1" outlineLevel="1" thickBot="1">
      <c r="A81" s="415"/>
      <c r="B81" s="415"/>
      <c r="I81" s="522">
        <v>39</v>
      </c>
      <c r="J81" s="523"/>
      <c r="K81" s="472"/>
      <c r="L81" s="523"/>
      <c r="M81" s="476"/>
      <c r="N81" s="476"/>
      <c r="O81" s="523"/>
      <c r="P81" s="476"/>
      <c r="Q81" s="524"/>
      <c r="R81" s="478">
        <f>IFERROR(INDEX(기초자산!M$6:M$408,MATCH(K81&amp;N81&amp;O81,기초자산!$A$6:$A$408,0),0),0)</f>
        <v>0</v>
      </c>
      <c r="S81" s="479">
        <f t="shared" si="8"/>
        <v>0</v>
      </c>
      <c r="T81" s="476"/>
      <c r="U81" s="471" t="s">
        <v>94</v>
      </c>
      <c r="V81" s="480">
        <f>IF(U81="한국 원화(KRW)",1,IF(OR(U81=환율!$A$6,U81=환율!$A$7),VLOOKUP(NAV!U81,환율!$A$6:$B$7,2,),IF(RIGHT(U81,5)="(100)",(VLOOKUP(NAV!U81,환율!$A$11:$B$65,2,))/100,VLOOKUP(NAV!U81,환율!$A$11:$B$65,2,))))</f>
        <v>1</v>
      </c>
      <c r="W81" s="524"/>
      <c r="X81" s="482">
        <f t="shared" si="9"/>
        <v>0</v>
      </c>
      <c r="Y81" s="524"/>
      <c r="Z81" s="524">
        <v>0</v>
      </c>
      <c r="AA81" s="483">
        <f t="shared" si="7"/>
        <v>0</v>
      </c>
      <c r="AB81" s="525"/>
      <c r="AC81" s="526" t="str">
        <f t="shared" si="10"/>
        <v>2년이상</v>
      </c>
      <c r="AD81" s="520" t="str">
        <f t="shared" si="11"/>
        <v/>
      </c>
      <c r="AE81" s="527">
        <f t="shared" si="14"/>
        <v>0</v>
      </c>
      <c r="AF81" s="527">
        <f t="shared" si="15"/>
        <v>0</v>
      </c>
      <c r="AG81" s="485"/>
      <c r="AH81" s="485"/>
      <c r="AI81" s="404"/>
    </row>
    <row r="82" spans="1:35" ht="12.75" hidden="1" outlineLevel="1" thickBot="1">
      <c r="A82" s="415"/>
      <c r="B82" s="415"/>
      <c r="I82" s="522">
        <v>40</v>
      </c>
      <c r="J82" s="523"/>
      <c r="K82" s="472"/>
      <c r="L82" s="523"/>
      <c r="M82" s="476"/>
      <c r="N82" s="476"/>
      <c r="O82" s="523"/>
      <c r="P82" s="476"/>
      <c r="Q82" s="524"/>
      <c r="R82" s="478">
        <f>IFERROR(INDEX(기초자산!M$6:M$408,MATCH(K82&amp;N82&amp;O82,기초자산!$A$6:$A$408,0),0),0)</f>
        <v>0</v>
      </c>
      <c r="S82" s="479">
        <f t="shared" si="8"/>
        <v>0</v>
      </c>
      <c r="T82" s="476"/>
      <c r="U82" s="471" t="s">
        <v>94</v>
      </c>
      <c r="V82" s="480">
        <f>IF(U82="한국 원화(KRW)",1,IF(OR(U82=환율!$A$6,U82=환율!$A$7),VLOOKUP(NAV!U82,환율!$A$6:$B$7,2,),IF(RIGHT(U82,5)="(100)",(VLOOKUP(NAV!U82,환율!$A$11:$B$65,2,))/100,VLOOKUP(NAV!U82,환율!$A$11:$B$65,2,))))</f>
        <v>1</v>
      </c>
      <c r="W82" s="524"/>
      <c r="X82" s="482">
        <f t="shared" si="9"/>
        <v>0</v>
      </c>
      <c r="Y82" s="524"/>
      <c r="Z82" s="524">
        <v>0</v>
      </c>
      <c r="AA82" s="483">
        <f t="shared" si="7"/>
        <v>0</v>
      </c>
      <c r="AB82" s="525"/>
      <c r="AC82" s="526" t="str">
        <f t="shared" si="10"/>
        <v>2년이상</v>
      </c>
      <c r="AD82" s="520" t="str">
        <f t="shared" si="11"/>
        <v/>
      </c>
      <c r="AE82" s="527">
        <f t="shared" si="14"/>
        <v>0</v>
      </c>
      <c r="AF82" s="527">
        <f t="shared" si="15"/>
        <v>0</v>
      </c>
      <c r="AG82" s="485"/>
      <c r="AH82" s="485"/>
      <c r="AI82" s="404"/>
    </row>
    <row r="83" spans="1:35" ht="12.75" hidden="1" outlineLevel="1" thickBot="1">
      <c r="A83" s="415"/>
      <c r="B83" s="415"/>
      <c r="I83" s="522">
        <v>41</v>
      </c>
      <c r="J83" s="523"/>
      <c r="K83" s="472"/>
      <c r="L83" s="523"/>
      <c r="M83" s="476"/>
      <c r="N83" s="476"/>
      <c r="O83" s="523"/>
      <c r="P83" s="476"/>
      <c r="Q83" s="524"/>
      <c r="R83" s="478">
        <f>IFERROR(INDEX(기초자산!M$6:M$408,MATCH(K83&amp;N83&amp;O83,기초자산!$A$6:$A$408,0),0),0)</f>
        <v>0</v>
      </c>
      <c r="S83" s="479">
        <f t="shared" si="8"/>
        <v>0</v>
      </c>
      <c r="T83" s="476"/>
      <c r="U83" s="471" t="s">
        <v>94</v>
      </c>
      <c r="V83" s="480">
        <f>IF(U83="한국 원화(KRW)",1,IF(OR(U83=환율!$A$6,U83=환율!$A$7),VLOOKUP(NAV!U83,환율!$A$6:$B$7,2,),IF(RIGHT(U83,5)="(100)",(VLOOKUP(NAV!U83,환율!$A$11:$B$65,2,))/100,VLOOKUP(NAV!U83,환율!$A$11:$B$65,2,))))</f>
        <v>1</v>
      </c>
      <c r="W83" s="524"/>
      <c r="X83" s="482">
        <f t="shared" si="9"/>
        <v>0</v>
      </c>
      <c r="Y83" s="524"/>
      <c r="Z83" s="524">
        <v>0</v>
      </c>
      <c r="AA83" s="483">
        <f t="shared" si="7"/>
        <v>0</v>
      </c>
      <c r="AB83" s="525"/>
      <c r="AC83" s="526" t="str">
        <f t="shared" si="10"/>
        <v>2년이상</v>
      </c>
      <c r="AD83" s="520" t="str">
        <f t="shared" si="11"/>
        <v/>
      </c>
      <c r="AE83" s="527">
        <f t="shared" si="14"/>
        <v>0</v>
      </c>
      <c r="AF83" s="527">
        <f t="shared" si="15"/>
        <v>0</v>
      </c>
      <c r="AG83" s="485"/>
      <c r="AH83" s="485"/>
      <c r="AI83" s="404"/>
    </row>
    <row r="84" spans="1:35" ht="12.75" hidden="1" outlineLevel="1" thickBot="1">
      <c r="A84" s="415"/>
      <c r="B84" s="415"/>
      <c r="I84" s="522">
        <v>42</v>
      </c>
      <c r="J84" s="523"/>
      <c r="K84" s="472"/>
      <c r="L84" s="523"/>
      <c r="M84" s="476"/>
      <c r="N84" s="476"/>
      <c r="O84" s="523"/>
      <c r="P84" s="476"/>
      <c r="Q84" s="524"/>
      <c r="R84" s="478">
        <f>IFERROR(INDEX(기초자산!M$6:M$408,MATCH(K84&amp;N84&amp;O84,기초자산!$A$6:$A$408,0),0),0)</f>
        <v>0</v>
      </c>
      <c r="S84" s="479">
        <f t="shared" si="8"/>
        <v>0</v>
      </c>
      <c r="T84" s="476"/>
      <c r="U84" s="471" t="s">
        <v>94</v>
      </c>
      <c r="V84" s="480">
        <f>IF(U84="한국 원화(KRW)",1,IF(OR(U84=환율!$A$6,U84=환율!$A$7),VLOOKUP(NAV!U84,환율!$A$6:$B$7,2,),IF(RIGHT(U84,5)="(100)",(VLOOKUP(NAV!U84,환율!$A$11:$B$65,2,))/100,VLOOKUP(NAV!U84,환율!$A$11:$B$65,2,))))</f>
        <v>1</v>
      </c>
      <c r="W84" s="524"/>
      <c r="X84" s="482">
        <f t="shared" si="9"/>
        <v>0</v>
      </c>
      <c r="Y84" s="524"/>
      <c r="Z84" s="524">
        <v>0</v>
      </c>
      <c r="AA84" s="483">
        <f t="shared" si="7"/>
        <v>0</v>
      </c>
      <c r="AB84" s="525"/>
      <c r="AC84" s="526" t="str">
        <f t="shared" si="10"/>
        <v>2년이상</v>
      </c>
      <c r="AD84" s="520" t="str">
        <f t="shared" si="11"/>
        <v/>
      </c>
      <c r="AE84" s="527">
        <f t="shared" si="14"/>
        <v>0</v>
      </c>
      <c r="AF84" s="527">
        <f t="shared" si="15"/>
        <v>0</v>
      </c>
      <c r="AG84" s="485"/>
      <c r="AH84" s="485"/>
      <c r="AI84" s="404"/>
    </row>
    <row r="85" spans="1:35" ht="12.75" hidden="1" outlineLevel="1" thickBot="1">
      <c r="A85" s="415"/>
      <c r="B85" s="415"/>
      <c r="I85" s="522">
        <v>43</v>
      </c>
      <c r="J85" s="523"/>
      <c r="K85" s="472"/>
      <c r="L85" s="523"/>
      <c r="M85" s="476"/>
      <c r="N85" s="476"/>
      <c r="O85" s="523"/>
      <c r="P85" s="476"/>
      <c r="Q85" s="524"/>
      <c r="R85" s="478">
        <f>IFERROR(INDEX(기초자산!M$6:M$408,MATCH(K85&amp;N85&amp;O85,기초자산!$A$6:$A$408,0),0),0)</f>
        <v>0</v>
      </c>
      <c r="S85" s="479">
        <f t="shared" si="8"/>
        <v>0</v>
      </c>
      <c r="T85" s="476"/>
      <c r="U85" s="471" t="s">
        <v>94</v>
      </c>
      <c r="V85" s="480">
        <f>IF(U85="한국 원화(KRW)",1,IF(OR(U85=환율!$A$6,U85=환율!$A$7),VLOOKUP(NAV!U85,환율!$A$6:$B$7,2,),IF(RIGHT(U85,5)="(100)",(VLOOKUP(NAV!U85,환율!$A$11:$B$65,2,))/100,VLOOKUP(NAV!U85,환율!$A$11:$B$65,2,))))</f>
        <v>1</v>
      </c>
      <c r="W85" s="524"/>
      <c r="X85" s="482">
        <f t="shared" si="9"/>
        <v>0</v>
      </c>
      <c r="Y85" s="524"/>
      <c r="Z85" s="524">
        <v>0</v>
      </c>
      <c r="AA85" s="483">
        <f t="shared" si="7"/>
        <v>0</v>
      </c>
      <c r="AB85" s="525"/>
      <c r="AC85" s="526" t="str">
        <f t="shared" si="10"/>
        <v>2년이상</v>
      </c>
      <c r="AD85" s="520" t="str">
        <f t="shared" si="11"/>
        <v/>
      </c>
      <c r="AE85" s="527">
        <f t="shared" si="14"/>
        <v>0</v>
      </c>
      <c r="AF85" s="527">
        <f t="shared" si="15"/>
        <v>0</v>
      </c>
      <c r="AG85" s="485"/>
      <c r="AH85" s="485"/>
      <c r="AI85" s="404"/>
    </row>
    <row r="86" spans="1:35" ht="12.75" hidden="1" outlineLevel="1" thickBot="1">
      <c r="A86" s="415"/>
      <c r="B86" s="415"/>
      <c r="I86" s="522">
        <v>44</v>
      </c>
      <c r="J86" s="523"/>
      <c r="K86" s="472"/>
      <c r="L86" s="523"/>
      <c r="M86" s="476"/>
      <c r="N86" s="476"/>
      <c r="O86" s="523"/>
      <c r="P86" s="476"/>
      <c r="Q86" s="524"/>
      <c r="R86" s="478">
        <f>IFERROR(INDEX(기초자산!M$6:M$408,MATCH(K86&amp;N86&amp;O86,기초자산!$A$6:$A$408,0),0),0)</f>
        <v>0</v>
      </c>
      <c r="S86" s="479">
        <f t="shared" si="8"/>
        <v>0</v>
      </c>
      <c r="T86" s="476"/>
      <c r="U86" s="471" t="s">
        <v>94</v>
      </c>
      <c r="V86" s="480">
        <f>IF(U86="한국 원화(KRW)",1,IF(OR(U86=환율!$A$6,U86=환율!$A$7),VLOOKUP(NAV!U86,환율!$A$6:$B$7,2,),IF(RIGHT(U86,5)="(100)",(VLOOKUP(NAV!U86,환율!$A$11:$B$65,2,))/100,VLOOKUP(NAV!U86,환율!$A$11:$B$65,2,))))</f>
        <v>1</v>
      </c>
      <c r="W86" s="524"/>
      <c r="X86" s="482">
        <f t="shared" si="9"/>
        <v>0</v>
      </c>
      <c r="Y86" s="524"/>
      <c r="Z86" s="524">
        <v>0</v>
      </c>
      <c r="AA86" s="483">
        <f t="shared" si="7"/>
        <v>0</v>
      </c>
      <c r="AB86" s="525"/>
      <c r="AC86" s="526" t="str">
        <f t="shared" si="10"/>
        <v>2년이상</v>
      </c>
      <c r="AD86" s="520" t="str">
        <f t="shared" si="11"/>
        <v/>
      </c>
      <c r="AE86" s="527">
        <f t="shared" si="14"/>
        <v>0</v>
      </c>
      <c r="AF86" s="527">
        <f t="shared" si="15"/>
        <v>0</v>
      </c>
      <c r="AG86" s="485"/>
      <c r="AH86" s="485"/>
      <c r="AI86" s="404"/>
    </row>
    <row r="87" spans="1:35" ht="12.75" hidden="1" outlineLevel="1" thickBot="1">
      <c r="A87" s="415"/>
      <c r="B87" s="415"/>
      <c r="I87" s="522">
        <v>45</v>
      </c>
      <c r="J87" s="523"/>
      <c r="K87" s="472"/>
      <c r="L87" s="523"/>
      <c r="M87" s="476"/>
      <c r="N87" s="476"/>
      <c r="O87" s="523"/>
      <c r="P87" s="476"/>
      <c r="Q87" s="524"/>
      <c r="R87" s="478">
        <f>IFERROR(INDEX(기초자산!M$6:M$408,MATCH(K87&amp;N87&amp;O87,기초자산!$A$6:$A$408,0),0),0)</f>
        <v>0</v>
      </c>
      <c r="S87" s="479">
        <f t="shared" si="8"/>
        <v>0</v>
      </c>
      <c r="T87" s="476"/>
      <c r="U87" s="471" t="s">
        <v>94</v>
      </c>
      <c r="V87" s="480">
        <f>IF(U87="한국 원화(KRW)",1,IF(OR(U87=환율!$A$6,U87=환율!$A$7),VLOOKUP(NAV!U87,환율!$A$6:$B$7,2,),IF(RIGHT(U87,5)="(100)",(VLOOKUP(NAV!U87,환율!$A$11:$B$65,2,))/100,VLOOKUP(NAV!U87,환율!$A$11:$B$65,2,))))</f>
        <v>1</v>
      </c>
      <c r="W87" s="524"/>
      <c r="X87" s="482">
        <f t="shared" si="9"/>
        <v>0</v>
      </c>
      <c r="Y87" s="524"/>
      <c r="Z87" s="524">
        <v>0</v>
      </c>
      <c r="AA87" s="483">
        <f t="shared" si="7"/>
        <v>0</v>
      </c>
      <c r="AB87" s="525"/>
      <c r="AC87" s="526" t="str">
        <f t="shared" si="10"/>
        <v>2년이상</v>
      </c>
      <c r="AD87" s="520" t="str">
        <f t="shared" si="11"/>
        <v/>
      </c>
      <c r="AE87" s="527">
        <f t="shared" si="14"/>
        <v>0</v>
      </c>
      <c r="AF87" s="527">
        <f t="shared" si="15"/>
        <v>0</v>
      </c>
      <c r="AG87" s="485"/>
      <c r="AH87" s="485"/>
      <c r="AI87" s="404"/>
    </row>
    <row r="88" spans="1:35" ht="12.75" hidden="1" outlineLevel="1" thickBot="1">
      <c r="A88" s="415"/>
      <c r="B88" s="415"/>
      <c r="I88" s="522">
        <v>46</v>
      </c>
      <c r="J88" s="523"/>
      <c r="K88" s="472"/>
      <c r="L88" s="523"/>
      <c r="M88" s="476"/>
      <c r="N88" s="476"/>
      <c r="O88" s="523"/>
      <c r="P88" s="476"/>
      <c r="Q88" s="524"/>
      <c r="R88" s="478">
        <f>IFERROR(INDEX(기초자산!M$6:M$408,MATCH(K88&amp;N88&amp;O88,기초자산!$A$6:$A$408,0),0),0)</f>
        <v>0</v>
      </c>
      <c r="S88" s="479">
        <f t="shared" si="8"/>
        <v>0</v>
      </c>
      <c r="T88" s="476"/>
      <c r="U88" s="471" t="s">
        <v>94</v>
      </c>
      <c r="V88" s="480">
        <f>IF(U88="한국 원화(KRW)",1,IF(OR(U88=환율!$A$6,U88=환율!$A$7),VLOOKUP(NAV!U88,환율!$A$6:$B$7,2,),IF(RIGHT(U88,5)="(100)",(VLOOKUP(NAV!U88,환율!$A$11:$B$65,2,))/100,VLOOKUP(NAV!U88,환율!$A$11:$B$65,2,))))</f>
        <v>1</v>
      </c>
      <c r="W88" s="524"/>
      <c r="X88" s="482">
        <f t="shared" si="9"/>
        <v>0</v>
      </c>
      <c r="Y88" s="524"/>
      <c r="Z88" s="524">
        <v>0</v>
      </c>
      <c r="AA88" s="483">
        <f t="shared" si="7"/>
        <v>0</v>
      </c>
      <c r="AB88" s="525"/>
      <c r="AC88" s="526" t="str">
        <f t="shared" si="10"/>
        <v>2년이상</v>
      </c>
      <c r="AD88" s="520" t="str">
        <f t="shared" si="11"/>
        <v/>
      </c>
      <c r="AE88" s="527">
        <f t="shared" si="14"/>
        <v>0</v>
      </c>
      <c r="AF88" s="527">
        <f t="shared" si="15"/>
        <v>0</v>
      </c>
      <c r="AG88" s="485"/>
      <c r="AH88" s="485"/>
      <c r="AI88" s="404"/>
    </row>
    <row r="89" spans="1:35" ht="12.75" hidden="1" outlineLevel="1" thickBot="1">
      <c r="A89" s="415"/>
      <c r="B89" s="415"/>
      <c r="I89" s="522">
        <v>47</v>
      </c>
      <c r="J89" s="523"/>
      <c r="K89" s="472"/>
      <c r="L89" s="523"/>
      <c r="M89" s="476"/>
      <c r="N89" s="476"/>
      <c r="O89" s="523"/>
      <c r="P89" s="476"/>
      <c r="Q89" s="524"/>
      <c r="R89" s="478">
        <f>IFERROR(INDEX(기초자산!M$6:M$408,MATCH(K89&amp;N89&amp;O89,기초자산!$A$6:$A$408,0),0),0)</f>
        <v>0</v>
      </c>
      <c r="S89" s="479">
        <f t="shared" si="8"/>
        <v>0</v>
      </c>
      <c r="T89" s="476"/>
      <c r="U89" s="471" t="s">
        <v>94</v>
      </c>
      <c r="V89" s="480">
        <f>IF(U89="한국 원화(KRW)",1,IF(OR(U89=환율!$A$6,U89=환율!$A$7),VLOOKUP(NAV!U89,환율!$A$6:$B$7,2,),IF(RIGHT(U89,5)="(100)",(VLOOKUP(NAV!U89,환율!$A$11:$B$65,2,))/100,VLOOKUP(NAV!U89,환율!$A$11:$B$65,2,))))</f>
        <v>1</v>
      </c>
      <c r="W89" s="524"/>
      <c r="X89" s="482">
        <f t="shared" si="9"/>
        <v>0</v>
      </c>
      <c r="Y89" s="524"/>
      <c r="Z89" s="524">
        <v>0</v>
      </c>
      <c r="AA89" s="483">
        <f t="shared" si="7"/>
        <v>0</v>
      </c>
      <c r="AB89" s="525"/>
      <c r="AC89" s="526" t="str">
        <f t="shared" si="10"/>
        <v>2년이상</v>
      </c>
      <c r="AD89" s="520" t="str">
        <f t="shared" si="11"/>
        <v/>
      </c>
      <c r="AE89" s="527">
        <f t="shared" si="14"/>
        <v>0</v>
      </c>
      <c r="AF89" s="527">
        <f t="shared" si="15"/>
        <v>0</v>
      </c>
      <c r="AG89" s="485"/>
      <c r="AH89" s="485"/>
      <c r="AI89" s="404"/>
    </row>
    <row r="90" spans="1:35" ht="12.75" hidden="1" outlineLevel="1" thickBot="1">
      <c r="A90" s="415"/>
      <c r="B90" s="415"/>
      <c r="I90" s="522">
        <v>48</v>
      </c>
      <c r="J90" s="523"/>
      <c r="K90" s="472"/>
      <c r="L90" s="523"/>
      <c r="M90" s="476"/>
      <c r="N90" s="476"/>
      <c r="O90" s="523"/>
      <c r="P90" s="476"/>
      <c r="Q90" s="524"/>
      <c r="R90" s="478">
        <f>IFERROR(INDEX(기초자산!M$6:M$408,MATCH(K90&amp;N90&amp;O90,기초자산!$A$6:$A$408,0),0),0)</f>
        <v>0</v>
      </c>
      <c r="S90" s="479">
        <f t="shared" si="8"/>
        <v>0</v>
      </c>
      <c r="T90" s="476"/>
      <c r="U90" s="471" t="s">
        <v>94</v>
      </c>
      <c r="V90" s="480">
        <f>IF(U90="한국 원화(KRW)",1,IF(OR(U90=환율!$A$6,U90=환율!$A$7),VLOOKUP(NAV!U90,환율!$A$6:$B$7,2,),IF(RIGHT(U90,5)="(100)",(VLOOKUP(NAV!U90,환율!$A$11:$B$65,2,))/100,VLOOKUP(NAV!U90,환율!$A$11:$B$65,2,))))</f>
        <v>1</v>
      </c>
      <c r="W90" s="524"/>
      <c r="X90" s="482">
        <f t="shared" si="9"/>
        <v>0</v>
      </c>
      <c r="Y90" s="524"/>
      <c r="Z90" s="524">
        <v>0</v>
      </c>
      <c r="AA90" s="483">
        <f t="shared" si="7"/>
        <v>0</v>
      </c>
      <c r="AB90" s="525"/>
      <c r="AC90" s="526" t="str">
        <f t="shared" si="10"/>
        <v>2년이상</v>
      </c>
      <c r="AD90" s="520" t="str">
        <f t="shared" si="11"/>
        <v/>
      </c>
      <c r="AE90" s="527">
        <f t="shared" si="14"/>
        <v>0</v>
      </c>
      <c r="AF90" s="527">
        <f t="shared" si="15"/>
        <v>0</v>
      </c>
      <c r="AG90" s="485"/>
      <c r="AH90" s="485"/>
      <c r="AI90" s="404"/>
    </row>
    <row r="91" spans="1:35" ht="12.75" hidden="1" outlineLevel="1" thickBot="1">
      <c r="A91" s="415"/>
      <c r="B91" s="415"/>
      <c r="I91" s="522">
        <v>49</v>
      </c>
      <c r="J91" s="523"/>
      <c r="K91" s="472"/>
      <c r="L91" s="523"/>
      <c r="M91" s="476"/>
      <c r="N91" s="476"/>
      <c r="O91" s="523"/>
      <c r="P91" s="476"/>
      <c r="Q91" s="524"/>
      <c r="R91" s="478">
        <f>IFERROR(INDEX(기초자산!M$6:M$408,MATCH(K91&amp;N91&amp;O91,기초자산!$A$6:$A$408,0),0),0)</f>
        <v>0</v>
      </c>
      <c r="S91" s="479">
        <f t="shared" si="8"/>
        <v>0</v>
      </c>
      <c r="T91" s="476"/>
      <c r="U91" s="471" t="s">
        <v>94</v>
      </c>
      <c r="V91" s="480">
        <f>IF(U91="한국 원화(KRW)",1,IF(OR(U91=환율!$A$6,U91=환율!$A$7),VLOOKUP(NAV!U91,환율!$A$6:$B$7,2,),IF(RIGHT(U91,5)="(100)",(VLOOKUP(NAV!U91,환율!$A$11:$B$65,2,))/100,VLOOKUP(NAV!U91,환율!$A$11:$B$65,2,))))</f>
        <v>1</v>
      </c>
      <c r="W91" s="524"/>
      <c r="X91" s="482">
        <f t="shared" si="9"/>
        <v>0</v>
      </c>
      <c r="Y91" s="524"/>
      <c r="Z91" s="524">
        <v>0</v>
      </c>
      <c r="AA91" s="483">
        <f t="shared" si="7"/>
        <v>0</v>
      </c>
      <c r="AB91" s="525"/>
      <c r="AC91" s="526" t="str">
        <f t="shared" si="10"/>
        <v>2년이상</v>
      </c>
      <c r="AD91" s="520" t="str">
        <f t="shared" si="11"/>
        <v/>
      </c>
      <c r="AE91" s="527">
        <f t="shared" si="14"/>
        <v>0</v>
      </c>
      <c r="AF91" s="527">
        <f t="shared" si="15"/>
        <v>0</v>
      </c>
      <c r="AG91" s="485"/>
      <c r="AH91" s="485"/>
      <c r="AI91" s="404"/>
    </row>
    <row r="92" spans="1:35" ht="12.75" hidden="1" outlineLevel="1" thickBot="1">
      <c r="A92" s="415"/>
      <c r="B92" s="415"/>
      <c r="I92" s="522">
        <v>50</v>
      </c>
      <c r="J92" s="523"/>
      <c r="K92" s="472"/>
      <c r="L92" s="523"/>
      <c r="M92" s="476"/>
      <c r="N92" s="476"/>
      <c r="O92" s="523"/>
      <c r="P92" s="476"/>
      <c r="Q92" s="524"/>
      <c r="R92" s="478">
        <f>IFERROR(INDEX(기초자산!M$6:M$408,MATCH(K92&amp;N92&amp;O92,기초자산!$A$6:$A$408,0),0),0)</f>
        <v>0</v>
      </c>
      <c r="S92" s="479">
        <f t="shared" si="8"/>
        <v>0</v>
      </c>
      <c r="T92" s="476"/>
      <c r="U92" s="471" t="s">
        <v>94</v>
      </c>
      <c r="V92" s="480">
        <f>IF(U92="한국 원화(KRW)",1,IF(OR(U92=환율!$A$6,U92=환율!$A$7),VLOOKUP(NAV!U92,환율!$A$6:$B$7,2,),IF(RIGHT(U92,5)="(100)",(VLOOKUP(NAV!U92,환율!$A$11:$B$65,2,))/100,VLOOKUP(NAV!U92,환율!$A$11:$B$65,2,))))</f>
        <v>1</v>
      </c>
      <c r="W92" s="524"/>
      <c r="X92" s="482">
        <f t="shared" si="9"/>
        <v>0</v>
      </c>
      <c r="Y92" s="524"/>
      <c r="Z92" s="524">
        <v>0</v>
      </c>
      <c r="AA92" s="483">
        <f t="shared" si="7"/>
        <v>0</v>
      </c>
      <c r="AB92" s="525"/>
      <c r="AC92" s="526" t="str">
        <f t="shared" si="10"/>
        <v>2년이상</v>
      </c>
      <c r="AD92" s="520" t="str">
        <f t="shared" si="11"/>
        <v/>
      </c>
      <c r="AE92" s="527">
        <f t="shared" si="14"/>
        <v>0</v>
      </c>
      <c r="AF92" s="527">
        <f t="shared" si="15"/>
        <v>0</v>
      </c>
      <c r="AG92" s="485"/>
      <c r="AH92" s="485"/>
      <c r="AI92" s="404"/>
    </row>
    <row r="93" spans="1:35" ht="12.75" hidden="1" outlineLevel="1" thickBot="1">
      <c r="A93" s="415"/>
      <c r="B93" s="415"/>
      <c r="I93" s="522">
        <v>51</v>
      </c>
      <c r="J93" s="523"/>
      <c r="K93" s="472"/>
      <c r="L93" s="523"/>
      <c r="M93" s="476"/>
      <c r="N93" s="476"/>
      <c r="O93" s="523"/>
      <c r="P93" s="476"/>
      <c r="Q93" s="524"/>
      <c r="R93" s="478">
        <f>IFERROR(INDEX(기초자산!M$6:M$408,MATCH(K93&amp;N93&amp;O93,기초자산!$A$6:$A$408,0),0),0)</f>
        <v>0</v>
      </c>
      <c r="S93" s="479">
        <f t="shared" si="8"/>
        <v>0</v>
      </c>
      <c r="T93" s="476"/>
      <c r="U93" s="471" t="s">
        <v>94</v>
      </c>
      <c r="V93" s="480">
        <f>IF(U93="한국 원화(KRW)",1,IF(OR(U93=환율!$A$6,U93=환율!$A$7),VLOOKUP(NAV!U93,환율!$A$6:$B$7,2,),IF(RIGHT(U93,5)="(100)",(VLOOKUP(NAV!U93,환율!$A$11:$B$65,2,))/100,VLOOKUP(NAV!U93,환율!$A$11:$B$65,2,))))</f>
        <v>1</v>
      </c>
      <c r="W93" s="524"/>
      <c r="X93" s="482">
        <f t="shared" si="9"/>
        <v>0</v>
      </c>
      <c r="Y93" s="524"/>
      <c r="Z93" s="524">
        <v>0</v>
      </c>
      <c r="AA93" s="483">
        <f t="shared" si="7"/>
        <v>0</v>
      </c>
      <c r="AB93" s="525"/>
      <c r="AC93" s="526" t="str">
        <f t="shared" si="10"/>
        <v>2년이상</v>
      </c>
      <c r="AD93" s="520" t="str">
        <f t="shared" si="11"/>
        <v/>
      </c>
      <c r="AE93" s="527">
        <f t="shared" si="14"/>
        <v>0</v>
      </c>
      <c r="AF93" s="527">
        <f t="shared" si="15"/>
        <v>0</v>
      </c>
      <c r="AG93" s="485"/>
      <c r="AH93" s="485"/>
      <c r="AI93" s="404"/>
    </row>
    <row r="94" spans="1:35" ht="12.75" hidden="1" outlineLevel="1" thickBot="1">
      <c r="A94" s="415"/>
      <c r="B94" s="415"/>
      <c r="I94" s="522">
        <v>52</v>
      </c>
      <c r="J94" s="523"/>
      <c r="K94" s="472"/>
      <c r="L94" s="523"/>
      <c r="M94" s="476"/>
      <c r="N94" s="476"/>
      <c r="O94" s="523"/>
      <c r="P94" s="476"/>
      <c r="Q94" s="524"/>
      <c r="R94" s="478">
        <f>IFERROR(INDEX(기초자산!M$6:M$408,MATCH(K94&amp;N94&amp;O94,기초자산!$A$6:$A$408,0),0),0)</f>
        <v>0</v>
      </c>
      <c r="S94" s="479">
        <f t="shared" si="8"/>
        <v>0</v>
      </c>
      <c r="T94" s="476"/>
      <c r="U94" s="471" t="s">
        <v>94</v>
      </c>
      <c r="V94" s="480">
        <f>IF(U94="한국 원화(KRW)",1,IF(OR(U94=환율!$A$6,U94=환율!$A$7),VLOOKUP(NAV!U94,환율!$A$6:$B$7,2,),IF(RIGHT(U94,5)="(100)",(VLOOKUP(NAV!U94,환율!$A$11:$B$65,2,))/100,VLOOKUP(NAV!U94,환율!$A$11:$B$65,2,))))</f>
        <v>1</v>
      </c>
      <c r="W94" s="524"/>
      <c r="X94" s="482">
        <f t="shared" si="9"/>
        <v>0</v>
      </c>
      <c r="Y94" s="524"/>
      <c r="Z94" s="524">
        <v>0</v>
      </c>
      <c r="AA94" s="483">
        <f t="shared" si="7"/>
        <v>0</v>
      </c>
      <c r="AB94" s="525"/>
      <c r="AC94" s="526" t="str">
        <f t="shared" si="10"/>
        <v>2년이상</v>
      </c>
      <c r="AD94" s="520" t="str">
        <f t="shared" si="11"/>
        <v/>
      </c>
      <c r="AE94" s="527">
        <f t="shared" si="14"/>
        <v>0</v>
      </c>
      <c r="AF94" s="527">
        <f t="shared" si="15"/>
        <v>0</v>
      </c>
      <c r="AG94" s="485"/>
      <c r="AH94" s="485"/>
      <c r="AI94" s="404"/>
    </row>
    <row r="95" spans="1:35" ht="12.75" hidden="1" outlineLevel="1" thickBot="1">
      <c r="A95" s="415"/>
      <c r="B95" s="415"/>
      <c r="I95" s="522">
        <v>53</v>
      </c>
      <c r="J95" s="523"/>
      <c r="K95" s="472"/>
      <c r="L95" s="523"/>
      <c r="M95" s="476"/>
      <c r="N95" s="476"/>
      <c r="O95" s="523"/>
      <c r="P95" s="476"/>
      <c r="Q95" s="524"/>
      <c r="R95" s="478">
        <f>IFERROR(INDEX(기초자산!M$6:M$408,MATCH(K95&amp;N95&amp;O95,기초자산!$A$6:$A$408,0),0),0)</f>
        <v>0</v>
      </c>
      <c r="S95" s="479">
        <f t="shared" si="8"/>
        <v>0</v>
      </c>
      <c r="T95" s="476"/>
      <c r="U95" s="471" t="s">
        <v>94</v>
      </c>
      <c r="V95" s="480">
        <f>IF(U95="한국 원화(KRW)",1,IF(OR(U95=환율!$A$6,U95=환율!$A$7),VLOOKUP(NAV!U95,환율!$A$6:$B$7,2,),IF(RIGHT(U95,5)="(100)",(VLOOKUP(NAV!U95,환율!$A$11:$B$65,2,))/100,VLOOKUP(NAV!U95,환율!$A$11:$B$65,2,))))</f>
        <v>1</v>
      </c>
      <c r="W95" s="524"/>
      <c r="X95" s="482">
        <f t="shared" si="9"/>
        <v>0</v>
      </c>
      <c r="Y95" s="524"/>
      <c r="Z95" s="524">
        <v>0</v>
      </c>
      <c r="AA95" s="483">
        <f t="shared" si="7"/>
        <v>0</v>
      </c>
      <c r="AB95" s="525"/>
      <c r="AC95" s="526" t="str">
        <f t="shared" si="10"/>
        <v>2년이상</v>
      </c>
      <c r="AD95" s="520" t="str">
        <f t="shared" si="11"/>
        <v/>
      </c>
      <c r="AE95" s="527">
        <f t="shared" si="14"/>
        <v>0</v>
      </c>
      <c r="AF95" s="527">
        <f t="shared" si="15"/>
        <v>0</v>
      </c>
      <c r="AG95" s="485"/>
      <c r="AH95" s="485"/>
      <c r="AI95" s="404"/>
    </row>
    <row r="96" spans="1:35" ht="12.75" hidden="1" outlineLevel="1" thickBot="1">
      <c r="A96" s="415"/>
      <c r="B96" s="415"/>
      <c r="I96" s="522">
        <v>54</v>
      </c>
      <c r="J96" s="523"/>
      <c r="K96" s="472"/>
      <c r="L96" s="523"/>
      <c r="M96" s="476"/>
      <c r="N96" s="476"/>
      <c r="O96" s="523"/>
      <c r="P96" s="476"/>
      <c r="Q96" s="524"/>
      <c r="R96" s="478">
        <f>IFERROR(INDEX(기초자산!M$6:M$408,MATCH(K96&amp;N96&amp;O96,기초자산!$A$6:$A$408,0),0),0)</f>
        <v>0</v>
      </c>
      <c r="S96" s="479">
        <f t="shared" si="8"/>
        <v>0</v>
      </c>
      <c r="T96" s="476"/>
      <c r="U96" s="471" t="s">
        <v>94</v>
      </c>
      <c r="V96" s="480">
        <f>IF(U96="한국 원화(KRW)",1,IF(OR(U96=환율!$A$6,U96=환율!$A$7),VLOOKUP(NAV!U96,환율!$A$6:$B$7,2,),IF(RIGHT(U96,5)="(100)",(VLOOKUP(NAV!U96,환율!$A$11:$B$65,2,))/100,VLOOKUP(NAV!U96,환율!$A$11:$B$65,2,))))</f>
        <v>1</v>
      </c>
      <c r="W96" s="524"/>
      <c r="X96" s="482">
        <f t="shared" si="9"/>
        <v>0</v>
      </c>
      <c r="Y96" s="524"/>
      <c r="Z96" s="524">
        <v>0</v>
      </c>
      <c r="AA96" s="483">
        <f t="shared" si="7"/>
        <v>0</v>
      </c>
      <c r="AB96" s="525"/>
      <c r="AC96" s="526" t="str">
        <f t="shared" si="10"/>
        <v>2년이상</v>
      </c>
      <c r="AD96" s="520" t="str">
        <f t="shared" si="11"/>
        <v/>
      </c>
      <c r="AE96" s="527">
        <f t="shared" si="14"/>
        <v>0</v>
      </c>
      <c r="AF96" s="527">
        <f t="shared" si="15"/>
        <v>0</v>
      </c>
      <c r="AG96" s="485"/>
      <c r="AH96" s="485"/>
      <c r="AI96" s="404"/>
    </row>
    <row r="97" spans="1:35" ht="12.75" hidden="1" outlineLevel="1" thickBot="1">
      <c r="A97" s="415"/>
      <c r="B97" s="415"/>
      <c r="I97" s="522">
        <v>55</v>
      </c>
      <c r="J97" s="523"/>
      <c r="K97" s="472"/>
      <c r="L97" s="523"/>
      <c r="M97" s="476"/>
      <c r="N97" s="476"/>
      <c r="O97" s="523"/>
      <c r="P97" s="476"/>
      <c r="Q97" s="524"/>
      <c r="R97" s="478">
        <f>IFERROR(INDEX(기초자산!M$6:M$408,MATCH(K97&amp;N97&amp;O97,기초자산!$A$6:$A$408,0),0),0)</f>
        <v>0</v>
      </c>
      <c r="S97" s="479">
        <f t="shared" si="8"/>
        <v>0</v>
      </c>
      <c r="T97" s="476"/>
      <c r="U97" s="471" t="s">
        <v>94</v>
      </c>
      <c r="V97" s="480">
        <f>IF(U97="한국 원화(KRW)",1,IF(OR(U97=환율!$A$6,U97=환율!$A$7),VLOOKUP(NAV!U97,환율!$A$6:$B$7,2,),IF(RIGHT(U97,5)="(100)",(VLOOKUP(NAV!U97,환율!$A$11:$B$65,2,))/100,VLOOKUP(NAV!U97,환율!$A$11:$B$65,2,))))</f>
        <v>1</v>
      </c>
      <c r="W97" s="524"/>
      <c r="X97" s="482">
        <f t="shared" si="9"/>
        <v>0</v>
      </c>
      <c r="Y97" s="524"/>
      <c r="Z97" s="524">
        <v>0</v>
      </c>
      <c r="AA97" s="483">
        <f t="shared" si="7"/>
        <v>0</v>
      </c>
      <c r="AB97" s="525"/>
      <c r="AC97" s="526" t="str">
        <f t="shared" si="10"/>
        <v>2년이상</v>
      </c>
      <c r="AD97" s="520" t="str">
        <f t="shared" si="11"/>
        <v/>
      </c>
      <c r="AE97" s="527">
        <f t="shared" si="14"/>
        <v>0</v>
      </c>
      <c r="AF97" s="527">
        <f t="shared" si="15"/>
        <v>0</v>
      </c>
      <c r="AG97" s="485"/>
      <c r="AH97" s="485"/>
      <c r="AI97" s="404"/>
    </row>
    <row r="98" spans="1:35" ht="12.75" hidden="1" outlineLevel="1" thickBot="1">
      <c r="A98" s="415"/>
      <c r="B98" s="415"/>
      <c r="I98" s="522">
        <v>56</v>
      </c>
      <c r="J98" s="523"/>
      <c r="K98" s="472"/>
      <c r="L98" s="523"/>
      <c r="M98" s="476"/>
      <c r="N98" s="476"/>
      <c r="O98" s="523"/>
      <c r="P98" s="476"/>
      <c r="Q98" s="524"/>
      <c r="R98" s="478">
        <f>IFERROR(INDEX(기초자산!M$6:M$408,MATCH(K98&amp;N98&amp;O98,기초자산!$A$6:$A$408,0),0),0)</f>
        <v>0</v>
      </c>
      <c r="S98" s="479">
        <f t="shared" si="8"/>
        <v>0</v>
      </c>
      <c r="T98" s="476"/>
      <c r="U98" s="471" t="s">
        <v>94</v>
      </c>
      <c r="V98" s="480">
        <f>IF(U98="한국 원화(KRW)",1,IF(OR(U98=환율!$A$6,U98=환율!$A$7),VLOOKUP(NAV!U98,환율!$A$6:$B$7,2,),IF(RIGHT(U98,5)="(100)",(VLOOKUP(NAV!U98,환율!$A$11:$B$65,2,))/100,VLOOKUP(NAV!U98,환율!$A$11:$B$65,2,))))</f>
        <v>1</v>
      </c>
      <c r="W98" s="524"/>
      <c r="X98" s="482">
        <f t="shared" si="9"/>
        <v>0</v>
      </c>
      <c r="Y98" s="524"/>
      <c r="Z98" s="524">
        <v>0</v>
      </c>
      <c r="AA98" s="483">
        <f t="shared" si="7"/>
        <v>0</v>
      </c>
      <c r="AB98" s="525"/>
      <c r="AC98" s="526" t="str">
        <f t="shared" si="10"/>
        <v>2년이상</v>
      </c>
      <c r="AD98" s="520" t="str">
        <f t="shared" si="11"/>
        <v/>
      </c>
      <c r="AE98" s="527">
        <f t="shared" si="14"/>
        <v>0</v>
      </c>
      <c r="AF98" s="527">
        <f t="shared" si="15"/>
        <v>0</v>
      </c>
      <c r="AG98" s="485"/>
      <c r="AH98" s="485"/>
      <c r="AI98" s="404"/>
    </row>
    <row r="99" spans="1:35" ht="12.75" hidden="1" outlineLevel="1" thickBot="1">
      <c r="A99" s="415"/>
      <c r="B99" s="415"/>
      <c r="I99" s="522">
        <v>57</v>
      </c>
      <c r="J99" s="523"/>
      <c r="K99" s="472"/>
      <c r="L99" s="523"/>
      <c r="M99" s="476"/>
      <c r="N99" s="476"/>
      <c r="O99" s="523"/>
      <c r="P99" s="476"/>
      <c r="Q99" s="524"/>
      <c r="R99" s="478">
        <f>IFERROR(INDEX(기초자산!M$6:M$408,MATCH(K99&amp;N99&amp;O99,기초자산!$A$6:$A$408,0),0),0)</f>
        <v>0</v>
      </c>
      <c r="S99" s="479">
        <f t="shared" si="8"/>
        <v>0</v>
      </c>
      <c r="T99" s="476"/>
      <c r="U99" s="471" t="s">
        <v>94</v>
      </c>
      <c r="V99" s="480">
        <f>IF(U99="한국 원화(KRW)",1,IF(OR(U99=환율!$A$6,U99=환율!$A$7),VLOOKUP(NAV!U99,환율!$A$6:$B$7,2,),IF(RIGHT(U99,5)="(100)",(VLOOKUP(NAV!U99,환율!$A$11:$B$65,2,))/100,VLOOKUP(NAV!U99,환율!$A$11:$B$65,2,))))</f>
        <v>1</v>
      </c>
      <c r="W99" s="524"/>
      <c r="X99" s="482">
        <f t="shared" si="9"/>
        <v>0</v>
      </c>
      <c r="Y99" s="524"/>
      <c r="Z99" s="524">
        <v>0</v>
      </c>
      <c r="AA99" s="483">
        <f t="shared" si="7"/>
        <v>0</v>
      </c>
      <c r="AB99" s="525"/>
      <c r="AC99" s="526" t="str">
        <f t="shared" si="10"/>
        <v>2년이상</v>
      </c>
      <c r="AD99" s="520" t="str">
        <f t="shared" si="11"/>
        <v/>
      </c>
      <c r="AE99" s="527">
        <f t="shared" si="14"/>
        <v>0</v>
      </c>
      <c r="AF99" s="527">
        <f t="shared" si="15"/>
        <v>0</v>
      </c>
      <c r="AG99" s="485"/>
      <c r="AH99" s="485"/>
      <c r="AI99" s="404"/>
    </row>
    <row r="100" spans="1:35" ht="12.75" hidden="1" outlineLevel="1" thickBot="1">
      <c r="A100" s="415"/>
      <c r="B100" s="415"/>
      <c r="I100" s="522">
        <v>58</v>
      </c>
      <c r="J100" s="523"/>
      <c r="K100" s="472"/>
      <c r="L100" s="523"/>
      <c r="M100" s="476"/>
      <c r="N100" s="476"/>
      <c r="O100" s="523"/>
      <c r="P100" s="476"/>
      <c r="Q100" s="524"/>
      <c r="R100" s="478">
        <f>IFERROR(INDEX(기초자산!M$6:M$408,MATCH(K100&amp;N100&amp;O100,기초자산!$A$6:$A$408,0),0),0)</f>
        <v>0</v>
      </c>
      <c r="S100" s="479">
        <f t="shared" si="8"/>
        <v>0</v>
      </c>
      <c r="T100" s="476"/>
      <c r="U100" s="471" t="s">
        <v>94</v>
      </c>
      <c r="V100" s="480">
        <f>IF(U100="한국 원화(KRW)",1,IF(OR(U100=환율!$A$6,U100=환율!$A$7),VLOOKUP(NAV!U100,환율!$A$6:$B$7,2,),IF(RIGHT(U100,5)="(100)",(VLOOKUP(NAV!U100,환율!$A$11:$B$65,2,))/100,VLOOKUP(NAV!U100,환율!$A$11:$B$65,2,))))</f>
        <v>1</v>
      </c>
      <c r="W100" s="524"/>
      <c r="X100" s="482">
        <f t="shared" si="9"/>
        <v>0</v>
      </c>
      <c r="Y100" s="524"/>
      <c r="Z100" s="524">
        <v>0</v>
      </c>
      <c r="AA100" s="483">
        <f t="shared" si="7"/>
        <v>0</v>
      </c>
      <c r="AB100" s="525"/>
      <c r="AC100" s="526" t="str">
        <f t="shared" si="10"/>
        <v>2년이상</v>
      </c>
      <c r="AD100" s="520" t="str">
        <f t="shared" si="11"/>
        <v/>
      </c>
      <c r="AE100" s="527">
        <f t="shared" si="14"/>
        <v>0</v>
      </c>
      <c r="AF100" s="527">
        <f t="shared" si="15"/>
        <v>0</v>
      </c>
      <c r="AG100" s="485"/>
      <c r="AH100" s="485"/>
      <c r="AI100" s="404"/>
    </row>
    <row r="101" spans="1:35" ht="12.75" hidden="1" outlineLevel="1" thickBot="1">
      <c r="A101" s="415"/>
      <c r="B101" s="415"/>
      <c r="I101" s="522">
        <v>59</v>
      </c>
      <c r="J101" s="523"/>
      <c r="K101" s="472"/>
      <c r="L101" s="523"/>
      <c r="M101" s="476"/>
      <c r="N101" s="476"/>
      <c r="O101" s="523"/>
      <c r="P101" s="476"/>
      <c r="Q101" s="524"/>
      <c r="R101" s="478">
        <f>IFERROR(INDEX(기초자산!M$6:M$408,MATCH(K101&amp;N101&amp;O101,기초자산!$A$6:$A$408,0),0),0)</f>
        <v>0</v>
      </c>
      <c r="S101" s="479">
        <f t="shared" si="8"/>
        <v>0</v>
      </c>
      <c r="T101" s="476"/>
      <c r="U101" s="471" t="s">
        <v>94</v>
      </c>
      <c r="V101" s="480">
        <f>IF(U101="한국 원화(KRW)",1,IF(OR(U101=환율!$A$6,U101=환율!$A$7),VLOOKUP(NAV!U101,환율!$A$6:$B$7,2,),IF(RIGHT(U101,5)="(100)",(VLOOKUP(NAV!U101,환율!$A$11:$B$65,2,))/100,VLOOKUP(NAV!U101,환율!$A$11:$B$65,2,))))</f>
        <v>1</v>
      </c>
      <c r="W101" s="524"/>
      <c r="X101" s="482">
        <f t="shared" si="9"/>
        <v>0</v>
      </c>
      <c r="Y101" s="524"/>
      <c r="Z101" s="524">
        <v>0</v>
      </c>
      <c r="AA101" s="483">
        <f t="shared" si="7"/>
        <v>0</v>
      </c>
      <c r="AB101" s="525"/>
      <c r="AC101" s="526" t="str">
        <f t="shared" si="10"/>
        <v>2년이상</v>
      </c>
      <c r="AD101" s="520" t="str">
        <f t="shared" si="11"/>
        <v/>
      </c>
      <c r="AE101" s="527">
        <f t="shared" si="14"/>
        <v>0</v>
      </c>
      <c r="AF101" s="527">
        <f t="shared" si="15"/>
        <v>0</v>
      </c>
      <c r="AG101" s="485"/>
      <c r="AH101" s="485"/>
      <c r="AI101" s="404"/>
    </row>
    <row r="102" spans="1:35" ht="12.75" hidden="1" outlineLevel="1" thickBot="1">
      <c r="A102" s="415"/>
      <c r="B102" s="415"/>
      <c r="I102" s="522">
        <v>60</v>
      </c>
      <c r="J102" s="523"/>
      <c r="K102" s="472"/>
      <c r="L102" s="523"/>
      <c r="M102" s="476"/>
      <c r="N102" s="476"/>
      <c r="O102" s="523"/>
      <c r="P102" s="476"/>
      <c r="Q102" s="524"/>
      <c r="R102" s="478">
        <f>IFERROR(INDEX(기초자산!M$6:M$408,MATCH(K102&amp;N102&amp;O102,기초자산!$A$6:$A$408,0),0),0)</f>
        <v>0</v>
      </c>
      <c r="S102" s="479">
        <f t="shared" si="8"/>
        <v>0</v>
      </c>
      <c r="T102" s="476"/>
      <c r="U102" s="471" t="s">
        <v>94</v>
      </c>
      <c r="V102" s="480">
        <f>IF(U102="한국 원화(KRW)",1,IF(OR(U102=환율!$A$6,U102=환율!$A$7),VLOOKUP(NAV!U102,환율!$A$6:$B$7,2,),IF(RIGHT(U102,5)="(100)",(VLOOKUP(NAV!U102,환율!$A$11:$B$65,2,))/100,VLOOKUP(NAV!U102,환율!$A$11:$B$65,2,))))</f>
        <v>1</v>
      </c>
      <c r="W102" s="524"/>
      <c r="X102" s="482">
        <f t="shared" si="9"/>
        <v>0</v>
      </c>
      <c r="Y102" s="524"/>
      <c r="Z102" s="524">
        <v>0</v>
      </c>
      <c r="AA102" s="483">
        <f t="shared" si="7"/>
        <v>0</v>
      </c>
      <c r="AB102" s="525"/>
      <c r="AC102" s="526" t="str">
        <f t="shared" si="10"/>
        <v>2년이상</v>
      </c>
      <c r="AD102" s="520" t="str">
        <f t="shared" si="11"/>
        <v/>
      </c>
      <c r="AE102" s="527">
        <f t="shared" si="14"/>
        <v>0</v>
      </c>
      <c r="AF102" s="527">
        <f t="shared" si="15"/>
        <v>0</v>
      </c>
      <c r="AG102" s="485"/>
      <c r="AH102" s="485"/>
      <c r="AI102" s="404"/>
    </row>
    <row r="103" spans="1:35" ht="12.75" hidden="1" outlineLevel="1" thickBot="1">
      <c r="A103" s="415"/>
      <c r="B103" s="415"/>
      <c r="I103" s="522">
        <v>61</v>
      </c>
      <c r="J103" s="523"/>
      <c r="K103" s="472"/>
      <c r="L103" s="523"/>
      <c r="M103" s="476"/>
      <c r="N103" s="476"/>
      <c r="O103" s="523"/>
      <c r="P103" s="476"/>
      <c r="Q103" s="524"/>
      <c r="R103" s="478">
        <f>IFERROR(INDEX(기초자산!M$6:M$408,MATCH(K103&amp;N103&amp;O103,기초자산!$A$6:$A$408,0),0),0)</f>
        <v>0</v>
      </c>
      <c r="S103" s="479">
        <f t="shared" si="8"/>
        <v>0</v>
      </c>
      <c r="T103" s="476"/>
      <c r="U103" s="471" t="s">
        <v>94</v>
      </c>
      <c r="V103" s="480">
        <f>IF(U103="한국 원화(KRW)",1,IF(OR(U103=환율!$A$6,U103=환율!$A$7),VLOOKUP(NAV!U103,환율!$A$6:$B$7,2,),IF(RIGHT(U103,5)="(100)",(VLOOKUP(NAV!U103,환율!$A$11:$B$65,2,))/100,VLOOKUP(NAV!U103,환율!$A$11:$B$65,2,))))</f>
        <v>1</v>
      </c>
      <c r="W103" s="524"/>
      <c r="X103" s="482">
        <f t="shared" si="9"/>
        <v>0</v>
      </c>
      <c r="Y103" s="524"/>
      <c r="Z103" s="524">
        <v>0</v>
      </c>
      <c r="AA103" s="483">
        <f t="shared" si="7"/>
        <v>0</v>
      </c>
      <c r="AB103" s="525"/>
      <c r="AC103" s="526" t="str">
        <f t="shared" si="10"/>
        <v>2년이상</v>
      </c>
      <c r="AD103" s="520" t="str">
        <f t="shared" si="11"/>
        <v/>
      </c>
      <c r="AE103" s="527">
        <f t="shared" si="14"/>
        <v>0</v>
      </c>
      <c r="AF103" s="527">
        <f t="shared" si="15"/>
        <v>0</v>
      </c>
      <c r="AG103" s="485"/>
      <c r="AH103" s="485"/>
      <c r="AI103" s="404"/>
    </row>
    <row r="104" spans="1:35" ht="12.75" hidden="1" outlineLevel="1" thickBot="1">
      <c r="A104" s="415"/>
      <c r="B104" s="415"/>
      <c r="I104" s="522">
        <v>62</v>
      </c>
      <c r="J104" s="523"/>
      <c r="K104" s="472"/>
      <c r="L104" s="523"/>
      <c r="M104" s="476"/>
      <c r="N104" s="476"/>
      <c r="O104" s="523"/>
      <c r="P104" s="476"/>
      <c r="Q104" s="524"/>
      <c r="R104" s="478">
        <f>IFERROR(INDEX(기초자산!M$6:M$408,MATCH(K104&amp;N104&amp;O104,기초자산!$A$6:$A$408,0),0),0)</f>
        <v>0</v>
      </c>
      <c r="S104" s="479">
        <f t="shared" si="8"/>
        <v>0</v>
      </c>
      <c r="T104" s="476"/>
      <c r="U104" s="471" t="s">
        <v>94</v>
      </c>
      <c r="V104" s="480">
        <f>IF(U104="한국 원화(KRW)",1,IF(OR(U104=환율!$A$6,U104=환율!$A$7),VLOOKUP(NAV!U104,환율!$A$6:$B$7,2,),IF(RIGHT(U104,5)="(100)",(VLOOKUP(NAV!U104,환율!$A$11:$B$65,2,))/100,VLOOKUP(NAV!U104,환율!$A$11:$B$65,2,))))</f>
        <v>1</v>
      </c>
      <c r="W104" s="524"/>
      <c r="X104" s="482">
        <f t="shared" si="9"/>
        <v>0</v>
      </c>
      <c r="Y104" s="524"/>
      <c r="Z104" s="524">
        <v>0</v>
      </c>
      <c r="AA104" s="483">
        <f t="shared" si="7"/>
        <v>0</v>
      </c>
      <c r="AB104" s="525"/>
      <c r="AC104" s="526" t="str">
        <f t="shared" si="10"/>
        <v>2년이상</v>
      </c>
      <c r="AD104" s="520" t="str">
        <f t="shared" si="11"/>
        <v/>
      </c>
      <c r="AE104" s="527">
        <f t="shared" si="14"/>
        <v>0</v>
      </c>
      <c r="AF104" s="527">
        <f t="shared" si="15"/>
        <v>0</v>
      </c>
      <c r="AG104" s="485"/>
      <c r="AH104" s="485"/>
      <c r="AI104" s="404"/>
    </row>
    <row r="105" spans="1:35" ht="12.75" hidden="1" outlineLevel="1" thickBot="1">
      <c r="A105" s="415"/>
      <c r="B105" s="415"/>
      <c r="I105" s="522">
        <v>63</v>
      </c>
      <c r="J105" s="523"/>
      <c r="K105" s="472"/>
      <c r="L105" s="523"/>
      <c r="M105" s="476"/>
      <c r="N105" s="476"/>
      <c r="O105" s="523"/>
      <c r="P105" s="476"/>
      <c r="Q105" s="524"/>
      <c r="R105" s="478">
        <f>IFERROR(INDEX(기초자산!M$6:M$408,MATCH(K105&amp;N105&amp;O105,기초자산!$A$6:$A$408,0),0),0)</f>
        <v>0</v>
      </c>
      <c r="S105" s="479">
        <f t="shared" si="8"/>
        <v>0</v>
      </c>
      <c r="T105" s="476"/>
      <c r="U105" s="471" t="s">
        <v>94</v>
      </c>
      <c r="V105" s="480">
        <f>IF(U105="한국 원화(KRW)",1,IF(OR(U105=환율!$A$6,U105=환율!$A$7),VLOOKUP(NAV!U105,환율!$A$6:$B$7,2,),IF(RIGHT(U105,5)="(100)",(VLOOKUP(NAV!U105,환율!$A$11:$B$65,2,))/100,VLOOKUP(NAV!U105,환율!$A$11:$B$65,2,))))</f>
        <v>1</v>
      </c>
      <c r="W105" s="524"/>
      <c r="X105" s="482">
        <f t="shared" si="9"/>
        <v>0</v>
      </c>
      <c r="Y105" s="524"/>
      <c r="Z105" s="524">
        <v>0</v>
      </c>
      <c r="AA105" s="483">
        <f t="shared" si="7"/>
        <v>0</v>
      </c>
      <c r="AB105" s="525"/>
      <c r="AC105" s="526" t="str">
        <f t="shared" si="10"/>
        <v>2년이상</v>
      </c>
      <c r="AD105" s="520" t="str">
        <f t="shared" si="11"/>
        <v/>
      </c>
      <c r="AE105" s="527">
        <f t="shared" si="14"/>
        <v>0</v>
      </c>
      <c r="AF105" s="527">
        <f t="shared" si="15"/>
        <v>0</v>
      </c>
      <c r="AG105" s="485"/>
      <c r="AH105" s="485"/>
      <c r="AI105" s="404"/>
    </row>
    <row r="106" spans="1:35" ht="12.75" hidden="1" outlineLevel="1" thickBot="1">
      <c r="A106" s="415"/>
      <c r="B106" s="415"/>
      <c r="I106" s="522">
        <v>64</v>
      </c>
      <c r="J106" s="523"/>
      <c r="K106" s="472"/>
      <c r="L106" s="523"/>
      <c r="M106" s="476"/>
      <c r="N106" s="476"/>
      <c r="O106" s="523"/>
      <c r="P106" s="476"/>
      <c r="Q106" s="524"/>
      <c r="R106" s="478">
        <f>IFERROR(INDEX(기초자산!M$6:M$408,MATCH(K106&amp;N106&amp;O106,기초자산!$A$6:$A$408,0),0),0)</f>
        <v>0</v>
      </c>
      <c r="S106" s="479">
        <f t="shared" si="8"/>
        <v>0</v>
      </c>
      <c r="T106" s="476"/>
      <c r="U106" s="471" t="s">
        <v>94</v>
      </c>
      <c r="V106" s="480">
        <f>IF(U106="한국 원화(KRW)",1,IF(OR(U106=환율!$A$6,U106=환율!$A$7),VLOOKUP(NAV!U106,환율!$A$6:$B$7,2,),IF(RIGHT(U106,5)="(100)",(VLOOKUP(NAV!U106,환율!$A$11:$B$65,2,))/100,VLOOKUP(NAV!U106,환율!$A$11:$B$65,2,))))</f>
        <v>1</v>
      </c>
      <c r="W106" s="524"/>
      <c r="X106" s="482">
        <f t="shared" si="9"/>
        <v>0</v>
      </c>
      <c r="Y106" s="524"/>
      <c r="Z106" s="524">
        <v>0</v>
      </c>
      <c r="AA106" s="483">
        <f t="shared" si="7"/>
        <v>0</v>
      </c>
      <c r="AB106" s="525"/>
      <c r="AC106" s="526" t="str">
        <f t="shared" si="10"/>
        <v>2년이상</v>
      </c>
      <c r="AD106" s="520" t="str">
        <f t="shared" si="11"/>
        <v/>
      </c>
      <c r="AE106" s="527">
        <f t="shared" si="14"/>
        <v>0</v>
      </c>
      <c r="AF106" s="527">
        <f t="shared" si="15"/>
        <v>0</v>
      </c>
      <c r="AG106" s="485"/>
      <c r="AH106" s="485"/>
      <c r="AI106" s="404"/>
    </row>
    <row r="107" spans="1:35" ht="12.75" hidden="1" outlineLevel="1" thickBot="1">
      <c r="A107" s="415"/>
      <c r="B107" s="415"/>
      <c r="I107" s="522">
        <v>65</v>
      </c>
      <c r="J107" s="523"/>
      <c r="K107" s="472"/>
      <c r="L107" s="523"/>
      <c r="M107" s="476"/>
      <c r="N107" s="476"/>
      <c r="O107" s="523"/>
      <c r="P107" s="476"/>
      <c r="Q107" s="524"/>
      <c r="R107" s="478">
        <f>IFERROR(INDEX(기초자산!M$6:M$408,MATCH(K107&amp;N107&amp;O107,기초자산!$A$6:$A$408,0),0),0)</f>
        <v>0</v>
      </c>
      <c r="S107" s="479">
        <f t="shared" si="8"/>
        <v>0</v>
      </c>
      <c r="T107" s="476"/>
      <c r="U107" s="471" t="s">
        <v>94</v>
      </c>
      <c r="V107" s="480">
        <f>IF(U107="한국 원화(KRW)",1,IF(OR(U107=환율!$A$6,U107=환율!$A$7),VLOOKUP(NAV!U107,환율!$A$6:$B$7,2,),IF(RIGHT(U107,5)="(100)",(VLOOKUP(NAV!U107,환율!$A$11:$B$65,2,))/100,VLOOKUP(NAV!U107,환율!$A$11:$B$65,2,))))</f>
        <v>1</v>
      </c>
      <c r="W107" s="524"/>
      <c r="X107" s="482">
        <f t="shared" si="9"/>
        <v>0</v>
      </c>
      <c r="Y107" s="524"/>
      <c r="Z107" s="524">
        <v>0</v>
      </c>
      <c r="AA107" s="483">
        <f t="shared" ref="AA107:AA170" si="16">IFERROR(IF(Z107="",S107/W107-1,S107/Z107-1),0)</f>
        <v>0</v>
      </c>
      <c r="AB107" s="525"/>
      <c r="AC107" s="526" t="str">
        <f t="shared" si="10"/>
        <v>2년이상</v>
      </c>
      <c r="AD107" s="520" t="str">
        <f t="shared" si="11"/>
        <v/>
      </c>
      <c r="AE107" s="527">
        <f t="shared" si="14"/>
        <v>0</v>
      </c>
      <c r="AF107" s="527">
        <f t="shared" si="15"/>
        <v>0</v>
      </c>
      <c r="AG107" s="485"/>
      <c r="AH107" s="485"/>
      <c r="AI107" s="404"/>
    </row>
    <row r="108" spans="1:35" ht="12.75" hidden="1" outlineLevel="1" thickBot="1">
      <c r="A108" s="415"/>
      <c r="B108" s="415"/>
      <c r="I108" s="522">
        <v>66</v>
      </c>
      <c r="J108" s="523"/>
      <c r="K108" s="472"/>
      <c r="L108" s="523"/>
      <c r="M108" s="476"/>
      <c r="N108" s="476"/>
      <c r="O108" s="523"/>
      <c r="P108" s="476"/>
      <c r="Q108" s="524"/>
      <c r="R108" s="478">
        <f>IFERROR(INDEX(기초자산!M$6:M$408,MATCH(K108&amp;N108&amp;O108,기초자산!$A$6:$A$408,0),0),0)</f>
        <v>0</v>
      </c>
      <c r="S108" s="479">
        <f t="shared" ref="S108:S171" si="17">IFERROR(IF(T108="취득원가 준용",Y108,IF(T108="장부가액 준용",W108,IF(P108="주당",R108*Q108*V108,IF(RIGHT(U108,5)="(100)",Y108/1000*R108*V108,Y108/10000*R108*V108)))),0)</f>
        <v>0</v>
      </c>
      <c r="T108" s="476"/>
      <c r="U108" s="471" t="s">
        <v>94</v>
      </c>
      <c r="V108" s="480">
        <f>IF(U108="한국 원화(KRW)",1,IF(OR(U108=환율!$A$6,U108=환율!$A$7),VLOOKUP(NAV!U108,환율!$A$6:$B$7,2,),IF(RIGHT(U108,5)="(100)",(VLOOKUP(NAV!U108,환율!$A$11:$B$65,2,))/100,VLOOKUP(NAV!U108,환율!$A$11:$B$65,2,))))</f>
        <v>1</v>
      </c>
      <c r="W108" s="524"/>
      <c r="X108" s="482">
        <f t="shared" ref="X108:X171" si="18">IFERROR(IF(P108="만원당",10000,Y108/Q108),0)</f>
        <v>0</v>
      </c>
      <c r="Y108" s="524"/>
      <c r="Z108" s="524">
        <v>0</v>
      </c>
      <c r="AA108" s="483">
        <f t="shared" si="16"/>
        <v>0</v>
      </c>
      <c r="AB108" s="525"/>
      <c r="AC108" s="526" t="str">
        <f t="shared" ref="AC108:AC171" si="19">IF(($C$7-AB108)/365&gt;2,"2년이상","2년미만")</f>
        <v>2년이상</v>
      </c>
      <c r="AD108" s="520" t="str">
        <f t="shared" ref="AD108:AD171" si="20">IF(OR(AA108&gt;20%,AA108&lt;-20%),"(1) Note 기재","")</f>
        <v/>
      </c>
      <c r="AE108" s="527">
        <f t="shared" ref="AE108:AE171" si="21">IF(OR(T108="MTP",T108="과거거래 이용법",T108="취득원가 준용",T108="장부가액 준용",T108="상장종가 적용"),S108,AG108*$Q108*$V108)</f>
        <v>0</v>
      </c>
      <c r="AF108" s="527">
        <f t="shared" ref="AF108:AF171" si="22">IF(OR(T108="MTP",T108="과거거래 이용법",T108="취득원가 준용",T108="장부가액 준용",T108="상장종가 적용"),S108,AH108*$Q108*$V108)</f>
        <v>0</v>
      </c>
      <c r="AG108" s="485"/>
      <c r="AH108" s="485"/>
      <c r="AI108" s="404"/>
    </row>
    <row r="109" spans="1:35" ht="12.75" hidden="1" outlineLevel="1" thickBot="1">
      <c r="A109" s="415"/>
      <c r="B109" s="415"/>
      <c r="I109" s="522">
        <v>67</v>
      </c>
      <c r="J109" s="523"/>
      <c r="K109" s="472"/>
      <c r="L109" s="523"/>
      <c r="M109" s="476"/>
      <c r="N109" s="476"/>
      <c r="O109" s="523"/>
      <c r="P109" s="476"/>
      <c r="Q109" s="524"/>
      <c r="R109" s="478">
        <f>IFERROR(INDEX(기초자산!M$6:M$408,MATCH(K109&amp;N109&amp;O109,기초자산!$A$6:$A$408,0),0),0)</f>
        <v>0</v>
      </c>
      <c r="S109" s="479">
        <f t="shared" si="17"/>
        <v>0</v>
      </c>
      <c r="T109" s="476"/>
      <c r="U109" s="471" t="s">
        <v>94</v>
      </c>
      <c r="V109" s="480">
        <f>IF(U109="한국 원화(KRW)",1,IF(OR(U109=환율!$A$6,U109=환율!$A$7),VLOOKUP(NAV!U109,환율!$A$6:$B$7,2,),IF(RIGHT(U109,5)="(100)",(VLOOKUP(NAV!U109,환율!$A$11:$B$65,2,))/100,VLOOKUP(NAV!U109,환율!$A$11:$B$65,2,))))</f>
        <v>1</v>
      </c>
      <c r="W109" s="524"/>
      <c r="X109" s="482">
        <f t="shared" si="18"/>
        <v>0</v>
      </c>
      <c r="Y109" s="524"/>
      <c r="Z109" s="524">
        <v>0</v>
      </c>
      <c r="AA109" s="483">
        <f t="shared" si="16"/>
        <v>0</v>
      </c>
      <c r="AB109" s="525"/>
      <c r="AC109" s="526" t="str">
        <f t="shared" si="19"/>
        <v>2년이상</v>
      </c>
      <c r="AD109" s="520" t="str">
        <f t="shared" si="20"/>
        <v/>
      </c>
      <c r="AE109" s="527">
        <f t="shared" si="21"/>
        <v>0</v>
      </c>
      <c r="AF109" s="527">
        <f t="shared" si="22"/>
        <v>0</v>
      </c>
      <c r="AG109" s="485"/>
      <c r="AH109" s="485"/>
      <c r="AI109" s="404"/>
    </row>
    <row r="110" spans="1:35" ht="12.75" hidden="1" outlineLevel="1" thickBot="1">
      <c r="A110" s="415"/>
      <c r="B110" s="415"/>
      <c r="I110" s="522">
        <v>68</v>
      </c>
      <c r="J110" s="523"/>
      <c r="K110" s="472"/>
      <c r="L110" s="523"/>
      <c r="M110" s="476"/>
      <c r="N110" s="476"/>
      <c r="O110" s="523"/>
      <c r="P110" s="476"/>
      <c r="Q110" s="524"/>
      <c r="R110" s="478">
        <f>IFERROR(INDEX(기초자산!M$6:M$408,MATCH(K110&amp;N110&amp;O110,기초자산!$A$6:$A$408,0),0),0)</f>
        <v>0</v>
      </c>
      <c r="S110" s="479">
        <f t="shared" si="17"/>
        <v>0</v>
      </c>
      <c r="T110" s="476"/>
      <c r="U110" s="471" t="s">
        <v>94</v>
      </c>
      <c r="V110" s="480">
        <f>IF(U110="한국 원화(KRW)",1,IF(OR(U110=환율!$A$6,U110=환율!$A$7),VLOOKUP(NAV!U110,환율!$A$6:$B$7,2,),IF(RIGHT(U110,5)="(100)",(VLOOKUP(NAV!U110,환율!$A$11:$B$65,2,))/100,VLOOKUP(NAV!U110,환율!$A$11:$B$65,2,))))</f>
        <v>1</v>
      </c>
      <c r="W110" s="524"/>
      <c r="X110" s="482">
        <f t="shared" si="18"/>
        <v>0</v>
      </c>
      <c r="Y110" s="524"/>
      <c r="Z110" s="524">
        <v>0</v>
      </c>
      <c r="AA110" s="483">
        <f t="shared" si="16"/>
        <v>0</v>
      </c>
      <c r="AB110" s="525"/>
      <c r="AC110" s="526" t="str">
        <f t="shared" si="19"/>
        <v>2년이상</v>
      </c>
      <c r="AD110" s="520" t="str">
        <f t="shared" si="20"/>
        <v/>
      </c>
      <c r="AE110" s="527">
        <f t="shared" si="21"/>
        <v>0</v>
      </c>
      <c r="AF110" s="527">
        <f t="shared" si="22"/>
        <v>0</v>
      </c>
      <c r="AG110" s="485"/>
      <c r="AH110" s="485"/>
      <c r="AI110" s="404"/>
    </row>
    <row r="111" spans="1:35" ht="12.75" hidden="1" outlineLevel="1" thickBot="1">
      <c r="A111" s="415"/>
      <c r="B111" s="415"/>
      <c r="I111" s="522">
        <v>69</v>
      </c>
      <c r="J111" s="523"/>
      <c r="K111" s="472"/>
      <c r="L111" s="523"/>
      <c r="M111" s="476"/>
      <c r="N111" s="476"/>
      <c r="O111" s="523"/>
      <c r="P111" s="476"/>
      <c r="Q111" s="524"/>
      <c r="R111" s="478">
        <f>IFERROR(INDEX(기초자산!M$6:M$408,MATCH(K111&amp;N111&amp;O111,기초자산!$A$6:$A$408,0),0),0)</f>
        <v>0</v>
      </c>
      <c r="S111" s="479">
        <f t="shared" si="17"/>
        <v>0</v>
      </c>
      <c r="T111" s="476"/>
      <c r="U111" s="471" t="s">
        <v>94</v>
      </c>
      <c r="V111" s="480">
        <f>IF(U111="한국 원화(KRW)",1,IF(OR(U111=환율!$A$6,U111=환율!$A$7),VLOOKUP(NAV!U111,환율!$A$6:$B$7,2,),IF(RIGHT(U111,5)="(100)",(VLOOKUP(NAV!U111,환율!$A$11:$B$65,2,))/100,VLOOKUP(NAV!U111,환율!$A$11:$B$65,2,))))</f>
        <v>1</v>
      </c>
      <c r="W111" s="524"/>
      <c r="X111" s="482">
        <f t="shared" si="18"/>
        <v>0</v>
      </c>
      <c r="Y111" s="524"/>
      <c r="Z111" s="524">
        <v>0</v>
      </c>
      <c r="AA111" s="483">
        <f t="shared" si="16"/>
        <v>0</v>
      </c>
      <c r="AB111" s="525"/>
      <c r="AC111" s="526" t="str">
        <f t="shared" si="19"/>
        <v>2년이상</v>
      </c>
      <c r="AD111" s="520" t="str">
        <f t="shared" si="20"/>
        <v/>
      </c>
      <c r="AE111" s="527">
        <f t="shared" si="21"/>
        <v>0</v>
      </c>
      <c r="AF111" s="527">
        <f t="shared" si="22"/>
        <v>0</v>
      </c>
      <c r="AG111" s="485"/>
      <c r="AH111" s="485"/>
      <c r="AI111" s="404"/>
    </row>
    <row r="112" spans="1:35" ht="12.75" hidden="1" outlineLevel="1" thickBot="1">
      <c r="A112" s="415"/>
      <c r="B112" s="415"/>
      <c r="I112" s="522">
        <v>70</v>
      </c>
      <c r="J112" s="523"/>
      <c r="K112" s="472"/>
      <c r="L112" s="523"/>
      <c r="M112" s="476"/>
      <c r="N112" s="476"/>
      <c r="O112" s="523"/>
      <c r="P112" s="476"/>
      <c r="Q112" s="524"/>
      <c r="R112" s="478">
        <f>IFERROR(INDEX(기초자산!M$6:M$408,MATCH(K112&amp;N112&amp;O112,기초자산!$A$6:$A$408,0),0),0)</f>
        <v>0</v>
      </c>
      <c r="S112" s="479">
        <f t="shared" si="17"/>
        <v>0</v>
      </c>
      <c r="T112" s="476"/>
      <c r="U112" s="471" t="s">
        <v>94</v>
      </c>
      <c r="V112" s="480">
        <f>IF(U112="한국 원화(KRW)",1,IF(OR(U112=환율!$A$6,U112=환율!$A$7),VLOOKUP(NAV!U112,환율!$A$6:$B$7,2,),IF(RIGHT(U112,5)="(100)",(VLOOKUP(NAV!U112,환율!$A$11:$B$65,2,))/100,VLOOKUP(NAV!U112,환율!$A$11:$B$65,2,))))</f>
        <v>1</v>
      </c>
      <c r="W112" s="524"/>
      <c r="X112" s="482">
        <f t="shared" si="18"/>
        <v>0</v>
      </c>
      <c r="Y112" s="524"/>
      <c r="Z112" s="524">
        <v>0</v>
      </c>
      <c r="AA112" s="483">
        <f t="shared" si="16"/>
        <v>0</v>
      </c>
      <c r="AB112" s="525"/>
      <c r="AC112" s="526" t="str">
        <f t="shared" si="19"/>
        <v>2년이상</v>
      </c>
      <c r="AD112" s="520" t="str">
        <f t="shared" si="20"/>
        <v/>
      </c>
      <c r="AE112" s="527">
        <f t="shared" si="21"/>
        <v>0</v>
      </c>
      <c r="AF112" s="527">
        <f t="shared" si="22"/>
        <v>0</v>
      </c>
      <c r="AG112" s="485"/>
      <c r="AH112" s="485"/>
      <c r="AI112" s="404"/>
    </row>
    <row r="113" spans="1:35" ht="12.75" hidden="1" outlineLevel="1" thickBot="1">
      <c r="A113" s="415"/>
      <c r="B113" s="415"/>
      <c r="I113" s="522">
        <v>71</v>
      </c>
      <c r="J113" s="523"/>
      <c r="K113" s="472"/>
      <c r="L113" s="523"/>
      <c r="M113" s="476"/>
      <c r="N113" s="476"/>
      <c r="O113" s="523"/>
      <c r="P113" s="476"/>
      <c r="Q113" s="524"/>
      <c r="R113" s="478">
        <f>IFERROR(INDEX(기초자산!M$6:M$408,MATCH(K113&amp;N113&amp;O113,기초자산!$A$6:$A$408,0),0),0)</f>
        <v>0</v>
      </c>
      <c r="S113" s="479">
        <f t="shared" si="17"/>
        <v>0</v>
      </c>
      <c r="T113" s="476"/>
      <c r="U113" s="471" t="s">
        <v>94</v>
      </c>
      <c r="V113" s="480">
        <f>IF(U113="한국 원화(KRW)",1,IF(OR(U113=환율!$A$6,U113=환율!$A$7),VLOOKUP(NAV!U113,환율!$A$6:$B$7,2,),IF(RIGHT(U113,5)="(100)",(VLOOKUP(NAV!U113,환율!$A$11:$B$65,2,))/100,VLOOKUP(NAV!U113,환율!$A$11:$B$65,2,))))</f>
        <v>1</v>
      </c>
      <c r="W113" s="524"/>
      <c r="X113" s="482">
        <f t="shared" si="18"/>
        <v>0</v>
      </c>
      <c r="Y113" s="524"/>
      <c r="Z113" s="524">
        <v>0</v>
      </c>
      <c r="AA113" s="483">
        <f t="shared" si="16"/>
        <v>0</v>
      </c>
      <c r="AB113" s="525"/>
      <c r="AC113" s="526" t="str">
        <f t="shared" si="19"/>
        <v>2년이상</v>
      </c>
      <c r="AD113" s="520" t="str">
        <f t="shared" si="20"/>
        <v/>
      </c>
      <c r="AE113" s="527">
        <f t="shared" si="21"/>
        <v>0</v>
      </c>
      <c r="AF113" s="527">
        <f t="shared" si="22"/>
        <v>0</v>
      </c>
      <c r="AG113" s="485"/>
      <c r="AH113" s="485"/>
      <c r="AI113" s="404"/>
    </row>
    <row r="114" spans="1:35" ht="12.75" hidden="1" outlineLevel="1" thickBot="1">
      <c r="A114" s="415"/>
      <c r="B114" s="415"/>
      <c r="I114" s="522">
        <v>72</v>
      </c>
      <c r="J114" s="523"/>
      <c r="K114" s="472"/>
      <c r="L114" s="523"/>
      <c r="M114" s="476"/>
      <c r="N114" s="476"/>
      <c r="O114" s="523"/>
      <c r="P114" s="476"/>
      <c r="Q114" s="524"/>
      <c r="R114" s="478">
        <f>IFERROR(INDEX(기초자산!M$6:M$408,MATCH(K114&amp;N114&amp;O114,기초자산!$A$6:$A$408,0),0),0)</f>
        <v>0</v>
      </c>
      <c r="S114" s="479">
        <f t="shared" si="17"/>
        <v>0</v>
      </c>
      <c r="T114" s="476"/>
      <c r="U114" s="471" t="s">
        <v>94</v>
      </c>
      <c r="V114" s="480">
        <f>IF(U114="한국 원화(KRW)",1,IF(OR(U114=환율!$A$6,U114=환율!$A$7),VLOOKUP(NAV!U114,환율!$A$6:$B$7,2,),IF(RIGHT(U114,5)="(100)",(VLOOKUP(NAV!U114,환율!$A$11:$B$65,2,))/100,VLOOKUP(NAV!U114,환율!$A$11:$B$65,2,))))</f>
        <v>1</v>
      </c>
      <c r="W114" s="524"/>
      <c r="X114" s="482">
        <f t="shared" si="18"/>
        <v>0</v>
      </c>
      <c r="Y114" s="524"/>
      <c r="Z114" s="524">
        <v>0</v>
      </c>
      <c r="AA114" s="483">
        <f t="shared" si="16"/>
        <v>0</v>
      </c>
      <c r="AB114" s="525"/>
      <c r="AC114" s="526" t="str">
        <f t="shared" si="19"/>
        <v>2년이상</v>
      </c>
      <c r="AD114" s="520" t="str">
        <f t="shared" si="20"/>
        <v/>
      </c>
      <c r="AE114" s="527">
        <f t="shared" si="21"/>
        <v>0</v>
      </c>
      <c r="AF114" s="527">
        <f t="shared" si="22"/>
        <v>0</v>
      </c>
      <c r="AG114" s="485"/>
      <c r="AH114" s="485"/>
      <c r="AI114" s="404"/>
    </row>
    <row r="115" spans="1:35" ht="12.75" hidden="1" outlineLevel="1" thickBot="1">
      <c r="A115" s="415"/>
      <c r="B115" s="415"/>
      <c r="I115" s="522">
        <v>73</v>
      </c>
      <c r="J115" s="523"/>
      <c r="K115" s="472"/>
      <c r="L115" s="523"/>
      <c r="M115" s="476"/>
      <c r="N115" s="476"/>
      <c r="O115" s="523"/>
      <c r="P115" s="476"/>
      <c r="Q115" s="524"/>
      <c r="R115" s="478">
        <f>IFERROR(INDEX(기초자산!M$6:M$408,MATCH(K115&amp;N115&amp;O115,기초자산!$A$6:$A$408,0),0),0)</f>
        <v>0</v>
      </c>
      <c r="S115" s="479">
        <f t="shared" si="17"/>
        <v>0</v>
      </c>
      <c r="T115" s="476"/>
      <c r="U115" s="471" t="s">
        <v>94</v>
      </c>
      <c r="V115" s="480">
        <f>IF(U115="한국 원화(KRW)",1,IF(OR(U115=환율!$A$6,U115=환율!$A$7),VLOOKUP(NAV!U115,환율!$A$6:$B$7,2,),IF(RIGHT(U115,5)="(100)",(VLOOKUP(NAV!U115,환율!$A$11:$B$65,2,))/100,VLOOKUP(NAV!U115,환율!$A$11:$B$65,2,))))</f>
        <v>1</v>
      </c>
      <c r="W115" s="524"/>
      <c r="X115" s="482">
        <f t="shared" si="18"/>
        <v>0</v>
      </c>
      <c r="Y115" s="524"/>
      <c r="Z115" s="524">
        <v>0</v>
      </c>
      <c r="AA115" s="483">
        <f t="shared" si="16"/>
        <v>0</v>
      </c>
      <c r="AB115" s="525"/>
      <c r="AC115" s="526" t="str">
        <f t="shared" si="19"/>
        <v>2년이상</v>
      </c>
      <c r="AD115" s="520" t="str">
        <f t="shared" si="20"/>
        <v/>
      </c>
      <c r="AE115" s="527">
        <f t="shared" si="21"/>
        <v>0</v>
      </c>
      <c r="AF115" s="527">
        <f t="shared" si="22"/>
        <v>0</v>
      </c>
      <c r="AG115" s="485"/>
      <c r="AH115" s="485"/>
      <c r="AI115" s="404"/>
    </row>
    <row r="116" spans="1:35" ht="12.75" hidden="1" outlineLevel="1" thickBot="1">
      <c r="A116" s="415"/>
      <c r="B116" s="415"/>
      <c r="I116" s="522">
        <v>74</v>
      </c>
      <c r="J116" s="523"/>
      <c r="K116" s="472"/>
      <c r="L116" s="523"/>
      <c r="M116" s="476"/>
      <c r="N116" s="476"/>
      <c r="O116" s="523"/>
      <c r="P116" s="476"/>
      <c r="Q116" s="524"/>
      <c r="R116" s="478">
        <f>IFERROR(INDEX(기초자산!M$6:M$408,MATCH(K116&amp;N116&amp;O116,기초자산!$A$6:$A$408,0),0),0)</f>
        <v>0</v>
      </c>
      <c r="S116" s="479">
        <f t="shared" si="17"/>
        <v>0</v>
      </c>
      <c r="T116" s="476"/>
      <c r="U116" s="471" t="s">
        <v>94</v>
      </c>
      <c r="V116" s="480">
        <f>IF(U116="한국 원화(KRW)",1,IF(OR(U116=환율!$A$6,U116=환율!$A$7),VLOOKUP(NAV!U116,환율!$A$6:$B$7,2,),IF(RIGHT(U116,5)="(100)",(VLOOKUP(NAV!U116,환율!$A$11:$B$65,2,))/100,VLOOKUP(NAV!U116,환율!$A$11:$B$65,2,))))</f>
        <v>1</v>
      </c>
      <c r="W116" s="524"/>
      <c r="X116" s="482">
        <f t="shared" si="18"/>
        <v>0</v>
      </c>
      <c r="Y116" s="524"/>
      <c r="Z116" s="524">
        <v>0</v>
      </c>
      <c r="AA116" s="483">
        <f t="shared" si="16"/>
        <v>0</v>
      </c>
      <c r="AB116" s="525"/>
      <c r="AC116" s="526" t="str">
        <f t="shared" si="19"/>
        <v>2년이상</v>
      </c>
      <c r="AD116" s="520" t="str">
        <f t="shared" si="20"/>
        <v/>
      </c>
      <c r="AE116" s="527">
        <f t="shared" si="21"/>
        <v>0</v>
      </c>
      <c r="AF116" s="527">
        <f t="shared" si="22"/>
        <v>0</v>
      </c>
      <c r="AG116" s="485"/>
      <c r="AH116" s="485"/>
      <c r="AI116" s="404"/>
    </row>
    <row r="117" spans="1:35" ht="12.75" hidden="1" outlineLevel="1" thickBot="1">
      <c r="A117" s="415"/>
      <c r="B117" s="415"/>
      <c r="I117" s="522">
        <v>75</v>
      </c>
      <c r="J117" s="523"/>
      <c r="K117" s="472"/>
      <c r="L117" s="523"/>
      <c r="M117" s="476"/>
      <c r="N117" s="476"/>
      <c r="O117" s="523"/>
      <c r="P117" s="476"/>
      <c r="Q117" s="524"/>
      <c r="R117" s="478">
        <f>IFERROR(INDEX(기초자산!M$6:M$408,MATCH(K117&amp;N117&amp;O117,기초자산!$A$6:$A$408,0),0),0)</f>
        <v>0</v>
      </c>
      <c r="S117" s="479">
        <f t="shared" si="17"/>
        <v>0</v>
      </c>
      <c r="T117" s="476"/>
      <c r="U117" s="471" t="s">
        <v>94</v>
      </c>
      <c r="V117" s="480">
        <f>IF(U117="한국 원화(KRW)",1,IF(OR(U117=환율!$A$6,U117=환율!$A$7),VLOOKUP(NAV!U117,환율!$A$6:$B$7,2,),IF(RIGHT(U117,5)="(100)",(VLOOKUP(NAV!U117,환율!$A$11:$B$65,2,))/100,VLOOKUP(NAV!U117,환율!$A$11:$B$65,2,))))</f>
        <v>1</v>
      </c>
      <c r="W117" s="524"/>
      <c r="X117" s="482">
        <f t="shared" si="18"/>
        <v>0</v>
      </c>
      <c r="Y117" s="524"/>
      <c r="Z117" s="524">
        <v>0</v>
      </c>
      <c r="AA117" s="483">
        <f t="shared" si="16"/>
        <v>0</v>
      </c>
      <c r="AB117" s="525"/>
      <c r="AC117" s="526" t="str">
        <f t="shared" si="19"/>
        <v>2년이상</v>
      </c>
      <c r="AD117" s="520" t="str">
        <f t="shared" si="20"/>
        <v/>
      </c>
      <c r="AE117" s="527">
        <f t="shared" si="21"/>
        <v>0</v>
      </c>
      <c r="AF117" s="527">
        <f t="shared" si="22"/>
        <v>0</v>
      </c>
      <c r="AG117" s="485"/>
      <c r="AH117" s="485"/>
      <c r="AI117" s="404"/>
    </row>
    <row r="118" spans="1:35" ht="12.75" hidden="1" outlineLevel="1" thickBot="1">
      <c r="A118" s="415"/>
      <c r="B118" s="415"/>
      <c r="I118" s="522">
        <v>76</v>
      </c>
      <c r="J118" s="523"/>
      <c r="K118" s="472"/>
      <c r="L118" s="523"/>
      <c r="M118" s="476"/>
      <c r="N118" s="476"/>
      <c r="O118" s="523"/>
      <c r="P118" s="476"/>
      <c r="Q118" s="524"/>
      <c r="R118" s="478">
        <f>IFERROR(INDEX(기초자산!M$6:M$408,MATCH(K118&amp;N118&amp;O118,기초자산!$A$6:$A$408,0),0),0)</f>
        <v>0</v>
      </c>
      <c r="S118" s="479">
        <f t="shared" si="17"/>
        <v>0</v>
      </c>
      <c r="T118" s="476"/>
      <c r="U118" s="471" t="s">
        <v>94</v>
      </c>
      <c r="V118" s="480">
        <f>IF(U118="한국 원화(KRW)",1,IF(OR(U118=환율!$A$6,U118=환율!$A$7),VLOOKUP(NAV!U118,환율!$A$6:$B$7,2,),IF(RIGHT(U118,5)="(100)",(VLOOKUP(NAV!U118,환율!$A$11:$B$65,2,))/100,VLOOKUP(NAV!U118,환율!$A$11:$B$65,2,))))</f>
        <v>1</v>
      </c>
      <c r="W118" s="524"/>
      <c r="X118" s="482">
        <f t="shared" si="18"/>
        <v>0</v>
      </c>
      <c r="Y118" s="524"/>
      <c r="Z118" s="524">
        <v>0</v>
      </c>
      <c r="AA118" s="483">
        <f t="shared" si="16"/>
        <v>0</v>
      </c>
      <c r="AB118" s="525"/>
      <c r="AC118" s="526" t="str">
        <f t="shared" si="19"/>
        <v>2년이상</v>
      </c>
      <c r="AD118" s="520" t="str">
        <f t="shared" si="20"/>
        <v/>
      </c>
      <c r="AE118" s="527">
        <f t="shared" si="21"/>
        <v>0</v>
      </c>
      <c r="AF118" s="527">
        <f t="shared" si="22"/>
        <v>0</v>
      </c>
      <c r="AG118" s="485"/>
      <c r="AH118" s="485"/>
      <c r="AI118" s="404"/>
    </row>
    <row r="119" spans="1:35" ht="12.75" hidden="1" outlineLevel="1" thickBot="1">
      <c r="A119" s="415"/>
      <c r="B119" s="415"/>
      <c r="I119" s="522">
        <v>77</v>
      </c>
      <c r="J119" s="523"/>
      <c r="K119" s="472"/>
      <c r="L119" s="523"/>
      <c r="M119" s="476"/>
      <c r="N119" s="476"/>
      <c r="O119" s="523"/>
      <c r="P119" s="476"/>
      <c r="Q119" s="524"/>
      <c r="R119" s="478">
        <f>IFERROR(INDEX(기초자산!M$6:M$408,MATCH(K119&amp;N119&amp;O119,기초자산!$A$6:$A$408,0),0),0)</f>
        <v>0</v>
      </c>
      <c r="S119" s="479">
        <f t="shared" si="17"/>
        <v>0</v>
      </c>
      <c r="T119" s="476"/>
      <c r="U119" s="471" t="s">
        <v>94</v>
      </c>
      <c r="V119" s="480">
        <f>IF(U119="한국 원화(KRW)",1,IF(OR(U119=환율!$A$6,U119=환율!$A$7),VLOOKUP(NAV!U119,환율!$A$6:$B$7,2,),IF(RIGHT(U119,5)="(100)",(VLOOKUP(NAV!U119,환율!$A$11:$B$65,2,))/100,VLOOKUP(NAV!U119,환율!$A$11:$B$65,2,))))</f>
        <v>1</v>
      </c>
      <c r="W119" s="524"/>
      <c r="X119" s="482">
        <f t="shared" si="18"/>
        <v>0</v>
      </c>
      <c r="Y119" s="524"/>
      <c r="Z119" s="524">
        <v>0</v>
      </c>
      <c r="AA119" s="483">
        <f t="shared" si="16"/>
        <v>0</v>
      </c>
      <c r="AB119" s="525"/>
      <c r="AC119" s="526" t="str">
        <f t="shared" si="19"/>
        <v>2년이상</v>
      </c>
      <c r="AD119" s="520" t="str">
        <f t="shared" si="20"/>
        <v/>
      </c>
      <c r="AE119" s="527">
        <f t="shared" si="21"/>
        <v>0</v>
      </c>
      <c r="AF119" s="527">
        <f t="shared" si="22"/>
        <v>0</v>
      </c>
      <c r="AG119" s="485"/>
      <c r="AH119" s="485"/>
      <c r="AI119" s="404"/>
    </row>
    <row r="120" spans="1:35" ht="12.75" hidden="1" outlineLevel="1" thickBot="1">
      <c r="A120" s="415"/>
      <c r="B120" s="415"/>
      <c r="I120" s="522">
        <v>78</v>
      </c>
      <c r="J120" s="523"/>
      <c r="K120" s="472"/>
      <c r="L120" s="523"/>
      <c r="M120" s="476"/>
      <c r="N120" s="476"/>
      <c r="O120" s="523"/>
      <c r="P120" s="476"/>
      <c r="Q120" s="524"/>
      <c r="R120" s="478">
        <f>IFERROR(INDEX(기초자산!M$6:M$408,MATCH(K120&amp;N120&amp;O120,기초자산!$A$6:$A$408,0),0),0)</f>
        <v>0</v>
      </c>
      <c r="S120" s="479">
        <f t="shared" si="17"/>
        <v>0</v>
      </c>
      <c r="T120" s="476"/>
      <c r="U120" s="471" t="s">
        <v>94</v>
      </c>
      <c r="V120" s="480">
        <f>IF(U120="한국 원화(KRW)",1,IF(OR(U120=환율!$A$6,U120=환율!$A$7),VLOOKUP(NAV!U120,환율!$A$6:$B$7,2,),IF(RIGHT(U120,5)="(100)",(VLOOKUP(NAV!U120,환율!$A$11:$B$65,2,))/100,VLOOKUP(NAV!U120,환율!$A$11:$B$65,2,))))</f>
        <v>1</v>
      </c>
      <c r="W120" s="524"/>
      <c r="X120" s="482">
        <f t="shared" si="18"/>
        <v>0</v>
      </c>
      <c r="Y120" s="524"/>
      <c r="Z120" s="524">
        <v>0</v>
      </c>
      <c r="AA120" s="483">
        <f t="shared" si="16"/>
        <v>0</v>
      </c>
      <c r="AB120" s="525"/>
      <c r="AC120" s="526" t="str">
        <f t="shared" si="19"/>
        <v>2년이상</v>
      </c>
      <c r="AD120" s="520" t="str">
        <f t="shared" si="20"/>
        <v/>
      </c>
      <c r="AE120" s="527">
        <f t="shared" si="21"/>
        <v>0</v>
      </c>
      <c r="AF120" s="527">
        <f t="shared" si="22"/>
        <v>0</v>
      </c>
      <c r="AG120" s="485"/>
      <c r="AH120" s="485"/>
      <c r="AI120" s="404"/>
    </row>
    <row r="121" spans="1:35" ht="12.75" hidden="1" outlineLevel="1" thickBot="1">
      <c r="A121" s="415"/>
      <c r="B121" s="415"/>
      <c r="I121" s="522">
        <v>79</v>
      </c>
      <c r="J121" s="523"/>
      <c r="K121" s="472"/>
      <c r="L121" s="523"/>
      <c r="M121" s="476"/>
      <c r="N121" s="476"/>
      <c r="O121" s="523"/>
      <c r="P121" s="476"/>
      <c r="Q121" s="524"/>
      <c r="R121" s="478">
        <f>IFERROR(INDEX(기초자산!M$6:M$408,MATCH(K121&amp;N121&amp;O121,기초자산!$A$6:$A$408,0),0),0)</f>
        <v>0</v>
      </c>
      <c r="S121" s="479">
        <f t="shared" si="17"/>
        <v>0</v>
      </c>
      <c r="T121" s="476"/>
      <c r="U121" s="471" t="s">
        <v>94</v>
      </c>
      <c r="V121" s="480">
        <f>IF(U121="한국 원화(KRW)",1,IF(OR(U121=환율!$A$6,U121=환율!$A$7),VLOOKUP(NAV!U121,환율!$A$6:$B$7,2,),IF(RIGHT(U121,5)="(100)",(VLOOKUP(NAV!U121,환율!$A$11:$B$65,2,))/100,VLOOKUP(NAV!U121,환율!$A$11:$B$65,2,))))</f>
        <v>1</v>
      </c>
      <c r="W121" s="524"/>
      <c r="X121" s="482">
        <f t="shared" si="18"/>
        <v>0</v>
      </c>
      <c r="Y121" s="524"/>
      <c r="Z121" s="524">
        <v>0</v>
      </c>
      <c r="AA121" s="483">
        <f t="shared" si="16"/>
        <v>0</v>
      </c>
      <c r="AB121" s="525"/>
      <c r="AC121" s="526" t="str">
        <f t="shared" si="19"/>
        <v>2년이상</v>
      </c>
      <c r="AD121" s="520" t="str">
        <f t="shared" si="20"/>
        <v/>
      </c>
      <c r="AE121" s="527">
        <f t="shared" si="21"/>
        <v>0</v>
      </c>
      <c r="AF121" s="527">
        <f t="shared" si="22"/>
        <v>0</v>
      </c>
      <c r="AG121" s="485"/>
      <c r="AH121" s="485"/>
      <c r="AI121" s="404"/>
    </row>
    <row r="122" spans="1:35" ht="12.75" hidden="1" outlineLevel="1" thickBot="1">
      <c r="A122" s="415"/>
      <c r="B122" s="415"/>
      <c r="I122" s="522">
        <v>80</v>
      </c>
      <c r="J122" s="523"/>
      <c r="K122" s="472"/>
      <c r="L122" s="523"/>
      <c r="M122" s="476"/>
      <c r="N122" s="476"/>
      <c r="O122" s="523"/>
      <c r="P122" s="476"/>
      <c r="Q122" s="524"/>
      <c r="R122" s="478">
        <f>IFERROR(INDEX(기초자산!M$6:M$408,MATCH(K122&amp;N122&amp;O122,기초자산!$A$6:$A$408,0),0),0)</f>
        <v>0</v>
      </c>
      <c r="S122" s="479">
        <f t="shared" si="17"/>
        <v>0</v>
      </c>
      <c r="T122" s="476"/>
      <c r="U122" s="471" t="s">
        <v>94</v>
      </c>
      <c r="V122" s="480">
        <f>IF(U122="한국 원화(KRW)",1,IF(OR(U122=환율!$A$6,U122=환율!$A$7),VLOOKUP(NAV!U122,환율!$A$6:$B$7,2,),IF(RIGHT(U122,5)="(100)",(VLOOKUP(NAV!U122,환율!$A$11:$B$65,2,))/100,VLOOKUP(NAV!U122,환율!$A$11:$B$65,2,))))</f>
        <v>1</v>
      </c>
      <c r="W122" s="524"/>
      <c r="X122" s="482">
        <f t="shared" si="18"/>
        <v>0</v>
      </c>
      <c r="Y122" s="524"/>
      <c r="Z122" s="524">
        <v>0</v>
      </c>
      <c r="AA122" s="483">
        <f t="shared" si="16"/>
        <v>0</v>
      </c>
      <c r="AB122" s="525"/>
      <c r="AC122" s="526" t="str">
        <f t="shared" si="19"/>
        <v>2년이상</v>
      </c>
      <c r="AD122" s="520" t="str">
        <f t="shared" si="20"/>
        <v/>
      </c>
      <c r="AE122" s="527">
        <f t="shared" si="21"/>
        <v>0</v>
      </c>
      <c r="AF122" s="527">
        <f t="shared" si="22"/>
        <v>0</v>
      </c>
      <c r="AG122" s="485"/>
      <c r="AH122" s="485"/>
      <c r="AI122" s="404"/>
    </row>
    <row r="123" spans="1:35" ht="12.75" hidden="1" outlineLevel="1" thickBot="1">
      <c r="A123" s="415"/>
      <c r="B123" s="415"/>
      <c r="I123" s="522">
        <v>81</v>
      </c>
      <c r="J123" s="523"/>
      <c r="K123" s="472"/>
      <c r="L123" s="523"/>
      <c r="M123" s="476"/>
      <c r="N123" s="476"/>
      <c r="O123" s="523"/>
      <c r="P123" s="476"/>
      <c r="Q123" s="524"/>
      <c r="R123" s="478">
        <f>IFERROR(INDEX(기초자산!M$6:M$408,MATCH(K123&amp;N123&amp;O123,기초자산!$A$6:$A$408,0),0),0)</f>
        <v>0</v>
      </c>
      <c r="S123" s="479">
        <f t="shared" si="17"/>
        <v>0</v>
      </c>
      <c r="T123" s="476"/>
      <c r="U123" s="471" t="s">
        <v>94</v>
      </c>
      <c r="V123" s="480">
        <f>IF(U123="한국 원화(KRW)",1,IF(OR(U123=환율!$A$6,U123=환율!$A$7),VLOOKUP(NAV!U123,환율!$A$6:$B$7,2,),IF(RIGHT(U123,5)="(100)",(VLOOKUP(NAV!U123,환율!$A$11:$B$65,2,))/100,VLOOKUP(NAV!U123,환율!$A$11:$B$65,2,))))</f>
        <v>1</v>
      </c>
      <c r="W123" s="524"/>
      <c r="X123" s="482">
        <f t="shared" si="18"/>
        <v>0</v>
      </c>
      <c r="Y123" s="524"/>
      <c r="Z123" s="524">
        <v>0</v>
      </c>
      <c r="AA123" s="483">
        <f t="shared" si="16"/>
        <v>0</v>
      </c>
      <c r="AB123" s="525"/>
      <c r="AC123" s="526" t="str">
        <f t="shared" si="19"/>
        <v>2년이상</v>
      </c>
      <c r="AD123" s="520" t="str">
        <f t="shared" si="20"/>
        <v/>
      </c>
      <c r="AE123" s="527">
        <f t="shared" si="21"/>
        <v>0</v>
      </c>
      <c r="AF123" s="527">
        <f t="shared" si="22"/>
        <v>0</v>
      </c>
      <c r="AG123" s="485"/>
      <c r="AH123" s="485"/>
      <c r="AI123" s="404"/>
    </row>
    <row r="124" spans="1:35" ht="12.75" hidden="1" outlineLevel="1" thickBot="1">
      <c r="A124" s="415"/>
      <c r="B124" s="415"/>
      <c r="I124" s="522">
        <v>82</v>
      </c>
      <c r="J124" s="523"/>
      <c r="K124" s="472"/>
      <c r="L124" s="523"/>
      <c r="M124" s="476"/>
      <c r="N124" s="476"/>
      <c r="O124" s="523"/>
      <c r="P124" s="476"/>
      <c r="Q124" s="524"/>
      <c r="R124" s="478">
        <f>IFERROR(INDEX(기초자산!M$6:M$408,MATCH(K124&amp;N124&amp;O124,기초자산!$A$6:$A$408,0),0),0)</f>
        <v>0</v>
      </c>
      <c r="S124" s="479">
        <f t="shared" si="17"/>
        <v>0</v>
      </c>
      <c r="T124" s="476"/>
      <c r="U124" s="471" t="s">
        <v>94</v>
      </c>
      <c r="V124" s="480">
        <f>IF(U124="한국 원화(KRW)",1,IF(OR(U124=환율!$A$6,U124=환율!$A$7),VLOOKUP(NAV!U124,환율!$A$6:$B$7,2,),IF(RIGHT(U124,5)="(100)",(VLOOKUP(NAV!U124,환율!$A$11:$B$65,2,))/100,VLOOKUP(NAV!U124,환율!$A$11:$B$65,2,))))</f>
        <v>1</v>
      </c>
      <c r="W124" s="524"/>
      <c r="X124" s="482">
        <f t="shared" si="18"/>
        <v>0</v>
      </c>
      <c r="Y124" s="524"/>
      <c r="Z124" s="524">
        <v>0</v>
      </c>
      <c r="AA124" s="483">
        <f t="shared" si="16"/>
        <v>0</v>
      </c>
      <c r="AB124" s="525"/>
      <c r="AC124" s="526" t="str">
        <f t="shared" si="19"/>
        <v>2년이상</v>
      </c>
      <c r="AD124" s="520" t="str">
        <f t="shared" si="20"/>
        <v/>
      </c>
      <c r="AE124" s="527">
        <f t="shared" si="21"/>
        <v>0</v>
      </c>
      <c r="AF124" s="527">
        <f t="shared" si="22"/>
        <v>0</v>
      </c>
      <c r="AG124" s="485"/>
      <c r="AH124" s="485"/>
      <c r="AI124" s="404"/>
    </row>
    <row r="125" spans="1:35" ht="12.75" hidden="1" outlineLevel="1" thickBot="1">
      <c r="A125" s="415"/>
      <c r="B125" s="415"/>
      <c r="I125" s="522">
        <v>83</v>
      </c>
      <c r="J125" s="523"/>
      <c r="K125" s="472"/>
      <c r="L125" s="523"/>
      <c r="M125" s="476"/>
      <c r="N125" s="476"/>
      <c r="O125" s="523"/>
      <c r="P125" s="476"/>
      <c r="Q125" s="524"/>
      <c r="R125" s="478">
        <f>IFERROR(INDEX(기초자산!M$6:M$408,MATCH(K125&amp;N125&amp;O125,기초자산!$A$6:$A$408,0),0),0)</f>
        <v>0</v>
      </c>
      <c r="S125" s="479">
        <f t="shared" si="17"/>
        <v>0</v>
      </c>
      <c r="T125" s="476"/>
      <c r="U125" s="471" t="s">
        <v>94</v>
      </c>
      <c r="V125" s="480">
        <f>IF(U125="한국 원화(KRW)",1,IF(OR(U125=환율!$A$6,U125=환율!$A$7),VLOOKUP(NAV!U125,환율!$A$6:$B$7,2,),IF(RIGHT(U125,5)="(100)",(VLOOKUP(NAV!U125,환율!$A$11:$B$65,2,))/100,VLOOKUP(NAV!U125,환율!$A$11:$B$65,2,))))</f>
        <v>1</v>
      </c>
      <c r="W125" s="524"/>
      <c r="X125" s="482">
        <f t="shared" si="18"/>
        <v>0</v>
      </c>
      <c r="Y125" s="524"/>
      <c r="Z125" s="524">
        <v>0</v>
      </c>
      <c r="AA125" s="483">
        <f t="shared" si="16"/>
        <v>0</v>
      </c>
      <c r="AB125" s="525"/>
      <c r="AC125" s="526" t="str">
        <f t="shared" si="19"/>
        <v>2년이상</v>
      </c>
      <c r="AD125" s="520" t="str">
        <f t="shared" si="20"/>
        <v/>
      </c>
      <c r="AE125" s="527">
        <f t="shared" si="21"/>
        <v>0</v>
      </c>
      <c r="AF125" s="527">
        <f t="shared" si="22"/>
        <v>0</v>
      </c>
      <c r="AG125" s="485"/>
      <c r="AH125" s="485"/>
      <c r="AI125" s="404"/>
    </row>
    <row r="126" spans="1:35" ht="12.75" hidden="1" outlineLevel="1" thickBot="1">
      <c r="A126" s="415"/>
      <c r="B126" s="415"/>
      <c r="I126" s="522">
        <v>84</v>
      </c>
      <c r="J126" s="523"/>
      <c r="K126" s="472"/>
      <c r="L126" s="523"/>
      <c r="M126" s="476"/>
      <c r="N126" s="476"/>
      <c r="O126" s="523"/>
      <c r="P126" s="476"/>
      <c r="Q126" s="524"/>
      <c r="R126" s="478">
        <f>IFERROR(INDEX(기초자산!M$6:M$408,MATCH(K126&amp;N126&amp;O126,기초자산!$A$6:$A$408,0),0),0)</f>
        <v>0</v>
      </c>
      <c r="S126" s="479">
        <f t="shared" si="17"/>
        <v>0</v>
      </c>
      <c r="T126" s="476"/>
      <c r="U126" s="471" t="s">
        <v>94</v>
      </c>
      <c r="V126" s="480">
        <f>IF(U126="한국 원화(KRW)",1,IF(OR(U126=환율!$A$6,U126=환율!$A$7),VLOOKUP(NAV!U126,환율!$A$6:$B$7,2,),IF(RIGHT(U126,5)="(100)",(VLOOKUP(NAV!U126,환율!$A$11:$B$65,2,))/100,VLOOKUP(NAV!U126,환율!$A$11:$B$65,2,))))</f>
        <v>1</v>
      </c>
      <c r="W126" s="524"/>
      <c r="X126" s="482">
        <f t="shared" si="18"/>
        <v>0</v>
      </c>
      <c r="Y126" s="524"/>
      <c r="Z126" s="524">
        <v>0</v>
      </c>
      <c r="AA126" s="483">
        <f t="shared" si="16"/>
        <v>0</v>
      </c>
      <c r="AB126" s="525"/>
      <c r="AC126" s="526" t="str">
        <f t="shared" si="19"/>
        <v>2년이상</v>
      </c>
      <c r="AD126" s="520" t="str">
        <f t="shared" si="20"/>
        <v/>
      </c>
      <c r="AE126" s="527">
        <f t="shared" si="21"/>
        <v>0</v>
      </c>
      <c r="AF126" s="527">
        <f t="shared" si="22"/>
        <v>0</v>
      </c>
      <c r="AG126" s="485"/>
      <c r="AH126" s="485"/>
      <c r="AI126" s="404"/>
    </row>
    <row r="127" spans="1:35" ht="12.75" hidden="1" outlineLevel="1" thickBot="1">
      <c r="A127" s="415"/>
      <c r="B127" s="415"/>
      <c r="I127" s="522">
        <v>85</v>
      </c>
      <c r="J127" s="523"/>
      <c r="K127" s="472"/>
      <c r="L127" s="523"/>
      <c r="M127" s="476"/>
      <c r="N127" s="476"/>
      <c r="O127" s="523"/>
      <c r="P127" s="476"/>
      <c r="Q127" s="524"/>
      <c r="R127" s="478">
        <f>IFERROR(INDEX(기초자산!M$6:M$408,MATCH(K127&amp;N127&amp;O127,기초자산!$A$6:$A$408,0),0),0)</f>
        <v>0</v>
      </c>
      <c r="S127" s="479">
        <f t="shared" si="17"/>
        <v>0</v>
      </c>
      <c r="T127" s="476"/>
      <c r="U127" s="471" t="s">
        <v>94</v>
      </c>
      <c r="V127" s="480">
        <f>IF(U127="한국 원화(KRW)",1,IF(OR(U127=환율!$A$6,U127=환율!$A$7),VLOOKUP(NAV!U127,환율!$A$6:$B$7,2,),IF(RIGHT(U127,5)="(100)",(VLOOKUP(NAV!U127,환율!$A$11:$B$65,2,))/100,VLOOKUP(NAV!U127,환율!$A$11:$B$65,2,))))</f>
        <v>1</v>
      </c>
      <c r="W127" s="524"/>
      <c r="X127" s="482">
        <f t="shared" si="18"/>
        <v>0</v>
      </c>
      <c r="Y127" s="524"/>
      <c r="Z127" s="524">
        <v>0</v>
      </c>
      <c r="AA127" s="483">
        <f t="shared" si="16"/>
        <v>0</v>
      </c>
      <c r="AB127" s="525"/>
      <c r="AC127" s="526" t="str">
        <f t="shared" si="19"/>
        <v>2년이상</v>
      </c>
      <c r="AD127" s="520" t="str">
        <f t="shared" si="20"/>
        <v/>
      </c>
      <c r="AE127" s="527">
        <f t="shared" si="21"/>
        <v>0</v>
      </c>
      <c r="AF127" s="527">
        <f t="shared" si="22"/>
        <v>0</v>
      </c>
      <c r="AG127" s="485"/>
      <c r="AH127" s="485"/>
      <c r="AI127" s="404"/>
    </row>
    <row r="128" spans="1:35" ht="12.75" hidden="1" outlineLevel="1" thickBot="1">
      <c r="A128" s="415"/>
      <c r="B128" s="415"/>
      <c r="I128" s="522">
        <v>86</v>
      </c>
      <c r="J128" s="523"/>
      <c r="K128" s="472"/>
      <c r="L128" s="523"/>
      <c r="M128" s="476"/>
      <c r="N128" s="476"/>
      <c r="O128" s="523"/>
      <c r="P128" s="476"/>
      <c r="Q128" s="524"/>
      <c r="R128" s="478">
        <f>IFERROR(INDEX(기초자산!M$6:M$408,MATCH(K128&amp;N128&amp;O128,기초자산!$A$6:$A$408,0),0),0)</f>
        <v>0</v>
      </c>
      <c r="S128" s="479">
        <f t="shared" si="17"/>
        <v>0</v>
      </c>
      <c r="T128" s="476"/>
      <c r="U128" s="471" t="s">
        <v>94</v>
      </c>
      <c r="V128" s="480">
        <f>IF(U128="한국 원화(KRW)",1,IF(OR(U128=환율!$A$6,U128=환율!$A$7),VLOOKUP(NAV!U128,환율!$A$6:$B$7,2,),IF(RIGHT(U128,5)="(100)",(VLOOKUP(NAV!U128,환율!$A$11:$B$65,2,))/100,VLOOKUP(NAV!U128,환율!$A$11:$B$65,2,))))</f>
        <v>1</v>
      </c>
      <c r="W128" s="524"/>
      <c r="X128" s="482">
        <f t="shared" si="18"/>
        <v>0</v>
      </c>
      <c r="Y128" s="524"/>
      <c r="Z128" s="524">
        <v>0</v>
      </c>
      <c r="AA128" s="483">
        <f t="shared" si="16"/>
        <v>0</v>
      </c>
      <c r="AB128" s="525"/>
      <c r="AC128" s="526" t="str">
        <f t="shared" si="19"/>
        <v>2년이상</v>
      </c>
      <c r="AD128" s="520" t="str">
        <f t="shared" si="20"/>
        <v/>
      </c>
      <c r="AE128" s="527">
        <f t="shared" si="21"/>
        <v>0</v>
      </c>
      <c r="AF128" s="527">
        <f t="shared" si="22"/>
        <v>0</v>
      </c>
      <c r="AG128" s="485"/>
      <c r="AH128" s="485"/>
      <c r="AI128" s="404"/>
    </row>
    <row r="129" spans="1:35" ht="12.75" hidden="1" outlineLevel="1" thickBot="1">
      <c r="A129" s="415"/>
      <c r="B129" s="415"/>
      <c r="I129" s="522">
        <v>87</v>
      </c>
      <c r="J129" s="523"/>
      <c r="K129" s="472"/>
      <c r="L129" s="523"/>
      <c r="M129" s="476"/>
      <c r="N129" s="476"/>
      <c r="O129" s="523"/>
      <c r="P129" s="476"/>
      <c r="Q129" s="524"/>
      <c r="R129" s="478">
        <f>IFERROR(INDEX(기초자산!M$6:M$408,MATCH(K129&amp;N129&amp;O129,기초자산!$A$6:$A$408,0),0),0)</f>
        <v>0</v>
      </c>
      <c r="S129" s="479">
        <f t="shared" si="17"/>
        <v>0</v>
      </c>
      <c r="T129" s="476"/>
      <c r="U129" s="471" t="s">
        <v>94</v>
      </c>
      <c r="V129" s="480">
        <f>IF(U129="한국 원화(KRW)",1,IF(OR(U129=환율!$A$6,U129=환율!$A$7),VLOOKUP(NAV!U129,환율!$A$6:$B$7,2,),IF(RIGHT(U129,5)="(100)",(VLOOKUP(NAV!U129,환율!$A$11:$B$65,2,))/100,VLOOKUP(NAV!U129,환율!$A$11:$B$65,2,))))</f>
        <v>1</v>
      </c>
      <c r="W129" s="524"/>
      <c r="X129" s="482">
        <f t="shared" si="18"/>
        <v>0</v>
      </c>
      <c r="Y129" s="524"/>
      <c r="Z129" s="524">
        <v>0</v>
      </c>
      <c r="AA129" s="483">
        <f t="shared" si="16"/>
        <v>0</v>
      </c>
      <c r="AB129" s="525"/>
      <c r="AC129" s="526" t="str">
        <f t="shared" si="19"/>
        <v>2년이상</v>
      </c>
      <c r="AD129" s="520" t="str">
        <f t="shared" si="20"/>
        <v/>
      </c>
      <c r="AE129" s="527">
        <f t="shared" si="21"/>
        <v>0</v>
      </c>
      <c r="AF129" s="527">
        <f t="shared" si="22"/>
        <v>0</v>
      </c>
      <c r="AG129" s="485"/>
      <c r="AH129" s="485"/>
      <c r="AI129" s="404"/>
    </row>
    <row r="130" spans="1:35" ht="12.75" hidden="1" outlineLevel="1" thickBot="1">
      <c r="A130" s="415"/>
      <c r="B130" s="415"/>
      <c r="I130" s="522">
        <v>88</v>
      </c>
      <c r="J130" s="523"/>
      <c r="K130" s="472"/>
      <c r="L130" s="523"/>
      <c r="M130" s="476"/>
      <c r="N130" s="476"/>
      <c r="O130" s="523"/>
      <c r="P130" s="476"/>
      <c r="Q130" s="524"/>
      <c r="R130" s="478">
        <f>IFERROR(INDEX(기초자산!M$6:M$408,MATCH(K130&amp;N130&amp;O130,기초자산!$A$6:$A$408,0),0),0)</f>
        <v>0</v>
      </c>
      <c r="S130" s="479">
        <f t="shared" si="17"/>
        <v>0</v>
      </c>
      <c r="T130" s="476"/>
      <c r="U130" s="471" t="s">
        <v>94</v>
      </c>
      <c r="V130" s="480">
        <f>IF(U130="한국 원화(KRW)",1,IF(OR(U130=환율!$A$6,U130=환율!$A$7),VLOOKUP(NAV!U130,환율!$A$6:$B$7,2,),IF(RIGHT(U130,5)="(100)",(VLOOKUP(NAV!U130,환율!$A$11:$B$65,2,))/100,VLOOKUP(NAV!U130,환율!$A$11:$B$65,2,))))</f>
        <v>1</v>
      </c>
      <c r="W130" s="524"/>
      <c r="X130" s="482">
        <f t="shared" si="18"/>
        <v>0</v>
      </c>
      <c r="Y130" s="524"/>
      <c r="Z130" s="524">
        <v>0</v>
      </c>
      <c r="AA130" s="483">
        <f t="shared" si="16"/>
        <v>0</v>
      </c>
      <c r="AB130" s="525"/>
      <c r="AC130" s="526" t="str">
        <f t="shared" si="19"/>
        <v>2년이상</v>
      </c>
      <c r="AD130" s="520" t="str">
        <f t="shared" si="20"/>
        <v/>
      </c>
      <c r="AE130" s="527">
        <f t="shared" si="21"/>
        <v>0</v>
      </c>
      <c r="AF130" s="527">
        <f t="shared" si="22"/>
        <v>0</v>
      </c>
      <c r="AG130" s="485"/>
      <c r="AH130" s="485"/>
      <c r="AI130" s="404"/>
    </row>
    <row r="131" spans="1:35" ht="12.75" hidden="1" outlineLevel="1" thickBot="1">
      <c r="A131" s="415"/>
      <c r="B131" s="415"/>
      <c r="I131" s="522">
        <v>89</v>
      </c>
      <c r="J131" s="523"/>
      <c r="K131" s="472"/>
      <c r="L131" s="523"/>
      <c r="M131" s="476"/>
      <c r="N131" s="476"/>
      <c r="O131" s="523"/>
      <c r="P131" s="476"/>
      <c r="Q131" s="524"/>
      <c r="R131" s="478">
        <f>IFERROR(INDEX(기초자산!M$6:M$408,MATCH(K131&amp;N131&amp;O131,기초자산!$A$6:$A$408,0),0),0)</f>
        <v>0</v>
      </c>
      <c r="S131" s="479">
        <f t="shared" si="17"/>
        <v>0</v>
      </c>
      <c r="T131" s="476"/>
      <c r="U131" s="471" t="s">
        <v>94</v>
      </c>
      <c r="V131" s="480">
        <f>IF(U131="한국 원화(KRW)",1,IF(OR(U131=환율!$A$6,U131=환율!$A$7),VLOOKUP(NAV!U131,환율!$A$6:$B$7,2,),IF(RIGHT(U131,5)="(100)",(VLOOKUP(NAV!U131,환율!$A$11:$B$65,2,))/100,VLOOKUP(NAV!U131,환율!$A$11:$B$65,2,))))</f>
        <v>1</v>
      </c>
      <c r="W131" s="524"/>
      <c r="X131" s="482">
        <f t="shared" si="18"/>
        <v>0</v>
      </c>
      <c r="Y131" s="524"/>
      <c r="Z131" s="524">
        <v>0</v>
      </c>
      <c r="AA131" s="483">
        <f t="shared" si="16"/>
        <v>0</v>
      </c>
      <c r="AB131" s="525"/>
      <c r="AC131" s="526" t="str">
        <f t="shared" si="19"/>
        <v>2년이상</v>
      </c>
      <c r="AD131" s="520" t="str">
        <f t="shared" si="20"/>
        <v/>
      </c>
      <c r="AE131" s="527">
        <f t="shared" si="21"/>
        <v>0</v>
      </c>
      <c r="AF131" s="527">
        <f t="shared" si="22"/>
        <v>0</v>
      </c>
      <c r="AG131" s="485"/>
      <c r="AH131" s="485"/>
      <c r="AI131" s="404"/>
    </row>
    <row r="132" spans="1:35" ht="12.75" hidden="1" outlineLevel="1" thickBot="1">
      <c r="A132" s="415"/>
      <c r="B132" s="415"/>
      <c r="I132" s="522">
        <v>90</v>
      </c>
      <c r="J132" s="523"/>
      <c r="K132" s="472"/>
      <c r="L132" s="523"/>
      <c r="M132" s="476"/>
      <c r="N132" s="476"/>
      <c r="O132" s="523"/>
      <c r="P132" s="476"/>
      <c r="Q132" s="524"/>
      <c r="R132" s="478">
        <f>IFERROR(INDEX(기초자산!M$6:M$408,MATCH(K132&amp;N132&amp;O132,기초자산!$A$6:$A$408,0),0),0)</f>
        <v>0</v>
      </c>
      <c r="S132" s="479">
        <f t="shared" si="17"/>
        <v>0</v>
      </c>
      <c r="T132" s="476"/>
      <c r="U132" s="471" t="s">
        <v>94</v>
      </c>
      <c r="V132" s="480">
        <f>IF(U132="한국 원화(KRW)",1,IF(OR(U132=환율!$A$6,U132=환율!$A$7),VLOOKUP(NAV!U132,환율!$A$6:$B$7,2,),IF(RIGHT(U132,5)="(100)",(VLOOKUP(NAV!U132,환율!$A$11:$B$65,2,))/100,VLOOKUP(NAV!U132,환율!$A$11:$B$65,2,))))</f>
        <v>1</v>
      </c>
      <c r="W132" s="524"/>
      <c r="X132" s="482">
        <f t="shared" si="18"/>
        <v>0</v>
      </c>
      <c r="Y132" s="524"/>
      <c r="Z132" s="524">
        <v>0</v>
      </c>
      <c r="AA132" s="483">
        <f t="shared" si="16"/>
        <v>0</v>
      </c>
      <c r="AB132" s="525"/>
      <c r="AC132" s="526" t="str">
        <f t="shared" si="19"/>
        <v>2년이상</v>
      </c>
      <c r="AD132" s="520" t="str">
        <f t="shared" si="20"/>
        <v/>
      </c>
      <c r="AE132" s="527">
        <f t="shared" si="21"/>
        <v>0</v>
      </c>
      <c r="AF132" s="527">
        <f t="shared" si="22"/>
        <v>0</v>
      </c>
      <c r="AG132" s="485"/>
      <c r="AH132" s="485"/>
      <c r="AI132" s="404"/>
    </row>
    <row r="133" spans="1:35" ht="12.75" hidden="1" outlineLevel="1" thickBot="1">
      <c r="A133" s="415"/>
      <c r="B133" s="415"/>
      <c r="I133" s="522">
        <v>91</v>
      </c>
      <c r="J133" s="523"/>
      <c r="K133" s="472"/>
      <c r="L133" s="523"/>
      <c r="M133" s="476"/>
      <c r="N133" s="476"/>
      <c r="O133" s="523"/>
      <c r="P133" s="476"/>
      <c r="Q133" s="524"/>
      <c r="R133" s="478">
        <f>IFERROR(INDEX(기초자산!M$6:M$408,MATCH(K133&amp;N133&amp;O133,기초자산!$A$6:$A$408,0),0),0)</f>
        <v>0</v>
      </c>
      <c r="S133" s="479">
        <f t="shared" si="17"/>
        <v>0</v>
      </c>
      <c r="T133" s="476"/>
      <c r="U133" s="471" t="s">
        <v>94</v>
      </c>
      <c r="V133" s="480">
        <f>IF(U133="한국 원화(KRW)",1,IF(OR(U133=환율!$A$6,U133=환율!$A$7),VLOOKUP(NAV!U133,환율!$A$6:$B$7,2,),IF(RIGHT(U133,5)="(100)",(VLOOKUP(NAV!U133,환율!$A$11:$B$65,2,))/100,VLOOKUP(NAV!U133,환율!$A$11:$B$65,2,))))</f>
        <v>1</v>
      </c>
      <c r="W133" s="524"/>
      <c r="X133" s="482">
        <f t="shared" si="18"/>
        <v>0</v>
      </c>
      <c r="Y133" s="524"/>
      <c r="Z133" s="524">
        <v>0</v>
      </c>
      <c r="AA133" s="483">
        <f t="shared" si="16"/>
        <v>0</v>
      </c>
      <c r="AB133" s="525"/>
      <c r="AC133" s="526" t="str">
        <f t="shared" si="19"/>
        <v>2년이상</v>
      </c>
      <c r="AD133" s="520" t="str">
        <f t="shared" si="20"/>
        <v/>
      </c>
      <c r="AE133" s="527">
        <f t="shared" si="21"/>
        <v>0</v>
      </c>
      <c r="AF133" s="527">
        <f t="shared" si="22"/>
        <v>0</v>
      </c>
      <c r="AG133" s="485"/>
      <c r="AH133" s="485"/>
      <c r="AI133" s="404"/>
    </row>
    <row r="134" spans="1:35" ht="12.75" hidden="1" outlineLevel="1" thickBot="1">
      <c r="A134" s="415"/>
      <c r="B134" s="415"/>
      <c r="I134" s="522">
        <v>92</v>
      </c>
      <c r="J134" s="523"/>
      <c r="K134" s="472"/>
      <c r="L134" s="523"/>
      <c r="M134" s="476"/>
      <c r="N134" s="476"/>
      <c r="O134" s="523"/>
      <c r="P134" s="476"/>
      <c r="Q134" s="524"/>
      <c r="R134" s="478">
        <f>IFERROR(INDEX(기초자산!M$6:M$408,MATCH(K134&amp;N134&amp;O134,기초자산!$A$6:$A$408,0),0),0)</f>
        <v>0</v>
      </c>
      <c r="S134" s="479">
        <f t="shared" si="17"/>
        <v>0</v>
      </c>
      <c r="T134" s="476"/>
      <c r="U134" s="471" t="s">
        <v>94</v>
      </c>
      <c r="V134" s="480">
        <f>IF(U134="한국 원화(KRW)",1,IF(OR(U134=환율!$A$6,U134=환율!$A$7),VLOOKUP(NAV!U134,환율!$A$6:$B$7,2,),IF(RIGHT(U134,5)="(100)",(VLOOKUP(NAV!U134,환율!$A$11:$B$65,2,))/100,VLOOKUP(NAV!U134,환율!$A$11:$B$65,2,))))</f>
        <v>1</v>
      </c>
      <c r="W134" s="524"/>
      <c r="X134" s="482">
        <f t="shared" si="18"/>
        <v>0</v>
      </c>
      <c r="Y134" s="524"/>
      <c r="Z134" s="524">
        <v>0</v>
      </c>
      <c r="AA134" s="483">
        <f t="shared" si="16"/>
        <v>0</v>
      </c>
      <c r="AB134" s="525"/>
      <c r="AC134" s="526" t="str">
        <f t="shared" si="19"/>
        <v>2년이상</v>
      </c>
      <c r="AD134" s="520" t="str">
        <f t="shared" si="20"/>
        <v/>
      </c>
      <c r="AE134" s="527">
        <f t="shared" si="21"/>
        <v>0</v>
      </c>
      <c r="AF134" s="527">
        <f t="shared" si="22"/>
        <v>0</v>
      </c>
      <c r="AG134" s="485"/>
      <c r="AH134" s="485"/>
      <c r="AI134" s="404"/>
    </row>
    <row r="135" spans="1:35" ht="12.75" hidden="1" outlineLevel="1" thickBot="1">
      <c r="A135" s="415"/>
      <c r="B135" s="415"/>
      <c r="I135" s="522">
        <v>93</v>
      </c>
      <c r="J135" s="523"/>
      <c r="K135" s="472"/>
      <c r="L135" s="523"/>
      <c r="M135" s="476"/>
      <c r="N135" s="476"/>
      <c r="O135" s="523"/>
      <c r="P135" s="476"/>
      <c r="Q135" s="524"/>
      <c r="R135" s="478">
        <f>IFERROR(INDEX(기초자산!M$6:M$408,MATCH(K135&amp;N135&amp;O135,기초자산!$A$6:$A$408,0),0),0)</f>
        <v>0</v>
      </c>
      <c r="S135" s="479">
        <f t="shared" si="17"/>
        <v>0</v>
      </c>
      <c r="T135" s="476"/>
      <c r="U135" s="471" t="s">
        <v>94</v>
      </c>
      <c r="V135" s="480">
        <f>IF(U135="한국 원화(KRW)",1,IF(OR(U135=환율!$A$6,U135=환율!$A$7),VLOOKUP(NAV!U135,환율!$A$6:$B$7,2,),IF(RIGHT(U135,5)="(100)",(VLOOKUP(NAV!U135,환율!$A$11:$B$65,2,))/100,VLOOKUP(NAV!U135,환율!$A$11:$B$65,2,))))</f>
        <v>1</v>
      </c>
      <c r="W135" s="524"/>
      <c r="X135" s="482">
        <f t="shared" si="18"/>
        <v>0</v>
      </c>
      <c r="Y135" s="524"/>
      <c r="Z135" s="524">
        <v>0</v>
      </c>
      <c r="AA135" s="483">
        <f t="shared" si="16"/>
        <v>0</v>
      </c>
      <c r="AB135" s="525"/>
      <c r="AC135" s="526" t="str">
        <f t="shared" si="19"/>
        <v>2년이상</v>
      </c>
      <c r="AD135" s="520" t="str">
        <f t="shared" si="20"/>
        <v/>
      </c>
      <c r="AE135" s="527">
        <f t="shared" si="21"/>
        <v>0</v>
      </c>
      <c r="AF135" s="527">
        <f t="shared" si="22"/>
        <v>0</v>
      </c>
      <c r="AG135" s="485"/>
      <c r="AH135" s="485"/>
      <c r="AI135" s="404"/>
    </row>
    <row r="136" spans="1:35" ht="12.75" hidden="1" outlineLevel="1" thickBot="1">
      <c r="A136" s="415"/>
      <c r="B136" s="415"/>
      <c r="I136" s="522">
        <v>94</v>
      </c>
      <c r="J136" s="523"/>
      <c r="K136" s="472"/>
      <c r="L136" s="523"/>
      <c r="M136" s="476"/>
      <c r="N136" s="476"/>
      <c r="O136" s="523"/>
      <c r="P136" s="476"/>
      <c r="Q136" s="524"/>
      <c r="R136" s="478">
        <f>IFERROR(INDEX(기초자산!M$6:M$408,MATCH(K136&amp;N136&amp;O136,기초자산!$A$6:$A$408,0),0),0)</f>
        <v>0</v>
      </c>
      <c r="S136" s="479">
        <f t="shared" si="17"/>
        <v>0</v>
      </c>
      <c r="T136" s="476"/>
      <c r="U136" s="471" t="s">
        <v>94</v>
      </c>
      <c r="V136" s="480">
        <f>IF(U136="한국 원화(KRW)",1,IF(OR(U136=환율!$A$6,U136=환율!$A$7),VLOOKUP(NAV!U136,환율!$A$6:$B$7,2,),IF(RIGHT(U136,5)="(100)",(VLOOKUP(NAV!U136,환율!$A$11:$B$65,2,))/100,VLOOKUP(NAV!U136,환율!$A$11:$B$65,2,))))</f>
        <v>1</v>
      </c>
      <c r="W136" s="524"/>
      <c r="X136" s="482">
        <f t="shared" si="18"/>
        <v>0</v>
      </c>
      <c r="Y136" s="524"/>
      <c r="Z136" s="524">
        <v>0</v>
      </c>
      <c r="AA136" s="483">
        <f t="shared" si="16"/>
        <v>0</v>
      </c>
      <c r="AB136" s="525"/>
      <c r="AC136" s="526" t="str">
        <f t="shared" si="19"/>
        <v>2년이상</v>
      </c>
      <c r="AD136" s="520" t="str">
        <f t="shared" si="20"/>
        <v/>
      </c>
      <c r="AE136" s="527">
        <f t="shared" si="21"/>
        <v>0</v>
      </c>
      <c r="AF136" s="527">
        <f t="shared" si="22"/>
        <v>0</v>
      </c>
      <c r="AG136" s="485"/>
      <c r="AH136" s="485"/>
      <c r="AI136" s="404"/>
    </row>
    <row r="137" spans="1:35" ht="12.75" hidden="1" outlineLevel="1" thickBot="1">
      <c r="A137" s="415"/>
      <c r="B137" s="415"/>
      <c r="I137" s="522">
        <v>95</v>
      </c>
      <c r="J137" s="523"/>
      <c r="K137" s="472"/>
      <c r="L137" s="523"/>
      <c r="M137" s="476"/>
      <c r="N137" s="476"/>
      <c r="O137" s="523"/>
      <c r="P137" s="476"/>
      <c r="Q137" s="524"/>
      <c r="R137" s="478">
        <f>IFERROR(INDEX(기초자산!M$6:M$408,MATCH(K137&amp;N137&amp;O137,기초자산!$A$6:$A$408,0),0),0)</f>
        <v>0</v>
      </c>
      <c r="S137" s="479">
        <f t="shared" si="17"/>
        <v>0</v>
      </c>
      <c r="T137" s="476"/>
      <c r="U137" s="471" t="s">
        <v>94</v>
      </c>
      <c r="V137" s="480">
        <f>IF(U137="한국 원화(KRW)",1,IF(OR(U137=환율!$A$6,U137=환율!$A$7),VLOOKUP(NAV!U137,환율!$A$6:$B$7,2,),IF(RIGHT(U137,5)="(100)",(VLOOKUP(NAV!U137,환율!$A$11:$B$65,2,))/100,VLOOKUP(NAV!U137,환율!$A$11:$B$65,2,))))</f>
        <v>1</v>
      </c>
      <c r="W137" s="524"/>
      <c r="X137" s="482">
        <f t="shared" si="18"/>
        <v>0</v>
      </c>
      <c r="Y137" s="524"/>
      <c r="Z137" s="524">
        <v>0</v>
      </c>
      <c r="AA137" s="483">
        <f t="shared" si="16"/>
        <v>0</v>
      </c>
      <c r="AB137" s="525"/>
      <c r="AC137" s="526" t="str">
        <f t="shared" si="19"/>
        <v>2년이상</v>
      </c>
      <c r="AD137" s="520" t="str">
        <f t="shared" si="20"/>
        <v/>
      </c>
      <c r="AE137" s="527">
        <f t="shared" si="21"/>
        <v>0</v>
      </c>
      <c r="AF137" s="527">
        <f t="shared" si="22"/>
        <v>0</v>
      </c>
      <c r="AG137" s="485"/>
      <c r="AH137" s="485"/>
      <c r="AI137" s="404"/>
    </row>
    <row r="138" spans="1:35" ht="12.75" hidden="1" outlineLevel="1" thickBot="1">
      <c r="A138" s="415"/>
      <c r="B138" s="415"/>
      <c r="I138" s="522">
        <v>96</v>
      </c>
      <c r="J138" s="523"/>
      <c r="K138" s="472"/>
      <c r="L138" s="523"/>
      <c r="M138" s="476"/>
      <c r="N138" s="476"/>
      <c r="O138" s="523"/>
      <c r="P138" s="476"/>
      <c r="Q138" s="524"/>
      <c r="R138" s="478">
        <f>IFERROR(INDEX(기초자산!M$6:M$408,MATCH(K138&amp;N138&amp;O138,기초자산!$A$6:$A$408,0),0),0)</f>
        <v>0</v>
      </c>
      <c r="S138" s="479">
        <f t="shared" si="17"/>
        <v>0</v>
      </c>
      <c r="T138" s="476"/>
      <c r="U138" s="471" t="s">
        <v>94</v>
      </c>
      <c r="V138" s="480">
        <f>IF(U138="한국 원화(KRW)",1,IF(OR(U138=환율!$A$6,U138=환율!$A$7),VLOOKUP(NAV!U138,환율!$A$6:$B$7,2,),IF(RIGHT(U138,5)="(100)",(VLOOKUP(NAV!U138,환율!$A$11:$B$65,2,))/100,VLOOKUP(NAV!U138,환율!$A$11:$B$65,2,))))</f>
        <v>1</v>
      </c>
      <c r="W138" s="524"/>
      <c r="X138" s="482">
        <f t="shared" si="18"/>
        <v>0</v>
      </c>
      <c r="Y138" s="524"/>
      <c r="Z138" s="524">
        <v>0</v>
      </c>
      <c r="AA138" s="483">
        <f t="shared" si="16"/>
        <v>0</v>
      </c>
      <c r="AB138" s="525"/>
      <c r="AC138" s="526" t="str">
        <f t="shared" si="19"/>
        <v>2년이상</v>
      </c>
      <c r="AD138" s="520" t="str">
        <f t="shared" si="20"/>
        <v/>
      </c>
      <c r="AE138" s="527">
        <f t="shared" si="21"/>
        <v>0</v>
      </c>
      <c r="AF138" s="527">
        <f t="shared" si="22"/>
        <v>0</v>
      </c>
      <c r="AG138" s="485"/>
      <c r="AH138" s="485"/>
      <c r="AI138" s="404"/>
    </row>
    <row r="139" spans="1:35" ht="12.75" hidden="1" outlineLevel="1" thickBot="1">
      <c r="A139" s="415"/>
      <c r="B139" s="415"/>
      <c r="I139" s="522">
        <v>97</v>
      </c>
      <c r="J139" s="523"/>
      <c r="K139" s="472"/>
      <c r="L139" s="523"/>
      <c r="M139" s="476"/>
      <c r="N139" s="476"/>
      <c r="O139" s="523"/>
      <c r="P139" s="476"/>
      <c r="Q139" s="524"/>
      <c r="R139" s="478">
        <f>IFERROR(INDEX(기초자산!M$6:M$408,MATCH(K139&amp;N139&amp;O139,기초자산!$A$6:$A$408,0),0),0)</f>
        <v>0</v>
      </c>
      <c r="S139" s="479">
        <f t="shared" si="17"/>
        <v>0</v>
      </c>
      <c r="T139" s="476"/>
      <c r="U139" s="471" t="s">
        <v>94</v>
      </c>
      <c r="V139" s="480">
        <f>IF(U139="한국 원화(KRW)",1,IF(OR(U139=환율!$A$6,U139=환율!$A$7),VLOOKUP(NAV!U139,환율!$A$6:$B$7,2,),IF(RIGHT(U139,5)="(100)",(VLOOKUP(NAV!U139,환율!$A$11:$B$65,2,))/100,VLOOKUP(NAV!U139,환율!$A$11:$B$65,2,))))</f>
        <v>1</v>
      </c>
      <c r="W139" s="524"/>
      <c r="X139" s="482">
        <f t="shared" si="18"/>
        <v>0</v>
      </c>
      <c r="Y139" s="524"/>
      <c r="Z139" s="524">
        <v>0</v>
      </c>
      <c r="AA139" s="483">
        <f t="shared" si="16"/>
        <v>0</v>
      </c>
      <c r="AB139" s="525"/>
      <c r="AC139" s="526" t="str">
        <f t="shared" si="19"/>
        <v>2년이상</v>
      </c>
      <c r="AD139" s="520" t="str">
        <f t="shared" si="20"/>
        <v/>
      </c>
      <c r="AE139" s="527">
        <f t="shared" si="21"/>
        <v>0</v>
      </c>
      <c r="AF139" s="527">
        <f t="shared" si="22"/>
        <v>0</v>
      </c>
      <c r="AG139" s="485"/>
      <c r="AH139" s="485"/>
      <c r="AI139" s="404"/>
    </row>
    <row r="140" spans="1:35" ht="12.75" hidden="1" outlineLevel="1" thickBot="1">
      <c r="A140" s="415"/>
      <c r="B140" s="415"/>
      <c r="I140" s="522">
        <f>I139+1</f>
        <v>98</v>
      </c>
      <c r="J140" s="523"/>
      <c r="K140" s="472"/>
      <c r="L140" s="523"/>
      <c r="M140" s="476"/>
      <c r="N140" s="476"/>
      <c r="O140" s="523"/>
      <c r="P140" s="476"/>
      <c r="Q140" s="524"/>
      <c r="R140" s="478">
        <f>IFERROR(INDEX(기초자산!M$6:M$408,MATCH(K140&amp;N140&amp;O140,기초자산!$A$6:$A$408,0),0),0)</f>
        <v>0</v>
      </c>
      <c r="S140" s="479">
        <f t="shared" si="17"/>
        <v>0</v>
      </c>
      <c r="T140" s="476"/>
      <c r="U140" s="471" t="s">
        <v>94</v>
      </c>
      <c r="V140" s="480">
        <f>IF(U140="한국 원화(KRW)",1,IF(OR(U140=환율!$A$6,U140=환율!$A$7),VLOOKUP(NAV!U140,환율!$A$6:$B$7,2,),IF(RIGHT(U140,5)="(100)",(VLOOKUP(NAV!U140,환율!$A$11:$B$65,2,))/100,VLOOKUP(NAV!U140,환율!$A$11:$B$65,2,))))</f>
        <v>1</v>
      </c>
      <c r="W140" s="524"/>
      <c r="X140" s="482">
        <f t="shared" si="18"/>
        <v>0</v>
      </c>
      <c r="Y140" s="524"/>
      <c r="Z140" s="524">
        <v>0</v>
      </c>
      <c r="AA140" s="483">
        <f t="shared" si="16"/>
        <v>0</v>
      </c>
      <c r="AB140" s="525"/>
      <c r="AC140" s="526" t="str">
        <f t="shared" si="19"/>
        <v>2년이상</v>
      </c>
      <c r="AD140" s="520" t="str">
        <f t="shared" si="20"/>
        <v/>
      </c>
      <c r="AE140" s="527">
        <f t="shared" si="21"/>
        <v>0</v>
      </c>
      <c r="AF140" s="527">
        <f t="shared" si="22"/>
        <v>0</v>
      </c>
      <c r="AG140" s="485"/>
      <c r="AH140" s="485"/>
      <c r="AI140" s="404"/>
    </row>
    <row r="141" spans="1:35" ht="12.75" hidden="1" outlineLevel="1" thickBot="1">
      <c r="A141" s="415"/>
      <c r="B141" s="415"/>
      <c r="I141" s="522">
        <f t="shared" ref="I141:I192" si="23">I140+1</f>
        <v>99</v>
      </c>
      <c r="J141" s="523"/>
      <c r="K141" s="472"/>
      <c r="L141" s="523"/>
      <c r="M141" s="476"/>
      <c r="N141" s="476"/>
      <c r="O141" s="523"/>
      <c r="P141" s="476"/>
      <c r="Q141" s="524"/>
      <c r="R141" s="478">
        <f>IFERROR(INDEX(기초자산!M$6:M$408,MATCH(K141&amp;N141&amp;O141,기초자산!$A$6:$A$408,0),0),0)</f>
        <v>0</v>
      </c>
      <c r="S141" s="479">
        <f t="shared" si="17"/>
        <v>0</v>
      </c>
      <c r="T141" s="476"/>
      <c r="U141" s="471" t="s">
        <v>94</v>
      </c>
      <c r="V141" s="480">
        <f>IF(U141="한국 원화(KRW)",1,IF(OR(U141=환율!$A$6,U141=환율!$A$7),VLOOKUP(NAV!U141,환율!$A$6:$B$7,2,),IF(RIGHT(U141,5)="(100)",(VLOOKUP(NAV!U141,환율!$A$11:$B$65,2,))/100,VLOOKUP(NAV!U141,환율!$A$11:$B$65,2,))))</f>
        <v>1</v>
      </c>
      <c r="W141" s="524"/>
      <c r="X141" s="482">
        <f t="shared" si="18"/>
        <v>0</v>
      </c>
      <c r="Y141" s="524"/>
      <c r="Z141" s="524">
        <v>0</v>
      </c>
      <c r="AA141" s="483">
        <f t="shared" si="16"/>
        <v>0</v>
      </c>
      <c r="AB141" s="525"/>
      <c r="AC141" s="526" t="str">
        <f t="shared" si="19"/>
        <v>2년이상</v>
      </c>
      <c r="AD141" s="520" t="str">
        <f t="shared" si="20"/>
        <v/>
      </c>
      <c r="AE141" s="527">
        <f t="shared" si="21"/>
        <v>0</v>
      </c>
      <c r="AF141" s="527">
        <f t="shared" si="22"/>
        <v>0</v>
      </c>
      <c r="AG141" s="485"/>
      <c r="AH141" s="485"/>
      <c r="AI141" s="404"/>
    </row>
    <row r="142" spans="1:35" ht="12.75" hidden="1" outlineLevel="1" thickBot="1">
      <c r="A142" s="415"/>
      <c r="B142" s="415"/>
      <c r="I142" s="522">
        <f t="shared" si="23"/>
        <v>100</v>
      </c>
      <c r="J142" s="523"/>
      <c r="K142" s="472"/>
      <c r="L142" s="523"/>
      <c r="M142" s="476"/>
      <c r="N142" s="476"/>
      <c r="O142" s="523"/>
      <c r="P142" s="476"/>
      <c r="Q142" s="524"/>
      <c r="R142" s="478">
        <f>IFERROR(INDEX(기초자산!M$6:M$408,MATCH(K142&amp;N142&amp;O142,기초자산!$A$6:$A$408,0),0),0)</f>
        <v>0</v>
      </c>
      <c r="S142" s="479">
        <f t="shared" si="17"/>
        <v>0</v>
      </c>
      <c r="T142" s="476"/>
      <c r="U142" s="471" t="s">
        <v>94</v>
      </c>
      <c r="V142" s="480">
        <f>IF(U142="한국 원화(KRW)",1,IF(OR(U142=환율!$A$6,U142=환율!$A$7),VLOOKUP(NAV!U142,환율!$A$6:$B$7,2,),IF(RIGHT(U142,5)="(100)",(VLOOKUP(NAV!U142,환율!$A$11:$B$65,2,))/100,VLOOKUP(NAV!U142,환율!$A$11:$B$65,2,))))</f>
        <v>1</v>
      </c>
      <c r="W142" s="524"/>
      <c r="X142" s="482">
        <f t="shared" si="18"/>
        <v>0</v>
      </c>
      <c r="Y142" s="524"/>
      <c r="Z142" s="524">
        <v>0</v>
      </c>
      <c r="AA142" s="483">
        <f t="shared" si="16"/>
        <v>0</v>
      </c>
      <c r="AB142" s="525"/>
      <c r="AC142" s="526" t="str">
        <f t="shared" si="19"/>
        <v>2년이상</v>
      </c>
      <c r="AD142" s="520" t="str">
        <f t="shared" si="20"/>
        <v/>
      </c>
      <c r="AE142" s="527">
        <f t="shared" si="21"/>
        <v>0</v>
      </c>
      <c r="AF142" s="527">
        <f t="shared" si="22"/>
        <v>0</v>
      </c>
      <c r="AG142" s="485"/>
      <c r="AH142" s="485"/>
      <c r="AI142" s="404"/>
    </row>
    <row r="143" spans="1:35" ht="12.75" hidden="1" outlineLevel="1" thickBot="1">
      <c r="A143" s="415"/>
      <c r="B143" s="415"/>
      <c r="I143" s="522">
        <f t="shared" si="23"/>
        <v>101</v>
      </c>
      <c r="J143" s="523"/>
      <c r="K143" s="472"/>
      <c r="L143" s="523"/>
      <c r="M143" s="476"/>
      <c r="N143" s="476"/>
      <c r="O143" s="523"/>
      <c r="P143" s="476"/>
      <c r="Q143" s="524"/>
      <c r="R143" s="478">
        <f>IFERROR(INDEX(기초자산!M$6:M$408,MATCH(K143&amp;N143&amp;O143,기초자산!$A$6:$A$408,0),0),0)</f>
        <v>0</v>
      </c>
      <c r="S143" s="479">
        <f t="shared" si="17"/>
        <v>0</v>
      </c>
      <c r="T143" s="476"/>
      <c r="U143" s="471" t="s">
        <v>94</v>
      </c>
      <c r="V143" s="480">
        <f>IF(U143="한국 원화(KRW)",1,IF(OR(U143=환율!$A$6,U143=환율!$A$7),VLOOKUP(NAV!U143,환율!$A$6:$B$7,2,),IF(RIGHT(U143,5)="(100)",(VLOOKUP(NAV!U143,환율!$A$11:$B$65,2,))/100,VLOOKUP(NAV!U143,환율!$A$11:$B$65,2,))))</f>
        <v>1</v>
      </c>
      <c r="W143" s="524"/>
      <c r="X143" s="482">
        <f t="shared" si="18"/>
        <v>0</v>
      </c>
      <c r="Y143" s="524"/>
      <c r="Z143" s="524">
        <v>0</v>
      </c>
      <c r="AA143" s="483">
        <f t="shared" si="16"/>
        <v>0</v>
      </c>
      <c r="AB143" s="525"/>
      <c r="AC143" s="526" t="str">
        <f t="shared" si="19"/>
        <v>2년이상</v>
      </c>
      <c r="AD143" s="520" t="str">
        <f t="shared" si="20"/>
        <v/>
      </c>
      <c r="AE143" s="527">
        <f t="shared" si="21"/>
        <v>0</v>
      </c>
      <c r="AF143" s="527">
        <f t="shared" si="22"/>
        <v>0</v>
      </c>
      <c r="AG143" s="485"/>
      <c r="AH143" s="485"/>
      <c r="AI143" s="404"/>
    </row>
    <row r="144" spans="1:35" ht="12.75" hidden="1" outlineLevel="1" thickBot="1">
      <c r="A144" s="415"/>
      <c r="B144" s="415"/>
      <c r="I144" s="522">
        <f t="shared" si="23"/>
        <v>102</v>
      </c>
      <c r="J144" s="523"/>
      <c r="K144" s="472"/>
      <c r="L144" s="523"/>
      <c r="M144" s="476"/>
      <c r="N144" s="476"/>
      <c r="O144" s="523"/>
      <c r="P144" s="476"/>
      <c r="Q144" s="524"/>
      <c r="R144" s="478">
        <f>IFERROR(INDEX(기초자산!M$6:M$408,MATCH(K144&amp;N144&amp;O144,기초자산!$A$6:$A$408,0),0),0)</f>
        <v>0</v>
      </c>
      <c r="S144" s="479">
        <f t="shared" si="17"/>
        <v>0</v>
      </c>
      <c r="T144" s="476"/>
      <c r="U144" s="471" t="s">
        <v>94</v>
      </c>
      <c r="V144" s="480">
        <f>IF(U144="한국 원화(KRW)",1,IF(OR(U144=환율!$A$6,U144=환율!$A$7),VLOOKUP(NAV!U144,환율!$A$6:$B$7,2,),IF(RIGHT(U144,5)="(100)",(VLOOKUP(NAV!U144,환율!$A$11:$B$65,2,))/100,VLOOKUP(NAV!U144,환율!$A$11:$B$65,2,))))</f>
        <v>1</v>
      </c>
      <c r="W144" s="524"/>
      <c r="X144" s="482">
        <f t="shared" si="18"/>
        <v>0</v>
      </c>
      <c r="Y144" s="524"/>
      <c r="Z144" s="524">
        <v>0</v>
      </c>
      <c r="AA144" s="483">
        <f t="shared" si="16"/>
        <v>0</v>
      </c>
      <c r="AB144" s="525"/>
      <c r="AC144" s="526" t="str">
        <f t="shared" si="19"/>
        <v>2년이상</v>
      </c>
      <c r="AD144" s="520" t="str">
        <f t="shared" si="20"/>
        <v/>
      </c>
      <c r="AE144" s="527">
        <f t="shared" si="21"/>
        <v>0</v>
      </c>
      <c r="AF144" s="527">
        <f t="shared" si="22"/>
        <v>0</v>
      </c>
      <c r="AG144" s="485"/>
      <c r="AH144" s="485"/>
      <c r="AI144" s="404"/>
    </row>
    <row r="145" spans="1:35" ht="12.75" hidden="1" outlineLevel="1" thickBot="1">
      <c r="A145" s="415"/>
      <c r="B145" s="415"/>
      <c r="I145" s="522">
        <f t="shared" si="23"/>
        <v>103</v>
      </c>
      <c r="J145" s="523"/>
      <c r="K145" s="472"/>
      <c r="L145" s="523"/>
      <c r="M145" s="476"/>
      <c r="N145" s="476"/>
      <c r="O145" s="523"/>
      <c r="P145" s="476"/>
      <c r="Q145" s="524"/>
      <c r="R145" s="478">
        <f>IFERROR(INDEX(기초자산!M$6:M$408,MATCH(K145&amp;N145&amp;O145,기초자산!$A$6:$A$408,0),0),0)</f>
        <v>0</v>
      </c>
      <c r="S145" s="479">
        <f t="shared" si="17"/>
        <v>0</v>
      </c>
      <c r="T145" s="476"/>
      <c r="U145" s="471" t="s">
        <v>94</v>
      </c>
      <c r="V145" s="480">
        <f>IF(U145="한국 원화(KRW)",1,IF(OR(U145=환율!$A$6,U145=환율!$A$7),VLOOKUP(NAV!U145,환율!$A$6:$B$7,2,),IF(RIGHT(U145,5)="(100)",(VLOOKUP(NAV!U145,환율!$A$11:$B$65,2,))/100,VLOOKUP(NAV!U145,환율!$A$11:$B$65,2,))))</f>
        <v>1</v>
      </c>
      <c r="W145" s="524"/>
      <c r="X145" s="482">
        <f t="shared" si="18"/>
        <v>0</v>
      </c>
      <c r="Y145" s="524"/>
      <c r="Z145" s="524">
        <v>0</v>
      </c>
      <c r="AA145" s="483">
        <f t="shared" si="16"/>
        <v>0</v>
      </c>
      <c r="AB145" s="525"/>
      <c r="AC145" s="526" t="str">
        <f t="shared" si="19"/>
        <v>2년이상</v>
      </c>
      <c r="AD145" s="520" t="str">
        <f t="shared" si="20"/>
        <v/>
      </c>
      <c r="AE145" s="527">
        <f t="shared" si="21"/>
        <v>0</v>
      </c>
      <c r="AF145" s="527">
        <f t="shared" si="22"/>
        <v>0</v>
      </c>
      <c r="AG145" s="485"/>
      <c r="AH145" s="485"/>
      <c r="AI145" s="404"/>
    </row>
    <row r="146" spans="1:35" ht="12.75" hidden="1" outlineLevel="1" thickBot="1">
      <c r="A146" s="415"/>
      <c r="B146" s="415"/>
      <c r="I146" s="522">
        <f t="shared" si="23"/>
        <v>104</v>
      </c>
      <c r="J146" s="523"/>
      <c r="K146" s="472"/>
      <c r="L146" s="523"/>
      <c r="M146" s="476"/>
      <c r="N146" s="476"/>
      <c r="O146" s="523"/>
      <c r="P146" s="476"/>
      <c r="Q146" s="524"/>
      <c r="R146" s="478">
        <f>IFERROR(INDEX(기초자산!M$6:M$408,MATCH(K146&amp;N146&amp;O146,기초자산!$A$6:$A$408,0),0),0)</f>
        <v>0</v>
      </c>
      <c r="S146" s="479">
        <f t="shared" si="17"/>
        <v>0</v>
      </c>
      <c r="T146" s="476"/>
      <c r="U146" s="471" t="s">
        <v>94</v>
      </c>
      <c r="V146" s="480">
        <f>IF(U146="한국 원화(KRW)",1,IF(OR(U146=환율!$A$6,U146=환율!$A$7),VLOOKUP(NAV!U146,환율!$A$6:$B$7,2,),IF(RIGHT(U146,5)="(100)",(VLOOKUP(NAV!U146,환율!$A$11:$B$65,2,))/100,VLOOKUP(NAV!U146,환율!$A$11:$B$65,2,))))</f>
        <v>1</v>
      </c>
      <c r="W146" s="524"/>
      <c r="X146" s="482">
        <f t="shared" si="18"/>
        <v>0</v>
      </c>
      <c r="Y146" s="524"/>
      <c r="Z146" s="524">
        <v>0</v>
      </c>
      <c r="AA146" s="483">
        <f t="shared" si="16"/>
        <v>0</v>
      </c>
      <c r="AB146" s="525"/>
      <c r="AC146" s="526" t="str">
        <f t="shared" si="19"/>
        <v>2년이상</v>
      </c>
      <c r="AD146" s="520" t="str">
        <f t="shared" si="20"/>
        <v/>
      </c>
      <c r="AE146" s="527">
        <f t="shared" si="21"/>
        <v>0</v>
      </c>
      <c r="AF146" s="527">
        <f t="shared" si="22"/>
        <v>0</v>
      </c>
      <c r="AG146" s="485"/>
      <c r="AH146" s="485"/>
      <c r="AI146" s="404"/>
    </row>
    <row r="147" spans="1:35" ht="12.75" hidden="1" outlineLevel="1" thickBot="1">
      <c r="A147" s="415"/>
      <c r="B147" s="415"/>
      <c r="I147" s="522">
        <f t="shared" si="23"/>
        <v>105</v>
      </c>
      <c r="J147" s="523"/>
      <c r="K147" s="472"/>
      <c r="L147" s="523"/>
      <c r="M147" s="476"/>
      <c r="N147" s="476"/>
      <c r="O147" s="523"/>
      <c r="P147" s="476"/>
      <c r="Q147" s="524"/>
      <c r="R147" s="478">
        <f>IFERROR(INDEX(기초자산!M$6:M$408,MATCH(K147&amp;N147&amp;O147,기초자산!$A$6:$A$408,0),0),0)</f>
        <v>0</v>
      </c>
      <c r="S147" s="479">
        <f t="shared" si="17"/>
        <v>0</v>
      </c>
      <c r="T147" s="476"/>
      <c r="U147" s="471" t="s">
        <v>94</v>
      </c>
      <c r="V147" s="480">
        <f>IF(U147="한국 원화(KRW)",1,IF(OR(U147=환율!$A$6,U147=환율!$A$7),VLOOKUP(NAV!U147,환율!$A$6:$B$7,2,),IF(RIGHT(U147,5)="(100)",(VLOOKUP(NAV!U147,환율!$A$11:$B$65,2,))/100,VLOOKUP(NAV!U147,환율!$A$11:$B$65,2,))))</f>
        <v>1</v>
      </c>
      <c r="W147" s="524"/>
      <c r="X147" s="482">
        <f t="shared" si="18"/>
        <v>0</v>
      </c>
      <c r="Y147" s="524"/>
      <c r="Z147" s="524">
        <v>0</v>
      </c>
      <c r="AA147" s="483">
        <f t="shared" si="16"/>
        <v>0</v>
      </c>
      <c r="AB147" s="525"/>
      <c r="AC147" s="526" t="str">
        <f t="shared" si="19"/>
        <v>2년이상</v>
      </c>
      <c r="AD147" s="520" t="str">
        <f t="shared" si="20"/>
        <v/>
      </c>
      <c r="AE147" s="527">
        <f t="shared" si="21"/>
        <v>0</v>
      </c>
      <c r="AF147" s="527">
        <f t="shared" si="22"/>
        <v>0</v>
      </c>
      <c r="AG147" s="485"/>
      <c r="AH147" s="485"/>
      <c r="AI147" s="404"/>
    </row>
    <row r="148" spans="1:35" ht="12.75" hidden="1" outlineLevel="1" thickBot="1">
      <c r="A148" s="415"/>
      <c r="B148" s="415"/>
      <c r="I148" s="522">
        <f t="shared" si="23"/>
        <v>106</v>
      </c>
      <c r="J148" s="523"/>
      <c r="K148" s="472"/>
      <c r="L148" s="523"/>
      <c r="M148" s="476"/>
      <c r="N148" s="476"/>
      <c r="O148" s="523"/>
      <c r="P148" s="476"/>
      <c r="Q148" s="524"/>
      <c r="R148" s="478">
        <f>IFERROR(INDEX(기초자산!M$6:M$408,MATCH(K148&amp;N148&amp;O148,기초자산!$A$6:$A$408,0),0),0)</f>
        <v>0</v>
      </c>
      <c r="S148" s="479">
        <f t="shared" si="17"/>
        <v>0</v>
      </c>
      <c r="T148" s="476"/>
      <c r="U148" s="471" t="s">
        <v>94</v>
      </c>
      <c r="V148" s="480">
        <f>IF(U148="한국 원화(KRW)",1,IF(OR(U148=환율!$A$6,U148=환율!$A$7),VLOOKUP(NAV!U148,환율!$A$6:$B$7,2,),IF(RIGHT(U148,5)="(100)",(VLOOKUP(NAV!U148,환율!$A$11:$B$65,2,))/100,VLOOKUP(NAV!U148,환율!$A$11:$B$65,2,))))</f>
        <v>1</v>
      </c>
      <c r="W148" s="524"/>
      <c r="X148" s="482">
        <f t="shared" si="18"/>
        <v>0</v>
      </c>
      <c r="Y148" s="524"/>
      <c r="Z148" s="524">
        <v>0</v>
      </c>
      <c r="AA148" s="483">
        <f t="shared" si="16"/>
        <v>0</v>
      </c>
      <c r="AB148" s="525"/>
      <c r="AC148" s="526" t="str">
        <f t="shared" si="19"/>
        <v>2년이상</v>
      </c>
      <c r="AD148" s="520" t="str">
        <f t="shared" si="20"/>
        <v/>
      </c>
      <c r="AE148" s="527">
        <f t="shared" si="21"/>
        <v>0</v>
      </c>
      <c r="AF148" s="527">
        <f t="shared" si="22"/>
        <v>0</v>
      </c>
      <c r="AG148" s="485"/>
      <c r="AH148" s="485"/>
      <c r="AI148" s="404"/>
    </row>
    <row r="149" spans="1:35" ht="12.75" hidden="1" outlineLevel="1" thickBot="1">
      <c r="A149" s="415"/>
      <c r="B149" s="415"/>
      <c r="I149" s="522">
        <f t="shared" si="23"/>
        <v>107</v>
      </c>
      <c r="J149" s="523"/>
      <c r="K149" s="472"/>
      <c r="L149" s="523"/>
      <c r="M149" s="476"/>
      <c r="N149" s="476"/>
      <c r="O149" s="523"/>
      <c r="P149" s="476"/>
      <c r="Q149" s="524"/>
      <c r="R149" s="478">
        <f>IFERROR(INDEX(기초자산!M$6:M$408,MATCH(K149&amp;N149&amp;O149,기초자산!$A$6:$A$408,0),0),0)</f>
        <v>0</v>
      </c>
      <c r="S149" s="479">
        <f t="shared" si="17"/>
        <v>0</v>
      </c>
      <c r="T149" s="476"/>
      <c r="U149" s="471" t="s">
        <v>94</v>
      </c>
      <c r="V149" s="480">
        <f>IF(U149="한국 원화(KRW)",1,IF(OR(U149=환율!$A$6,U149=환율!$A$7),VLOOKUP(NAV!U149,환율!$A$6:$B$7,2,),IF(RIGHT(U149,5)="(100)",(VLOOKUP(NAV!U149,환율!$A$11:$B$65,2,))/100,VLOOKUP(NAV!U149,환율!$A$11:$B$65,2,))))</f>
        <v>1</v>
      </c>
      <c r="W149" s="524"/>
      <c r="X149" s="482">
        <f t="shared" si="18"/>
        <v>0</v>
      </c>
      <c r="Y149" s="524"/>
      <c r="Z149" s="524">
        <v>0</v>
      </c>
      <c r="AA149" s="483">
        <f t="shared" si="16"/>
        <v>0</v>
      </c>
      <c r="AB149" s="525"/>
      <c r="AC149" s="526" t="str">
        <f t="shared" si="19"/>
        <v>2년이상</v>
      </c>
      <c r="AD149" s="520" t="str">
        <f t="shared" si="20"/>
        <v/>
      </c>
      <c r="AE149" s="527">
        <f t="shared" si="21"/>
        <v>0</v>
      </c>
      <c r="AF149" s="527">
        <f t="shared" si="22"/>
        <v>0</v>
      </c>
      <c r="AG149" s="485"/>
      <c r="AH149" s="485"/>
      <c r="AI149" s="404"/>
    </row>
    <row r="150" spans="1:35" ht="12.75" hidden="1" outlineLevel="1" thickBot="1">
      <c r="A150" s="415"/>
      <c r="B150" s="415"/>
      <c r="I150" s="522">
        <f t="shared" si="23"/>
        <v>108</v>
      </c>
      <c r="J150" s="523"/>
      <c r="K150" s="472"/>
      <c r="L150" s="523"/>
      <c r="M150" s="476"/>
      <c r="N150" s="476"/>
      <c r="O150" s="523"/>
      <c r="P150" s="476"/>
      <c r="Q150" s="524"/>
      <c r="R150" s="478">
        <f>IFERROR(INDEX(기초자산!M$6:M$408,MATCH(K150&amp;N150&amp;O150,기초자산!$A$6:$A$408,0),0),0)</f>
        <v>0</v>
      </c>
      <c r="S150" s="479">
        <f t="shared" si="17"/>
        <v>0</v>
      </c>
      <c r="T150" s="476"/>
      <c r="U150" s="471" t="s">
        <v>94</v>
      </c>
      <c r="V150" s="480">
        <f>IF(U150="한국 원화(KRW)",1,IF(OR(U150=환율!$A$6,U150=환율!$A$7),VLOOKUP(NAV!U150,환율!$A$6:$B$7,2,),IF(RIGHT(U150,5)="(100)",(VLOOKUP(NAV!U150,환율!$A$11:$B$65,2,))/100,VLOOKUP(NAV!U150,환율!$A$11:$B$65,2,))))</f>
        <v>1</v>
      </c>
      <c r="W150" s="524"/>
      <c r="X150" s="482">
        <f t="shared" si="18"/>
        <v>0</v>
      </c>
      <c r="Y150" s="524"/>
      <c r="Z150" s="524">
        <v>0</v>
      </c>
      <c r="AA150" s="483">
        <f t="shared" si="16"/>
        <v>0</v>
      </c>
      <c r="AB150" s="525"/>
      <c r="AC150" s="526" t="str">
        <f t="shared" si="19"/>
        <v>2년이상</v>
      </c>
      <c r="AD150" s="520" t="str">
        <f t="shared" si="20"/>
        <v/>
      </c>
      <c r="AE150" s="527">
        <f t="shared" si="21"/>
        <v>0</v>
      </c>
      <c r="AF150" s="527">
        <f t="shared" si="22"/>
        <v>0</v>
      </c>
      <c r="AG150" s="485"/>
      <c r="AH150" s="485"/>
      <c r="AI150" s="404"/>
    </row>
    <row r="151" spans="1:35" ht="12.75" hidden="1" outlineLevel="1" thickBot="1">
      <c r="A151" s="415"/>
      <c r="B151" s="415"/>
      <c r="I151" s="522">
        <f t="shared" si="23"/>
        <v>109</v>
      </c>
      <c r="J151" s="523"/>
      <c r="K151" s="472"/>
      <c r="L151" s="523"/>
      <c r="M151" s="476"/>
      <c r="N151" s="476"/>
      <c r="O151" s="523"/>
      <c r="P151" s="476"/>
      <c r="Q151" s="524"/>
      <c r="R151" s="478">
        <f>IFERROR(INDEX(기초자산!M$6:M$408,MATCH(K151&amp;N151&amp;O151,기초자산!$A$6:$A$408,0),0),0)</f>
        <v>0</v>
      </c>
      <c r="S151" s="479">
        <f t="shared" si="17"/>
        <v>0</v>
      </c>
      <c r="T151" s="476"/>
      <c r="U151" s="471" t="s">
        <v>94</v>
      </c>
      <c r="V151" s="480">
        <f>IF(U151="한국 원화(KRW)",1,IF(OR(U151=환율!$A$6,U151=환율!$A$7),VLOOKUP(NAV!U151,환율!$A$6:$B$7,2,),IF(RIGHT(U151,5)="(100)",(VLOOKUP(NAV!U151,환율!$A$11:$B$65,2,))/100,VLOOKUP(NAV!U151,환율!$A$11:$B$65,2,))))</f>
        <v>1</v>
      </c>
      <c r="W151" s="524"/>
      <c r="X151" s="482">
        <f t="shared" si="18"/>
        <v>0</v>
      </c>
      <c r="Y151" s="524"/>
      <c r="Z151" s="524">
        <v>0</v>
      </c>
      <c r="AA151" s="483">
        <f t="shared" si="16"/>
        <v>0</v>
      </c>
      <c r="AB151" s="525"/>
      <c r="AC151" s="526" t="str">
        <f t="shared" si="19"/>
        <v>2년이상</v>
      </c>
      <c r="AD151" s="520" t="str">
        <f t="shared" si="20"/>
        <v/>
      </c>
      <c r="AE151" s="527">
        <f t="shared" si="21"/>
        <v>0</v>
      </c>
      <c r="AF151" s="527">
        <f t="shared" si="22"/>
        <v>0</v>
      </c>
      <c r="AG151" s="485"/>
      <c r="AH151" s="485"/>
      <c r="AI151" s="404"/>
    </row>
    <row r="152" spans="1:35" ht="12.75" hidden="1" outlineLevel="1" thickBot="1">
      <c r="A152" s="415"/>
      <c r="B152" s="415"/>
      <c r="I152" s="522">
        <f t="shared" si="23"/>
        <v>110</v>
      </c>
      <c r="J152" s="523"/>
      <c r="K152" s="472"/>
      <c r="L152" s="523"/>
      <c r="M152" s="476"/>
      <c r="N152" s="476"/>
      <c r="O152" s="523"/>
      <c r="P152" s="476"/>
      <c r="Q152" s="524"/>
      <c r="R152" s="478">
        <f>IFERROR(INDEX(기초자산!M$6:M$408,MATCH(K152&amp;N152&amp;O152,기초자산!$A$6:$A$408,0),0),0)</f>
        <v>0</v>
      </c>
      <c r="S152" s="479">
        <f t="shared" si="17"/>
        <v>0</v>
      </c>
      <c r="T152" s="476"/>
      <c r="U152" s="471" t="s">
        <v>94</v>
      </c>
      <c r="V152" s="480">
        <f>IF(U152="한국 원화(KRW)",1,IF(OR(U152=환율!$A$6,U152=환율!$A$7),VLOOKUP(NAV!U152,환율!$A$6:$B$7,2,),IF(RIGHT(U152,5)="(100)",(VLOOKUP(NAV!U152,환율!$A$11:$B$65,2,))/100,VLOOKUP(NAV!U152,환율!$A$11:$B$65,2,))))</f>
        <v>1</v>
      </c>
      <c r="W152" s="524"/>
      <c r="X152" s="482">
        <f t="shared" si="18"/>
        <v>0</v>
      </c>
      <c r="Y152" s="524"/>
      <c r="Z152" s="524">
        <v>0</v>
      </c>
      <c r="AA152" s="483">
        <f t="shared" si="16"/>
        <v>0</v>
      </c>
      <c r="AB152" s="525"/>
      <c r="AC152" s="526" t="str">
        <f t="shared" si="19"/>
        <v>2년이상</v>
      </c>
      <c r="AD152" s="520" t="str">
        <f t="shared" si="20"/>
        <v/>
      </c>
      <c r="AE152" s="527">
        <f t="shared" si="21"/>
        <v>0</v>
      </c>
      <c r="AF152" s="527">
        <f t="shared" si="22"/>
        <v>0</v>
      </c>
      <c r="AG152" s="485"/>
      <c r="AH152" s="485"/>
      <c r="AI152" s="404"/>
    </row>
    <row r="153" spans="1:35" ht="12.75" hidden="1" outlineLevel="1" thickBot="1">
      <c r="A153" s="415"/>
      <c r="B153" s="415"/>
      <c r="I153" s="522">
        <f t="shared" si="23"/>
        <v>111</v>
      </c>
      <c r="J153" s="523"/>
      <c r="K153" s="472"/>
      <c r="L153" s="523"/>
      <c r="M153" s="476"/>
      <c r="N153" s="476"/>
      <c r="O153" s="523"/>
      <c r="P153" s="476"/>
      <c r="Q153" s="524"/>
      <c r="R153" s="478">
        <f>IFERROR(INDEX(기초자산!M$6:M$408,MATCH(K153&amp;N153&amp;O153,기초자산!$A$6:$A$408,0),0),0)</f>
        <v>0</v>
      </c>
      <c r="S153" s="479">
        <f t="shared" si="17"/>
        <v>0</v>
      </c>
      <c r="T153" s="476"/>
      <c r="U153" s="471" t="s">
        <v>94</v>
      </c>
      <c r="V153" s="480">
        <f>IF(U153="한국 원화(KRW)",1,IF(OR(U153=환율!$A$6,U153=환율!$A$7),VLOOKUP(NAV!U153,환율!$A$6:$B$7,2,),IF(RIGHT(U153,5)="(100)",(VLOOKUP(NAV!U153,환율!$A$11:$B$65,2,))/100,VLOOKUP(NAV!U153,환율!$A$11:$B$65,2,))))</f>
        <v>1</v>
      </c>
      <c r="W153" s="524"/>
      <c r="X153" s="482">
        <f t="shared" si="18"/>
        <v>0</v>
      </c>
      <c r="Y153" s="524"/>
      <c r="Z153" s="524">
        <v>0</v>
      </c>
      <c r="AA153" s="483">
        <f t="shared" si="16"/>
        <v>0</v>
      </c>
      <c r="AB153" s="525"/>
      <c r="AC153" s="526" t="str">
        <f t="shared" si="19"/>
        <v>2년이상</v>
      </c>
      <c r="AD153" s="520" t="str">
        <f t="shared" si="20"/>
        <v/>
      </c>
      <c r="AE153" s="527">
        <f t="shared" si="21"/>
        <v>0</v>
      </c>
      <c r="AF153" s="527">
        <f t="shared" si="22"/>
        <v>0</v>
      </c>
      <c r="AG153" s="485"/>
      <c r="AH153" s="485"/>
      <c r="AI153" s="404"/>
    </row>
    <row r="154" spans="1:35" ht="12.75" hidden="1" outlineLevel="1" thickBot="1">
      <c r="A154" s="415"/>
      <c r="B154" s="415"/>
      <c r="I154" s="522">
        <f t="shared" si="23"/>
        <v>112</v>
      </c>
      <c r="J154" s="523"/>
      <c r="K154" s="472"/>
      <c r="L154" s="523"/>
      <c r="M154" s="476"/>
      <c r="N154" s="476"/>
      <c r="O154" s="523"/>
      <c r="P154" s="476"/>
      <c r="Q154" s="524"/>
      <c r="R154" s="478">
        <f>IFERROR(INDEX(기초자산!M$6:M$408,MATCH(K154&amp;N154&amp;O154,기초자산!$A$6:$A$408,0),0),0)</f>
        <v>0</v>
      </c>
      <c r="S154" s="479">
        <f t="shared" si="17"/>
        <v>0</v>
      </c>
      <c r="T154" s="476"/>
      <c r="U154" s="471" t="s">
        <v>94</v>
      </c>
      <c r="V154" s="480">
        <f>IF(U154="한국 원화(KRW)",1,IF(OR(U154=환율!$A$6,U154=환율!$A$7),VLOOKUP(NAV!U154,환율!$A$6:$B$7,2,),IF(RIGHT(U154,5)="(100)",(VLOOKUP(NAV!U154,환율!$A$11:$B$65,2,))/100,VLOOKUP(NAV!U154,환율!$A$11:$B$65,2,))))</f>
        <v>1</v>
      </c>
      <c r="W154" s="524"/>
      <c r="X154" s="482">
        <f t="shared" si="18"/>
        <v>0</v>
      </c>
      <c r="Y154" s="524"/>
      <c r="Z154" s="524">
        <v>0</v>
      </c>
      <c r="AA154" s="483">
        <f t="shared" si="16"/>
        <v>0</v>
      </c>
      <c r="AB154" s="525"/>
      <c r="AC154" s="526" t="str">
        <f t="shared" si="19"/>
        <v>2년이상</v>
      </c>
      <c r="AD154" s="520" t="str">
        <f t="shared" si="20"/>
        <v/>
      </c>
      <c r="AE154" s="527">
        <f t="shared" si="21"/>
        <v>0</v>
      </c>
      <c r="AF154" s="527">
        <f t="shared" si="22"/>
        <v>0</v>
      </c>
      <c r="AG154" s="485"/>
      <c r="AH154" s="485"/>
      <c r="AI154" s="404"/>
    </row>
    <row r="155" spans="1:35" ht="12.75" hidden="1" outlineLevel="1" thickBot="1">
      <c r="A155" s="415"/>
      <c r="B155" s="415"/>
      <c r="I155" s="522">
        <f t="shared" si="23"/>
        <v>113</v>
      </c>
      <c r="J155" s="523"/>
      <c r="K155" s="472"/>
      <c r="L155" s="523"/>
      <c r="M155" s="476"/>
      <c r="N155" s="476"/>
      <c r="O155" s="523"/>
      <c r="P155" s="476"/>
      <c r="Q155" s="524"/>
      <c r="R155" s="478">
        <f>IFERROR(INDEX(기초자산!M$6:M$408,MATCH(K155&amp;N155&amp;O155,기초자산!$A$6:$A$408,0),0),0)</f>
        <v>0</v>
      </c>
      <c r="S155" s="479">
        <f t="shared" si="17"/>
        <v>0</v>
      </c>
      <c r="T155" s="476"/>
      <c r="U155" s="471" t="s">
        <v>94</v>
      </c>
      <c r="V155" s="480">
        <f>IF(U155="한국 원화(KRW)",1,IF(OR(U155=환율!$A$6,U155=환율!$A$7),VLOOKUP(NAV!U155,환율!$A$6:$B$7,2,),IF(RIGHT(U155,5)="(100)",(VLOOKUP(NAV!U155,환율!$A$11:$B$65,2,))/100,VLOOKUP(NAV!U155,환율!$A$11:$B$65,2,))))</f>
        <v>1</v>
      </c>
      <c r="W155" s="524"/>
      <c r="X155" s="482">
        <f t="shared" si="18"/>
        <v>0</v>
      </c>
      <c r="Y155" s="524"/>
      <c r="Z155" s="524">
        <v>0</v>
      </c>
      <c r="AA155" s="483">
        <f t="shared" si="16"/>
        <v>0</v>
      </c>
      <c r="AB155" s="525"/>
      <c r="AC155" s="526" t="str">
        <f t="shared" si="19"/>
        <v>2년이상</v>
      </c>
      <c r="AD155" s="520" t="str">
        <f t="shared" si="20"/>
        <v/>
      </c>
      <c r="AE155" s="527">
        <f t="shared" si="21"/>
        <v>0</v>
      </c>
      <c r="AF155" s="527">
        <f t="shared" si="22"/>
        <v>0</v>
      </c>
      <c r="AG155" s="485"/>
      <c r="AH155" s="485"/>
      <c r="AI155" s="404"/>
    </row>
    <row r="156" spans="1:35" ht="12.75" hidden="1" outlineLevel="1" thickBot="1">
      <c r="A156" s="415"/>
      <c r="B156" s="415"/>
      <c r="I156" s="522">
        <f t="shared" si="23"/>
        <v>114</v>
      </c>
      <c r="J156" s="523"/>
      <c r="K156" s="472"/>
      <c r="L156" s="523"/>
      <c r="M156" s="476"/>
      <c r="N156" s="476"/>
      <c r="O156" s="523"/>
      <c r="P156" s="476"/>
      <c r="Q156" s="524"/>
      <c r="R156" s="478">
        <f>IFERROR(INDEX(기초자산!M$6:M$408,MATCH(K156&amp;N156&amp;O156,기초자산!$A$6:$A$408,0),0),0)</f>
        <v>0</v>
      </c>
      <c r="S156" s="479">
        <f t="shared" si="17"/>
        <v>0</v>
      </c>
      <c r="T156" s="476"/>
      <c r="U156" s="471" t="s">
        <v>94</v>
      </c>
      <c r="V156" s="480">
        <f>IF(U156="한국 원화(KRW)",1,IF(OR(U156=환율!$A$6,U156=환율!$A$7),VLOOKUP(NAV!U156,환율!$A$6:$B$7,2,),IF(RIGHT(U156,5)="(100)",(VLOOKUP(NAV!U156,환율!$A$11:$B$65,2,))/100,VLOOKUP(NAV!U156,환율!$A$11:$B$65,2,))))</f>
        <v>1</v>
      </c>
      <c r="W156" s="524"/>
      <c r="X156" s="482">
        <f t="shared" si="18"/>
        <v>0</v>
      </c>
      <c r="Y156" s="524"/>
      <c r="Z156" s="524">
        <v>0</v>
      </c>
      <c r="AA156" s="483">
        <f t="shared" si="16"/>
        <v>0</v>
      </c>
      <c r="AB156" s="525"/>
      <c r="AC156" s="526" t="str">
        <f t="shared" si="19"/>
        <v>2년이상</v>
      </c>
      <c r="AD156" s="520" t="str">
        <f t="shared" si="20"/>
        <v/>
      </c>
      <c r="AE156" s="527">
        <f t="shared" si="21"/>
        <v>0</v>
      </c>
      <c r="AF156" s="527">
        <f t="shared" si="22"/>
        <v>0</v>
      </c>
      <c r="AG156" s="485"/>
      <c r="AH156" s="485"/>
      <c r="AI156" s="404"/>
    </row>
    <row r="157" spans="1:35" ht="12.75" hidden="1" outlineLevel="1" thickBot="1">
      <c r="A157" s="415"/>
      <c r="B157" s="415"/>
      <c r="I157" s="522">
        <f t="shared" si="23"/>
        <v>115</v>
      </c>
      <c r="J157" s="523"/>
      <c r="K157" s="472"/>
      <c r="L157" s="523"/>
      <c r="M157" s="476"/>
      <c r="N157" s="476"/>
      <c r="O157" s="523"/>
      <c r="P157" s="476"/>
      <c r="Q157" s="524"/>
      <c r="R157" s="478">
        <f>IFERROR(INDEX(기초자산!M$6:M$408,MATCH(K157&amp;N157&amp;O157,기초자산!$A$6:$A$408,0),0),0)</f>
        <v>0</v>
      </c>
      <c r="S157" s="479">
        <f t="shared" si="17"/>
        <v>0</v>
      </c>
      <c r="T157" s="476"/>
      <c r="U157" s="471" t="s">
        <v>94</v>
      </c>
      <c r="V157" s="480">
        <f>IF(U157="한국 원화(KRW)",1,IF(OR(U157=환율!$A$6,U157=환율!$A$7),VLOOKUP(NAV!U157,환율!$A$6:$B$7,2,),IF(RIGHT(U157,5)="(100)",(VLOOKUP(NAV!U157,환율!$A$11:$B$65,2,))/100,VLOOKUP(NAV!U157,환율!$A$11:$B$65,2,))))</f>
        <v>1</v>
      </c>
      <c r="W157" s="524"/>
      <c r="X157" s="482">
        <f t="shared" si="18"/>
        <v>0</v>
      </c>
      <c r="Y157" s="524"/>
      <c r="Z157" s="524">
        <v>0</v>
      </c>
      <c r="AA157" s="483">
        <f t="shared" si="16"/>
        <v>0</v>
      </c>
      <c r="AB157" s="525"/>
      <c r="AC157" s="526" t="str">
        <f t="shared" si="19"/>
        <v>2년이상</v>
      </c>
      <c r="AD157" s="520" t="str">
        <f t="shared" si="20"/>
        <v/>
      </c>
      <c r="AE157" s="527">
        <f t="shared" si="21"/>
        <v>0</v>
      </c>
      <c r="AF157" s="527">
        <f t="shared" si="22"/>
        <v>0</v>
      </c>
      <c r="AG157" s="485"/>
      <c r="AH157" s="485"/>
      <c r="AI157" s="404"/>
    </row>
    <row r="158" spans="1:35" ht="12.75" hidden="1" outlineLevel="1" thickBot="1">
      <c r="A158" s="415"/>
      <c r="B158" s="415"/>
      <c r="I158" s="522">
        <f t="shared" si="23"/>
        <v>116</v>
      </c>
      <c r="J158" s="523"/>
      <c r="K158" s="472"/>
      <c r="L158" s="523"/>
      <c r="M158" s="476"/>
      <c r="N158" s="476"/>
      <c r="O158" s="523"/>
      <c r="P158" s="476"/>
      <c r="Q158" s="524"/>
      <c r="R158" s="478">
        <f>IFERROR(INDEX(기초자산!M$6:M$408,MATCH(K158&amp;N158&amp;O158,기초자산!$A$6:$A$408,0),0),0)</f>
        <v>0</v>
      </c>
      <c r="S158" s="479">
        <f t="shared" si="17"/>
        <v>0</v>
      </c>
      <c r="T158" s="476"/>
      <c r="U158" s="471" t="s">
        <v>94</v>
      </c>
      <c r="V158" s="480">
        <f>IF(U158="한국 원화(KRW)",1,IF(OR(U158=환율!$A$6,U158=환율!$A$7),VLOOKUP(NAV!U158,환율!$A$6:$B$7,2,),IF(RIGHT(U158,5)="(100)",(VLOOKUP(NAV!U158,환율!$A$11:$B$65,2,))/100,VLOOKUP(NAV!U158,환율!$A$11:$B$65,2,))))</f>
        <v>1</v>
      </c>
      <c r="W158" s="524"/>
      <c r="X158" s="482">
        <f t="shared" si="18"/>
        <v>0</v>
      </c>
      <c r="Y158" s="524"/>
      <c r="Z158" s="524">
        <v>0</v>
      </c>
      <c r="AA158" s="483">
        <f t="shared" si="16"/>
        <v>0</v>
      </c>
      <c r="AB158" s="525"/>
      <c r="AC158" s="526" t="str">
        <f t="shared" si="19"/>
        <v>2년이상</v>
      </c>
      <c r="AD158" s="520" t="str">
        <f t="shared" si="20"/>
        <v/>
      </c>
      <c r="AE158" s="527">
        <f t="shared" si="21"/>
        <v>0</v>
      </c>
      <c r="AF158" s="527">
        <f t="shared" si="22"/>
        <v>0</v>
      </c>
      <c r="AG158" s="485"/>
      <c r="AH158" s="485"/>
      <c r="AI158" s="404"/>
    </row>
    <row r="159" spans="1:35" ht="12.75" hidden="1" outlineLevel="1" thickBot="1">
      <c r="A159" s="415"/>
      <c r="B159" s="415"/>
      <c r="I159" s="522">
        <f t="shared" si="23"/>
        <v>117</v>
      </c>
      <c r="J159" s="523"/>
      <c r="K159" s="472"/>
      <c r="L159" s="523"/>
      <c r="M159" s="476"/>
      <c r="N159" s="476"/>
      <c r="O159" s="523"/>
      <c r="P159" s="476"/>
      <c r="Q159" s="524"/>
      <c r="R159" s="478">
        <f>IFERROR(INDEX(기초자산!M$6:M$408,MATCH(K159&amp;N159&amp;O159,기초자산!$A$6:$A$408,0),0),0)</f>
        <v>0</v>
      </c>
      <c r="S159" s="479">
        <f t="shared" si="17"/>
        <v>0</v>
      </c>
      <c r="T159" s="476"/>
      <c r="U159" s="471" t="s">
        <v>94</v>
      </c>
      <c r="V159" s="480">
        <f>IF(U159="한국 원화(KRW)",1,IF(OR(U159=환율!$A$6,U159=환율!$A$7),VLOOKUP(NAV!U159,환율!$A$6:$B$7,2,),IF(RIGHT(U159,5)="(100)",(VLOOKUP(NAV!U159,환율!$A$11:$B$65,2,))/100,VLOOKUP(NAV!U159,환율!$A$11:$B$65,2,))))</f>
        <v>1</v>
      </c>
      <c r="W159" s="524"/>
      <c r="X159" s="482">
        <f t="shared" si="18"/>
        <v>0</v>
      </c>
      <c r="Y159" s="524"/>
      <c r="Z159" s="524">
        <v>0</v>
      </c>
      <c r="AA159" s="483">
        <f t="shared" si="16"/>
        <v>0</v>
      </c>
      <c r="AB159" s="525"/>
      <c r="AC159" s="526" t="str">
        <f t="shared" si="19"/>
        <v>2년이상</v>
      </c>
      <c r="AD159" s="520" t="str">
        <f t="shared" si="20"/>
        <v/>
      </c>
      <c r="AE159" s="527">
        <f t="shared" si="21"/>
        <v>0</v>
      </c>
      <c r="AF159" s="527">
        <f t="shared" si="22"/>
        <v>0</v>
      </c>
      <c r="AG159" s="485"/>
      <c r="AH159" s="485"/>
      <c r="AI159" s="404"/>
    </row>
    <row r="160" spans="1:35" ht="12.75" hidden="1" outlineLevel="1" thickBot="1">
      <c r="A160" s="415"/>
      <c r="B160" s="415"/>
      <c r="I160" s="522">
        <f t="shared" si="23"/>
        <v>118</v>
      </c>
      <c r="J160" s="523"/>
      <c r="K160" s="472"/>
      <c r="L160" s="523"/>
      <c r="M160" s="476"/>
      <c r="N160" s="476"/>
      <c r="O160" s="523"/>
      <c r="P160" s="476"/>
      <c r="Q160" s="524"/>
      <c r="R160" s="478">
        <f>IFERROR(INDEX(기초자산!M$6:M$408,MATCH(K160&amp;N160&amp;O160,기초자산!$A$6:$A$408,0),0),0)</f>
        <v>0</v>
      </c>
      <c r="S160" s="479">
        <f t="shared" si="17"/>
        <v>0</v>
      </c>
      <c r="T160" s="476"/>
      <c r="U160" s="471" t="s">
        <v>94</v>
      </c>
      <c r="V160" s="480">
        <f>IF(U160="한국 원화(KRW)",1,IF(OR(U160=환율!$A$6,U160=환율!$A$7),VLOOKUP(NAV!U160,환율!$A$6:$B$7,2,),IF(RIGHT(U160,5)="(100)",(VLOOKUP(NAV!U160,환율!$A$11:$B$65,2,))/100,VLOOKUP(NAV!U160,환율!$A$11:$B$65,2,))))</f>
        <v>1</v>
      </c>
      <c r="W160" s="524"/>
      <c r="X160" s="482">
        <f t="shared" si="18"/>
        <v>0</v>
      </c>
      <c r="Y160" s="524"/>
      <c r="Z160" s="524">
        <v>0</v>
      </c>
      <c r="AA160" s="483">
        <f t="shared" si="16"/>
        <v>0</v>
      </c>
      <c r="AB160" s="525"/>
      <c r="AC160" s="526" t="str">
        <f t="shared" si="19"/>
        <v>2년이상</v>
      </c>
      <c r="AD160" s="520" t="str">
        <f t="shared" si="20"/>
        <v/>
      </c>
      <c r="AE160" s="527">
        <f t="shared" si="21"/>
        <v>0</v>
      </c>
      <c r="AF160" s="527">
        <f t="shared" si="22"/>
        <v>0</v>
      </c>
      <c r="AG160" s="485"/>
      <c r="AH160" s="485"/>
      <c r="AI160" s="404"/>
    </row>
    <row r="161" spans="1:35" ht="12.75" hidden="1" outlineLevel="1" thickBot="1">
      <c r="A161" s="415"/>
      <c r="B161" s="415"/>
      <c r="I161" s="522">
        <f t="shared" si="23"/>
        <v>119</v>
      </c>
      <c r="J161" s="523"/>
      <c r="K161" s="472"/>
      <c r="L161" s="523"/>
      <c r="M161" s="476"/>
      <c r="N161" s="476"/>
      <c r="O161" s="523"/>
      <c r="P161" s="476"/>
      <c r="Q161" s="524"/>
      <c r="R161" s="478">
        <f>IFERROR(INDEX(기초자산!M$6:M$408,MATCH(K161&amp;N161&amp;O161,기초자산!$A$6:$A$408,0),0),0)</f>
        <v>0</v>
      </c>
      <c r="S161" s="479">
        <f t="shared" si="17"/>
        <v>0</v>
      </c>
      <c r="T161" s="476"/>
      <c r="U161" s="471" t="s">
        <v>94</v>
      </c>
      <c r="V161" s="480">
        <f>IF(U161="한국 원화(KRW)",1,IF(OR(U161=환율!$A$6,U161=환율!$A$7),VLOOKUP(NAV!U161,환율!$A$6:$B$7,2,),IF(RIGHT(U161,5)="(100)",(VLOOKUP(NAV!U161,환율!$A$11:$B$65,2,))/100,VLOOKUP(NAV!U161,환율!$A$11:$B$65,2,))))</f>
        <v>1</v>
      </c>
      <c r="W161" s="524"/>
      <c r="X161" s="482">
        <f t="shared" si="18"/>
        <v>0</v>
      </c>
      <c r="Y161" s="524"/>
      <c r="Z161" s="524">
        <v>0</v>
      </c>
      <c r="AA161" s="483">
        <f t="shared" si="16"/>
        <v>0</v>
      </c>
      <c r="AB161" s="525"/>
      <c r="AC161" s="526" t="str">
        <f t="shared" si="19"/>
        <v>2년이상</v>
      </c>
      <c r="AD161" s="520" t="str">
        <f t="shared" si="20"/>
        <v/>
      </c>
      <c r="AE161" s="527">
        <f t="shared" si="21"/>
        <v>0</v>
      </c>
      <c r="AF161" s="527">
        <f t="shared" si="22"/>
        <v>0</v>
      </c>
      <c r="AG161" s="485"/>
      <c r="AH161" s="485"/>
      <c r="AI161" s="404"/>
    </row>
    <row r="162" spans="1:35" ht="12.75" hidden="1" outlineLevel="1" thickBot="1">
      <c r="A162" s="415"/>
      <c r="B162" s="415"/>
      <c r="I162" s="522">
        <f t="shared" si="23"/>
        <v>120</v>
      </c>
      <c r="J162" s="523"/>
      <c r="K162" s="472"/>
      <c r="L162" s="523"/>
      <c r="M162" s="476"/>
      <c r="N162" s="476"/>
      <c r="O162" s="523"/>
      <c r="P162" s="476"/>
      <c r="Q162" s="524"/>
      <c r="R162" s="478">
        <f>IFERROR(INDEX(기초자산!M$6:M$408,MATCH(K162&amp;N162&amp;O162,기초자산!$A$6:$A$408,0),0),0)</f>
        <v>0</v>
      </c>
      <c r="S162" s="479">
        <f t="shared" si="17"/>
        <v>0</v>
      </c>
      <c r="T162" s="476"/>
      <c r="U162" s="471" t="s">
        <v>94</v>
      </c>
      <c r="V162" s="480">
        <f>IF(U162="한국 원화(KRW)",1,IF(OR(U162=환율!$A$6,U162=환율!$A$7),VLOOKUP(NAV!U162,환율!$A$6:$B$7,2,),IF(RIGHT(U162,5)="(100)",(VLOOKUP(NAV!U162,환율!$A$11:$B$65,2,))/100,VLOOKUP(NAV!U162,환율!$A$11:$B$65,2,))))</f>
        <v>1</v>
      </c>
      <c r="W162" s="524"/>
      <c r="X162" s="482">
        <f t="shared" si="18"/>
        <v>0</v>
      </c>
      <c r="Y162" s="524"/>
      <c r="Z162" s="524">
        <v>0</v>
      </c>
      <c r="AA162" s="483">
        <f t="shared" si="16"/>
        <v>0</v>
      </c>
      <c r="AB162" s="525"/>
      <c r="AC162" s="526" t="str">
        <f t="shared" si="19"/>
        <v>2년이상</v>
      </c>
      <c r="AD162" s="520" t="str">
        <f t="shared" si="20"/>
        <v/>
      </c>
      <c r="AE162" s="527">
        <f t="shared" si="21"/>
        <v>0</v>
      </c>
      <c r="AF162" s="527">
        <f t="shared" si="22"/>
        <v>0</v>
      </c>
      <c r="AG162" s="485"/>
      <c r="AH162" s="485"/>
      <c r="AI162" s="404"/>
    </row>
    <row r="163" spans="1:35" ht="12.75" hidden="1" outlineLevel="1" thickBot="1">
      <c r="A163" s="415"/>
      <c r="B163" s="415"/>
      <c r="I163" s="522">
        <f t="shared" si="23"/>
        <v>121</v>
      </c>
      <c r="J163" s="523"/>
      <c r="K163" s="472"/>
      <c r="L163" s="523"/>
      <c r="M163" s="476"/>
      <c r="N163" s="476"/>
      <c r="O163" s="523"/>
      <c r="P163" s="476"/>
      <c r="Q163" s="524"/>
      <c r="R163" s="478">
        <f>IFERROR(INDEX(기초자산!M$6:M$408,MATCH(K163&amp;N163&amp;O163,기초자산!$A$6:$A$408,0),0),0)</f>
        <v>0</v>
      </c>
      <c r="S163" s="479">
        <f t="shared" si="17"/>
        <v>0</v>
      </c>
      <c r="T163" s="476"/>
      <c r="U163" s="471" t="s">
        <v>94</v>
      </c>
      <c r="V163" s="480">
        <f>IF(U163="한국 원화(KRW)",1,IF(OR(U163=환율!$A$6,U163=환율!$A$7),VLOOKUP(NAV!U163,환율!$A$6:$B$7,2,),IF(RIGHT(U163,5)="(100)",(VLOOKUP(NAV!U163,환율!$A$11:$B$65,2,))/100,VLOOKUP(NAV!U163,환율!$A$11:$B$65,2,))))</f>
        <v>1</v>
      </c>
      <c r="W163" s="524"/>
      <c r="X163" s="482">
        <f t="shared" si="18"/>
        <v>0</v>
      </c>
      <c r="Y163" s="524"/>
      <c r="Z163" s="524">
        <v>0</v>
      </c>
      <c r="AA163" s="483">
        <f t="shared" si="16"/>
        <v>0</v>
      </c>
      <c r="AB163" s="525"/>
      <c r="AC163" s="526" t="str">
        <f t="shared" si="19"/>
        <v>2년이상</v>
      </c>
      <c r="AD163" s="520" t="str">
        <f t="shared" si="20"/>
        <v/>
      </c>
      <c r="AE163" s="527">
        <f t="shared" si="21"/>
        <v>0</v>
      </c>
      <c r="AF163" s="527">
        <f t="shared" si="22"/>
        <v>0</v>
      </c>
      <c r="AG163" s="485"/>
      <c r="AH163" s="485"/>
      <c r="AI163" s="404"/>
    </row>
    <row r="164" spans="1:35" ht="12.75" hidden="1" outlineLevel="1" thickBot="1">
      <c r="A164" s="415"/>
      <c r="B164" s="415"/>
      <c r="I164" s="522">
        <f t="shared" si="23"/>
        <v>122</v>
      </c>
      <c r="J164" s="523"/>
      <c r="K164" s="472"/>
      <c r="L164" s="523"/>
      <c r="M164" s="476"/>
      <c r="N164" s="476"/>
      <c r="O164" s="523"/>
      <c r="P164" s="476"/>
      <c r="Q164" s="524"/>
      <c r="R164" s="478">
        <f>IFERROR(INDEX(기초자산!M$6:M$408,MATCH(K164&amp;N164&amp;O164,기초자산!$A$6:$A$408,0),0),0)</f>
        <v>0</v>
      </c>
      <c r="S164" s="479">
        <f t="shared" si="17"/>
        <v>0</v>
      </c>
      <c r="T164" s="476"/>
      <c r="U164" s="471" t="s">
        <v>94</v>
      </c>
      <c r="V164" s="480">
        <f>IF(U164="한국 원화(KRW)",1,IF(OR(U164=환율!$A$6,U164=환율!$A$7),VLOOKUP(NAV!U164,환율!$A$6:$B$7,2,),IF(RIGHT(U164,5)="(100)",(VLOOKUP(NAV!U164,환율!$A$11:$B$65,2,))/100,VLOOKUP(NAV!U164,환율!$A$11:$B$65,2,))))</f>
        <v>1</v>
      </c>
      <c r="W164" s="524"/>
      <c r="X164" s="482">
        <f t="shared" si="18"/>
        <v>0</v>
      </c>
      <c r="Y164" s="524"/>
      <c r="Z164" s="524">
        <v>0</v>
      </c>
      <c r="AA164" s="483">
        <f t="shared" si="16"/>
        <v>0</v>
      </c>
      <c r="AB164" s="525"/>
      <c r="AC164" s="526" t="str">
        <f t="shared" si="19"/>
        <v>2년이상</v>
      </c>
      <c r="AD164" s="520" t="str">
        <f t="shared" si="20"/>
        <v/>
      </c>
      <c r="AE164" s="527">
        <f t="shared" si="21"/>
        <v>0</v>
      </c>
      <c r="AF164" s="527">
        <f t="shared" si="22"/>
        <v>0</v>
      </c>
      <c r="AG164" s="485"/>
      <c r="AH164" s="485"/>
      <c r="AI164" s="404"/>
    </row>
    <row r="165" spans="1:35" ht="12.75" hidden="1" outlineLevel="1" thickBot="1">
      <c r="A165" s="415"/>
      <c r="B165" s="415"/>
      <c r="I165" s="522">
        <f t="shared" si="23"/>
        <v>123</v>
      </c>
      <c r="J165" s="523"/>
      <c r="K165" s="472"/>
      <c r="L165" s="523"/>
      <c r="M165" s="476"/>
      <c r="N165" s="476"/>
      <c r="O165" s="523"/>
      <c r="P165" s="476"/>
      <c r="Q165" s="524"/>
      <c r="R165" s="478">
        <f>IFERROR(INDEX(기초자산!M$6:M$408,MATCH(K165&amp;N165&amp;O165,기초자산!$A$6:$A$408,0),0),0)</f>
        <v>0</v>
      </c>
      <c r="S165" s="479">
        <f t="shared" si="17"/>
        <v>0</v>
      </c>
      <c r="T165" s="476"/>
      <c r="U165" s="471" t="s">
        <v>94</v>
      </c>
      <c r="V165" s="480">
        <f>IF(U165="한국 원화(KRW)",1,IF(OR(U165=환율!$A$6,U165=환율!$A$7),VLOOKUP(NAV!U165,환율!$A$6:$B$7,2,),IF(RIGHT(U165,5)="(100)",(VLOOKUP(NAV!U165,환율!$A$11:$B$65,2,))/100,VLOOKUP(NAV!U165,환율!$A$11:$B$65,2,))))</f>
        <v>1</v>
      </c>
      <c r="W165" s="524"/>
      <c r="X165" s="482">
        <f t="shared" si="18"/>
        <v>0</v>
      </c>
      <c r="Y165" s="524"/>
      <c r="Z165" s="524">
        <v>0</v>
      </c>
      <c r="AA165" s="483">
        <f t="shared" si="16"/>
        <v>0</v>
      </c>
      <c r="AB165" s="525"/>
      <c r="AC165" s="526" t="str">
        <f t="shared" si="19"/>
        <v>2년이상</v>
      </c>
      <c r="AD165" s="520" t="str">
        <f t="shared" si="20"/>
        <v/>
      </c>
      <c r="AE165" s="527">
        <f t="shared" si="21"/>
        <v>0</v>
      </c>
      <c r="AF165" s="527">
        <f t="shared" si="22"/>
        <v>0</v>
      </c>
      <c r="AG165" s="485"/>
      <c r="AH165" s="485"/>
      <c r="AI165" s="404"/>
    </row>
    <row r="166" spans="1:35" ht="12.75" hidden="1" outlineLevel="1" thickBot="1">
      <c r="A166" s="415"/>
      <c r="B166" s="415"/>
      <c r="I166" s="522">
        <f t="shared" si="23"/>
        <v>124</v>
      </c>
      <c r="J166" s="523"/>
      <c r="K166" s="472"/>
      <c r="L166" s="523"/>
      <c r="M166" s="476"/>
      <c r="N166" s="476"/>
      <c r="O166" s="523"/>
      <c r="P166" s="476"/>
      <c r="Q166" s="524"/>
      <c r="R166" s="478">
        <f>IFERROR(INDEX(기초자산!M$6:M$408,MATCH(K166&amp;N166&amp;O166,기초자산!$A$6:$A$408,0),0),0)</f>
        <v>0</v>
      </c>
      <c r="S166" s="479">
        <f t="shared" si="17"/>
        <v>0</v>
      </c>
      <c r="T166" s="476"/>
      <c r="U166" s="471" t="s">
        <v>94</v>
      </c>
      <c r="V166" s="480">
        <f>IF(U166="한국 원화(KRW)",1,IF(OR(U166=환율!$A$6,U166=환율!$A$7),VLOOKUP(NAV!U166,환율!$A$6:$B$7,2,),IF(RIGHT(U166,5)="(100)",(VLOOKUP(NAV!U166,환율!$A$11:$B$65,2,))/100,VLOOKUP(NAV!U166,환율!$A$11:$B$65,2,))))</f>
        <v>1</v>
      </c>
      <c r="W166" s="524"/>
      <c r="X166" s="482">
        <f t="shared" si="18"/>
        <v>0</v>
      </c>
      <c r="Y166" s="524"/>
      <c r="Z166" s="524">
        <v>0</v>
      </c>
      <c r="AA166" s="483">
        <f t="shared" si="16"/>
        <v>0</v>
      </c>
      <c r="AB166" s="525"/>
      <c r="AC166" s="526" t="str">
        <f t="shared" si="19"/>
        <v>2년이상</v>
      </c>
      <c r="AD166" s="520" t="str">
        <f t="shared" si="20"/>
        <v/>
      </c>
      <c r="AE166" s="527">
        <f t="shared" si="21"/>
        <v>0</v>
      </c>
      <c r="AF166" s="527">
        <f t="shared" si="22"/>
        <v>0</v>
      </c>
      <c r="AG166" s="485"/>
      <c r="AH166" s="485"/>
      <c r="AI166" s="404"/>
    </row>
    <row r="167" spans="1:35" ht="12.75" hidden="1" outlineLevel="1" thickBot="1">
      <c r="A167" s="415"/>
      <c r="B167" s="415"/>
      <c r="I167" s="522">
        <f t="shared" si="23"/>
        <v>125</v>
      </c>
      <c r="J167" s="523"/>
      <c r="K167" s="472"/>
      <c r="L167" s="523"/>
      <c r="M167" s="476"/>
      <c r="N167" s="476"/>
      <c r="O167" s="523"/>
      <c r="P167" s="476"/>
      <c r="Q167" s="524"/>
      <c r="R167" s="478">
        <f>IFERROR(INDEX(기초자산!M$6:M$408,MATCH(K167&amp;N167&amp;O167,기초자산!$A$6:$A$408,0),0),0)</f>
        <v>0</v>
      </c>
      <c r="S167" s="479">
        <f t="shared" si="17"/>
        <v>0</v>
      </c>
      <c r="T167" s="476"/>
      <c r="U167" s="471" t="s">
        <v>94</v>
      </c>
      <c r="V167" s="480">
        <f>IF(U167="한국 원화(KRW)",1,IF(OR(U167=환율!$A$6,U167=환율!$A$7),VLOOKUP(NAV!U167,환율!$A$6:$B$7,2,),IF(RIGHT(U167,5)="(100)",(VLOOKUP(NAV!U167,환율!$A$11:$B$65,2,))/100,VLOOKUP(NAV!U167,환율!$A$11:$B$65,2,))))</f>
        <v>1</v>
      </c>
      <c r="W167" s="524"/>
      <c r="X167" s="482">
        <f t="shared" si="18"/>
        <v>0</v>
      </c>
      <c r="Y167" s="524"/>
      <c r="Z167" s="524">
        <v>0</v>
      </c>
      <c r="AA167" s="483">
        <f t="shared" si="16"/>
        <v>0</v>
      </c>
      <c r="AB167" s="525"/>
      <c r="AC167" s="526" t="str">
        <f t="shared" si="19"/>
        <v>2년이상</v>
      </c>
      <c r="AD167" s="520" t="str">
        <f t="shared" si="20"/>
        <v/>
      </c>
      <c r="AE167" s="527">
        <f t="shared" si="21"/>
        <v>0</v>
      </c>
      <c r="AF167" s="527">
        <f t="shared" si="22"/>
        <v>0</v>
      </c>
      <c r="AG167" s="485"/>
      <c r="AH167" s="485"/>
      <c r="AI167" s="404"/>
    </row>
    <row r="168" spans="1:35" ht="12.75" hidden="1" outlineLevel="1" thickBot="1">
      <c r="A168" s="415"/>
      <c r="B168" s="415"/>
      <c r="I168" s="522">
        <f t="shared" si="23"/>
        <v>126</v>
      </c>
      <c r="J168" s="523"/>
      <c r="K168" s="472"/>
      <c r="L168" s="523"/>
      <c r="M168" s="476"/>
      <c r="N168" s="476"/>
      <c r="O168" s="523"/>
      <c r="P168" s="476"/>
      <c r="Q168" s="524"/>
      <c r="R168" s="478">
        <f>IFERROR(INDEX(기초자산!M$6:M$408,MATCH(K168&amp;N168&amp;O168,기초자산!$A$6:$A$408,0),0),0)</f>
        <v>0</v>
      </c>
      <c r="S168" s="479">
        <f t="shared" si="17"/>
        <v>0</v>
      </c>
      <c r="T168" s="476"/>
      <c r="U168" s="471" t="s">
        <v>94</v>
      </c>
      <c r="V168" s="480">
        <f>IF(U168="한국 원화(KRW)",1,IF(OR(U168=환율!$A$6,U168=환율!$A$7),VLOOKUP(NAV!U168,환율!$A$6:$B$7,2,),IF(RIGHT(U168,5)="(100)",(VLOOKUP(NAV!U168,환율!$A$11:$B$65,2,))/100,VLOOKUP(NAV!U168,환율!$A$11:$B$65,2,))))</f>
        <v>1</v>
      </c>
      <c r="W168" s="524"/>
      <c r="X168" s="482">
        <f t="shared" si="18"/>
        <v>0</v>
      </c>
      <c r="Y168" s="524"/>
      <c r="Z168" s="524">
        <v>0</v>
      </c>
      <c r="AA168" s="483">
        <f t="shared" si="16"/>
        <v>0</v>
      </c>
      <c r="AB168" s="525"/>
      <c r="AC168" s="526" t="str">
        <f t="shared" si="19"/>
        <v>2년이상</v>
      </c>
      <c r="AD168" s="520" t="str">
        <f t="shared" si="20"/>
        <v/>
      </c>
      <c r="AE168" s="527">
        <f t="shared" si="21"/>
        <v>0</v>
      </c>
      <c r="AF168" s="527">
        <f t="shared" si="22"/>
        <v>0</v>
      </c>
      <c r="AG168" s="485"/>
      <c r="AH168" s="485"/>
      <c r="AI168" s="404"/>
    </row>
    <row r="169" spans="1:35" ht="12.75" hidden="1" outlineLevel="1" thickBot="1">
      <c r="A169" s="415"/>
      <c r="B169" s="415"/>
      <c r="I169" s="522">
        <f t="shared" si="23"/>
        <v>127</v>
      </c>
      <c r="J169" s="523"/>
      <c r="K169" s="472"/>
      <c r="L169" s="523"/>
      <c r="M169" s="476"/>
      <c r="N169" s="476"/>
      <c r="O169" s="523"/>
      <c r="P169" s="476"/>
      <c r="Q169" s="524"/>
      <c r="R169" s="478">
        <f>IFERROR(INDEX(기초자산!M$6:M$408,MATCH(K169&amp;N169&amp;O169,기초자산!$A$6:$A$408,0),0),0)</f>
        <v>0</v>
      </c>
      <c r="S169" s="479">
        <f t="shared" si="17"/>
        <v>0</v>
      </c>
      <c r="T169" s="476"/>
      <c r="U169" s="471" t="s">
        <v>94</v>
      </c>
      <c r="V169" s="480">
        <f>IF(U169="한국 원화(KRW)",1,IF(OR(U169=환율!$A$6,U169=환율!$A$7),VLOOKUP(NAV!U169,환율!$A$6:$B$7,2,),IF(RIGHT(U169,5)="(100)",(VLOOKUP(NAV!U169,환율!$A$11:$B$65,2,))/100,VLOOKUP(NAV!U169,환율!$A$11:$B$65,2,))))</f>
        <v>1</v>
      </c>
      <c r="W169" s="524"/>
      <c r="X169" s="482">
        <f t="shared" si="18"/>
        <v>0</v>
      </c>
      <c r="Y169" s="524"/>
      <c r="Z169" s="524">
        <v>0</v>
      </c>
      <c r="AA169" s="483">
        <f t="shared" si="16"/>
        <v>0</v>
      </c>
      <c r="AB169" s="525"/>
      <c r="AC169" s="526" t="str">
        <f t="shared" si="19"/>
        <v>2년이상</v>
      </c>
      <c r="AD169" s="520" t="str">
        <f t="shared" si="20"/>
        <v/>
      </c>
      <c r="AE169" s="527">
        <f t="shared" si="21"/>
        <v>0</v>
      </c>
      <c r="AF169" s="527">
        <f t="shared" si="22"/>
        <v>0</v>
      </c>
      <c r="AG169" s="485"/>
      <c r="AH169" s="485"/>
      <c r="AI169" s="404"/>
    </row>
    <row r="170" spans="1:35" ht="12.75" hidden="1" outlineLevel="1" thickBot="1">
      <c r="A170" s="415"/>
      <c r="B170" s="415"/>
      <c r="I170" s="522">
        <f t="shared" si="23"/>
        <v>128</v>
      </c>
      <c r="J170" s="523"/>
      <c r="K170" s="472"/>
      <c r="L170" s="523"/>
      <c r="M170" s="476"/>
      <c r="N170" s="476"/>
      <c r="O170" s="523"/>
      <c r="P170" s="476"/>
      <c r="Q170" s="524"/>
      <c r="R170" s="478">
        <f>IFERROR(INDEX(기초자산!M$6:M$408,MATCH(K170&amp;N170&amp;O170,기초자산!$A$6:$A$408,0),0),0)</f>
        <v>0</v>
      </c>
      <c r="S170" s="479">
        <f t="shared" si="17"/>
        <v>0</v>
      </c>
      <c r="T170" s="476"/>
      <c r="U170" s="471" t="s">
        <v>94</v>
      </c>
      <c r="V170" s="480">
        <f>IF(U170="한국 원화(KRW)",1,IF(OR(U170=환율!$A$6,U170=환율!$A$7),VLOOKUP(NAV!U170,환율!$A$6:$B$7,2,),IF(RIGHT(U170,5)="(100)",(VLOOKUP(NAV!U170,환율!$A$11:$B$65,2,))/100,VLOOKUP(NAV!U170,환율!$A$11:$B$65,2,))))</f>
        <v>1</v>
      </c>
      <c r="W170" s="524"/>
      <c r="X170" s="482">
        <f t="shared" si="18"/>
        <v>0</v>
      </c>
      <c r="Y170" s="524"/>
      <c r="Z170" s="524">
        <v>0</v>
      </c>
      <c r="AA170" s="483">
        <f t="shared" si="16"/>
        <v>0</v>
      </c>
      <c r="AB170" s="525"/>
      <c r="AC170" s="526" t="str">
        <f t="shared" si="19"/>
        <v>2년이상</v>
      </c>
      <c r="AD170" s="520" t="str">
        <f t="shared" si="20"/>
        <v/>
      </c>
      <c r="AE170" s="527">
        <f t="shared" si="21"/>
        <v>0</v>
      </c>
      <c r="AF170" s="527">
        <f t="shared" si="22"/>
        <v>0</v>
      </c>
      <c r="AG170" s="485"/>
      <c r="AH170" s="485"/>
      <c r="AI170" s="404"/>
    </row>
    <row r="171" spans="1:35" ht="12.75" hidden="1" outlineLevel="1" thickBot="1">
      <c r="A171" s="415"/>
      <c r="B171" s="415"/>
      <c r="I171" s="522">
        <f t="shared" si="23"/>
        <v>129</v>
      </c>
      <c r="J171" s="523"/>
      <c r="K171" s="472"/>
      <c r="L171" s="523"/>
      <c r="M171" s="476"/>
      <c r="N171" s="476"/>
      <c r="O171" s="523"/>
      <c r="P171" s="476"/>
      <c r="Q171" s="524"/>
      <c r="R171" s="478">
        <f>IFERROR(INDEX(기초자산!M$6:M$408,MATCH(K171&amp;N171&amp;O171,기초자산!$A$6:$A$408,0),0),0)</f>
        <v>0</v>
      </c>
      <c r="S171" s="479">
        <f t="shared" si="17"/>
        <v>0</v>
      </c>
      <c r="T171" s="476"/>
      <c r="U171" s="471" t="s">
        <v>94</v>
      </c>
      <c r="V171" s="480">
        <f>IF(U171="한국 원화(KRW)",1,IF(OR(U171=환율!$A$6,U171=환율!$A$7),VLOOKUP(NAV!U171,환율!$A$6:$B$7,2,),IF(RIGHT(U171,5)="(100)",(VLOOKUP(NAV!U171,환율!$A$11:$B$65,2,))/100,VLOOKUP(NAV!U171,환율!$A$11:$B$65,2,))))</f>
        <v>1</v>
      </c>
      <c r="W171" s="524"/>
      <c r="X171" s="482">
        <f t="shared" si="18"/>
        <v>0</v>
      </c>
      <c r="Y171" s="524"/>
      <c r="Z171" s="524">
        <v>0</v>
      </c>
      <c r="AA171" s="483">
        <f t="shared" ref="AA171:AA192" si="24">IFERROR(IF(Z171="",S171/W171-1,S171/Z171-1),0)</f>
        <v>0</v>
      </c>
      <c r="AB171" s="525"/>
      <c r="AC171" s="526" t="str">
        <f t="shared" si="19"/>
        <v>2년이상</v>
      </c>
      <c r="AD171" s="520" t="str">
        <f t="shared" si="20"/>
        <v/>
      </c>
      <c r="AE171" s="527">
        <f t="shared" si="21"/>
        <v>0</v>
      </c>
      <c r="AF171" s="527">
        <f t="shared" si="22"/>
        <v>0</v>
      </c>
      <c r="AG171" s="485"/>
      <c r="AH171" s="485"/>
      <c r="AI171" s="404"/>
    </row>
    <row r="172" spans="1:35" ht="12.75" hidden="1" outlineLevel="1" thickBot="1">
      <c r="A172" s="415"/>
      <c r="B172" s="415"/>
      <c r="I172" s="522">
        <f t="shared" si="23"/>
        <v>130</v>
      </c>
      <c r="J172" s="523"/>
      <c r="K172" s="472"/>
      <c r="L172" s="523"/>
      <c r="M172" s="476"/>
      <c r="N172" s="476"/>
      <c r="O172" s="523"/>
      <c r="P172" s="476"/>
      <c r="Q172" s="524"/>
      <c r="R172" s="478">
        <f>IFERROR(INDEX(기초자산!M$6:M$408,MATCH(K172&amp;N172&amp;O172,기초자산!$A$6:$A$408,0),0),0)</f>
        <v>0</v>
      </c>
      <c r="S172" s="479">
        <f t="shared" ref="S172:S192" si="25">IFERROR(IF(T172="취득원가 준용",Y172,IF(T172="장부가액 준용",W172,IF(P172="주당",R172*Q172*V172,IF(RIGHT(U172,5)="(100)",Y172/1000*R172*V172,Y172/10000*R172*V172)))),0)</f>
        <v>0</v>
      </c>
      <c r="T172" s="476"/>
      <c r="U172" s="471" t="s">
        <v>94</v>
      </c>
      <c r="V172" s="480">
        <f>IF(U172="한국 원화(KRW)",1,IF(OR(U172=환율!$A$6,U172=환율!$A$7),VLOOKUP(NAV!U172,환율!$A$6:$B$7,2,),IF(RIGHT(U172,5)="(100)",(VLOOKUP(NAV!U172,환율!$A$11:$B$65,2,))/100,VLOOKUP(NAV!U172,환율!$A$11:$B$65,2,))))</f>
        <v>1</v>
      </c>
      <c r="W172" s="524"/>
      <c r="X172" s="482">
        <f t="shared" ref="X172:X192" si="26">IFERROR(IF(P172="만원당",10000,Y172/Q172),0)</f>
        <v>0</v>
      </c>
      <c r="Y172" s="524"/>
      <c r="Z172" s="524">
        <v>0</v>
      </c>
      <c r="AA172" s="483">
        <f t="shared" si="24"/>
        <v>0</v>
      </c>
      <c r="AB172" s="525"/>
      <c r="AC172" s="526" t="str">
        <f t="shared" ref="AC172:AC192" si="27">IF(($C$7-AB172)/365&gt;2,"2년이상","2년미만")</f>
        <v>2년이상</v>
      </c>
      <c r="AD172" s="520" t="str">
        <f t="shared" ref="AD172:AD192" si="28">IF(OR(AA172&gt;20%,AA172&lt;-20%),"(1) Note 기재","")</f>
        <v/>
      </c>
      <c r="AE172" s="527">
        <f t="shared" ref="AE172:AE192" si="29">IF(OR(T172="MTP",T172="과거거래 이용법",T172="취득원가 준용",T172="장부가액 준용",T172="상장종가 적용"),S172,AG172*$Q172*$V172)</f>
        <v>0</v>
      </c>
      <c r="AF172" s="527">
        <f t="shared" ref="AF172:AF192" si="30">IF(OR(T172="MTP",T172="과거거래 이용법",T172="취득원가 준용",T172="장부가액 준용",T172="상장종가 적용"),S172,AH172*$Q172*$V172)</f>
        <v>0</v>
      </c>
      <c r="AG172" s="485"/>
      <c r="AH172" s="485"/>
      <c r="AI172" s="404"/>
    </row>
    <row r="173" spans="1:35" ht="12.75" hidden="1" outlineLevel="1" thickBot="1">
      <c r="A173" s="415"/>
      <c r="B173" s="415"/>
      <c r="I173" s="522">
        <f t="shared" si="23"/>
        <v>131</v>
      </c>
      <c r="J173" s="523"/>
      <c r="K173" s="472"/>
      <c r="L173" s="523"/>
      <c r="M173" s="476"/>
      <c r="N173" s="476"/>
      <c r="O173" s="523"/>
      <c r="P173" s="476"/>
      <c r="Q173" s="524"/>
      <c r="R173" s="478">
        <f>IFERROR(INDEX(기초자산!M$6:M$408,MATCH(K173&amp;N173&amp;O173,기초자산!$A$6:$A$408,0),0),0)</f>
        <v>0</v>
      </c>
      <c r="S173" s="479">
        <f t="shared" si="25"/>
        <v>0</v>
      </c>
      <c r="T173" s="476"/>
      <c r="U173" s="471" t="s">
        <v>94</v>
      </c>
      <c r="V173" s="480">
        <f>IF(U173="한국 원화(KRW)",1,IF(OR(U173=환율!$A$6,U173=환율!$A$7),VLOOKUP(NAV!U173,환율!$A$6:$B$7,2,),IF(RIGHT(U173,5)="(100)",(VLOOKUP(NAV!U173,환율!$A$11:$B$65,2,))/100,VLOOKUP(NAV!U173,환율!$A$11:$B$65,2,))))</f>
        <v>1</v>
      </c>
      <c r="W173" s="524"/>
      <c r="X173" s="482">
        <f t="shared" si="26"/>
        <v>0</v>
      </c>
      <c r="Y173" s="524"/>
      <c r="Z173" s="524">
        <v>0</v>
      </c>
      <c r="AA173" s="483">
        <f t="shared" si="24"/>
        <v>0</v>
      </c>
      <c r="AB173" s="525"/>
      <c r="AC173" s="526" t="str">
        <f t="shared" si="27"/>
        <v>2년이상</v>
      </c>
      <c r="AD173" s="520" t="str">
        <f t="shared" si="28"/>
        <v/>
      </c>
      <c r="AE173" s="527">
        <f t="shared" si="29"/>
        <v>0</v>
      </c>
      <c r="AF173" s="527">
        <f t="shared" si="30"/>
        <v>0</v>
      </c>
      <c r="AG173" s="485"/>
      <c r="AH173" s="485"/>
      <c r="AI173" s="404"/>
    </row>
    <row r="174" spans="1:35" ht="12.75" hidden="1" outlineLevel="1" thickBot="1">
      <c r="A174" s="415"/>
      <c r="B174" s="415"/>
      <c r="I174" s="522">
        <f t="shared" si="23"/>
        <v>132</v>
      </c>
      <c r="J174" s="523"/>
      <c r="K174" s="472"/>
      <c r="L174" s="523"/>
      <c r="M174" s="476"/>
      <c r="N174" s="476"/>
      <c r="O174" s="523"/>
      <c r="P174" s="476"/>
      <c r="Q174" s="524"/>
      <c r="R174" s="478">
        <f>IFERROR(INDEX(기초자산!M$6:M$408,MATCH(K174&amp;N174&amp;O174,기초자산!$A$6:$A$408,0),0),0)</f>
        <v>0</v>
      </c>
      <c r="S174" s="479">
        <f t="shared" si="25"/>
        <v>0</v>
      </c>
      <c r="T174" s="476"/>
      <c r="U174" s="471" t="s">
        <v>94</v>
      </c>
      <c r="V174" s="480">
        <f>IF(U174="한국 원화(KRW)",1,IF(OR(U174=환율!$A$6,U174=환율!$A$7),VLOOKUP(NAV!U174,환율!$A$6:$B$7,2,),IF(RIGHT(U174,5)="(100)",(VLOOKUP(NAV!U174,환율!$A$11:$B$65,2,))/100,VLOOKUP(NAV!U174,환율!$A$11:$B$65,2,))))</f>
        <v>1</v>
      </c>
      <c r="W174" s="524"/>
      <c r="X174" s="482">
        <f t="shared" si="26"/>
        <v>0</v>
      </c>
      <c r="Y174" s="524"/>
      <c r="Z174" s="524">
        <v>0</v>
      </c>
      <c r="AA174" s="483">
        <f t="shared" si="24"/>
        <v>0</v>
      </c>
      <c r="AB174" s="525"/>
      <c r="AC174" s="526" t="str">
        <f t="shared" si="27"/>
        <v>2년이상</v>
      </c>
      <c r="AD174" s="520" t="str">
        <f t="shared" si="28"/>
        <v/>
      </c>
      <c r="AE174" s="527">
        <f t="shared" si="29"/>
        <v>0</v>
      </c>
      <c r="AF174" s="527">
        <f t="shared" si="30"/>
        <v>0</v>
      </c>
      <c r="AG174" s="485"/>
      <c r="AH174" s="485"/>
      <c r="AI174" s="404"/>
    </row>
    <row r="175" spans="1:35" ht="12.75" hidden="1" outlineLevel="1" thickBot="1">
      <c r="A175" s="415"/>
      <c r="B175" s="415"/>
      <c r="I175" s="522">
        <f t="shared" si="23"/>
        <v>133</v>
      </c>
      <c r="J175" s="523"/>
      <c r="K175" s="472"/>
      <c r="L175" s="523"/>
      <c r="M175" s="476"/>
      <c r="N175" s="476"/>
      <c r="O175" s="523"/>
      <c r="P175" s="476"/>
      <c r="Q175" s="524"/>
      <c r="R175" s="478">
        <f>IFERROR(INDEX(기초자산!M$6:M$408,MATCH(K175&amp;N175&amp;O175,기초자산!$A$6:$A$408,0),0),0)</f>
        <v>0</v>
      </c>
      <c r="S175" s="479">
        <f t="shared" si="25"/>
        <v>0</v>
      </c>
      <c r="T175" s="476"/>
      <c r="U175" s="471" t="s">
        <v>94</v>
      </c>
      <c r="V175" s="480">
        <f>IF(U175="한국 원화(KRW)",1,IF(OR(U175=환율!$A$6,U175=환율!$A$7),VLOOKUP(NAV!U175,환율!$A$6:$B$7,2,),IF(RIGHT(U175,5)="(100)",(VLOOKUP(NAV!U175,환율!$A$11:$B$65,2,))/100,VLOOKUP(NAV!U175,환율!$A$11:$B$65,2,))))</f>
        <v>1</v>
      </c>
      <c r="W175" s="524"/>
      <c r="X175" s="482">
        <f t="shared" si="26"/>
        <v>0</v>
      </c>
      <c r="Y175" s="524"/>
      <c r="Z175" s="524">
        <v>0</v>
      </c>
      <c r="AA175" s="483">
        <f t="shared" si="24"/>
        <v>0</v>
      </c>
      <c r="AB175" s="525"/>
      <c r="AC175" s="526" t="str">
        <f t="shared" si="27"/>
        <v>2년이상</v>
      </c>
      <c r="AD175" s="520" t="str">
        <f t="shared" si="28"/>
        <v/>
      </c>
      <c r="AE175" s="527">
        <f t="shared" si="29"/>
        <v>0</v>
      </c>
      <c r="AF175" s="527">
        <f t="shared" si="30"/>
        <v>0</v>
      </c>
      <c r="AG175" s="485"/>
      <c r="AH175" s="485"/>
      <c r="AI175" s="404"/>
    </row>
    <row r="176" spans="1:35" ht="12.75" hidden="1" outlineLevel="1" thickBot="1">
      <c r="A176" s="415"/>
      <c r="B176" s="415"/>
      <c r="I176" s="522">
        <f t="shared" si="23"/>
        <v>134</v>
      </c>
      <c r="J176" s="523"/>
      <c r="K176" s="472"/>
      <c r="L176" s="523"/>
      <c r="M176" s="476"/>
      <c r="N176" s="476"/>
      <c r="O176" s="523"/>
      <c r="P176" s="476"/>
      <c r="Q176" s="524"/>
      <c r="R176" s="478">
        <f>IFERROR(INDEX(기초자산!M$6:M$408,MATCH(K176&amp;N176&amp;O176,기초자산!$A$6:$A$408,0),0),0)</f>
        <v>0</v>
      </c>
      <c r="S176" s="479">
        <f t="shared" si="25"/>
        <v>0</v>
      </c>
      <c r="T176" s="476"/>
      <c r="U176" s="471" t="s">
        <v>94</v>
      </c>
      <c r="V176" s="480">
        <f>IF(U176="한국 원화(KRW)",1,IF(OR(U176=환율!$A$6,U176=환율!$A$7),VLOOKUP(NAV!U176,환율!$A$6:$B$7,2,),IF(RIGHT(U176,5)="(100)",(VLOOKUP(NAV!U176,환율!$A$11:$B$65,2,))/100,VLOOKUP(NAV!U176,환율!$A$11:$B$65,2,))))</f>
        <v>1</v>
      </c>
      <c r="W176" s="524"/>
      <c r="X176" s="482">
        <f t="shared" si="26"/>
        <v>0</v>
      </c>
      <c r="Y176" s="524"/>
      <c r="Z176" s="524">
        <v>0</v>
      </c>
      <c r="AA176" s="483">
        <f t="shared" si="24"/>
        <v>0</v>
      </c>
      <c r="AB176" s="525"/>
      <c r="AC176" s="526" t="str">
        <f t="shared" si="27"/>
        <v>2년이상</v>
      </c>
      <c r="AD176" s="520" t="str">
        <f t="shared" si="28"/>
        <v/>
      </c>
      <c r="AE176" s="527">
        <f t="shared" si="29"/>
        <v>0</v>
      </c>
      <c r="AF176" s="527">
        <f t="shared" si="30"/>
        <v>0</v>
      </c>
      <c r="AG176" s="485"/>
      <c r="AH176" s="485"/>
      <c r="AI176" s="404"/>
    </row>
    <row r="177" spans="1:35" ht="12.75" hidden="1" outlineLevel="1" thickBot="1">
      <c r="A177" s="415"/>
      <c r="B177" s="415"/>
      <c r="I177" s="522">
        <f t="shared" si="23"/>
        <v>135</v>
      </c>
      <c r="J177" s="523"/>
      <c r="K177" s="472"/>
      <c r="L177" s="523"/>
      <c r="M177" s="476"/>
      <c r="N177" s="476"/>
      <c r="O177" s="523"/>
      <c r="P177" s="476"/>
      <c r="Q177" s="524"/>
      <c r="R177" s="478">
        <f>IFERROR(INDEX(기초자산!M$6:M$408,MATCH(K177&amp;N177&amp;O177,기초자산!$A$6:$A$408,0),0),0)</f>
        <v>0</v>
      </c>
      <c r="S177" s="479">
        <f t="shared" si="25"/>
        <v>0</v>
      </c>
      <c r="T177" s="476"/>
      <c r="U177" s="471" t="s">
        <v>94</v>
      </c>
      <c r="V177" s="480">
        <f>IF(U177="한국 원화(KRW)",1,IF(OR(U177=환율!$A$6,U177=환율!$A$7),VLOOKUP(NAV!U177,환율!$A$6:$B$7,2,),IF(RIGHT(U177,5)="(100)",(VLOOKUP(NAV!U177,환율!$A$11:$B$65,2,))/100,VLOOKUP(NAV!U177,환율!$A$11:$B$65,2,))))</f>
        <v>1</v>
      </c>
      <c r="W177" s="524"/>
      <c r="X177" s="482">
        <f t="shared" si="26"/>
        <v>0</v>
      </c>
      <c r="Y177" s="524"/>
      <c r="Z177" s="524">
        <v>0</v>
      </c>
      <c r="AA177" s="483">
        <f t="shared" si="24"/>
        <v>0</v>
      </c>
      <c r="AB177" s="525"/>
      <c r="AC177" s="526" t="str">
        <f t="shared" si="27"/>
        <v>2년이상</v>
      </c>
      <c r="AD177" s="520" t="str">
        <f t="shared" si="28"/>
        <v/>
      </c>
      <c r="AE177" s="527">
        <f t="shared" si="29"/>
        <v>0</v>
      </c>
      <c r="AF177" s="527">
        <f t="shared" si="30"/>
        <v>0</v>
      </c>
      <c r="AG177" s="485"/>
      <c r="AH177" s="485"/>
      <c r="AI177" s="404"/>
    </row>
    <row r="178" spans="1:35" ht="12.75" hidden="1" outlineLevel="1" thickBot="1">
      <c r="A178" s="415"/>
      <c r="B178" s="415"/>
      <c r="I178" s="522">
        <f t="shared" si="23"/>
        <v>136</v>
      </c>
      <c r="J178" s="523"/>
      <c r="K178" s="472"/>
      <c r="L178" s="523"/>
      <c r="M178" s="476"/>
      <c r="N178" s="476"/>
      <c r="O178" s="523"/>
      <c r="P178" s="476"/>
      <c r="Q178" s="524"/>
      <c r="R178" s="478">
        <f>IFERROR(INDEX(기초자산!M$6:M$408,MATCH(K178&amp;N178&amp;O178,기초자산!$A$6:$A$408,0),0),0)</f>
        <v>0</v>
      </c>
      <c r="S178" s="479">
        <f t="shared" si="25"/>
        <v>0</v>
      </c>
      <c r="T178" s="476"/>
      <c r="U178" s="471" t="s">
        <v>94</v>
      </c>
      <c r="V178" s="480">
        <f>IF(U178="한국 원화(KRW)",1,IF(OR(U178=환율!$A$6,U178=환율!$A$7),VLOOKUP(NAV!U178,환율!$A$6:$B$7,2,),IF(RIGHT(U178,5)="(100)",(VLOOKUP(NAV!U178,환율!$A$11:$B$65,2,))/100,VLOOKUP(NAV!U178,환율!$A$11:$B$65,2,))))</f>
        <v>1</v>
      </c>
      <c r="W178" s="524"/>
      <c r="X178" s="482">
        <f t="shared" si="26"/>
        <v>0</v>
      </c>
      <c r="Y178" s="524"/>
      <c r="Z178" s="524">
        <v>0</v>
      </c>
      <c r="AA178" s="483">
        <f t="shared" si="24"/>
        <v>0</v>
      </c>
      <c r="AB178" s="525"/>
      <c r="AC178" s="526" t="str">
        <f t="shared" si="27"/>
        <v>2년이상</v>
      </c>
      <c r="AD178" s="520" t="str">
        <f t="shared" si="28"/>
        <v/>
      </c>
      <c r="AE178" s="527">
        <f t="shared" si="29"/>
        <v>0</v>
      </c>
      <c r="AF178" s="527">
        <f t="shared" si="30"/>
        <v>0</v>
      </c>
      <c r="AG178" s="485"/>
      <c r="AH178" s="485"/>
      <c r="AI178" s="404"/>
    </row>
    <row r="179" spans="1:35" ht="12.75" hidden="1" outlineLevel="1" thickBot="1">
      <c r="A179" s="415"/>
      <c r="B179" s="415"/>
      <c r="I179" s="522">
        <f t="shared" si="23"/>
        <v>137</v>
      </c>
      <c r="J179" s="523"/>
      <c r="K179" s="472"/>
      <c r="L179" s="523"/>
      <c r="M179" s="476"/>
      <c r="N179" s="476"/>
      <c r="O179" s="523"/>
      <c r="P179" s="476"/>
      <c r="Q179" s="524"/>
      <c r="R179" s="478">
        <f>IFERROR(INDEX(기초자산!M$6:M$408,MATCH(K179&amp;N179&amp;O179,기초자산!$A$6:$A$408,0),0),0)</f>
        <v>0</v>
      </c>
      <c r="S179" s="479">
        <f t="shared" si="25"/>
        <v>0</v>
      </c>
      <c r="T179" s="476"/>
      <c r="U179" s="471" t="s">
        <v>94</v>
      </c>
      <c r="V179" s="480">
        <f>IF(U179="한국 원화(KRW)",1,IF(OR(U179=환율!$A$6,U179=환율!$A$7),VLOOKUP(NAV!U179,환율!$A$6:$B$7,2,),IF(RIGHT(U179,5)="(100)",(VLOOKUP(NAV!U179,환율!$A$11:$B$65,2,))/100,VLOOKUP(NAV!U179,환율!$A$11:$B$65,2,))))</f>
        <v>1</v>
      </c>
      <c r="W179" s="524"/>
      <c r="X179" s="482">
        <f t="shared" si="26"/>
        <v>0</v>
      </c>
      <c r="Y179" s="524"/>
      <c r="Z179" s="524">
        <v>0</v>
      </c>
      <c r="AA179" s="483">
        <f t="shared" si="24"/>
        <v>0</v>
      </c>
      <c r="AB179" s="525"/>
      <c r="AC179" s="526" t="str">
        <f t="shared" si="27"/>
        <v>2년이상</v>
      </c>
      <c r="AD179" s="520" t="str">
        <f t="shared" si="28"/>
        <v/>
      </c>
      <c r="AE179" s="527">
        <f t="shared" si="29"/>
        <v>0</v>
      </c>
      <c r="AF179" s="527">
        <f t="shared" si="30"/>
        <v>0</v>
      </c>
      <c r="AG179" s="485"/>
      <c r="AH179" s="485"/>
      <c r="AI179" s="404"/>
    </row>
    <row r="180" spans="1:35" ht="12.75" hidden="1" outlineLevel="1" thickBot="1">
      <c r="A180" s="415"/>
      <c r="B180" s="415"/>
      <c r="I180" s="522">
        <f t="shared" si="23"/>
        <v>138</v>
      </c>
      <c r="J180" s="523"/>
      <c r="K180" s="472"/>
      <c r="L180" s="523"/>
      <c r="M180" s="476"/>
      <c r="N180" s="476"/>
      <c r="O180" s="523"/>
      <c r="P180" s="476"/>
      <c r="Q180" s="524"/>
      <c r="R180" s="478">
        <f>IFERROR(INDEX(기초자산!M$6:M$408,MATCH(K180&amp;N180&amp;O180,기초자산!$A$6:$A$408,0),0),0)</f>
        <v>0</v>
      </c>
      <c r="S180" s="479">
        <f t="shared" si="25"/>
        <v>0</v>
      </c>
      <c r="T180" s="476"/>
      <c r="U180" s="471" t="s">
        <v>94</v>
      </c>
      <c r="V180" s="480">
        <f>IF(U180="한국 원화(KRW)",1,IF(OR(U180=환율!$A$6,U180=환율!$A$7),VLOOKUP(NAV!U180,환율!$A$6:$B$7,2,),IF(RIGHT(U180,5)="(100)",(VLOOKUP(NAV!U180,환율!$A$11:$B$65,2,))/100,VLOOKUP(NAV!U180,환율!$A$11:$B$65,2,))))</f>
        <v>1</v>
      </c>
      <c r="W180" s="524"/>
      <c r="X180" s="482">
        <f t="shared" si="26"/>
        <v>0</v>
      </c>
      <c r="Y180" s="524"/>
      <c r="Z180" s="524">
        <v>0</v>
      </c>
      <c r="AA180" s="483">
        <f t="shared" si="24"/>
        <v>0</v>
      </c>
      <c r="AB180" s="525"/>
      <c r="AC180" s="526" t="str">
        <f t="shared" si="27"/>
        <v>2년이상</v>
      </c>
      <c r="AD180" s="520" t="str">
        <f t="shared" si="28"/>
        <v/>
      </c>
      <c r="AE180" s="527">
        <f t="shared" si="29"/>
        <v>0</v>
      </c>
      <c r="AF180" s="527">
        <f t="shared" si="30"/>
        <v>0</v>
      </c>
      <c r="AG180" s="485"/>
      <c r="AH180" s="485"/>
      <c r="AI180" s="404"/>
    </row>
    <row r="181" spans="1:35" ht="12.75" hidden="1" outlineLevel="1" thickBot="1">
      <c r="A181" s="415"/>
      <c r="B181" s="415"/>
      <c r="I181" s="522">
        <f t="shared" si="23"/>
        <v>139</v>
      </c>
      <c r="J181" s="523"/>
      <c r="K181" s="472"/>
      <c r="L181" s="523"/>
      <c r="M181" s="476"/>
      <c r="N181" s="476"/>
      <c r="O181" s="523"/>
      <c r="P181" s="476"/>
      <c r="Q181" s="524"/>
      <c r="R181" s="478">
        <f>IFERROR(INDEX(기초자산!M$6:M$408,MATCH(K181&amp;N181&amp;O181,기초자산!$A$6:$A$408,0),0),0)</f>
        <v>0</v>
      </c>
      <c r="S181" s="479">
        <f t="shared" si="25"/>
        <v>0</v>
      </c>
      <c r="T181" s="476"/>
      <c r="U181" s="471" t="s">
        <v>94</v>
      </c>
      <c r="V181" s="480">
        <f>IF(U181="한국 원화(KRW)",1,IF(OR(U181=환율!$A$6,U181=환율!$A$7),VLOOKUP(NAV!U181,환율!$A$6:$B$7,2,),IF(RIGHT(U181,5)="(100)",(VLOOKUP(NAV!U181,환율!$A$11:$B$65,2,))/100,VLOOKUP(NAV!U181,환율!$A$11:$B$65,2,))))</f>
        <v>1</v>
      </c>
      <c r="W181" s="524"/>
      <c r="X181" s="482">
        <f t="shared" si="26"/>
        <v>0</v>
      </c>
      <c r="Y181" s="524"/>
      <c r="Z181" s="524">
        <v>0</v>
      </c>
      <c r="AA181" s="483">
        <f t="shared" si="24"/>
        <v>0</v>
      </c>
      <c r="AB181" s="525"/>
      <c r="AC181" s="526" t="str">
        <f t="shared" si="27"/>
        <v>2년이상</v>
      </c>
      <c r="AD181" s="520" t="str">
        <f t="shared" si="28"/>
        <v/>
      </c>
      <c r="AE181" s="527">
        <f t="shared" si="29"/>
        <v>0</v>
      </c>
      <c r="AF181" s="527">
        <f t="shared" si="30"/>
        <v>0</v>
      </c>
      <c r="AG181" s="485"/>
      <c r="AH181" s="485"/>
      <c r="AI181" s="404"/>
    </row>
    <row r="182" spans="1:35" ht="12.75" hidden="1" outlineLevel="1" thickBot="1">
      <c r="A182" s="415"/>
      <c r="B182" s="415"/>
      <c r="I182" s="522">
        <f t="shared" si="23"/>
        <v>140</v>
      </c>
      <c r="J182" s="523"/>
      <c r="K182" s="472"/>
      <c r="L182" s="523"/>
      <c r="M182" s="476"/>
      <c r="N182" s="476"/>
      <c r="O182" s="523"/>
      <c r="P182" s="476"/>
      <c r="Q182" s="524"/>
      <c r="R182" s="478">
        <f>IFERROR(INDEX(기초자산!M$6:M$408,MATCH(K182&amp;N182&amp;O182,기초자산!$A$6:$A$408,0),0),0)</f>
        <v>0</v>
      </c>
      <c r="S182" s="479">
        <f t="shared" si="25"/>
        <v>0</v>
      </c>
      <c r="T182" s="476"/>
      <c r="U182" s="471" t="s">
        <v>94</v>
      </c>
      <c r="V182" s="480">
        <f>IF(U182="한국 원화(KRW)",1,IF(OR(U182=환율!$A$6,U182=환율!$A$7),VLOOKUP(NAV!U182,환율!$A$6:$B$7,2,),IF(RIGHT(U182,5)="(100)",(VLOOKUP(NAV!U182,환율!$A$11:$B$65,2,))/100,VLOOKUP(NAV!U182,환율!$A$11:$B$65,2,))))</f>
        <v>1</v>
      </c>
      <c r="W182" s="524"/>
      <c r="X182" s="482">
        <f t="shared" si="26"/>
        <v>0</v>
      </c>
      <c r="Y182" s="524"/>
      <c r="Z182" s="524">
        <v>0</v>
      </c>
      <c r="AA182" s="483">
        <f t="shared" si="24"/>
        <v>0</v>
      </c>
      <c r="AB182" s="525"/>
      <c r="AC182" s="526" t="str">
        <f t="shared" si="27"/>
        <v>2년이상</v>
      </c>
      <c r="AD182" s="520" t="str">
        <f t="shared" si="28"/>
        <v/>
      </c>
      <c r="AE182" s="527">
        <f t="shared" si="29"/>
        <v>0</v>
      </c>
      <c r="AF182" s="527">
        <f t="shared" si="30"/>
        <v>0</v>
      </c>
      <c r="AG182" s="485"/>
      <c r="AH182" s="485"/>
      <c r="AI182" s="404"/>
    </row>
    <row r="183" spans="1:35" ht="12.75" hidden="1" outlineLevel="1" thickBot="1">
      <c r="A183" s="415"/>
      <c r="B183" s="415"/>
      <c r="I183" s="522">
        <f t="shared" si="23"/>
        <v>141</v>
      </c>
      <c r="J183" s="523"/>
      <c r="K183" s="472"/>
      <c r="L183" s="523"/>
      <c r="M183" s="476"/>
      <c r="N183" s="476"/>
      <c r="O183" s="523"/>
      <c r="P183" s="476"/>
      <c r="Q183" s="524"/>
      <c r="R183" s="478">
        <f>IFERROR(INDEX(기초자산!M$6:M$408,MATCH(K183&amp;N183&amp;O183,기초자산!$A$6:$A$408,0),0),0)</f>
        <v>0</v>
      </c>
      <c r="S183" s="479">
        <f t="shared" si="25"/>
        <v>0</v>
      </c>
      <c r="T183" s="476"/>
      <c r="U183" s="471" t="s">
        <v>94</v>
      </c>
      <c r="V183" s="480">
        <f>IF(U183="한국 원화(KRW)",1,IF(OR(U183=환율!$A$6,U183=환율!$A$7),VLOOKUP(NAV!U183,환율!$A$6:$B$7,2,),IF(RIGHT(U183,5)="(100)",(VLOOKUP(NAV!U183,환율!$A$11:$B$65,2,))/100,VLOOKUP(NAV!U183,환율!$A$11:$B$65,2,))))</f>
        <v>1</v>
      </c>
      <c r="W183" s="524"/>
      <c r="X183" s="482">
        <f t="shared" si="26"/>
        <v>0</v>
      </c>
      <c r="Y183" s="524"/>
      <c r="Z183" s="524">
        <v>0</v>
      </c>
      <c r="AA183" s="483">
        <f t="shared" si="24"/>
        <v>0</v>
      </c>
      <c r="AB183" s="525"/>
      <c r="AC183" s="526" t="str">
        <f t="shared" si="27"/>
        <v>2년이상</v>
      </c>
      <c r="AD183" s="520" t="str">
        <f t="shared" si="28"/>
        <v/>
      </c>
      <c r="AE183" s="527">
        <f t="shared" si="29"/>
        <v>0</v>
      </c>
      <c r="AF183" s="527">
        <f t="shared" si="30"/>
        <v>0</v>
      </c>
      <c r="AG183" s="485"/>
      <c r="AH183" s="485"/>
      <c r="AI183" s="404"/>
    </row>
    <row r="184" spans="1:35" ht="12.75" hidden="1" outlineLevel="1" thickBot="1">
      <c r="A184" s="415"/>
      <c r="B184" s="415"/>
      <c r="I184" s="522">
        <f t="shared" si="23"/>
        <v>142</v>
      </c>
      <c r="J184" s="523"/>
      <c r="K184" s="472"/>
      <c r="L184" s="523"/>
      <c r="M184" s="476"/>
      <c r="N184" s="476"/>
      <c r="O184" s="523"/>
      <c r="P184" s="476"/>
      <c r="Q184" s="524"/>
      <c r="R184" s="478">
        <f>IFERROR(INDEX(기초자산!M$6:M$408,MATCH(K184&amp;N184&amp;O184,기초자산!$A$6:$A$408,0),0),0)</f>
        <v>0</v>
      </c>
      <c r="S184" s="479">
        <f t="shared" si="25"/>
        <v>0</v>
      </c>
      <c r="T184" s="476"/>
      <c r="U184" s="471" t="s">
        <v>94</v>
      </c>
      <c r="V184" s="480">
        <f>IF(U184="한국 원화(KRW)",1,IF(OR(U184=환율!$A$6,U184=환율!$A$7),VLOOKUP(NAV!U184,환율!$A$6:$B$7,2,),IF(RIGHT(U184,5)="(100)",(VLOOKUP(NAV!U184,환율!$A$11:$B$65,2,))/100,VLOOKUP(NAV!U184,환율!$A$11:$B$65,2,))))</f>
        <v>1</v>
      </c>
      <c r="W184" s="524"/>
      <c r="X184" s="482">
        <f t="shared" si="26"/>
        <v>0</v>
      </c>
      <c r="Y184" s="524"/>
      <c r="Z184" s="524">
        <v>0</v>
      </c>
      <c r="AA184" s="483">
        <f t="shared" si="24"/>
        <v>0</v>
      </c>
      <c r="AB184" s="525"/>
      <c r="AC184" s="526" t="str">
        <f t="shared" si="27"/>
        <v>2년이상</v>
      </c>
      <c r="AD184" s="520" t="str">
        <f t="shared" si="28"/>
        <v/>
      </c>
      <c r="AE184" s="527">
        <f t="shared" si="29"/>
        <v>0</v>
      </c>
      <c r="AF184" s="527">
        <f t="shared" si="30"/>
        <v>0</v>
      </c>
      <c r="AG184" s="485"/>
      <c r="AH184" s="485"/>
      <c r="AI184" s="404"/>
    </row>
    <row r="185" spans="1:35" ht="12.75" hidden="1" outlineLevel="1" thickBot="1">
      <c r="A185" s="415"/>
      <c r="B185" s="415"/>
      <c r="I185" s="522">
        <f t="shared" si="23"/>
        <v>143</v>
      </c>
      <c r="J185" s="523"/>
      <c r="K185" s="472"/>
      <c r="L185" s="523"/>
      <c r="M185" s="476"/>
      <c r="N185" s="476"/>
      <c r="O185" s="523"/>
      <c r="P185" s="476"/>
      <c r="Q185" s="524"/>
      <c r="R185" s="478">
        <f>IFERROR(INDEX(기초자산!M$6:M$408,MATCH(K185&amp;N185&amp;O185,기초자산!$A$6:$A$408,0),0),0)</f>
        <v>0</v>
      </c>
      <c r="S185" s="479">
        <f t="shared" si="25"/>
        <v>0</v>
      </c>
      <c r="T185" s="476"/>
      <c r="U185" s="471" t="s">
        <v>94</v>
      </c>
      <c r="V185" s="480">
        <f>IF(U185="한국 원화(KRW)",1,IF(OR(U185=환율!$A$6,U185=환율!$A$7),VLOOKUP(NAV!U185,환율!$A$6:$B$7,2,),IF(RIGHT(U185,5)="(100)",(VLOOKUP(NAV!U185,환율!$A$11:$B$65,2,))/100,VLOOKUP(NAV!U185,환율!$A$11:$B$65,2,))))</f>
        <v>1</v>
      </c>
      <c r="W185" s="524"/>
      <c r="X185" s="482">
        <f t="shared" si="26"/>
        <v>0</v>
      </c>
      <c r="Y185" s="524"/>
      <c r="Z185" s="524">
        <v>0</v>
      </c>
      <c r="AA185" s="483">
        <f t="shared" si="24"/>
        <v>0</v>
      </c>
      <c r="AB185" s="525"/>
      <c r="AC185" s="526" t="str">
        <f t="shared" si="27"/>
        <v>2년이상</v>
      </c>
      <c r="AD185" s="520" t="str">
        <f t="shared" si="28"/>
        <v/>
      </c>
      <c r="AE185" s="527">
        <f t="shared" si="29"/>
        <v>0</v>
      </c>
      <c r="AF185" s="527">
        <f t="shared" si="30"/>
        <v>0</v>
      </c>
      <c r="AG185" s="485"/>
      <c r="AH185" s="485"/>
      <c r="AI185" s="404"/>
    </row>
    <row r="186" spans="1:35" ht="12.75" hidden="1" outlineLevel="1" thickBot="1">
      <c r="A186" s="415"/>
      <c r="B186" s="415"/>
      <c r="I186" s="522">
        <f t="shared" si="23"/>
        <v>144</v>
      </c>
      <c r="J186" s="523"/>
      <c r="K186" s="472"/>
      <c r="L186" s="523"/>
      <c r="M186" s="476"/>
      <c r="N186" s="476"/>
      <c r="O186" s="523"/>
      <c r="P186" s="476"/>
      <c r="Q186" s="524"/>
      <c r="R186" s="478">
        <f>IFERROR(INDEX(기초자산!M$6:M$408,MATCH(K186&amp;N186&amp;O186,기초자산!$A$6:$A$408,0),0),0)</f>
        <v>0</v>
      </c>
      <c r="S186" s="479">
        <f t="shared" si="25"/>
        <v>0</v>
      </c>
      <c r="T186" s="476"/>
      <c r="U186" s="471" t="s">
        <v>94</v>
      </c>
      <c r="V186" s="480">
        <f>IF(U186="한국 원화(KRW)",1,IF(OR(U186=환율!$A$6,U186=환율!$A$7),VLOOKUP(NAV!U186,환율!$A$6:$B$7,2,),IF(RIGHT(U186,5)="(100)",(VLOOKUP(NAV!U186,환율!$A$11:$B$65,2,))/100,VLOOKUP(NAV!U186,환율!$A$11:$B$65,2,))))</f>
        <v>1</v>
      </c>
      <c r="W186" s="524"/>
      <c r="X186" s="482">
        <f t="shared" si="26"/>
        <v>0</v>
      </c>
      <c r="Y186" s="524"/>
      <c r="Z186" s="524">
        <v>0</v>
      </c>
      <c r="AA186" s="483">
        <f t="shared" si="24"/>
        <v>0</v>
      </c>
      <c r="AB186" s="525"/>
      <c r="AC186" s="526" t="str">
        <f t="shared" si="27"/>
        <v>2년이상</v>
      </c>
      <c r="AD186" s="520" t="str">
        <f t="shared" si="28"/>
        <v/>
      </c>
      <c r="AE186" s="527">
        <f t="shared" si="29"/>
        <v>0</v>
      </c>
      <c r="AF186" s="527">
        <f t="shared" si="30"/>
        <v>0</v>
      </c>
      <c r="AG186" s="485"/>
      <c r="AH186" s="485"/>
      <c r="AI186" s="404"/>
    </row>
    <row r="187" spans="1:35" ht="12.75" hidden="1" outlineLevel="1" thickBot="1">
      <c r="A187" s="415"/>
      <c r="B187" s="415"/>
      <c r="I187" s="522">
        <f t="shared" si="23"/>
        <v>145</v>
      </c>
      <c r="J187" s="523"/>
      <c r="K187" s="472"/>
      <c r="L187" s="523"/>
      <c r="M187" s="476"/>
      <c r="N187" s="476"/>
      <c r="O187" s="523"/>
      <c r="P187" s="476"/>
      <c r="Q187" s="524"/>
      <c r="R187" s="478">
        <f>IFERROR(INDEX(기초자산!M$6:M$408,MATCH(K187&amp;N187&amp;O187,기초자산!$A$6:$A$408,0),0),0)</f>
        <v>0</v>
      </c>
      <c r="S187" s="479">
        <f t="shared" si="25"/>
        <v>0</v>
      </c>
      <c r="T187" s="476"/>
      <c r="U187" s="471" t="s">
        <v>94</v>
      </c>
      <c r="V187" s="480">
        <f>IF(U187="한국 원화(KRW)",1,IF(OR(U187=환율!$A$6,U187=환율!$A$7),VLOOKUP(NAV!U187,환율!$A$6:$B$7,2,),IF(RIGHT(U187,5)="(100)",(VLOOKUP(NAV!U187,환율!$A$11:$B$65,2,))/100,VLOOKUP(NAV!U187,환율!$A$11:$B$65,2,))))</f>
        <v>1</v>
      </c>
      <c r="W187" s="524"/>
      <c r="X187" s="482">
        <f t="shared" si="26"/>
        <v>0</v>
      </c>
      <c r="Y187" s="524"/>
      <c r="Z187" s="524">
        <v>0</v>
      </c>
      <c r="AA187" s="483">
        <f t="shared" si="24"/>
        <v>0</v>
      </c>
      <c r="AB187" s="525"/>
      <c r="AC187" s="526" t="str">
        <f t="shared" si="27"/>
        <v>2년이상</v>
      </c>
      <c r="AD187" s="520" t="str">
        <f t="shared" si="28"/>
        <v/>
      </c>
      <c r="AE187" s="527">
        <f t="shared" si="29"/>
        <v>0</v>
      </c>
      <c r="AF187" s="527">
        <f t="shared" si="30"/>
        <v>0</v>
      </c>
      <c r="AG187" s="485"/>
      <c r="AH187" s="485"/>
      <c r="AI187" s="404"/>
    </row>
    <row r="188" spans="1:35" ht="12.75" hidden="1" outlineLevel="1" thickBot="1">
      <c r="A188" s="415"/>
      <c r="B188" s="415"/>
      <c r="I188" s="522">
        <f t="shared" si="23"/>
        <v>146</v>
      </c>
      <c r="J188" s="523"/>
      <c r="K188" s="472"/>
      <c r="L188" s="523"/>
      <c r="M188" s="476"/>
      <c r="N188" s="476"/>
      <c r="O188" s="523"/>
      <c r="P188" s="476"/>
      <c r="Q188" s="524"/>
      <c r="R188" s="478">
        <f>IFERROR(INDEX(기초자산!M$6:M$408,MATCH(K188&amp;N188&amp;O188,기초자산!$A$6:$A$408,0),0),0)</f>
        <v>0</v>
      </c>
      <c r="S188" s="479">
        <f t="shared" si="25"/>
        <v>0</v>
      </c>
      <c r="T188" s="476"/>
      <c r="U188" s="471" t="s">
        <v>94</v>
      </c>
      <c r="V188" s="480">
        <f>IF(U188="한국 원화(KRW)",1,IF(OR(U188=환율!$A$6,U188=환율!$A$7),VLOOKUP(NAV!U188,환율!$A$6:$B$7,2,),IF(RIGHT(U188,5)="(100)",(VLOOKUP(NAV!U188,환율!$A$11:$B$65,2,))/100,VLOOKUP(NAV!U188,환율!$A$11:$B$65,2,))))</f>
        <v>1</v>
      </c>
      <c r="W188" s="524"/>
      <c r="X188" s="482">
        <f t="shared" si="26"/>
        <v>0</v>
      </c>
      <c r="Y188" s="524"/>
      <c r="Z188" s="524">
        <v>0</v>
      </c>
      <c r="AA188" s="483">
        <f t="shared" si="24"/>
        <v>0</v>
      </c>
      <c r="AB188" s="525"/>
      <c r="AC188" s="526" t="str">
        <f t="shared" si="27"/>
        <v>2년이상</v>
      </c>
      <c r="AD188" s="520" t="str">
        <f t="shared" si="28"/>
        <v/>
      </c>
      <c r="AE188" s="527">
        <f t="shared" si="29"/>
        <v>0</v>
      </c>
      <c r="AF188" s="527">
        <f t="shared" si="30"/>
        <v>0</v>
      </c>
      <c r="AG188" s="485"/>
      <c r="AH188" s="485"/>
      <c r="AI188" s="404"/>
    </row>
    <row r="189" spans="1:35" ht="12.75" hidden="1" outlineLevel="1" thickBot="1">
      <c r="A189" s="415"/>
      <c r="B189" s="415"/>
      <c r="I189" s="522">
        <f t="shared" si="23"/>
        <v>147</v>
      </c>
      <c r="J189" s="523"/>
      <c r="K189" s="472"/>
      <c r="L189" s="523"/>
      <c r="M189" s="476"/>
      <c r="N189" s="476"/>
      <c r="O189" s="523"/>
      <c r="P189" s="476"/>
      <c r="Q189" s="524"/>
      <c r="R189" s="478">
        <f>IFERROR(INDEX(기초자산!M$6:M$408,MATCH(K189&amp;N189&amp;O189,기초자산!$A$6:$A$408,0),0),0)</f>
        <v>0</v>
      </c>
      <c r="S189" s="479">
        <f t="shared" si="25"/>
        <v>0</v>
      </c>
      <c r="T189" s="476"/>
      <c r="U189" s="471" t="s">
        <v>94</v>
      </c>
      <c r="V189" s="480">
        <f>IF(U189="한국 원화(KRW)",1,IF(OR(U189=환율!$A$6,U189=환율!$A$7),VLOOKUP(NAV!U189,환율!$A$6:$B$7,2,),IF(RIGHT(U189,5)="(100)",(VLOOKUP(NAV!U189,환율!$A$11:$B$65,2,))/100,VLOOKUP(NAV!U189,환율!$A$11:$B$65,2,))))</f>
        <v>1</v>
      </c>
      <c r="W189" s="524"/>
      <c r="X189" s="482">
        <f t="shared" si="26"/>
        <v>0</v>
      </c>
      <c r="Y189" s="524"/>
      <c r="Z189" s="524">
        <v>0</v>
      </c>
      <c r="AA189" s="483">
        <f t="shared" si="24"/>
        <v>0</v>
      </c>
      <c r="AB189" s="525"/>
      <c r="AC189" s="526" t="str">
        <f t="shared" si="27"/>
        <v>2년이상</v>
      </c>
      <c r="AD189" s="520" t="str">
        <f t="shared" si="28"/>
        <v/>
      </c>
      <c r="AE189" s="527">
        <f t="shared" si="29"/>
        <v>0</v>
      </c>
      <c r="AF189" s="527">
        <f t="shared" si="30"/>
        <v>0</v>
      </c>
      <c r="AG189" s="485"/>
      <c r="AH189" s="485"/>
      <c r="AI189" s="404"/>
    </row>
    <row r="190" spans="1:35" ht="12.75" hidden="1" outlineLevel="1" thickBot="1">
      <c r="A190" s="415"/>
      <c r="B190" s="415"/>
      <c r="I190" s="522">
        <f t="shared" si="23"/>
        <v>148</v>
      </c>
      <c r="J190" s="523"/>
      <c r="K190" s="472"/>
      <c r="L190" s="523"/>
      <c r="M190" s="476"/>
      <c r="N190" s="476"/>
      <c r="O190" s="523"/>
      <c r="P190" s="476"/>
      <c r="Q190" s="524"/>
      <c r="R190" s="478">
        <f>IFERROR(INDEX(기초자산!M$6:M$408,MATCH(K190&amp;N190&amp;O190,기초자산!$A$6:$A$408,0),0),0)</f>
        <v>0</v>
      </c>
      <c r="S190" s="479">
        <f t="shared" si="25"/>
        <v>0</v>
      </c>
      <c r="T190" s="476"/>
      <c r="U190" s="471" t="s">
        <v>94</v>
      </c>
      <c r="V190" s="480">
        <f>IF(U190="한국 원화(KRW)",1,IF(OR(U190=환율!$A$6,U190=환율!$A$7),VLOOKUP(NAV!U190,환율!$A$6:$B$7,2,),IF(RIGHT(U190,5)="(100)",(VLOOKUP(NAV!U190,환율!$A$11:$B$65,2,))/100,VLOOKUP(NAV!U190,환율!$A$11:$B$65,2,))))</f>
        <v>1</v>
      </c>
      <c r="W190" s="524"/>
      <c r="X190" s="482">
        <f t="shared" si="26"/>
        <v>0</v>
      </c>
      <c r="Y190" s="524"/>
      <c r="Z190" s="524">
        <v>0</v>
      </c>
      <c r="AA190" s="483">
        <f t="shared" si="24"/>
        <v>0</v>
      </c>
      <c r="AB190" s="525"/>
      <c r="AC190" s="526" t="str">
        <f t="shared" si="27"/>
        <v>2년이상</v>
      </c>
      <c r="AD190" s="520" t="str">
        <f t="shared" si="28"/>
        <v/>
      </c>
      <c r="AE190" s="527">
        <f t="shared" si="29"/>
        <v>0</v>
      </c>
      <c r="AF190" s="527">
        <f t="shared" si="30"/>
        <v>0</v>
      </c>
      <c r="AG190" s="485"/>
      <c r="AH190" s="485"/>
      <c r="AI190" s="404"/>
    </row>
    <row r="191" spans="1:35" ht="12.75" hidden="1" outlineLevel="1" thickBot="1">
      <c r="A191" s="415"/>
      <c r="B191" s="415"/>
      <c r="I191" s="522">
        <f t="shared" si="23"/>
        <v>149</v>
      </c>
      <c r="J191" s="523"/>
      <c r="K191" s="472"/>
      <c r="L191" s="523"/>
      <c r="M191" s="476"/>
      <c r="N191" s="476"/>
      <c r="O191" s="523"/>
      <c r="P191" s="476"/>
      <c r="Q191" s="524"/>
      <c r="R191" s="478">
        <f>IFERROR(INDEX(기초자산!M$6:M$408,MATCH(K191&amp;N191&amp;O191,기초자산!$A$6:$A$408,0),0),0)</f>
        <v>0</v>
      </c>
      <c r="S191" s="479">
        <f t="shared" si="25"/>
        <v>0</v>
      </c>
      <c r="T191" s="476"/>
      <c r="U191" s="471" t="s">
        <v>94</v>
      </c>
      <c r="V191" s="480">
        <f>IF(U191="한국 원화(KRW)",1,IF(OR(U191=환율!$A$6,U191=환율!$A$7),VLOOKUP(NAV!U191,환율!$A$6:$B$7,2,),IF(RIGHT(U191,5)="(100)",(VLOOKUP(NAV!U191,환율!$A$11:$B$65,2,))/100,VLOOKUP(NAV!U191,환율!$A$11:$B$65,2,))))</f>
        <v>1</v>
      </c>
      <c r="W191" s="524"/>
      <c r="X191" s="482">
        <f t="shared" si="26"/>
        <v>0</v>
      </c>
      <c r="Y191" s="524"/>
      <c r="Z191" s="524">
        <v>0</v>
      </c>
      <c r="AA191" s="483">
        <f t="shared" si="24"/>
        <v>0</v>
      </c>
      <c r="AB191" s="525"/>
      <c r="AC191" s="526" t="str">
        <f t="shared" si="27"/>
        <v>2년이상</v>
      </c>
      <c r="AD191" s="520" t="str">
        <f t="shared" si="28"/>
        <v/>
      </c>
      <c r="AE191" s="527">
        <f t="shared" si="29"/>
        <v>0</v>
      </c>
      <c r="AF191" s="527">
        <f t="shared" si="30"/>
        <v>0</v>
      </c>
      <c r="AG191" s="485"/>
      <c r="AH191" s="485"/>
      <c r="AI191" s="404"/>
    </row>
    <row r="192" spans="1:35" ht="12.75" hidden="1" outlineLevel="1" thickBot="1">
      <c r="A192" s="415"/>
      <c r="B192" s="415"/>
      <c r="I192" s="522">
        <f t="shared" si="23"/>
        <v>150</v>
      </c>
      <c r="J192" s="523"/>
      <c r="K192" s="472"/>
      <c r="L192" s="523"/>
      <c r="M192" s="476"/>
      <c r="N192" s="476"/>
      <c r="O192" s="523"/>
      <c r="P192" s="476"/>
      <c r="Q192" s="524"/>
      <c r="R192" s="478">
        <f>IFERROR(INDEX(기초자산!M$6:M$408,MATCH(K192&amp;N192&amp;O192,기초자산!$A$6:$A$408,0),0),0)</f>
        <v>0</v>
      </c>
      <c r="S192" s="479">
        <f t="shared" si="25"/>
        <v>0</v>
      </c>
      <c r="T192" s="476"/>
      <c r="U192" s="471" t="s">
        <v>94</v>
      </c>
      <c r="V192" s="480">
        <f>IF(U192="한국 원화(KRW)",1,IF(OR(U192=환율!$A$6,U192=환율!$A$7),VLOOKUP(NAV!U192,환율!$A$6:$B$7,2,),IF(RIGHT(U192,5)="(100)",(VLOOKUP(NAV!U192,환율!$A$11:$B$65,2,))/100,VLOOKUP(NAV!U192,환율!$A$11:$B$65,2,))))</f>
        <v>1</v>
      </c>
      <c r="W192" s="524"/>
      <c r="X192" s="482">
        <f t="shared" si="26"/>
        <v>0</v>
      </c>
      <c r="Y192" s="524"/>
      <c r="Z192" s="524">
        <v>0</v>
      </c>
      <c r="AA192" s="483">
        <f t="shared" si="24"/>
        <v>0</v>
      </c>
      <c r="AB192" s="525"/>
      <c r="AC192" s="526" t="str">
        <f t="shared" si="27"/>
        <v>2년이상</v>
      </c>
      <c r="AD192" s="520" t="str">
        <f t="shared" si="28"/>
        <v/>
      </c>
      <c r="AE192" s="527">
        <f t="shared" si="29"/>
        <v>0</v>
      </c>
      <c r="AF192" s="527">
        <f t="shared" si="30"/>
        <v>0</v>
      </c>
      <c r="AG192" s="485"/>
      <c r="AH192" s="485"/>
      <c r="AI192" s="404"/>
    </row>
    <row r="193" spans="1:35" hidden="1" outlineLevel="1">
      <c r="A193" s="415"/>
      <c r="B193" s="415"/>
      <c r="I193" s="304"/>
      <c r="AD193" s="520"/>
      <c r="AI193" s="404"/>
    </row>
    <row r="194" spans="1:35" collapsed="1">
      <c r="A194" s="415"/>
      <c r="B194" s="415"/>
      <c r="J194" s="497"/>
      <c r="K194" s="489"/>
      <c r="L194" s="497"/>
      <c r="M194" s="489"/>
      <c r="N194" s="415"/>
      <c r="O194" s="415"/>
      <c r="AI194" s="404"/>
    </row>
    <row r="195" spans="1:35" ht="12.75" thickBot="1">
      <c r="A195" s="535"/>
      <c r="B195" s="535"/>
      <c r="C195" s="536"/>
      <c r="D195" s="536"/>
      <c r="E195" s="536"/>
      <c r="F195" s="536"/>
      <c r="G195" s="536"/>
      <c r="H195" s="536"/>
      <c r="I195" s="537"/>
      <c r="J195" s="538"/>
      <c r="K195" s="539"/>
      <c r="L195" s="538"/>
      <c r="M195" s="539"/>
      <c r="N195" s="535"/>
      <c r="O195" s="535"/>
      <c r="P195" s="536"/>
      <c r="Q195" s="540"/>
      <c r="R195" s="536"/>
      <c r="S195" s="536"/>
      <c r="T195" s="536"/>
      <c r="U195" s="536"/>
      <c r="V195" s="536"/>
      <c r="W195" s="540"/>
      <c r="X195" s="536"/>
      <c r="Y195" s="540"/>
      <c r="Z195" s="540"/>
      <c r="AA195" s="536"/>
      <c r="AB195" s="536"/>
      <c r="AC195" s="536"/>
      <c r="AD195" s="541"/>
      <c r="AE195" s="536"/>
      <c r="AF195" s="536"/>
      <c r="AG195" s="536"/>
      <c r="AH195" s="536"/>
      <c r="AI195" s="404"/>
    </row>
    <row r="196" spans="1:35" ht="12.75" thickTop="1">
      <c r="A196" s="415"/>
      <c r="B196" s="415"/>
      <c r="J196" s="497"/>
      <c r="K196" s="489"/>
      <c r="L196" s="497"/>
      <c r="M196" s="489"/>
      <c r="N196" s="415"/>
      <c r="O196" s="415"/>
      <c r="AI196" s="404"/>
    </row>
    <row r="197" spans="1:35">
      <c r="A197" s="415"/>
      <c r="B197" s="416" t="s">
        <v>253</v>
      </c>
      <c r="C197" s="417"/>
      <c r="D197" s="418"/>
      <c r="E197" s="419"/>
      <c r="H197" s="415"/>
      <c r="I197" s="427"/>
      <c r="J197" s="416" t="s">
        <v>254</v>
      </c>
      <c r="K197" s="417"/>
      <c r="L197" s="418"/>
      <c r="M197" s="419"/>
      <c r="N197" s="419"/>
      <c r="O197" s="419"/>
      <c r="P197" s="419"/>
      <c r="Q197" s="421"/>
      <c r="R197" s="419"/>
      <c r="S197" s="419"/>
      <c r="T197" s="419"/>
      <c r="U197" s="419"/>
      <c r="V197" s="419"/>
      <c r="AI197" s="404"/>
    </row>
    <row r="198" spans="1:35" ht="12.75" thickBot="1">
      <c r="B198" s="415"/>
      <c r="J198" s="428" t="s">
        <v>273</v>
      </c>
      <c r="K198" s="415"/>
      <c r="L198" s="420"/>
      <c r="M198" s="415"/>
      <c r="N198" s="415"/>
      <c r="O198" s="415"/>
      <c r="P198" s="415"/>
      <c r="Q198" s="422"/>
      <c r="R198" s="415"/>
      <c r="S198" s="415"/>
      <c r="T198" s="415"/>
      <c r="U198" s="415"/>
      <c r="V198" s="415"/>
      <c r="AI198" s="404"/>
    </row>
    <row r="199" spans="1:35" ht="12.75" thickBot="1">
      <c r="A199" s="542" t="s">
        <v>298</v>
      </c>
      <c r="B199" s="543" t="str">
        <f>IF(개요!$B$61="","SPC없음",개요!$B$61)</f>
        <v>SPC없음</v>
      </c>
      <c r="C199" s="454"/>
      <c r="J199" s="433"/>
      <c r="K199" s="434"/>
      <c r="L199" s="434"/>
      <c r="M199" s="434"/>
      <c r="N199" s="434"/>
      <c r="O199" s="434"/>
      <c r="P199" s="434"/>
      <c r="Q199" s="435"/>
      <c r="R199" s="434"/>
      <c r="S199" s="434"/>
      <c r="T199" s="434"/>
      <c r="U199" s="434"/>
      <c r="V199" s="436"/>
      <c r="AI199" s="404"/>
    </row>
    <row r="200" spans="1:35">
      <c r="B200" s="543" t="s">
        <v>187</v>
      </c>
      <c r="C200" s="544" t="str">
        <f>IF(개요!$C$62="","SPC없음",개요!$C$62)</f>
        <v>SPC없음</v>
      </c>
      <c r="J200" s="442"/>
      <c r="K200" s="151"/>
      <c r="L200" s="151"/>
      <c r="M200" s="151"/>
      <c r="N200" s="151"/>
      <c r="O200" s="151"/>
      <c r="P200" s="151"/>
      <c r="Q200" s="443"/>
      <c r="R200" s="151"/>
      <c r="S200" s="151"/>
      <c r="T200" s="151"/>
      <c r="U200" s="151"/>
      <c r="V200" s="444"/>
      <c r="AI200" s="404"/>
    </row>
    <row r="201" spans="1:35">
      <c r="B201" s="437" t="s">
        <v>74</v>
      </c>
      <c r="C201" s="545">
        <f>$C$7</f>
        <v>45473</v>
      </c>
      <c r="D201" s="546" t="b">
        <f>C201&gt;=C202</f>
        <v>1</v>
      </c>
      <c r="J201" s="442"/>
      <c r="K201" s="151"/>
      <c r="L201" s="151"/>
      <c r="M201" s="151"/>
      <c r="N201" s="151"/>
      <c r="O201" s="151"/>
      <c r="P201" s="151"/>
      <c r="Q201" s="443"/>
      <c r="R201" s="151"/>
      <c r="S201" s="151"/>
      <c r="T201" s="151"/>
      <c r="U201" s="151"/>
      <c r="V201" s="444"/>
      <c r="AI201" s="404"/>
    </row>
    <row r="202" spans="1:35" ht="12.75" thickBot="1">
      <c r="B202" s="449" t="s">
        <v>75</v>
      </c>
      <c r="C202" s="547">
        <f>FS!$L$8</f>
        <v>0</v>
      </c>
      <c r="J202" s="453"/>
      <c r="K202" s="454"/>
      <c r="L202" s="454"/>
      <c r="M202" s="454"/>
      <c r="N202" s="454"/>
      <c r="O202" s="454"/>
      <c r="P202" s="454"/>
      <c r="Q202" s="455"/>
      <c r="R202" s="454"/>
      <c r="S202" s="454"/>
      <c r="T202" s="454"/>
      <c r="U202" s="454"/>
      <c r="V202" s="456"/>
      <c r="AI202" s="404"/>
    </row>
    <row r="203" spans="1:35">
      <c r="A203" s="459" t="s">
        <v>93</v>
      </c>
      <c r="J203" s="428" t="s">
        <v>274</v>
      </c>
      <c r="K203" s="448"/>
      <c r="L203" s="420"/>
      <c r="M203" s="448"/>
      <c r="N203" s="448"/>
      <c r="O203" s="448"/>
      <c r="P203" s="415"/>
      <c r="Q203" s="422"/>
      <c r="R203" s="415"/>
      <c r="S203" s="415"/>
      <c r="T203" s="415"/>
      <c r="U203" s="415"/>
      <c r="V203" s="415"/>
      <c r="W203" s="422"/>
      <c r="Z203" s="458"/>
      <c r="AA203" s="459"/>
      <c r="AE203" s="803" t="s">
        <v>8</v>
      </c>
      <c r="AF203" s="803"/>
      <c r="AG203" s="460"/>
      <c r="AH203" s="460"/>
      <c r="AI203" s="404"/>
    </row>
    <row r="204" spans="1:35" ht="12.75" thickBot="1">
      <c r="A204" s="461" t="str">
        <f>IF(AND(B205:B231),"검증완료","검증필요")</f>
        <v>검증완료</v>
      </c>
      <c r="B204" s="462" t="s">
        <v>38</v>
      </c>
      <c r="C204" s="462" t="s">
        <v>9</v>
      </c>
      <c r="D204" s="462" t="s">
        <v>10</v>
      </c>
      <c r="E204" s="462" t="s">
        <v>11</v>
      </c>
      <c r="J204" s="462" t="s">
        <v>87</v>
      </c>
      <c r="K204" s="464" t="s">
        <v>0</v>
      </c>
      <c r="L204" s="462" t="s">
        <v>88</v>
      </c>
      <c r="M204" s="462" t="s">
        <v>89</v>
      </c>
      <c r="N204" s="462" t="s">
        <v>91</v>
      </c>
      <c r="O204" s="462" t="s">
        <v>1</v>
      </c>
      <c r="P204" s="464" t="s">
        <v>85</v>
      </c>
      <c r="Q204" s="465" t="s">
        <v>14</v>
      </c>
      <c r="R204" s="466" t="s">
        <v>299</v>
      </c>
      <c r="S204" s="466" t="s">
        <v>90</v>
      </c>
      <c r="T204" s="462" t="s">
        <v>12</v>
      </c>
      <c r="U204" s="462" t="s">
        <v>72</v>
      </c>
      <c r="V204" s="462" t="s">
        <v>70</v>
      </c>
      <c r="W204" s="465" t="s">
        <v>10</v>
      </c>
      <c r="X204" s="462" t="s">
        <v>92</v>
      </c>
      <c r="Y204" s="465" t="s">
        <v>125</v>
      </c>
      <c r="Z204" s="465" t="s">
        <v>3522</v>
      </c>
      <c r="AA204" s="464" t="s">
        <v>13</v>
      </c>
      <c r="AE204" s="467" t="s">
        <v>3627</v>
      </c>
      <c r="AF204" s="467" t="s">
        <v>3628</v>
      </c>
      <c r="AG204" s="467" t="s">
        <v>3629</v>
      </c>
      <c r="AH204" s="467" t="s">
        <v>3630</v>
      </c>
      <c r="AI204" s="404"/>
    </row>
    <row r="205" spans="1:35" ht="12.75" thickBot="1">
      <c r="A205" s="415"/>
      <c r="B205" s="415"/>
      <c r="C205" s="468" t="s">
        <v>16</v>
      </c>
      <c r="D205" s="469">
        <f>SUM(D206:D207)</f>
        <v>0</v>
      </c>
      <c r="E205" s="469">
        <f>SUM(E206:E207)</f>
        <v>0</v>
      </c>
      <c r="J205" s="476"/>
      <c r="K205" s="472"/>
      <c r="L205" s="473" t="str">
        <f>IF($J205="","SPC 없음",VLOOKUP($J205&amp;"SPC명",개요!$A$3:$E$1932,3,0))</f>
        <v>SPC 없음</v>
      </c>
      <c r="M205" s="474" t="str">
        <f>IF($J205="","SPC 없음",VLOOKUP($J205&amp;"설정일",개요!$A$3:$E$1932,3,0))</f>
        <v>SPC 없음</v>
      </c>
      <c r="N205" s="475" t="str">
        <f t="shared" ref="N205:N210" si="31">IF($J205="","SPC 없음",VLOOKUP($J205&amp;"자본금",$B$4:$E$2079,3,0)*VLOOKUP($J205&amp;"보유지분율(%)",$B$4:$E$2079,3,0))</f>
        <v>SPC 없음</v>
      </c>
      <c r="O205" s="471"/>
      <c r="P205" s="476"/>
      <c r="Q205" s="477"/>
      <c r="R205" s="478"/>
      <c r="S205" s="479" t="str">
        <f t="shared" ref="S205:S210" si="32">IF($J205="","SPC 없음",IF(P205="총액",IF(T205="장부가액 준용",W205,(VLOOKUP($J205&amp;"보유지분율(%)",$B$4:$E$2079,4,0))*V205),Q205*R205))</f>
        <v>SPC 없음</v>
      </c>
      <c r="T205" s="471"/>
      <c r="U205" s="471" t="s">
        <v>94</v>
      </c>
      <c r="V205" s="480">
        <f>IF(U205="한국 원화(KRW)",1,IF(OR(U205=환율!$A$6,U205=환율!$A$7),VLOOKUP(NAV!U205,환율!$A$6:$B$7,2,),IF(RIGHT(U205,5)="(100)",(VLOOKUP(NAV!U205,환율!$A$11:$B$65,2,))/100,VLOOKUP(NAV!U205,환율!$A$11:$B$65,2,))))</f>
        <v>1</v>
      </c>
      <c r="W205" s="481"/>
      <c r="X205" s="482">
        <f t="shared" ref="X205:X210" si="33">IFERROR(IF(P205="만원당",10000,Y205/Q205),0)</f>
        <v>0</v>
      </c>
      <c r="Y205" s="481"/>
      <c r="Z205" s="481"/>
      <c r="AA205" s="483">
        <f t="shared" ref="AA205:AA210" si="34">IFERROR(IF(Z205="",S205/W205-1,S205/Z205-1),0)</f>
        <v>0</v>
      </c>
      <c r="AE205" s="484" t="str">
        <f t="shared" ref="AE205:AE210" si="35">IF($J205="","SPC 없음",IF(P205="총액",(VLOOKUP($J205&amp;"지분율 반영 순자산가치",$AD$4:$AH$4973,2,0))*V205,AG205*$Q205))</f>
        <v>SPC 없음</v>
      </c>
      <c r="AF205" s="484" t="str">
        <f t="shared" ref="AF205:AF210" si="36">IF($J205="","SPC 없음",IF(P205="총액",(VLOOKUP($J205&amp;"지분율 반영 순자산가치",$AD$4:$AH$4973,3,0))*V205,AH205*$Q205))</f>
        <v>SPC 없음</v>
      </c>
      <c r="AG205" s="485"/>
      <c r="AH205" s="485"/>
      <c r="AI205" s="404"/>
    </row>
    <row r="206" spans="1:35" ht="12.75" thickBot="1">
      <c r="A206" s="415"/>
      <c r="B206" s="415"/>
      <c r="C206" s="486" t="s">
        <v>117</v>
      </c>
      <c r="D206" s="487">
        <f>SUMIF(FS!$I$9:$I$39,개요!$B$61&amp;RIGHT(NAV!C206,10),FS!$L$9:$L$39)</f>
        <v>0</v>
      </c>
      <c r="E206" s="487">
        <f>D206</f>
        <v>0</v>
      </c>
      <c r="J206" s="476"/>
      <c r="K206" s="472"/>
      <c r="L206" s="473" t="str">
        <f>IF($J206="","SPC 없음",VLOOKUP($J206&amp;"SPC명",개요!$A$3:$E$1932,3,0))</f>
        <v>SPC 없음</v>
      </c>
      <c r="M206" s="474" t="str">
        <f>IF($J206="","SPC 없음",VLOOKUP($J206&amp;"설정일",개요!$A$3:$E$1932,3,0))</f>
        <v>SPC 없음</v>
      </c>
      <c r="N206" s="475" t="str">
        <f t="shared" si="31"/>
        <v>SPC 없음</v>
      </c>
      <c r="O206" s="471"/>
      <c r="P206" s="476"/>
      <c r="Q206" s="477"/>
      <c r="R206" s="478"/>
      <c r="S206" s="479" t="str">
        <f t="shared" si="32"/>
        <v>SPC 없음</v>
      </c>
      <c r="T206" s="471"/>
      <c r="U206" s="471" t="s">
        <v>94</v>
      </c>
      <c r="V206" s="480">
        <f>IF(U206="한국 원화(KRW)",1,IF(OR(U206=환율!$A$6,U206=환율!$A$7),VLOOKUP(NAV!U206,환율!$A$6:$B$7,2,),IF(RIGHT(U206,5)="(100)",(VLOOKUP(NAV!U206,환율!$A$11:$B$65,2,))/100,VLOOKUP(NAV!U206,환율!$A$11:$B$65,2,))))</f>
        <v>1</v>
      </c>
      <c r="W206" s="481"/>
      <c r="X206" s="482">
        <f t="shared" si="33"/>
        <v>0</v>
      </c>
      <c r="Y206" s="481"/>
      <c r="Z206" s="481"/>
      <c r="AA206" s="483">
        <f t="shared" si="34"/>
        <v>0</v>
      </c>
      <c r="AE206" s="484" t="str">
        <f t="shared" si="35"/>
        <v>SPC 없음</v>
      </c>
      <c r="AF206" s="484" t="str">
        <f t="shared" si="36"/>
        <v>SPC 없음</v>
      </c>
      <c r="AG206" s="485"/>
      <c r="AH206" s="485"/>
      <c r="AI206" s="404"/>
    </row>
    <row r="207" spans="1:35" ht="12.75" thickBot="1">
      <c r="A207" s="415"/>
      <c r="B207" s="415"/>
      <c r="C207" s="486" t="s">
        <v>34</v>
      </c>
      <c r="D207" s="487">
        <f>SUMIF(FS!$I$9:$I$39,개요!$B$61&amp;RIGHT(NAV!C207,4),FS!$L$9:$L$39)</f>
        <v>0</v>
      </c>
      <c r="E207" s="487">
        <f>D207</f>
        <v>0</v>
      </c>
      <c r="J207" s="476"/>
      <c r="K207" s="472"/>
      <c r="L207" s="473" t="str">
        <f>IF($J207="","SPC 없음",VLOOKUP($J207&amp;"SPC명",개요!$A$3:$E$1932,3,0))</f>
        <v>SPC 없음</v>
      </c>
      <c r="M207" s="474" t="str">
        <f>IF($J207="","SPC 없음",VLOOKUP($J207&amp;"설정일",개요!$A$3:$E$1932,3,0))</f>
        <v>SPC 없음</v>
      </c>
      <c r="N207" s="475" t="str">
        <f t="shared" si="31"/>
        <v>SPC 없음</v>
      </c>
      <c r="O207" s="471"/>
      <c r="P207" s="476"/>
      <c r="Q207" s="477"/>
      <c r="R207" s="478"/>
      <c r="S207" s="479" t="str">
        <f t="shared" si="32"/>
        <v>SPC 없음</v>
      </c>
      <c r="T207" s="471"/>
      <c r="U207" s="471" t="s">
        <v>94</v>
      </c>
      <c r="V207" s="480">
        <f>IF(U207="한국 원화(KRW)",1,IF(OR(U207=환율!$A$6,U207=환율!$A$7),VLOOKUP(NAV!U207,환율!$A$6:$B$7,2,),IF(RIGHT(U207,5)="(100)",(VLOOKUP(NAV!U207,환율!$A$11:$B$65,2,))/100,VLOOKUP(NAV!U207,환율!$A$11:$B$65,2,))))</f>
        <v>1</v>
      </c>
      <c r="W207" s="481"/>
      <c r="X207" s="482">
        <f t="shared" si="33"/>
        <v>0</v>
      </c>
      <c r="Y207" s="481"/>
      <c r="Z207" s="481"/>
      <c r="AA207" s="483">
        <f t="shared" si="34"/>
        <v>0</v>
      </c>
      <c r="AE207" s="484" t="str">
        <f t="shared" si="35"/>
        <v>SPC 없음</v>
      </c>
      <c r="AF207" s="484" t="str">
        <f t="shared" si="36"/>
        <v>SPC 없음</v>
      </c>
      <c r="AG207" s="485"/>
      <c r="AH207" s="485"/>
      <c r="AI207" s="404"/>
    </row>
    <row r="208" spans="1:35" ht="12.75" thickBot="1">
      <c r="A208" s="489" t="s">
        <v>164</v>
      </c>
      <c r="B208" s="490" t="b">
        <f>SUM(W205:W210,W213:W223)=D208</f>
        <v>1</v>
      </c>
      <c r="C208" s="468" t="s">
        <v>17</v>
      </c>
      <c r="D208" s="469">
        <f>SUMIF(FS!$I$9:$I$39,개요!$B$61&amp;RIGHT(NAV!C208,4),FS!$L$9:$L$39)</f>
        <v>0</v>
      </c>
      <c r="E208" s="469">
        <f>SUM(S205:S210)+SUM(S213:S223)</f>
        <v>0</v>
      </c>
      <c r="J208" s="476"/>
      <c r="K208" s="472"/>
      <c r="L208" s="473" t="str">
        <f>IF($J208="","SPC 없음",VLOOKUP($J208&amp;"SPC명",개요!$A$3:$E$1932,3,0))</f>
        <v>SPC 없음</v>
      </c>
      <c r="M208" s="474" t="str">
        <f>IF($J208="","SPC 없음",VLOOKUP($J208&amp;"설정일",개요!$A$3:$E$1932,3,0))</f>
        <v>SPC 없음</v>
      </c>
      <c r="N208" s="475" t="str">
        <f t="shared" si="31"/>
        <v>SPC 없음</v>
      </c>
      <c r="O208" s="471"/>
      <c r="P208" s="476"/>
      <c r="Q208" s="477"/>
      <c r="R208" s="478"/>
      <c r="S208" s="479" t="str">
        <f t="shared" si="32"/>
        <v>SPC 없음</v>
      </c>
      <c r="T208" s="471"/>
      <c r="U208" s="471" t="s">
        <v>94</v>
      </c>
      <c r="V208" s="480">
        <f>IF(U208="한국 원화(KRW)",1,IF(OR(U208=환율!$A$6,U208=환율!$A$7),VLOOKUP(NAV!U208,환율!$A$6:$B$7,2,),IF(RIGHT(U208,5)="(100)",(VLOOKUP(NAV!U208,환율!$A$11:$B$65,2,))/100,VLOOKUP(NAV!U208,환율!$A$11:$B$65,2,))))</f>
        <v>1</v>
      </c>
      <c r="W208" s="481"/>
      <c r="X208" s="482">
        <f t="shared" si="33"/>
        <v>0</v>
      </c>
      <c r="Y208" s="481"/>
      <c r="Z208" s="481"/>
      <c r="AA208" s="483">
        <f t="shared" si="34"/>
        <v>0</v>
      </c>
      <c r="AE208" s="484" t="str">
        <f t="shared" si="35"/>
        <v>SPC 없음</v>
      </c>
      <c r="AF208" s="484" t="str">
        <f t="shared" si="36"/>
        <v>SPC 없음</v>
      </c>
      <c r="AG208" s="485"/>
      <c r="AH208" s="485"/>
      <c r="AI208" s="404"/>
    </row>
    <row r="209" spans="1:35" ht="12.75" thickBot="1">
      <c r="A209" s="492" t="s">
        <v>165</v>
      </c>
      <c r="B209" s="415" t="b">
        <f>D206+D207+D208=D209</f>
        <v>1</v>
      </c>
      <c r="C209" s="493" t="s">
        <v>2</v>
      </c>
      <c r="D209" s="494">
        <f>D205+D208</f>
        <v>0</v>
      </c>
      <c r="E209" s="494">
        <f>E205+E208</f>
        <v>0</v>
      </c>
      <c r="J209" s="476"/>
      <c r="K209" s="472"/>
      <c r="L209" s="473" t="str">
        <f>IF($J209="","SPC 없음",VLOOKUP($J209&amp;"SPC명",개요!$A$3:$E$1932,3,0))</f>
        <v>SPC 없음</v>
      </c>
      <c r="M209" s="474" t="str">
        <f>IF($J209="","SPC 없음",VLOOKUP($J209&amp;"설정일",개요!$A$3:$E$1932,3,0))</f>
        <v>SPC 없음</v>
      </c>
      <c r="N209" s="475" t="str">
        <f t="shared" si="31"/>
        <v>SPC 없음</v>
      </c>
      <c r="O209" s="471"/>
      <c r="P209" s="476"/>
      <c r="Q209" s="477"/>
      <c r="R209" s="478"/>
      <c r="S209" s="479" t="str">
        <f t="shared" si="32"/>
        <v>SPC 없음</v>
      </c>
      <c r="T209" s="471"/>
      <c r="U209" s="471" t="s">
        <v>94</v>
      </c>
      <c r="V209" s="480">
        <f>IF(U209="한국 원화(KRW)",1,IF(OR(U209=환율!$A$6,U209=환율!$A$7),VLOOKUP(NAV!U209,환율!$A$6:$B$7,2,),IF(RIGHT(U209,5)="(100)",(VLOOKUP(NAV!U209,환율!$A$11:$B$65,2,))/100,VLOOKUP(NAV!U209,환율!$A$11:$B$65,2,))))</f>
        <v>1</v>
      </c>
      <c r="W209" s="481"/>
      <c r="X209" s="482">
        <f t="shared" si="33"/>
        <v>0</v>
      </c>
      <c r="Y209" s="481"/>
      <c r="Z209" s="481"/>
      <c r="AA209" s="483">
        <f t="shared" si="34"/>
        <v>0</v>
      </c>
      <c r="AE209" s="484" t="str">
        <f t="shared" si="35"/>
        <v>SPC 없음</v>
      </c>
      <c r="AF209" s="484" t="str">
        <f t="shared" si="36"/>
        <v>SPC 없음</v>
      </c>
      <c r="AG209" s="485"/>
      <c r="AH209" s="485"/>
      <c r="AI209" s="404"/>
    </row>
    <row r="210" spans="1:35" ht="12.75" thickBot="1">
      <c r="A210" s="492"/>
      <c r="B210" s="496"/>
      <c r="C210" s="468" t="s">
        <v>18</v>
      </c>
      <c r="D210" s="469">
        <f>SUM(D211:D214)</f>
        <v>0</v>
      </c>
      <c r="E210" s="469">
        <f>SUM(E211:E214)</f>
        <v>0</v>
      </c>
      <c r="J210" s="476"/>
      <c r="K210" s="472"/>
      <c r="L210" s="473" t="str">
        <f>IF($J210="","SPC 없음",VLOOKUP($J210&amp;"SPC명",개요!$A$3:$E$1932,3,0))</f>
        <v>SPC 없음</v>
      </c>
      <c r="M210" s="474" t="str">
        <f>IF($J210="","SPC 없음",VLOOKUP($J210&amp;"설정일",개요!$A$3:$E$1932,3,0))</f>
        <v>SPC 없음</v>
      </c>
      <c r="N210" s="475" t="str">
        <f t="shared" si="31"/>
        <v>SPC 없음</v>
      </c>
      <c r="O210" s="471"/>
      <c r="P210" s="476"/>
      <c r="Q210" s="477"/>
      <c r="R210" s="478"/>
      <c r="S210" s="479" t="str">
        <f t="shared" si="32"/>
        <v>SPC 없음</v>
      </c>
      <c r="T210" s="471"/>
      <c r="U210" s="471" t="s">
        <v>94</v>
      </c>
      <c r="V210" s="480">
        <f>IF(U210="한국 원화(KRW)",1,IF(OR(U210=환율!$A$6,U210=환율!$A$7),VLOOKUP(NAV!U210,환율!$A$6:$B$7,2,),IF(RIGHT(U210,5)="(100)",(VLOOKUP(NAV!U210,환율!$A$11:$B$65,2,))/100,VLOOKUP(NAV!U210,환율!$A$11:$B$65,2,))))</f>
        <v>1</v>
      </c>
      <c r="W210" s="481"/>
      <c r="X210" s="482">
        <f t="shared" si="33"/>
        <v>0</v>
      </c>
      <c r="Y210" s="481"/>
      <c r="Z210" s="481"/>
      <c r="AA210" s="483">
        <f t="shared" si="34"/>
        <v>0</v>
      </c>
      <c r="AE210" s="484" t="str">
        <f t="shared" si="35"/>
        <v>SPC 없음</v>
      </c>
      <c r="AF210" s="484" t="str">
        <f t="shared" si="36"/>
        <v>SPC 없음</v>
      </c>
      <c r="AG210" s="485"/>
      <c r="AH210" s="485"/>
      <c r="AI210" s="404"/>
    </row>
    <row r="211" spans="1:35">
      <c r="A211" s="492"/>
      <c r="B211" s="496"/>
      <c r="C211" s="486" t="s">
        <v>153</v>
      </c>
      <c r="D211" s="487">
        <f>SUMIF(FS!$I$9:$I$39,개요!$B$61&amp;RIGHT(NAV!C211,5),FS!$L$9:$L$39)</f>
        <v>0</v>
      </c>
      <c r="E211" s="487">
        <f>D211</f>
        <v>0</v>
      </c>
      <c r="J211" s="428" t="s">
        <v>275</v>
      </c>
      <c r="K211" s="415"/>
      <c r="L211" s="305"/>
      <c r="M211" s="415"/>
      <c r="N211" s="415"/>
      <c r="O211" s="415"/>
      <c r="P211" s="415"/>
      <c r="Q211" s="422"/>
      <c r="R211" s="415"/>
      <c r="S211" s="415"/>
      <c r="T211" s="415"/>
      <c r="U211" s="415"/>
      <c r="W211" s="517" t="b">
        <f>SUM(W213:W223)+SUM(W205:W210)=D208</f>
        <v>1</v>
      </c>
      <c r="X211" s="415"/>
      <c r="Y211" s="422"/>
      <c r="Z211" s="422"/>
      <c r="AA211" s="459" t="str">
        <f>IF(OR(MAX(AA205:AA210,AA213:AA223)&gt;0.2,MIN(AA205:AA210,AA213:AA223)&lt;-0.2),"특이사항 확인","특이사항 없음")</f>
        <v>특이사항 없음</v>
      </c>
      <c r="AB211" s="415"/>
      <c r="AF211" s="415"/>
      <c r="AG211" s="415"/>
      <c r="AI211" s="404"/>
    </row>
    <row r="212" spans="1:35" ht="12.75" thickBot="1">
      <c r="A212" s="492"/>
      <c r="B212" s="496"/>
      <c r="C212" s="486" t="s">
        <v>36</v>
      </c>
      <c r="D212" s="487">
        <f>SUMIF(FS!$I$9:$I$39,개요!$B$61&amp;RIGHT(NAV!C212,3),FS!$L$9:$L$39)</f>
        <v>0</v>
      </c>
      <c r="E212" s="487">
        <f t="shared" ref="E212:E213" si="37">D212</f>
        <v>0</v>
      </c>
      <c r="I212" s="518">
        <f>COUNTA(J213:J223)</f>
        <v>0</v>
      </c>
      <c r="J212" s="548" t="s">
        <v>86</v>
      </c>
      <c r="K212" s="548" t="s">
        <v>0</v>
      </c>
      <c r="L212" s="548" t="s">
        <v>82</v>
      </c>
      <c r="M212" s="548" t="s">
        <v>83</v>
      </c>
      <c r="N212" s="548" t="s">
        <v>84</v>
      </c>
      <c r="O212" s="548" t="s">
        <v>221</v>
      </c>
      <c r="P212" s="548" t="s">
        <v>85</v>
      </c>
      <c r="Q212" s="519" t="s">
        <v>14</v>
      </c>
      <c r="R212" s="466" t="s">
        <v>299</v>
      </c>
      <c r="S212" s="466" t="s">
        <v>3525</v>
      </c>
      <c r="T212" s="549" t="s">
        <v>12</v>
      </c>
      <c r="U212" s="548" t="s">
        <v>72</v>
      </c>
      <c r="V212" s="548" t="s">
        <v>70</v>
      </c>
      <c r="W212" s="550" t="s">
        <v>10</v>
      </c>
      <c r="X212" s="549" t="s">
        <v>42</v>
      </c>
      <c r="Y212" s="550" t="s">
        <v>300</v>
      </c>
      <c r="Z212" s="550" t="s">
        <v>3523</v>
      </c>
      <c r="AA212" s="548" t="s">
        <v>13</v>
      </c>
      <c r="AB212" s="548" t="s">
        <v>15</v>
      </c>
      <c r="AC212" s="548" t="s">
        <v>40</v>
      </c>
      <c r="AE212" s="467" t="s">
        <v>3627</v>
      </c>
      <c r="AF212" s="467" t="s">
        <v>3628</v>
      </c>
      <c r="AG212" s="467" t="s">
        <v>3629</v>
      </c>
      <c r="AH212" s="467" t="s">
        <v>3630</v>
      </c>
      <c r="AI212" s="404"/>
    </row>
    <row r="213" spans="1:35" ht="12.75" thickBot="1">
      <c r="A213" s="492"/>
      <c r="B213" s="496"/>
      <c r="C213" s="486" t="s">
        <v>37</v>
      </c>
      <c r="D213" s="487">
        <f>SUMIF(FS!$I$9:$I$39,개요!$B$61&amp;RIGHT(NAV!C213,6),FS!$L$9:$L$39)</f>
        <v>0</v>
      </c>
      <c r="E213" s="487">
        <f t="shared" si="37"/>
        <v>0</v>
      </c>
      <c r="J213" s="551"/>
      <c r="K213" s="552"/>
      <c r="L213" s="551"/>
      <c r="M213" s="553"/>
      <c r="N213" s="553"/>
      <c r="O213" s="551"/>
      <c r="P213" s="553"/>
      <c r="Q213" s="524"/>
      <c r="R213" s="478">
        <f>IFERROR(INDEX(기초자산!M$6:M$408,MATCH(K213&amp;N213&amp;O213,기초자산!$A$6:$A$408,0),0),0)</f>
        <v>0</v>
      </c>
      <c r="S213" s="479">
        <f>IFERROR(IF(T213="취득원가 준용",Y213,IF(T213="장부가액 준용",W213,IF(P213="주당",R213*Q213*V213,IF(RIGHT(U213,5)="(100)",Y213/1000*R213*V213,Y213/10000*R213*V213)))),0)</f>
        <v>0</v>
      </c>
      <c r="T213" s="476"/>
      <c r="U213" s="471" t="s">
        <v>94</v>
      </c>
      <c r="V213" s="480">
        <f>IF(U213="한국 원화(KRW)",1,IF(OR(U213=환율!$A$6,U213=환율!$A$7),VLOOKUP(NAV!U213,환율!$A$6:$B$7,2,),IF(RIGHT(U213,5)="(100)",(VLOOKUP(NAV!U213,환율!$A$11:$B$65,2,))/100,VLOOKUP(NAV!U213,환율!$A$11:$B$65,2,))))</f>
        <v>1</v>
      </c>
      <c r="W213" s="481"/>
      <c r="X213" s="482">
        <f t="shared" ref="X213:X223" si="38">IFERROR(IF(P213="만원당",10000,Y213/Q213),0)</f>
        <v>0</v>
      </c>
      <c r="Y213" s="481"/>
      <c r="Z213" s="481"/>
      <c r="AA213" s="483">
        <f t="shared" ref="AA213:AA223" si="39">IFERROR(IF(Z213="",S213/W213-1,S213/Z213-1),0)</f>
        <v>0</v>
      </c>
      <c r="AB213" s="554"/>
      <c r="AC213" s="526" t="str">
        <f t="shared" ref="AC213:AC223" si="40">IF(($C$7-AB213)/365&gt;2,"2년이상","2년미만")</f>
        <v>2년이상</v>
      </c>
      <c r="AD213" s="520" t="str">
        <f t="shared" ref="AD213:AD223" si="41">IF(OR(AA213&gt;20%,AA213&lt;-20%),"(1) Note 기재","")</f>
        <v/>
      </c>
      <c r="AE213" s="527">
        <f>IF(OR(T213="MTP",T213="과거거래 이용법",T213="취득원가 준용",T213="장부가액 준용",T213="상장종가 적용"),S213,IF(P213="주당",AG213*Q213*V213,Y213/10000*AG213*V213))</f>
        <v>0</v>
      </c>
      <c r="AF213" s="527">
        <f>IF(OR(T213="MTP",T213="과거거래 이용법",T213="취득원가 준용",T213="장부가액 준용",T213="상장종가 적용"),S213,IF(P213="주당",AH213*Q213*V213,Y213/10000*AH213*V213))</f>
        <v>0</v>
      </c>
      <c r="AG213" s="485"/>
      <c r="AH213" s="485"/>
      <c r="AI213" s="404"/>
    </row>
    <row r="214" spans="1:35" ht="12.75" thickBot="1">
      <c r="A214" s="492"/>
      <c r="B214" s="496"/>
      <c r="C214" s="486" t="s">
        <v>159</v>
      </c>
      <c r="D214" s="487">
        <f>SUMIF(FS!$I$9:$I$39,개요!$B$61&amp;RIGHT(NAV!C214,7),FS!$L$9:$L$39)</f>
        <v>0</v>
      </c>
      <c r="E214" s="487">
        <f>D214</f>
        <v>0</v>
      </c>
      <c r="J214" s="551"/>
      <c r="K214" s="552"/>
      <c r="L214" s="551"/>
      <c r="M214" s="553"/>
      <c r="N214" s="553"/>
      <c r="O214" s="551"/>
      <c r="P214" s="553"/>
      <c r="Q214" s="524"/>
      <c r="R214" s="478">
        <f>IFERROR(INDEX(기초자산!M$6:M$408,MATCH(K214&amp;N214&amp;O214,기초자산!$A$6:$A$408,0),0),0)</f>
        <v>0</v>
      </c>
      <c r="S214" s="479">
        <f t="shared" ref="S214:S223" si="42">IFERROR(IF(T214="취득원가 준용",Y214,IF(T214="장부가액 준용",W214,IF(P214="주당",R214*Q214*V214,IF(RIGHT(U214,5)="(100)",Y214/1000*R214*V214,Y214/10000*R214*V214)))),0)</f>
        <v>0</v>
      </c>
      <c r="T214" s="476"/>
      <c r="U214" s="471" t="s">
        <v>94</v>
      </c>
      <c r="V214" s="480">
        <f>IF(U214="한국 원화(KRW)",1,IF(OR(U214=환율!$A$6,U214=환율!$A$7),VLOOKUP(NAV!U214,환율!$A$6:$B$7,2,),IF(RIGHT(U214,5)="(100)",(VLOOKUP(NAV!U214,환율!$A$11:$B$65,2,))/100,VLOOKUP(NAV!U214,환율!$A$11:$B$65,2,))))</f>
        <v>1</v>
      </c>
      <c r="W214" s="481"/>
      <c r="X214" s="482">
        <f t="shared" si="38"/>
        <v>0</v>
      </c>
      <c r="Y214" s="481"/>
      <c r="Z214" s="481"/>
      <c r="AA214" s="483">
        <f t="shared" si="39"/>
        <v>0</v>
      </c>
      <c r="AB214" s="554"/>
      <c r="AC214" s="526" t="str">
        <f t="shared" si="40"/>
        <v>2년이상</v>
      </c>
      <c r="AD214" s="520" t="str">
        <f t="shared" si="41"/>
        <v/>
      </c>
      <c r="AE214" s="527">
        <f t="shared" ref="AE214:AE223" si="43">IF(OR(T214="MTP",T214="과거거래 이용법",T214="취득원가 준용",T214="장부가액 준용",T214="상장종가 적용"),S214,IF(P214="주당",AG214*Q214*V214,Y214/10000*AG214*V214))</f>
        <v>0</v>
      </c>
      <c r="AF214" s="527">
        <f t="shared" ref="AF214:AF223" si="44">IF(OR(T214="MTP",T214="과거거래 이용법",T214="취득원가 준용",T214="장부가액 준용",T214="상장종가 적용"),S214,IF(P214="주당",AH214*Q214*V214,Y214/10000*AH214*V214))</f>
        <v>0</v>
      </c>
      <c r="AG214" s="485"/>
      <c r="AH214" s="485"/>
      <c r="AI214" s="404"/>
    </row>
    <row r="215" spans="1:35" ht="12.75" thickBot="1">
      <c r="A215" s="492"/>
      <c r="B215" s="496"/>
      <c r="C215" s="468" t="s">
        <v>21</v>
      </c>
      <c r="D215" s="469">
        <f>SUM(D216:D217)</f>
        <v>0</v>
      </c>
      <c r="E215" s="469">
        <f>SUM(E216:E217)</f>
        <v>0</v>
      </c>
      <c r="J215" s="551"/>
      <c r="K215" s="552"/>
      <c r="L215" s="551"/>
      <c r="M215" s="553"/>
      <c r="N215" s="553"/>
      <c r="O215" s="551"/>
      <c r="P215" s="553"/>
      <c r="Q215" s="524"/>
      <c r="R215" s="478">
        <f>IFERROR(INDEX(기초자산!M$6:M$408,MATCH(K215&amp;N215&amp;O215,기초자산!$A$6:$A$408,0),0),0)</f>
        <v>0</v>
      </c>
      <c r="S215" s="479">
        <f t="shared" si="42"/>
        <v>0</v>
      </c>
      <c r="T215" s="476"/>
      <c r="U215" s="471" t="s">
        <v>94</v>
      </c>
      <c r="V215" s="480">
        <f>IF(U215="한국 원화(KRW)",1,IF(OR(U215=환율!$A$6,U215=환율!$A$7),VLOOKUP(NAV!U215,환율!$A$6:$B$7,2,),IF(RIGHT(U215,5)="(100)",(VLOOKUP(NAV!U215,환율!$A$11:$B$65,2,))/100,VLOOKUP(NAV!U215,환율!$A$11:$B$65,2,))))</f>
        <v>1</v>
      </c>
      <c r="W215" s="481"/>
      <c r="X215" s="482">
        <f t="shared" si="38"/>
        <v>0</v>
      </c>
      <c r="Y215" s="481"/>
      <c r="Z215" s="481"/>
      <c r="AA215" s="483">
        <f t="shared" si="39"/>
        <v>0</v>
      </c>
      <c r="AB215" s="554"/>
      <c r="AC215" s="526" t="str">
        <f t="shared" si="40"/>
        <v>2년이상</v>
      </c>
      <c r="AD215" s="520" t="str">
        <f t="shared" si="41"/>
        <v/>
      </c>
      <c r="AE215" s="527">
        <f t="shared" si="43"/>
        <v>0</v>
      </c>
      <c r="AF215" s="527">
        <f t="shared" si="44"/>
        <v>0</v>
      </c>
      <c r="AG215" s="485"/>
      <c r="AH215" s="485"/>
      <c r="AI215" s="404"/>
    </row>
    <row r="216" spans="1:35" ht="12.75" thickBot="1">
      <c r="A216" s="492"/>
      <c r="B216" s="496"/>
      <c r="C216" s="486" t="s">
        <v>163</v>
      </c>
      <c r="D216" s="487">
        <f>SUMIF(FS!$I$9:$I$39,개요!$B$61&amp;RIGHT(NAV!C216,3),FS!$L$9:$L$39)</f>
        <v>0</v>
      </c>
      <c r="E216" s="487">
        <f>D216</f>
        <v>0</v>
      </c>
      <c r="J216" s="551"/>
      <c r="K216" s="552"/>
      <c r="L216" s="551"/>
      <c r="M216" s="553"/>
      <c r="N216" s="553"/>
      <c r="O216" s="551"/>
      <c r="P216" s="553"/>
      <c r="Q216" s="524"/>
      <c r="R216" s="478">
        <f>IFERROR(INDEX(기초자산!M$6:M$408,MATCH(K216&amp;N216&amp;O216,기초자산!$A$6:$A$408,0),0),0)</f>
        <v>0</v>
      </c>
      <c r="S216" s="479">
        <f t="shared" si="42"/>
        <v>0</v>
      </c>
      <c r="T216" s="476"/>
      <c r="U216" s="471" t="s">
        <v>94</v>
      </c>
      <c r="V216" s="480">
        <f>IF(U216="한국 원화(KRW)",1,IF(OR(U216=환율!$A$6,U216=환율!$A$7),VLOOKUP(NAV!U216,환율!$A$6:$B$7,2,),IF(RIGHT(U216,5)="(100)",(VLOOKUP(NAV!U216,환율!$A$11:$B$65,2,))/100,VLOOKUP(NAV!U216,환율!$A$11:$B$65,2,))))</f>
        <v>1</v>
      </c>
      <c r="W216" s="481"/>
      <c r="X216" s="482">
        <f t="shared" si="38"/>
        <v>0</v>
      </c>
      <c r="Y216" s="481"/>
      <c r="Z216" s="481"/>
      <c r="AA216" s="483">
        <f t="shared" si="39"/>
        <v>0</v>
      </c>
      <c r="AB216" s="554"/>
      <c r="AC216" s="526" t="str">
        <f t="shared" si="40"/>
        <v>2년이상</v>
      </c>
      <c r="AD216" s="520" t="str">
        <f t="shared" si="41"/>
        <v/>
      </c>
      <c r="AE216" s="527">
        <f t="shared" si="43"/>
        <v>0</v>
      </c>
      <c r="AF216" s="527">
        <f t="shared" si="44"/>
        <v>0</v>
      </c>
      <c r="AG216" s="485"/>
      <c r="AH216" s="485"/>
      <c r="AI216" s="404"/>
    </row>
    <row r="217" spans="1:35" ht="12.75" thickBot="1">
      <c r="A217" s="492"/>
      <c r="B217" s="496"/>
      <c r="C217" s="486" t="s">
        <v>162</v>
      </c>
      <c r="D217" s="487">
        <f>SUMIF(FS!$I$9:$I$39,개요!$B$61&amp;RIGHT(NAV!C217,4),FS!$L$9:$L$39)</f>
        <v>0</v>
      </c>
      <c r="E217" s="487">
        <f>D217</f>
        <v>0</v>
      </c>
      <c r="J217" s="551"/>
      <c r="K217" s="552"/>
      <c r="L217" s="551"/>
      <c r="M217" s="553"/>
      <c r="N217" s="553"/>
      <c r="O217" s="551"/>
      <c r="P217" s="553"/>
      <c r="Q217" s="524"/>
      <c r="R217" s="478">
        <f>IFERROR(INDEX(기초자산!M$6:M$408,MATCH(K217&amp;N217&amp;O217,기초자산!$A$6:$A$408,0),0),0)</f>
        <v>0</v>
      </c>
      <c r="S217" s="479">
        <f t="shared" si="42"/>
        <v>0</v>
      </c>
      <c r="T217" s="476"/>
      <c r="U217" s="471" t="s">
        <v>94</v>
      </c>
      <c r="V217" s="480">
        <f>IF(U217="한국 원화(KRW)",1,IF(OR(U217=환율!$A$6,U217=환율!$A$7),VLOOKUP(NAV!U217,환율!$A$6:$B$7,2,),IF(RIGHT(U217,5)="(100)",(VLOOKUP(NAV!U217,환율!$A$11:$B$65,2,))/100,VLOOKUP(NAV!U217,환율!$A$11:$B$65,2,))))</f>
        <v>1</v>
      </c>
      <c r="W217" s="481"/>
      <c r="X217" s="482">
        <f t="shared" si="38"/>
        <v>0</v>
      </c>
      <c r="Y217" s="481"/>
      <c r="Z217" s="481"/>
      <c r="AA217" s="483">
        <f t="shared" si="39"/>
        <v>0</v>
      </c>
      <c r="AB217" s="554"/>
      <c r="AC217" s="526" t="str">
        <f t="shared" si="40"/>
        <v>2년이상</v>
      </c>
      <c r="AD217" s="520" t="str">
        <f t="shared" si="41"/>
        <v/>
      </c>
      <c r="AE217" s="527">
        <f t="shared" si="43"/>
        <v>0</v>
      </c>
      <c r="AF217" s="527">
        <f t="shared" si="44"/>
        <v>0</v>
      </c>
      <c r="AG217" s="485"/>
      <c r="AH217" s="485"/>
      <c r="AI217" s="404"/>
    </row>
    <row r="218" spans="1:35" ht="12.75" thickBot="1">
      <c r="A218" s="489" t="s">
        <v>166</v>
      </c>
      <c r="B218" s="498" t="b">
        <f>D211+D212+D213+D214+D216+D217=D218</f>
        <v>1</v>
      </c>
      <c r="C218" s="493" t="s">
        <v>22</v>
      </c>
      <c r="D218" s="494">
        <f>D210+D215</f>
        <v>0</v>
      </c>
      <c r="E218" s="494">
        <f>E210+E215</f>
        <v>0</v>
      </c>
      <c r="J218" s="551"/>
      <c r="K218" s="552"/>
      <c r="L218" s="551"/>
      <c r="M218" s="553"/>
      <c r="N218" s="553"/>
      <c r="O218" s="551"/>
      <c r="P218" s="553"/>
      <c r="Q218" s="524"/>
      <c r="R218" s="478">
        <f>IFERROR(INDEX(기초자산!M$6:M$408,MATCH(K218&amp;N218&amp;O218,기초자산!$A$6:$A$408,0),0),0)</f>
        <v>0</v>
      </c>
      <c r="S218" s="479">
        <f t="shared" si="42"/>
        <v>0</v>
      </c>
      <c r="T218" s="476"/>
      <c r="U218" s="471" t="s">
        <v>94</v>
      </c>
      <c r="V218" s="480">
        <f>IF(U218="한국 원화(KRW)",1,IF(OR(U218=환율!$A$6,U218=환율!$A$7),VLOOKUP(NAV!U218,환율!$A$6:$B$7,2,),IF(RIGHT(U218,5)="(100)",(VLOOKUP(NAV!U218,환율!$A$11:$B$65,2,))/100,VLOOKUP(NAV!U218,환율!$A$11:$B$65,2,))))</f>
        <v>1</v>
      </c>
      <c r="W218" s="481"/>
      <c r="X218" s="482">
        <f t="shared" si="38"/>
        <v>0</v>
      </c>
      <c r="Y218" s="481"/>
      <c r="Z218" s="481"/>
      <c r="AA218" s="483">
        <f t="shared" si="39"/>
        <v>0</v>
      </c>
      <c r="AB218" s="554"/>
      <c r="AC218" s="526" t="str">
        <f t="shared" si="40"/>
        <v>2년이상</v>
      </c>
      <c r="AD218" s="520" t="str">
        <f t="shared" si="41"/>
        <v/>
      </c>
      <c r="AE218" s="527">
        <f t="shared" si="43"/>
        <v>0</v>
      </c>
      <c r="AF218" s="527">
        <f t="shared" si="44"/>
        <v>0</v>
      </c>
      <c r="AG218" s="485"/>
      <c r="AH218" s="485"/>
      <c r="AI218" s="404"/>
    </row>
    <row r="219" spans="1:35" ht="12.75" thickBot="1">
      <c r="A219" s="492"/>
      <c r="B219" s="555" t="str">
        <f>$B$199&amp;C219</f>
        <v>SPC없음자본금</v>
      </c>
      <c r="C219" s="486" t="s">
        <v>35</v>
      </c>
      <c r="D219" s="487">
        <f>SUMIF(FS!$I$9:$I$39,개요!$B$61&amp;RIGHT(NAV!C219,3),FS!$L$9:$L$39)</f>
        <v>0</v>
      </c>
      <c r="E219" s="487">
        <f>D219</f>
        <v>0</v>
      </c>
      <c r="J219" s="551"/>
      <c r="K219" s="552"/>
      <c r="L219" s="551"/>
      <c r="M219" s="553"/>
      <c r="N219" s="553"/>
      <c r="O219" s="551"/>
      <c r="P219" s="553"/>
      <c r="Q219" s="524"/>
      <c r="R219" s="478">
        <f>IFERROR(INDEX(기초자산!M$6:M$408,MATCH(K219&amp;N219&amp;O219,기초자산!$A$6:$A$408,0),0),0)</f>
        <v>0</v>
      </c>
      <c r="S219" s="479">
        <f t="shared" si="42"/>
        <v>0</v>
      </c>
      <c r="T219" s="476"/>
      <c r="U219" s="471" t="s">
        <v>94</v>
      </c>
      <c r="V219" s="480">
        <f>IF(U219="한국 원화(KRW)",1,IF(OR(U219=환율!$A$6,U219=환율!$A$7),VLOOKUP(NAV!U219,환율!$A$6:$B$7,2,),IF(RIGHT(U219,5)="(100)",(VLOOKUP(NAV!U219,환율!$A$11:$B$65,2,))/100,VLOOKUP(NAV!U219,환율!$A$11:$B$65,2,))))</f>
        <v>1</v>
      </c>
      <c r="W219" s="481"/>
      <c r="X219" s="482">
        <f t="shared" si="38"/>
        <v>0</v>
      </c>
      <c r="Y219" s="481"/>
      <c r="Z219" s="481"/>
      <c r="AA219" s="483">
        <f t="shared" si="39"/>
        <v>0</v>
      </c>
      <c r="AB219" s="554"/>
      <c r="AC219" s="526" t="str">
        <f t="shared" si="40"/>
        <v>2년이상</v>
      </c>
      <c r="AD219" s="520" t="str">
        <f t="shared" si="41"/>
        <v/>
      </c>
      <c r="AE219" s="527">
        <f t="shared" si="43"/>
        <v>0</v>
      </c>
      <c r="AF219" s="527">
        <f t="shared" si="44"/>
        <v>0</v>
      </c>
      <c r="AG219" s="485"/>
      <c r="AH219" s="485"/>
      <c r="AI219" s="404"/>
    </row>
    <row r="220" spans="1:35" ht="12.75" thickBot="1">
      <c r="C220" s="486" t="s">
        <v>120</v>
      </c>
      <c r="D220" s="487">
        <f>SUMIF(FS!$I$9:$I$39,개요!$B$61&amp;RIGHT(NAV!C220,10),FS!$L$9:$L$39)</f>
        <v>0</v>
      </c>
      <c r="E220" s="487">
        <f>D220</f>
        <v>0</v>
      </c>
      <c r="J220" s="551"/>
      <c r="K220" s="552"/>
      <c r="L220" s="551"/>
      <c r="M220" s="553"/>
      <c r="N220" s="553"/>
      <c r="O220" s="551"/>
      <c r="P220" s="553"/>
      <c r="Q220" s="524"/>
      <c r="R220" s="478">
        <f>IFERROR(INDEX(기초자산!M$6:M$408,MATCH(K220&amp;N220&amp;O220,기초자산!$A$6:$A$408,0),0),0)</f>
        <v>0</v>
      </c>
      <c r="S220" s="479">
        <f t="shared" si="42"/>
        <v>0</v>
      </c>
      <c r="T220" s="476"/>
      <c r="U220" s="471" t="s">
        <v>94</v>
      </c>
      <c r="V220" s="480">
        <f>IF(U220="한국 원화(KRW)",1,IF(OR(U220=환율!$A$6,U220=환율!$A$7),VLOOKUP(NAV!U220,환율!$A$6:$B$7,2,),IF(RIGHT(U220,5)="(100)",(VLOOKUP(NAV!U220,환율!$A$11:$B$65,2,))/100,VLOOKUP(NAV!U220,환율!$A$11:$B$65,2,))))</f>
        <v>1</v>
      </c>
      <c r="W220" s="481"/>
      <c r="X220" s="482">
        <f t="shared" si="38"/>
        <v>0</v>
      </c>
      <c r="Y220" s="481"/>
      <c r="Z220" s="481"/>
      <c r="AA220" s="483">
        <f t="shared" si="39"/>
        <v>0</v>
      </c>
      <c r="AB220" s="554"/>
      <c r="AC220" s="526" t="str">
        <f t="shared" si="40"/>
        <v>2년이상</v>
      </c>
      <c r="AD220" s="520" t="str">
        <f t="shared" si="41"/>
        <v/>
      </c>
      <c r="AE220" s="527">
        <f t="shared" si="43"/>
        <v>0</v>
      </c>
      <c r="AF220" s="527">
        <f t="shared" si="44"/>
        <v>0</v>
      </c>
      <c r="AG220" s="485"/>
      <c r="AH220" s="485"/>
      <c r="AI220" s="404"/>
    </row>
    <row r="221" spans="1:35" ht="12.75" thickBot="1">
      <c r="A221" s="489"/>
      <c r="B221" s="415"/>
      <c r="C221" s="486" t="s">
        <v>122</v>
      </c>
      <c r="D221" s="487">
        <f>SUMIF(FS!$I$9:$I$39,개요!$B$61&amp;RIGHT(NAV!C221,8),FS!$L$9:$L$39)</f>
        <v>0</v>
      </c>
      <c r="E221" s="487">
        <f>D221</f>
        <v>0</v>
      </c>
      <c r="J221" s="551"/>
      <c r="K221" s="552"/>
      <c r="L221" s="551"/>
      <c r="M221" s="553"/>
      <c r="N221" s="553"/>
      <c r="O221" s="551"/>
      <c r="P221" s="553"/>
      <c r="Q221" s="524"/>
      <c r="R221" s="478">
        <f>IFERROR(INDEX(기초자산!M$6:M$408,MATCH(K221&amp;N221&amp;O221,기초자산!$A$6:$A$408,0),0),0)</f>
        <v>0</v>
      </c>
      <c r="S221" s="479">
        <f t="shared" si="42"/>
        <v>0</v>
      </c>
      <c r="T221" s="476"/>
      <c r="U221" s="471" t="s">
        <v>94</v>
      </c>
      <c r="V221" s="480">
        <f>IF(U221="한국 원화(KRW)",1,IF(OR(U221=환율!$A$6,U221=환율!$A$7),VLOOKUP(NAV!U221,환율!$A$6:$B$7,2,),IF(RIGHT(U221,5)="(100)",(VLOOKUP(NAV!U221,환율!$A$11:$B$65,2,))/100,VLOOKUP(NAV!U221,환율!$A$11:$B$65,2,))))</f>
        <v>1</v>
      </c>
      <c r="W221" s="481"/>
      <c r="X221" s="482">
        <f t="shared" si="38"/>
        <v>0</v>
      </c>
      <c r="Y221" s="481"/>
      <c r="Z221" s="481"/>
      <c r="AA221" s="483">
        <f t="shared" si="39"/>
        <v>0</v>
      </c>
      <c r="AB221" s="554"/>
      <c r="AC221" s="526" t="str">
        <f t="shared" si="40"/>
        <v>2년이상</v>
      </c>
      <c r="AD221" s="520" t="str">
        <f t="shared" si="41"/>
        <v/>
      </c>
      <c r="AE221" s="527">
        <f t="shared" si="43"/>
        <v>0</v>
      </c>
      <c r="AF221" s="527">
        <f t="shared" si="44"/>
        <v>0</v>
      </c>
      <c r="AG221" s="485"/>
      <c r="AH221" s="485"/>
      <c r="AI221" s="404"/>
    </row>
    <row r="222" spans="1:35" ht="12.75" thickBot="1">
      <c r="A222" s="489" t="s">
        <v>167</v>
      </c>
      <c r="B222" s="415" t="b">
        <f>D222=SUM(D219:D221)</f>
        <v>1</v>
      </c>
      <c r="C222" s="493" t="s">
        <v>79</v>
      </c>
      <c r="D222" s="494">
        <f>D209-D218</f>
        <v>0</v>
      </c>
      <c r="E222" s="494">
        <f>E209-E218</f>
        <v>0</v>
      </c>
      <c r="J222" s="551"/>
      <c r="K222" s="552"/>
      <c r="L222" s="551"/>
      <c r="M222" s="553"/>
      <c r="N222" s="553"/>
      <c r="O222" s="551"/>
      <c r="P222" s="553"/>
      <c r="Q222" s="524"/>
      <c r="R222" s="478">
        <f>IFERROR(INDEX(기초자산!M$6:M$408,MATCH(K222&amp;N222&amp;O222,기초자산!$A$6:$A$408,0),0),0)</f>
        <v>0</v>
      </c>
      <c r="S222" s="479">
        <f t="shared" si="42"/>
        <v>0</v>
      </c>
      <c r="T222" s="476"/>
      <c r="U222" s="471" t="s">
        <v>94</v>
      </c>
      <c r="V222" s="480">
        <f>IF(U222="한국 원화(KRW)",1,IF(OR(U222=환율!$A$6,U222=환율!$A$7),VLOOKUP(NAV!U222,환율!$A$6:$B$7,2,),IF(RIGHT(U222,5)="(100)",(VLOOKUP(NAV!U222,환율!$A$11:$B$65,2,))/100,VLOOKUP(NAV!U222,환율!$A$11:$B$65,2,))))</f>
        <v>1</v>
      </c>
      <c r="W222" s="481"/>
      <c r="X222" s="482">
        <f t="shared" si="38"/>
        <v>0</v>
      </c>
      <c r="Y222" s="481"/>
      <c r="Z222" s="481"/>
      <c r="AA222" s="483">
        <f t="shared" si="39"/>
        <v>0</v>
      </c>
      <c r="AB222" s="554"/>
      <c r="AC222" s="526" t="str">
        <f t="shared" si="40"/>
        <v>2년이상</v>
      </c>
      <c r="AD222" s="520" t="str">
        <f t="shared" si="41"/>
        <v/>
      </c>
      <c r="AE222" s="527">
        <f t="shared" si="43"/>
        <v>0</v>
      </c>
      <c r="AF222" s="527">
        <f t="shared" si="44"/>
        <v>0</v>
      </c>
      <c r="AG222" s="485"/>
      <c r="AH222" s="485"/>
      <c r="AI222" s="404"/>
    </row>
    <row r="223" spans="1:35" ht="12.75" thickBot="1">
      <c r="A223" s="489"/>
      <c r="B223" s="415"/>
      <c r="C223" s="486" t="s">
        <v>80</v>
      </c>
      <c r="D223" s="487">
        <v>0</v>
      </c>
      <c r="E223" s="499">
        <v>0</v>
      </c>
      <c r="J223" s="551"/>
      <c r="K223" s="552"/>
      <c r="L223" s="551"/>
      <c r="M223" s="553"/>
      <c r="N223" s="553"/>
      <c r="O223" s="551"/>
      <c r="P223" s="553"/>
      <c r="Q223" s="524"/>
      <c r="R223" s="478">
        <f>IFERROR(INDEX(기초자산!M$6:M$408,MATCH(K223&amp;N223&amp;O223,기초자산!$A$6:$A$408,0),0),0)</f>
        <v>0</v>
      </c>
      <c r="S223" s="479">
        <f t="shared" si="42"/>
        <v>0</v>
      </c>
      <c r="T223" s="476"/>
      <c r="U223" s="471" t="s">
        <v>94</v>
      </c>
      <c r="V223" s="480">
        <f>IF(U223="한국 원화(KRW)",1,IF(OR(U223=환율!$A$6,U223=환율!$A$7),VLOOKUP(NAV!U223,환율!$A$6:$B$7,2,),IF(RIGHT(U223,5)="(100)",(VLOOKUP(NAV!U223,환율!$A$11:$B$65,2,))/100,VLOOKUP(NAV!U223,환율!$A$11:$B$65,2,))))</f>
        <v>1</v>
      </c>
      <c r="W223" s="481"/>
      <c r="X223" s="482">
        <f t="shared" si="38"/>
        <v>0</v>
      </c>
      <c r="Y223" s="481"/>
      <c r="Z223" s="481"/>
      <c r="AA223" s="483">
        <f t="shared" si="39"/>
        <v>0</v>
      </c>
      <c r="AB223" s="554"/>
      <c r="AC223" s="526" t="str">
        <f t="shared" si="40"/>
        <v>2년이상</v>
      </c>
      <c r="AD223" s="520" t="str">
        <f t="shared" si="41"/>
        <v/>
      </c>
      <c r="AE223" s="527">
        <f t="shared" si="43"/>
        <v>0</v>
      </c>
      <c r="AF223" s="527">
        <f t="shared" si="44"/>
        <v>0</v>
      </c>
      <c r="AG223" s="485"/>
      <c r="AH223" s="485"/>
      <c r="AI223" s="404"/>
    </row>
    <row r="224" spans="1:35">
      <c r="A224" s="489"/>
      <c r="B224" s="415"/>
      <c r="C224" s="486" t="s">
        <v>81</v>
      </c>
      <c r="D224" s="487">
        <v>0</v>
      </c>
      <c r="E224" s="499">
        <v>0</v>
      </c>
      <c r="J224" s="495"/>
      <c r="K224" s="415"/>
      <c r="L224" s="495"/>
      <c r="M224" s="415"/>
      <c r="N224" s="415"/>
      <c r="O224" s="415"/>
      <c r="P224" s="415"/>
      <c r="Q224" s="422"/>
      <c r="R224" s="415"/>
      <c r="S224" s="415"/>
      <c r="T224" s="415"/>
      <c r="U224" s="415"/>
      <c r="V224" s="415"/>
      <c r="W224" s="422"/>
      <c r="X224" s="415"/>
      <c r="Y224" s="458"/>
      <c r="Z224" s="422"/>
      <c r="AA224" s="556"/>
      <c r="AB224" s="556"/>
      <c r="AC224" s="415"/>
      <c r="AE224" s="415"/>
      <c r="AI224" s="404"/>
    </row>
    <row r="225" spans="1:35">
      <c r="A225" s="489"/>
      <c r="B225" s="415"/>
      <c r="C225" s="493" t="s">
        <v>123</v>
      </c>
      <c r="D225" s="494">
        <f>D222+D223-D224</f>
        <v>0</v>
      </c>
      <c r="E225" s="494">
        <f>IF(E222+E223-E224&gt;0,E222+E223-E224,0)</f>
        <v>0</v>
      </c>
      <c r="J225" s="305"/>
      <c r="K225" s="415"/>
      <c r="L225" s="305"/>
      <c r="M225" s="415"/>
      <c r="N225" s="415"/>
      <c r="O225" s="415"/>
      <c r="S225" s="415"/>
      <c r="T225" s="415"/>
      <c r="U225" s="415"/>
      <c r="V225" s="415"/>
      <c r="Y225" s="458"/>
      <c r="AD225" s="557" t="str">
        <f>B199&amp;"순자산가치"</f>
        <v>SPC없음순자산가치</v>
      </c>
      <c r="AE225" s="529">
        <f>IF(E205+SUM(AE205:AE210)+SUM(AE213:AE223)-E218&gt;0,E205+SUM(AE205:AE210)+SUM(AE213:AE223)-E218,0)</f>
        <v>0</v>
      </c>
      <c r="AF225" s="529">
        <f>IF(E205+SUM(AF205:AF210)+SUM(AF213:AF223)-E218&gt;0,E205+SUM(AF205:AF210)+SUM(AF213:AF223)-E218,0)</f>
        <v>0</v>
      </c>
      <c r="AI225" s="404"/>
    </row>
    <row r="226" spans="1:35">
      <c r="A226" s="489"/>
      <c r="B226" s="558" t="str">
        <f>$B$199&amp;C226</f>
        <v>SPC없음보유지분율(%)</v>
      </c>
      <c r="C226" s="493" t="s">
        <v>168</v>
      </c>
      <c r="D226" s="559">
        <f>개요!$C$70</f>
        <v>0</v>
      </c>
      <c r="E226" s="494">
        <f>E225*D226</f>
        <v>0</v>
      </c>
      <c r="F226" s="560" t="s">
        <v>199</v>
      </c>
      <c r="G226" s="560"/>
      <c r="J226" s="495"/>
      <c r="K226" s="415"/>
      <c r="L226" s="495"/>
      <c r="M226" s="415"/>
      <c r="N226" s="415"/>
      <c r="O226" s="415"/>
      <c r="S226" s="415"/>
      <c r="T226" s="415"/>
      <c r="U226" s="415"/>
      <c r="V226" s="415"/>
      <c r="Y226" s="458"/>
      <c r="AD226" s="557" t="s">
        <v>272</v>
      </c>
      <c r="AE226" s="561">
        <f>$D226</f>
        <v>0</v>
      </c>
      <c r="AF226" s="561">
        <f>$D226</f>
        <v>0</v>
      </c>
      <c r="AI226" s="404"/>
    </row>
    <row r="227" spans="1:35">
      <c r="A227" s="489"/>
      <c r="B227" s="415"/>
      <c r="G227" s="503" t="s">
        <v>287</v>
      </c>
      <c r="I227" s="562"/>
      <c r="J227" s="495"/>
      <c r="K227" s="415"/>
      <c r="L227" s="495"/>
      <c r="M227" s="415"/>
      <c r="N227" s="415"/>
      <c r="O227" s="415"/>
      <c r="S227" s="415"/>
      <c r="T227" s="415"/>
      <c r="U227" s="415"/>
      <c r="V227" s="415"/>
      <c r="Y227" s="458"/>
      <c r="AD227" s="557" t="str">
        <f>B199&amp;"지분율 반영 순자산가치"</f>
        <v>SPC없음지분율 반영 순자산가치</v>
      </c>
      <c r="AE227" s="529">
        <f>AE225*AE226</f>
        <v>0</v>
      </c>
      <c r="AF227" s="529">
        <f>AF225*AF226</f>
        <v>0</v>
      </c>
      <c r="AI227" s="404"/>
    </row>
    <row r="228" spans="1:35">
      <c r="A228" s="489"/>
      <c r="D228" s="504" t="s">
        <v>43</v>
      </c>
      <c r="E228" s="505">
        <f>$C$7</f>
        <v>45473</v>
      </c>
      <c r="F228" s="506"/>
      <c r="G228" s="505"/>
      <c r="I228" s="563"/>
      <c r="J228" s="495"/>
      <c r="K228" s="415"/>
      <c r="L228" s="495"/>
      <c r="M228" s="415"/>
      <c r="N228" s="415"/>
      <c r="O228" s="415"/>
      <c r="S228" s="415"/>
      <c r="T228" s="415"/>
      <c r="U228" s="415"/>
      <c r="V228" s="415"/>
      <c r="Y228" s="422"/>
      <c r="AI228" s="404"/>
    </row>
    <row r="229" spans="1:35">
      <c r="D229" s="486" t="s">
        <v>79</v>
      </c>
      <c r="E229" s="487">
        <f>E225</f>
        <v>0</v>
      </c>
      <c r="F229" s="507" t="e">
        <f>E229/G229-1</f>
        <v>#DIV/0!</v>
      </c>
      <c r="G229" s="487"/>
      <c r="I229" s="564"/>
      <c r="J229" s="495"/>
      <c r="K229" s="415"/>
      <c r="L229" s="495"/>
      <c r="M229" s="415"/>
      <c r="S229" s="415"/>
      <c r="T229" s="415"/>
      <c r="U229" s="415"/>
      <c r="V229" s="415"/>
      <c r="Y229" s="422"/>
      <c r="AI229" s="404"/>
    </row>
    <row r="230" spans="1:35">
      <c r="A230" s="489"/>
      <c r="B230" s="415"/>
      <c r="D230" s="486" t="s">
        <v>198</v>
      </c>
      <c r="E230" s="565">
        <f>$D$226</f>
        <v>0</v>
      </c>
      <c r="F230" s="507"/>
      <c r="G230" s="565"/>
      <c r="I230" s="566"/>
      <c r="J230" s="305"/>
      <c r="K230" s="415"/>
      <c r="L230" s="305"/>
      <c r="M230" s="415"/>
      <c r="S230" s="415"/>
      <c r="T230" s="415"/>
      <c r="U230" s="415"/>
      <c r="V230" s="415"/>
      <c r="Y230" s="422"/>
      <c r="AI230" s="404"/>
    </row>
    <row r="231" spans="1:35">
      <c r="A231" s="489"/>
      <c r="B231" s="415"/>
      <c r="D231" s="567" t="s">
        <v>246</v>
      </c>
      <c r="E231" s="568">
        <f>E229*E230</f>
        <v>0</v>
      </c>
      <c r="F231" s="507" t="e">
        <f>E231/G231-1</f>
        <v>#DIV/0!</v>
      </c>
      <c r="G231" s="568"/>
      <c r="I231" s="564"/>
      <c r="AI231" s="404"/>
    </row>
    <row r="232" spans="1:35">
      <c r="E232" s="304" t="b">
        <f>E231=E226</f>
        <v>1</v>
      </c>
      <c r="AI232" s="404"/>
    </row>
    <row r="233" spans="1:35">
      <c r="AI233" s="404"/>
    </row>
    <row r="234" spans="1:35" ht="12.75" thickBot="1">
      <c r="A234" s="536"/>
      <c r="B234" s="536"/>
      <c r="C234" s="536"/>
      <c r="D234" s="536"/>
      <c r="E234" s="536"/>
      <c r="F234" s="536"/>
      <c r="G234" s="536"/>
      <c r="H234" s="536"/>
      <c r="I234" s="537"/>
      <c r="J234" s="536"/>
      <c r="K234" s="536"/>
      <c r="L234" s="536"/>
      <c r="M234" s="536"/>
      <c r="N234" s="536"/>
      <c r="O234" s="536"/>
      <c r="P234" s="536"/>
      <c r="Q234" s="540"/>
      <c r="R234" s="536"/>
      <c r="S234" s="536"/>
      <c r="T234" s="536"/>
      <c r="U234" s="536"/>
      <c r="V234" s="536"/>
      <c r="W234" s="540"/>
      <c r="X234" s="536"/>
      <c r="Y234" s="540"/>
      <c r="Z234" s="540"/>
      <c r="AA234" s="536"/>
      <c r="AB234" s="536"/>
      <c r="AC234" s="536"/>
      <c r="AD234" s="541"/>
      <c r="AE234" s="536"/>
      <c r="AF234" s="536"/>
      <c r="AG234" s="536"/>
      <c r="AH234" s="536"/>
      <c r="AI234" s="404"/>
    </row>
    <row r="235" spans="1:35" ht="12.75" thickTop="1">
      <c r="AI235" s="404"/>
    </row>
    <row r="236" spans="1:35" ht="12.75" thickBot="1">
      <c r="A236" s="459"/>
      <c r="B236" s="415"/>
      <c r="J236" s="428" t="s">
        <v>273</v>
      </c>
      <c r="K236" s="489"/>
      <c r="L236" s="497"/>
      <c r="M236" s="489"/>
      <c r="N236" s="415"/>
      <c r="O236" s="415"/>
      <c r="AI236" s="404"/>
    </row>
    <row r="237" spans="1:35" ht="12.75" thickBot="1">
      <c r="A237" s="542" t="s">
        <v>368</v>
      </c>
      <c r="B237" s="543" t="str">
        <f>IF(개요!$B$73="","SPC없음",개요!$B$73)</f>
        <v>SPC없음</v>
      </c>
      <c r="C237" s="454"/>
      <c r="J237" s="433"/>
      <c r="K237" s="434"/>
      <c r="L237" s="434"/>
      <c r="M237" s="434"/>
      <c r="N237" s="434"/>
      <c r="O237" s="434"/>
      <c r="P237" s="434"/>
      <c r="Q237" s="435"/>
      <c r="R237" s="434"/>
      <c r="S237" s="434"/>
      <c r="T237" s="434"/>
      <c r="U237" s="434"/>
      <c r="V237" s="436"/>
      <c r="AI237" s="404"/>
    </row>
    <row r="238" spans="1:35">
      <c r="B238" s="543" t="s">
        <v>369</v>
      </c>
      <c r="C238" s="569" t="str">
        <f>IF(개요!$C$74="","SPC없음",개요!$C$74)</f>
        <v>SPC없음</v>
      </c>
      <c r="J238" s="442"/>
      <c r="K238" s="151"/>
      <c r="L238" s="151"/>
      <c r="M238" s="151"/>
      <c r="N238" s="151"/>
      <c r="O238" s="151"/>
      <c r="P238" s="151"/>
      <c r="Q238" s="443"/>
      <c r="R238" s="151"/>
      <c r="S238" s="151"/>
      <c r="T238" s="151"/>
      <c r="U238" s="151"/>
      <c r="V238" s="444"/>
      <c r="AI238" s="404"/>
    </row>
    <row r="239" spans="1:35">
      <c r="B239" s="437" t="s">
        <v>370</v>
      </c>
      <c r="C239" s="570">
        <f>$C$7</f>
        <v>45473</v>
      </c>
      <c r="D239" s="546" t="b">
        <f>C239&gt;=C240</f>
        <v>1</v>
      </c>
      <c r="J239" s="442"/>
      <c r="K239" s="151"/>
      <c r="L239" s="151"/>
      <c r="M239" s="151"/>
      <c r="N239" s="151"/>
      <c r="O239" s="151"/>
      <c r="P239" s="151"/>
      <c r="Q239" s="443"/>
      <c r="R239" s="151"/>
      <c r="S239" s="151"/>
      <c r="T239" s="151"/>
      <c r="U239" s="151"/>
      <c r="V239" s="444"/>
      <c r="AI239" s="404"/>
    </row>
    <row r="240" spans="1:35" ht="12.75" thickBot="1">
      <c r="B240" s="449" t="s">
        <v>371</v>
      </c>
      <c r="C240" s="571">
        <f>FS!$R$8</f>
        <v>0</v>
      </c>
      <c r="J240" s="453"/>
      <c r="K240" s="454"/>
      <c r="L240" s="454"/>
      <c r="M240" s="454"/>
      <c r="N240" s="454"/>
      <c r="O240" s="454"/>
      <c r="P240" s="454"/>
      <c r="Q240" s="455"/>
      <c r="R240" s="454"/>
      <c r="S240" s="454"/>
      <c r="T240" s="454"/>
      <c r="U240" s="454"/>
      <c r="V240" s="456"/>
      <c r="AI240" s="404"/>
    </row>
    <row r="241" spans="1:35">
      <c r="A241" s="459"/>
      <c r="J241" s="428" t="s">
        <v>372</v>
      </c>
      <c r="K241" s="448"/>
      <c r="L241" s="420"/>
      <c r="M241" s="448"/>
      <c r="N241" s="448"/>
      <c r="O241" s="448"/>
      <c r="P241" s="415"/>
      <c r="Q241" s="422"/>
      <c r="R241" s="415"/>
      <c r="S241" s="415"/>
      <c r="T241" s="415"/>
      <c r="U241" s="415"/>
      <c r="V241" s="415"/>
      <c r="W241" s="422"/>
      <c r="Z241" s="458"/>
      <c r="AA241" s="459"/>
      <c r="AE241" s="803" t="s">
        <v>8</v>
      </c>
      <c r="AF241" s="803"/>
      <c r="AG241" s="460"/>
      <c r="AH241" s="460"/>
      <c r="AI241" s="404"/>
    </row>
    <row r="242" spans="1:35" ht="12.75" thickBot="1">
      <c r="A242" s="461" t="str">
        <f>IF(AND(B243:B269),"검증완료","검증필요")</f>
        <v>검증완료</v>
      </c>
      <c r="B242" s="462" t="s">
        <v>373</v>
      </c>
      <c r="C242" s="462" t="s">
        <v>9</v>
      </c>
      <c r="D242" s="462" t="s">
        <v>374</v>
      </c>
      <c r="E242" s="462" t="s">
        <v>11</v>
      </c>
      <c r="J242" s="462" t="s">
        <v>375</v>
      </c>
      <c r="K242" s="464" t="s">
        <v>376</v>
      </c>
      <c r="L242" s="462" t="s">
        <v>369</v>
      </c>
      <c r="M242" s="462" t="s">
        <v>377</v>
      </c>
      <c r="N242" s="462" t="s">
        <v>378</v>
      </c>
      <c r="O242" s="462" t="s">
        <v>379</v>
      </c>
      <c r="P242" s="464" t="s">
        <v>380</v>
      </c>
      <c r="Q242" s="465" t="s">
        <v>14</v>
      </c>
      <c r="R242" s="466" t="s">
        <v>381</v>
      </c>
      <c r="S242" s="466" t="s">
        <v>382</v>
      </c>
      <c r="T242" s="462" t="s">
        <v>12</v>
      </c>
      <c r="U242" s="462" t="s">
        <v>383</v>
      </c>
      <c r="V242" s="462" t="s">
        <v>384</v>
      </c>
      <c r="W242" s="465" t="s">
        <v>374</v>
      </c>
      <c r="X242" s="462" t="s">
        <v>385</v>
      </c>
      <c r="Y242" s="465" t="s">
        <v>386</v>
      </c>
      <c r="Z242" s="465" t="s">
        <v>3522</v>
      </c>
      <c r="AA242" s="464" t="s">
        <v>13</v>
      </c>
      <c r="AE242" s="467" t="s">
        <v>3627</v>
      </c>
      <c r="AF242" s="467" t="s">
        <v>3628</v>
      </c>
      <c r="AG242" s="467" t="s">
        <v>3629</v>
      </c>
      <c r="AH242" s="467" t="s">
        <v>3630</v>
      </c>
      <c r="AI242" s="404"/>
    </row>
    <row r="243" spans="1:35" ht="12.75" thickBot="1">
      <c r="A243" s="415"/>
      <c r="B243" s="415"/>
      <c r="C243" s="468" t="s">
        <v>3391</v>
      </c>
      <c r="D243" s="469">
        <f>SUM(D244:D245)</f>
        <v>0</v>
      </c>
      <c r="E243" s="469">
        <f>SUM(E244:E245)</f>
        <v>0</v>
      </c>
      <c r="J243" s="476"/>
      <c r="K243" s="472"/>
      <c r="L243" s="473" t="str">
        <f>IF($J243="","SPC 없음",VLOOKUP($J243&amp;"SPC명",개요!$A$3:$E$1932,3,0))</f>
        <v>SPC 없음</v>
      </c>
      <c r="M243" s="474" t="str">
        <f>IF($J243="","SPC 없음",VLOOKUP($J243&amp;"설정일",개요!$A$3:$E$1932,3,0))</f>
        <v>SPC 없음</v>
      </c>
      <c r="N243" s="475" t="str">
        <f t="shared" ref="N243:N248" si="45">IF($J243="","SPC 없음",VLOOKUP($J243&amp;"자본금",$B$4:$E$2079,3,0)*VLOOKUP($J243&amp;"보유지분율(%)",$B$4:$E$2079,3,0))</f>
        <v>SPC 없음</v>
      </c>
      <c r="O243" s="471"/>
      <c r="P243" s="476"/>
      <c r="Q243" s="477"/>
      <c r="R243" s="478"/>
      <c r="S243" s="479" t="str">
        <f t="shared" ref="S243:S248" si="46">IF($J243="","SPC 없음",IF(P243="총액",IF(T243="장부가액 준용",W243,(VLOOKUP($J243&amp;"보유지분율(%)",$B$4:$E$2079,4,0))*V243),Q243*R243))</f>
        <v>SPC 없음</v>
      </c>
      <c r="T243" s="471"/>
      <c r="U243" s="471" t="s">
        <v>94</v>
      </c>
      <c r="V243" s="480">
        <f>IF(U243="한국 원화(KRW)",1,IF(OR(U243=환율!$A$6,U243=환율!$A$7),VLOOKUP(NAV!U243,환율!$A$6:$B$7,2,),IF(RIGHT(U243,5)="(100)",(VLOOKUP(NAV!U243,환율!$A$11:$B$65,2,))/100,VLOOKUP(NAV!U243,환율!$A$11:$B$65,2,))))</f>
        <v>1</v>
      </c>
      <c r="W243" s="481"/>
      <c r="X243" s="482">
        <f t="shared" ref="X243:X248" si="47">IFERROR(IF(P243="만원당",10000,Y243/Q243),0)</f>
        <v>0</v>
      </c>
      <c r="Y243" s="481"/>
      <c r="Z243" s="481"/>
      <c r="AA243" s="483">
        <f t="shared" ref="AA243:AA248" si="48">IFERROR(IF(Z243="",S243/W243-1,S243/Z243-1),0)</f>
        <v>0</v>
      </c>
      <c r="AE243" s="484" t="str">
        <f t="shared" ref="AE243:AE248" si="49">IF($J243="","SPC 없음",IF(P243="총액",(VLOOKUP($J243&amp;"지분율 반영 순자산가치",$AD$4:$AH$4973,2,0))*V243,AG243*$Q243))</f>
        <v>SPC 없음</v>
      </c>
      <c r="AF243" s="484" t="str">
        <f t="shared" ref="AF243:AF248" si="50">IF($J243="","SPC 없음",IF(P243="총액",(VLOOKUP($J243&amp;"지분율 반영 순자산가치",$AD$4:$AH$4973,3,0))*V243,AH243*$Q243))</f>
        <v>SPC 없음</v>
      </c>
      <c r="AG243" s="485"/>
      <c r="AH243" s="485"/>
      <c r="AI243" s="404"/>
    </row>
    <row r="244" spans="1:35" ht="12.75" thickBot="1">
      <c r="A244" s="415"/>
      <c r="B244" s="415"/>
      <c r="C244" s="486" t="s">
        <v>387</v>
      </c>
      <c r="D244" s="487">
        <f>SUMIF(FS!$O$9:$O$39,개요!$B$73&amp;RIGHT(NAV!C244,10),FS!$R$9:$R$39)</f>
        <v>0</v>
      </c>
      <c r="E244" s="487">
        <f>D244</f>
        <v>0</v>
      </c>
      <c r="J244" s="476"/>
      <c r="K244" s="472"/>
      <c r="L244" s="473" t="str">
        <f>IF($J244="","SPC 없음",VLOOKUP($J244&amp;"SPC명",개요!$A$3:$E$1932,3,0))</f>
        <v>SPC 없음</v>
      </c>
      <c r="M244" s="474" t="str">
        <f>IF($J244="","SPC 없음",VLOOKUP($J244&amp;"설정일",개요!$A$3:$E$1932,3,0))</f>
        <v>SPC 없음</v>
      </c>
      <c r="N244" s="475" t="str">
        <f t="shared" si="45"/>
        <v>SPC 없음</v>
      </c>
      <c r="O244" s="471"/>
      <c r="P244" s="476"/>
      <c r="Q244" s="477"/>
      <c r="R244" s="478"/>
      <c r="S244" s="479" t="str">
        <f t="shared" si="46"/>
        <v>SPC 없음</v>
      </c>
      <c r="T244" s="471"/>
      <c r="U244" s="471" t="s">
        <v>94</v>
      </c>
      <c r="V244" s="480">
        <f>IF(U244="한국 원화(KRW)",1,IF(OR(U244=환율!$A$6,U244=환율!$A$7),VLOOKUP(NAV!U244,환율!$A$6:$B$7,2,),IF(RIGHT(U244,5)="(100)",(VLOOKUP(NAV!U244,환율!$A$11:$B$65,2,))/100,VLOOKUP(NAV!U244,환율!$A$11:$B$65,2,))))</f>
        <v>1</v>
      </c>
      <c r="W244" s="481"/>
      <c r="X244" s="482">
        <f t="shared" si="47"/>
        <v>0</v>
      </c>
      <c r="Y244" s="481"/>
      <c r="Z244" s="481"/>
      <c r="AA244" s="483">
        <f t="shared" si="48"/>
        <v>0</v>
      </c>
      <c r="AE244" s="484" t="str">
        <f t="shared" si="49"/>
        <v>SPC 없음</v>
      </c>
      <c r="AF244" s="484" t="str">
        <f t="shared" si="50"/>
        <v>SPC 없음</v>
      </c>
      <c r="AG244" s="485"/>
      <c r="AH244" s="485"/>
      <c r="AI244" s="404"/>
    </row>
    <row r="245" spans="1:35" ht="12.75" thickBot="1">
      <c r="A245" s="415"/>
      <c r="B245" s="415"/>
      <c r="C245" s="486" t="s">
        <v>388</v>
      </c>
      <c r="D245" s="487">
        <f>SUMIF(FS!$O$9:$O$39,개요!$B$73&amp;RIGHT(NAV!C245,4),FS!$R$9:$R$39)</f>
        <v>0</v>
      </c>
      <c r="E245" s="487">
        <f>D245</f>
        <v>0</v>
      </c>
      <c r="J245" s="476"/>
      <c r="K245" s="472"/>
      <c r="L245" s="473" t="str">
        <f>IF($J245="","SPC 없음",VLOOKUP($J245&amp;"SPC명",개요!$A$3:$E$1932,3,0))</f>
        <v>SPC 없음</v>
      </c>
      <c r="M245" s="474" t="str">
        <f>IF($J245="","SPC 없음",VLOOKUP($J245&amp;"설정일",개요!$A$3:$E$1932,3,0))</f>
        <v>SPC 없음</v>
      </c>
      <c r="N245" s="475" t="str">
        <f t="shared" si="45"/>
        <v>SPC 없음</v>
      </c>
      <c r="O245" s="471"/>
      <c r="P245" s="476"/>
      <c r="Q245" s="477"/>
      <c r="R245" s="478"/>
      <c r="S245" s="479" t="str">
        <f t="shared" si="46"/>
        <v>SPC 없음</v>
      </c>
      <c r="T245" s="471"/>
      <c r="U245" s="471" t="s">
        <v>94</v>
      </c>
      <c r="V245" s="480">
        <f>IF(U245="한국 원화(KRW)",1,IF(OR(U245=환율!$A$6,U245=환율!$A$7),VLOOKUP(NAV!U245,환율!$A$6:$B$7,2,),IF(RIGHT(U245,5)="(100)",(VLOOKUP(NAV!U245,환율!$A$11:$B$65,2,))/100,VLOOKUP(NAV!U245,환율!$A$11:$B$65,2,))))</f>
        <v>1</v>
      </c>
      <c r="W245" s="481"/>
      <c r="X245" s="482">
        <f t="shared" si="47"/>
        <v>0</v>
      </c>
      <c r="Y245" s="481"/>
      <c r="Z245" s="481"/>
      <c r="AA245" s="483">
        <f t="shared" si="48"/>
        <v>0</v>
      </c>
      <c r="AE245" s="484" t="str">
        <f t="shared" si="49"/>
        <v>SPC 없음</v>
      </c>
      <c r="AF245" s="484" t="str">
        <f t="shared" si="50"/>
        <v>SPC 없음</v>
      </c>
      <c r="AG245" s="485"/>
      <c r="AH245" s="485"/>
      <c r="AI245" s="404"/>
    </row>
    <row r="246" spans="1:35" ht="12.75" thickBot="1">
      <c r="A246" s="489" t="s">
        <v>389</v>
      </c>
      <c r="B246" s="490" t="b">
        <f>SUM(W243:W248,W251:W261)=D246</f>
        <v>1</v>
      </c>
      <c r="C246" s="468" t="s">
        <v>390</v>
      </c>
      <c r="D246" s="469">
        <f>SUMIF(FS!$O$9:$O$39,개요!$B$73&amp;RIGHT(NAV!C246,4),FS!$R$9:$R$39)</f>
        <v>0</v>
      </c>
      <c r="E246" s="469">
        <f>SUM(S243:S248)+SUM(S251:S261)</f>
        <v>0</v>
      </c>
      <c r="J246" s="476"/>
      <c r="K246" s="472"/>
      <c r="L246" s="473" t="str">
        <f>IF($J246="","SPC 없음",VLOOKUP($J246&amp;"SPC명",개요!$A$3:$E$1932,3,0))</f>
        <v>SPC 없음</v>
      </c>
      <c r="M246" s="474" t="str">
        <f>IF($J246="","SPC 없음",VLOOKUP($J246&amp;"설정일",개요!$A$3:$E$1932,3,0))</f>
        <v>SPC 없음</v>
      </c>
      <c r="N246" s="475" t="str">
        <f t="shared" si="45"/>
        <v>SPC 없음</v>
      </c>
      <c r="O246" s="471"/>
      <c r="P246" s="476"/>
      <c r="Q246" s="477"/>
      <c r="R246" s="478"/>
      <c r="S246" s="479" t="str">
        <f t="shared" si="46"/>
        <v>SPC 없음</v>
      </c>
      <c r="T246" s="471"/>
      <c r="U246" s="471" t="s">
        <v>94</v>
      </c>
      <c r="V246" s="480">
        <f>IF(U246="한국 원화(KRW)",1,IF(OR(U246=환율!$A$6,U246=환율!$A$7),VLOOKUP(NAV!U246,환율!$A$6:$B$7,2,),IF(RIGHT(U246,5)="(100)",(VLOOKUP(NAV!U246,환율!$A$11:$B$65,2,))/100,VLOOKUP(NAV!U246,환율!$A$11:$B$65,2,))))</f>
        <v>1</v>
      </c>
      <c r="W246" s="481"/>
      <c r="X246" s="482">
        <f t="shared" si="47"/>
        <v>0</v>
      </c>
      <c r="Y246" s="481"/>
      <c r="Z246" s="481"/>
      <c r="AA246" s="483">
        <f t="shared" si="48"/>
        <v>0</v>
      </c>
      <c r="AE246" s="484" t="str">
        <f t="shared" si="49"/>
        <v>SPC 없음</v>
      </c>
      <c r="AF246" s="484" t="str">
        <f t="shared" si="50"/>
        <v>SPC 없음</v>
      </c>
      <c r="AG246" s="485"/>
      <c r="AH246" s="485"/>
      <c r="AI246" s="404"/>
    </row>
    <row r="247" spans="1:35" ht="12.75" thickBot="1">
      <c r="A247" s="492" t="s">
        <v>391</v>
      </c>
      <c r="B247" s="415" t="b">
        <f>D244+D245+D246=D247</f>
        <v>1</v>
      </c>
      <c r="C247" s="493" t="s">
        <v>2</v>
      </c>
      <c r="D247" s="494">
        <f>D243+D246</f>
        <v>0</v>
      </c>
      <c r="E247" s="494">
        <f>E243+E246</f>
        <v>0</v>
      </c>
      <c r="J247" s="476"/>
      <c r="K247" s="472"/>
      <c r="L247" s="473" t="str">
        <f>IF($J247="","SPC 없음",VLOOKUP($J247&amp;"SPC명",개요!$A$3:$E$1932,3,0))</f>
        <v>SPC 없음</v>
      </c>
      <c r="M247" s="474" t="str">
        <f>IF($J247="","SPC 없음",VLOOKUP($J247&amp;"설정일",개요!$A$3:$E$1932,3,0))</f>
        <v>SPC 없음</v>
      </c>
      <c r="N247" s="475" t="str">
        <f t="shared" si="45"/>
        <v>SPC 없음</v>
      </c>
      <c r="O247" s="471"/>
      <c r="P247" s="476"/>
      <c r="Q247" s="477"/>
      <c r="R247" s="478"/>
      <c r="S247" s="479" t="str">
        <f t="shared" si="46"/>
        <v>SPC 없음</v>
      </c>
      <c r="T247" s="471"/>
      <c r="U247" s="471" t="s">
        <v>94</v>
      </c>
      <c r="V247" s="480">
        <f>IF(U247="한국 원화(KRW)",1,IF(OR(U247=환율!$A$6,U247=환율!$A$7),VLOOKUP(NAV!U247,환율!$A$6:$B$7,2,),IF(RIGHT(U247,5)="(100)",(VLOOKUP(NAV!U247,환율!$A$11:$B$65,2,))/100,VLOOKUP(NAV!U247,환율!$A$11:$B$65,2,))))</f>
        <v>1</v>
      </c>
      <c r="W247" s="481"/>
      <c r="X247" s="482">
        <f t="shared" si="47"/>
        <v>0</v>
      </c>
      <c r="Y247" s="481"/>
      <c r="Z247" s="481"/>
      <c r="AA247" s="483">
        <f t="shared" si="48"/>
        <v>0</v>
      </c>
      <c r="AE247" s="484" t="str">
        <f t="shared" si="49"/>
        <v>SPC 없음</v>
      </c>
      <c r="AF247" s="484" t="str">
        <f t="shared" si="50"/>
        <v>SPC 없음</v>
      </c>
      <c r="AG247" s="485"/>
      <c r="AH247" s="485"/>
      <c r="AI247" s="404"/>
    </row>
    <row r="248" spans="1:35" ht="12.75" thickBot="1">
      <c r="A248" s="492"/>
      <c r="B248" s="496"/>
      <c r="C248" s="468" t="s">
        <v>18</v>
      </c>
      <c r="D248" s="469">
        <f>SUM(D249:D252)</f>
        <v>0</v>
      </c>
      <c r="E248" s="469">
        <f>SUM(E249:E252)</f>
        <v>0</v>
      </c>
      <c r="J248" s="476"/>
      <c r="K248" s="472"/>
      <c r="L248" s="473" t="str">
        <f>IF($J248="","SPC 없음",VLOOKUP($J248&amp;"SPC명",개요!$A$3:$E$1932,3,0))</f>
        <v>SPC 없음</v>
      </c>
      <c r="M248" s="474" t="str">
        <f>IF($J248="","SPC 없음",VLOOKUP($J248&amp;"설정일",개요!$A$3:$E$1932,3,0))</f>
        <v>SPC 없음</v>
      </c>
      <c r="N248" s="475" t="str">
        <f t="shared" si="45"/>
        <v>SPC 없음</v>
      </c>
      <c r="O248" s="471"/>
      <c r="P248" s="476"/>
      <c r="Q248" s="477"/>
      <c r="R248" s="478"/>
      <c r="S248" s="479" t="str">
        <f t="shared" si="46"/>
        <v>SPC 없음</v>
      </c>
      <c r="T248" s="471"/>
      <c r="U248" s="471" t="s">
        <v>94</v>
      </c>
      <c r="V248" s="480">
        <f>IF(U248="한국 원화(KRW)",1,IF(OR(U248=환율!$A$6,U248=환율!$A$7),VLOOKUP(NAV!U248,환율!$A$6:$B$7,2,),IF(RIGHT(U248,5)="(100)",(VLOOKUP(NAV!U248,환율!$A$11:$B$65,2,))/100,VLOOKUP(NAV!U248,환율!$A$11:$B$65,2,))))</f>
        <v>1</v>
      </c>
      <c r="W248" s="481"/>
      <c r="X248" s="482">
        <f t="shared" si="47"/>
        <v>0</v>
      </c>
      <c r="Y248" s="481"/>
      <c r="Z248" s="481"/>
      <c r="AA248" s="483">
        <f t="shared" si="48"/>
        <v>0</v>
      </c>
      <c r="AE248" s="484" t="str">
        <f t="shared" si="49"/>
        <v>SPC 없음</v>
      </c>
      <c r="AF248" s="484" t="str">
        <f t="shared" si="50"/>
        <v>SPC 없음</v>
      </c>
      <c r="AG248" s="485"/>
      <c r="AH248" s="485"/>
      <c r="AI248" s="404"/>
    </row>
    <row r="249" spans="1:35">
      <c r="A249" s="492"/>
      <c r="B249" s="496"/>
      <c r="C249" s="486" t="s">
        <v>392</v>
      </c>
      <c r="D249" s="487">
        <f>SUMIF(FS!$O$9:$O$39,개요!$B$73&amp;RIGHT(NAV!C249,5),FS!$R$9:$R$39)</f>
        <v>0</v>
      </c>
      <c r="E249" s="487">
        <f t="shared" ref="E249:E252" si="51">D249</f>
        <v>0</v>
      </c>
      <c r="J249" s="428" t="s">
        <v>275</v>
      </c>
      <c r="K249" s="415"/>
      <c r="L249" s="305"/>
      <c r="M249" s="415"/>
      <c r="N249" s="415"/>
      <c r="O249" s="415"/>
      <c r="P249" s="415"/>
      <c r="Q249" s="422"/>
      <c r="R249" s="415"/>
      <c r="S249" s="415"/>
      <c r="T249" s="415"/>
      <c r="U249" s="415"/>
      <c r="W249" s="517" t="b">
        <f>SUM(W251:W261)+SUM(W243:W248)=D246</f>
        <v>1</v>
      </c>
      <c r="X249" s="415"/>
      <c r="Y249" s="422"/>
      <c r="Z249" s="422"/>
      <c r="AA249" s="459" t="str">
        <f>IF(OR(MAX(AA243:AA248,AA251:AA261)&gt;0.2,MIN(AA243:AA248,AA251:AA261)&lt;-0.2),"특이사항 확인","특이사항 없음")</f>
        <v>특이사항 없음</v>
      </c>
      <c r="AB249" s="415"/>
      <c r="AF249" s="415"/>
      <c r="AG249" s="415"/>
      <c r="AI249" s="404"/>
    </row>
    <row r="250" spans="1:35" ht="12.75" thickBot="1">
      <c r="A250" s="492"/>
      <c r="B250" s="496"/>
      <c r="C250" s="486" t="s">
        <v>393</v>
      </c>
      <c r="D250" s="487">
        <f>SUMIF(FS!$O$9:$O$39,개요!$B$73&amp;RIGHT(NAV!C250,3),FS!$R$9:$R$39)</f>
        <v>0</v>
      </c>
      <c r="E250" s="487">
        <f t="shared" si="51"/>
        <v>0</v>
      </c>
      <c r="I250" s="518">
        <f>COUNTA(J251:J261)</f>
        <v>0</v>
      </c>
      <c r="J250" s="548" t="s">
        <v>394</v>
      </c>
      <c r="K250" s="548" t="s">
        <v>0</v>
      </c>
      <c r="L250" s="548" t="s">
        <v>395</v>
      </c>
      <c r="M250" s="548" t="s">
        <v>396</v>
      </c>
      <c r="N250" s="548" t="s">
        <v>397</v>
      </c>
      <c r="O250" s="548" t="s">
        <v>398</v>
      </c>
      <c r="P250" s="548" t="s">
        <v>380</v>
      </c>
      <c r="Q250" s="519" t="s">
        <v>14</v>
      </c>
      <c r="R250" s="466" t="s">
        <v>299</v>
      </c>
      <c r="S250" s="466" t="s">
        <v>3525</v>
      </c>
      <c r="T250" s="549" t="s">
        <v>399</v>
      </c>
      <c r="U250" s="548" t="s">
        <v>383</v>
      </c>
      <c r="V250" s="548" t="s">
        <v>400</v>
      </c>
      <c r="W250" s="550" t="s">
        <v>10</v>
      </c>
      <c r="X250" s="549" t="s">
        <v>401</v>
      </c>
      <c r="Y250" s="550" t="s">
        <v>402</v>
      </c>
      <c r="Z250" s="550" t="s">
        <v>3523</v>
      </c>
      <c r="AA250" s="548" t="s">
        <v>13</v>
      </c>
      <c r="AB250" s="548" t="s">
        <v>15</v>
      </c>
      <c r="AC250" s="548" t="s">
        <v>403</v>
      </c>
      <c r="AE250" s="467" t="s">
        <v>3627</v>
      </c>
      <c r="AF250" s="467" t="s">
        <v>3628</v>
      </c>
      <c r="AG250" s="467" t="s">
        <v>3629</v>
      </c>
      <c r="AH250" s="467" t="s">
        <v>3630</v>
      </c>
      <c r="AI250" s="404"/>
    </row>
    <row r="251" spans="1:35" ht="12.75" thickBot="1">
      <c r="A251" s="492"/>
      <c r="B251" s="496"/>
      <c r="C251" s="486" t="s">
        <v>404</v>
      </c>
      <c r="D251" s="487">
        <f>SUMIF(FS!$O$9:$O$39,개요!$B$73&amp;RIGHT(NAV!C251,6),FS!$R$9:$R$39)</f>
        <v>0</v>
      </c>
      <c r="E251" s="487">
        <f t="shared" si="51"/>
        <v>0</v>
      </c>
      <c r="J251" s="551"/>
      <c r="K251" s="552"/>
      <c r="L251" s="551"/>
      <c r="M251" s="553"/>
      <c r="N251" s="553"/>
      <c r="O251" s="551"/>
      <c r="P251" s="553"/>
      <c r="Q251" s="524"/>
      <c r="R251" s="478">
        <f>IFERROR(INDEX(기초자산!M$6:M$408,MATCH(K251&amp;N251&amp;O251,기초자산!$A$6:$A$408,0),0),0)</f>
        <v>0</v>
      </c>
      <c r="S251" s="479">
        <f t="shared" ref="S251:S261" si="52">IFERROR(IF(T251="취득원가 준용",Y251,IF(T251="장부가액 준용",W251,IF(P251="주당",R251*Q251*V251,IF(RIGHT(U251,5)="(100)",Y251/1000*R251*V251,Y251/10000*R251*V251)))),0)</f>
        <v>0</v>
      </c>
      <c r="T251" s="553"/>
      <c r="U251" s="471" t="s">
        <v>94</v>
      </c>
      <c r="V251" s="480">
        <f>IF(U251="한국 원화(KRW)",1,IF(OR(U251=환율!$A$6,U251=환율!$A$7),VLOOKUP(NAV!U251,환율!$A$6:$B$7,2,),IF(RIGHT(U251,5)="(100)",(VLOOKUP(NAV!U251,환율!$A$11:$B$65,2,))/100,VLOOKUP(NAV!U251,환율!$A$11:$B$65,2,))))</f>
        <v>1</v>
      </c>
      <c r="W251" s="481"/>
      <c r="X251" s="482">
        <f t="shared" ref="X251:X261" si="53">IFERROR(IF(P251="만원당",10000,Y251/Q251),0)</f>
        <v>0</v>
      </c>
      <c r="Y251" s="481"/>
      <c r="Z251" s="481"/>
      <c r="AA251" s="483">
        <f t="shared" ref="AA251:AA261" si="54">IFERROR(IF(Z251="",S251/W251-1,S251/Z251-1),0)</f>
        <v>0</v>
      </c>
      <c r="AB251" s="554"/>
      <c r="AC251" s="526" t="str">
        <f t="shared" ref="AC251:AC261" si="55">IF(($C$7-AB251)/365&gt;2,"2년이상","2년미만")</f>
        <v>2년이상</v>
      </c>
      <c r="AD251" s="520" t="str">
        <f t="shared" ref="AD251:AD261" si="56">IF(OR(AA251&gt;20%,AA251&lt;-20%),"(1) Note 기재","")</f>
        <v/>
      </c>
      <c r="AE251" s="527">
        <f>IF(OR(T251="MTP",T251="과거거래 이용법",T251="취득원가 준용",T251="장부가액 준용",T251="상장종가 적용"),S251,IF(P251="주당",AG251*Q251*V251,Y251/10000*AG251*V251))</f>
        <v>0</v>
      </c>
      <c r="AF251" s="527">
        <f>IF(OR(T251="MTP",T251="과거거래 이용법",T251="취득원가 준용",T251="장부가액 준용",T251="상장종가 적용"),S251,IF(P251="주당",AH251*Q251*V251,Y251/10000*AH251*V251))</f>
        <v>0</v>
      </c>
      <c r="AG251" s="485"/>
      <c r="AH251" s="485"/>
      <c r="AI251" s="404"/>
    </row>
    <row r="252" spans="1:35" ht="12.75" thickBot="1">
      <c r="A252" s="492"/>
      <c r="B252" s="496"/>
      <c r="C252" s="486" t="s">
        <v>405</v>
      </c>
      <c r="D252" s="487">
        <f>SUMIF(FS!$O$9:$O$39,개요!$B$73&amp;RIGHT(NAV!C252,7),FS!$R$9:$R$39)</f>
        <v>0</v>
      </c>
      <c r="E252" s="487">
        <f t="shared" si="51"/>
        <v>0</v>
      </c>
      <c r="J252" s="551"/>
      <c r="K252" s="552"/>
      <c r="L252" s="551"/>
      <c r="M252" s="553"/>
      <c r="N252" s="553"/>
      <c r="O252" s="551"/>
      <c r="P252" s="553"/>
      <c r="Q252" s="524"/>
      <c r="R252" s="478">
        <f>IFERROR(INDEX(기초자산!M$6:M$408,MATCH(K252&amp;N252&amp;O252,기초자산!$A$6:$A$408,0),0),0)</f>
        <v>0</v>
      </c>
      <c r="S252" s="479">
        <f t="shared" si="52"/>
        <v>0</v>
      </c>
      <c r="T252" s="553"/>
      <c r="U252" s="471" t="s">
        <v>94</v>
      </c>
      <c r="V252" s="480">
        <f>IF(U252="한국 원화(KRW)",1,IF(OR(U252=환율!$A$6,U252=환율!$A$7),VLOOKUP(NAV!U252,환율!$A$6:$B$7,2,),IF(RIGHT(U252,5)="(100)",(VLOOKUP(NAV!U252,환율!$A$11:$B$65,2,))/100,VLOOKUP(NAV!U252,환율!$A$11:$B$65,2,))))</f>
        <v>1</v>
      </c>
      <c r="W252" s="481"/>
      <c r="X252" s="482">
        <f t="shared" si="53"/>
        <v>0</v>
      </c>
      <c r="Y252" s="481"/>
      <c r="Z252" s="481"/>
      <c r="AA252" s="483">
        <f t="shared" si="54"/>
        <v>0</v>
      </c>
      <c r="AB252" s="554"/>
      <c r="AC252" s="526" t="str">
        <f t="shared" si="55"/>
        <v>2년이상</v>
      </c>
      <c r="AD252" s="520" t="str">
        <f t="shared" si="56"/>
        <v/>
      </c>
      <c r="AE252" s="527">
        <f t="shared" ref="AE252:AE261" si="57">IF(OR(T252="MTP",T252="과거거래 이용법",T252="취득원가 준용",T252="장부가액 준용",T252="상장종가 적용"),S252,IF(P252="주당",AG252*Q252*V252,Y252/10000*AG252*V252))</f>
        <v>0</v>
      </c>
      <c r="AF252" s="527">
        <f t="shared" ref="AF252:AF261" si="58">IF(OR(T252="MTP",T252="과거거래 이용법",T252="취득원가 준용",T252="장부가액 준용",T252="상장종가 적용"),S252,IF(P252="주당",AH252*Q252*V252,Y252/10000*AH252*V252))</f>
        <v>0</v>
      </c>
      <c r="AG252" s="485"/>
      <c r="AH252" s="485"/>
      <c r="AI252" s="404"/>
    </row>
    <row r="253" spans="1:35" ht="12.75" thickBot="1">
      <c r="A253" s="492"/>
      <c r="B253" s="496"/>
      <c r="C253" s="468" t="s">
        <v>21</v>
      </c>
      <c r="D253" s="469">
        <f>SUM(D254:D255)</f>
        <v>0</v>
      </c>
      <c r="E253" s="469">
        <f>SUM(E254:E255)</f>
        <v>0</v>
      </c>
      <c r="J253" s="551"/>
      <c r="K253" s="552"/>
      <c r="L253" s="551"/>
      <c r="M253" s="553"/>
      <c r="N253" s="553"/>
      <c r="O253" s="551"/>
      <c r="P253" s="553"/>
      <c r="Q253" s="524"/>
      <c r="R253" s="478">
        <f>IFERROR(INDEX(기초자산!M$6:M$408,MATCH(K253&amp;N253&amp;O253,기초자산!$A$6:$A$408,0),0),0)</f>
        <v>0</v>
      </c>
      <c r="S253" s="479">
        <f t="shared" si="52"/>
        <v>0</v>
      </c>
      <c r="T253" s="553"/>
      <c r="U253" s="471" t="s">
        <v>94</v>
      </c>
      <c r="V253" s="480">
        <f>IF(U253="한국 원화(KRW)",1,IF(OR(U253=환율!$A$6,U253=환율!$A$7),VLOOKUP(NAV!U253,환율!$A$6:$B$7,2,),IF(RIGHT(U253,5)="(100)",(VLOOKUP(NAV!U253,환율!$A$11:$B$65,2,))/100,VLOOKUP(NAV!U253,환율!$A$11:$B$65,2,))))</f>
        <v>1</v>
      </c>
      <c r="W253" s="481"/>
      <c r="X253" s="482">
        <f t="shared" si="53"/>
        <v>0</v>
      </c>
      <c r="Y253" s="481"/>
      <c r="Z253" s="481"/>
      <c r="AA253" s="483">
        <f t="shared" si="54"/>
        <v>0</v>
      </c>
      <c r="AB253" s="554"/>
      <c r="AC253" s="526" t="str">
        <f t="shared" si="55"/>
        <v>2년이상</v>
      </c>
      <c r="AD253" s="520" t="str">
        <f t="shared" si="56"/>
        <v/>
      </c>
      <c r="AE253" s="527">
        <f t="shared" si="57"/>
        <v>0</v>
      </c>
      <c r="AF253" s="527">
        <f t="shared" si="58"/>
        <v>0</v>
      </c>
      <c r="AG253" s="485"/>
      <c r="AH253" s="485"/>
      <c r="AI253" s="404"/>
    </row>
    <row r="254" spans="1:35" ht="12.75" thickBot="1">
      <c r="A254" s="492"/>
      <c r="B254" s="496"/>
      <c r="C254" s="486" t="s">
        <v>406</v>
      </c>
      <c r="D254" s="487">
        <f>SUMIF(FS!$O$9:$O$39,개요!$B$73&amp;RIGHT(NAV!C254,3),FS!$R$9:$R$39)</f>
        <v>0</v>
      </c>
      <c r="E254" s="487">
        <f t="shared" ref="E254:E255" si="59">D254</f>
        <v>0</v>
      </c>
      <c r="J254" s="551"/>
      <c r="K254" s="552"/>
      <c r="L254" s="551"/>
      <c r="M254" s="553"/>
      <c r="N254" s="553"/>
      <c r="O254" s="551"/>
      <c r="P254" s="553"/>
      <c r="Q254" s="524"/>
      <c r="R254" s="478">
        <f>IFERROR(INDEX(기초자산!M$6:M$408,MATCH(K254&amp;N254&amp;O254,기초자산!$A$6:$A$408,0),0),0)</f>
        <v>0</v>
      </c>
      <c r="S254" s="479">
        <f t="shared" si="52"/>
        <v>0</v>
      </c>
      <c r="T254" s="553"/>
      <c r="U254" s="471" t="s">
        <v>94</v>
      </c>
      <c r="V254" s="480">
        <f>IF(U254="한국 원화(KRW)",1,IF(OR(U254=환율!$A$6,U254=환율!$A$7),VLOOKUP(NAV!U254,환율!$A$6:$B$7,2,),IF(RIGHT(U254,5)="(100)",(VLOOKUP(NAV!U254,환율!$A$11:$B$65,2,))/100,VLOOKUP(NAV!U254,환율!$A$11:$B$65,2,))))</f>
        <v>1</v>
      </c>
      <c r="W254" s="481"/>
      <c r="X254" s="482">
        <f t="shared" si="53"/>
        <v>0</v>
      </c>
      <c r="Y254" s="481"/>
      <c r="Z254" s="481"/>
      <c r="AA254" s="483">
        <f t="shared" si="54"/>
        <v>0</v>
      </c>
      <c r="AB254" s="554"/>
      <c r="AC254" s="526" t="str">
        <f t="shared" si="55"/>
        <v>2년이상</v>
      </c>
      <c r="AD254" s="520" t="str">
        <f t="shared" si="56"/>
        <v/>
      </c>
      <c r="AE254" s="527">
        <f t="shared" si="57"/>
        <v>0</v>
      </c>
      <c r="AF254" s="527">
        <f t="shared" si="58"/>
        <v>0</v>
      </c>
      <c r="AG254" s="485"/>
      <c r="AH254" s="485"/>
      <c r="AI254" s="404"/>
    </row>
    <row r="255" spans="1:35" ht="12.75" thickBot="1">
      <c r="A255" s="492"/>
      <c r="B255" s="496"/>
      <c r="C255" s="486" t="s">
        <v>407</v>
      </c>
      <c r="D255" s="487">
        <f>SUMIF(FS!$O$9:$O$39,개요!$B$73&amp;RIGHT(NAV!C255,4),FS!$R$9:$R$39)</f>
        <v>0</v>
      </c>
      <c r="E255" s="487">
        <f t="shared" si="59"/>
        <v>0</v>
      </c>
      <c r="J255" s="551"/>
      <c r="K255" s="552"/>
      <c r="L255" s="551"/>
      <c r="M255" s="553"/>
      <c r="N255" s="553"/>
      <c r="O255" s="551"/>
      <c r="P255" s="553"/>
      <c r="Q255" s="524"/>
      <c r="R255" s="478">
        <f>IFERROR(INDEX(기초자산!M$6:M$408,MATCH(K255&amp;N255&amp;O255,기초자산!$A$6:$A$408,0),0),0)</f>
        <v>0</v>
      </c>
      <c r="S255" s="479">
        <f t="shared" si="52"/>
        <v>0</v>
      </c>
      <c r="T255" s="553"/>
      <c r="U255" s="471" t="s">
        <v>94</v>
      </c>
      <c r="V255" s="480">
        <f>IF(U255="한국 원화(KRW)",1,IF(OR(U255=환율!$A$6,U255=환율!$A$7),VLOOKUP(NAV!U255,환율!$A$6:$B$7,2,),IF(RIGHT(U255,5)="(100)",(VLOOKUP(NAV!U255,환율!$A$11:$B$65,2,))/100,VLOOKUP(NAV!U255,환율!$A$11:$B$65,2,))))</f>
        <v>1</v>
      </c>
      <c r="W255" s="481"/>
      <c r="X255" s="482">
        <f t="shared" si="53"/>
        <v>0</v>
      </c>
      <c r="Y255" s="481"/>
      <c r="Z255" s="481"/>
      <c r="AA255" s="483">
        <f t="shared" si="54"/>
        <v>0</v>
      </c>
      <c r="AB255" s="554"/>
      <c r="AC255" s="526" t="str">
        <f t="shared" si="55"/>
        <v>2년이상</v>
      </c>
      <c r="AD255" s="520" t="str">
        <f t="shared" si="56"/>
        <v/>
      </c>
      <c r="AE255" s="527">
        <f t="shared" si="57"/>
        <v>0</v>
      </c>
      <c r="AF255" s="527">
        <f t="shared" si="58"/>
        <v>0</v>
      </c>
      <c r="AG255" s="485"/>
      <c r="AH255" s="485"/>
      <c r="AI255" s="404"/>
    </row>
    <row r="256" spans="1:35" ht="12.75" thickBot="1">
      <c r="A256" s="489" t="s">
        <v>408</v>
      </c>
      <c r="B256" s="498" t="b">
        <f>D249+D250+D251+D252+D254+D255=D256</f>
        <v>1</v>
      </c>
      <c r="C256" s="493" t="s">
        <v>22</v>
      </c>
      <c r="D256" s="494">
        <f>D248+D253</f>
        <v>0</v>
      </c>
      <c r="E256" s="494">
        <f>E248+E253</f>
        <v>0</v>
      </c>
      <c r="J256" s="551"/>
      <c r="K256" s="552"/>
      <c r="L256" s="551"/>
      <c r="M256" s="553"/>
      <c r="N256" s="553"/>
      <c r="O256" s="551"/>
      <c r="P256" s="553"/>
      <c r="Q256" s="524"/>
      <c r="R256" s="478">
        <f>IFERROR(INDEX(기초자산!M$6:M$408,MATCH(K256&amp;N256&amp;O256,기초자산!$A$6:$A$408,0),0),0)</f>
        <v>0</v>
      </c>
      <c r="S256" s="479">
        <f t="shared" si="52"/>
        <v>0</v>
      </c>
      <c r="T256" s="553"/>
      <c r="U256" s="471" t="s">
        <v>94</v>
      </c>
      <c r="V256" s="480">
        <f>IF(U256="한국 원화(KRW)",1,IF(OR(U256=환율!$A$6,U256=환율!$A$7),VLOOKUP(NAV!U256,환율!$A$6:$B$7,2,),IF(RIGHT(U256,5)="(100)",(VLOOKUP(NAV!U256,환율!$A$11:$B$65,2,))/100,VLOOKUP(NAV!U256,환율!$A$11:$B$65,2,))))</f>
        <v>1</v>
      </c>
      <c r="W256" s="481"/>
      <c r="X256" s="482">
        <f t="shared" si="53"/>
        <v>0</v>
      </c>
      <c r="Y256" s="481"/>
      <c r="Z256" s="481"/>
      <c r="AA256" s="483">
        <f t="shared" si="54"/>
        <v>0</v>
      </c>
      <c r="AB256" s="554"/>
      <c r="AC256" s="526" t="str">
        <f t="shared" si="55"/>
        <v>2년이상</v>
      </c>
      <c r="AD256" s="520" t="str">
        <f t="shared" si="56"/>
        <v/>
      </c>
      <c r="AE256" s="527">
        <f t="shared" si="57"/>
        <v>0</v>
      </c>
      <c r="AF256" s="527">
        <f t="shared" si="58"/>
        <v>0</v>
      </c>
      <c r="AG256" s="485"/>
      <c r="AH256" s="485"/>
      <c r="AI256" s="404"/>
    </row>
    <row r="257" spans="1:35" ht="12.75" thickBot="1">
      <c r="A257" s="492"/>
      <c r="B257" s="555" t="str">
        <f>$B$237&amp;C257</f>
        <v>SPC없음자본금</v>
      </c>
      <c r="C257" s="486" t="s">
        <v>35</v>
      </c>
      <c r="D257" s="487">
        <f>SUMIF(FS!$O$9:$O$39,개요!$B$73&amp;RIGHT(NAV!C257,3),FS!$R$9:$R$39)</f>
        <v>0</v>
      </c>
      <c r="E257" s="487">
        <f t="shared" ref="E257:E259" si="60">D257</f>
        <v>0</v>
      </c>
      <c r="J257" s="551"/>
      <c r="K257" s="552"/>
      <c r="L257" s="551"/>
      <c r="M257" s="553"/>
      <c r="N257" s="553"/>
      <c r="O257" s="551"/>
      <c r="P257" s="553"/>
      <c r="Q257" s="524"/>
      <c r="R257" s="478">
        <f>IFERROR(INDEX(기초자산!M$6:M$408,MATCH(K257&amp;N257&amp;O257,기초자산!$A$6:$A$408,0),0),0)</f>
        <v>0</v>
      </c>
      <c r="S257" s="479">
        <f t="shared" si="52"/>
        <v>0</v>
      </c>
      <c r="T257" s="553"/>
      <c r="U257" s="471" t="s">
        <v>94</v>
      </c>
      <c r="V257" s="480">
        <f>IF(U257="한국 원화(KRW)",1,IF(OR(U257=환율!$A$6,U257=환율!$A$7),VLOOKUP(NAV!U257,환율!$A$6:$B$7,2,),IF(RIGHT(U257,5)="(100)",(VLOOKUP(NAV!U257,환율!$A$11:$B$65,2,))/100,VLOOKUP(NAV!U257,환율!$A$11:$B$65,2,))))</f>
        <v>1</v>
      </c>
      <c r="W257" s="481"/>
      <c r="X257" s="482">
        <f t="shared" si="53"/>
        <v>0</v>
      </c>
      <c r="Y257" s="481"/>
      <c r="Z257" s="481"/>
      <c r="AA257" s="483">
        <f t="shared" si="54"/>
        <v>0</v>
      </c>
      <c r="AB257" s="554"/>
      <c r="AC257" s="526" t="str">
        <f t="shared" si="55"/>
        <v>2년이상</v>
      </c>
      <c r="AD257" s="520" t="str">
        <f t="shared" si="56"/>
        <v/>
      </c>
      <c r="AE257" s="527">
        <f t="shared" si="57"/>
        <v>0</v>
      </c>
      <c r="AF257" s="527">
        <f t="shared" si="58"/>
        <v>0</v>
      </c>
      <c r="AG257" s="485"/>
      <c r="AH257" s="485"/>
      <c r="AI257" s="404"/>
    </row>
    <row r="258" spans="1:35" ht="12.75" thickBot="1">
      <c r="C258" s="486" t="s">
        <v>409</v>
      </c>
      <c r="D258" s="487">
        <f>SUMIF(FS!$O$9:$O$39,개요!$B$73&amp;RIGHT(NAV!C258,10),FS!$R$9:$R$39)</f>
        <v>0</v>
      </c>
      <c r="E258" s="487">
        <f t="shared" si="60"/>
        <v>0</v>
      </c>
      <c r="J258" s="551"/>
      <c r="K258" s="552"/>
      <c r="L258" s="551"/>
      <c r="M258" s="553"/>
      <c r="N258" s="553"/>
      <c r="O258" s="551"/>
      <c r="P258" s="553"/>
      <c r="Q258" s="524"/>
      <c r="R258" s="478">
        <f>IFERROR(INDEX(기초자산!M$6:M$408,MATCH(K258&amp;N258&amp;O258,기초자산!$A$6:$A$408,0),0),0)</f>
        <v>0</v>
      </c>
      <c r="S258" s="479">
        <f t="shared" si="52"/>
        <v>0</v>
      </c>
      <c r="T258" s="553"/>
      <c r="U258" s="471" t="s">
        <v>94</v>
      </c>
      <c r="V258" s="480">
        <f>IF(U258="한국 원화(KRW)",1,IF(OR(U258=환율!$A$6,U258=환율!$A$7),VLOOKUP(NAV!U258,환율!$A$6:$B$7,2,),IF(RIGHT(U258,5)="(100)",(VLOOKUP(NAV!U258,환율!$A$11:$B$65,2,))/100,VLOOKUP(NAV!U258,환율!$A$11:$B$65,2,))))</f>
        <v>1</v>
      </c>
      <c r="W258" s="481"/>
      <c r="X258" s="482">
        <f t="shared" si="53"/>
        <v>0</v>
      </c>
      <c r="Y258" s="481"/>
      <c r="Z258" s="481"/>
      <c r="AA258" s="483">
        <f t="shared" si="54"/>
        <v>0</v>
      </c>
      <c r="AB258" s="554"/>
      <c r="AC258" s="526" t="str">
        <f t="shared" si="55"/>
        <v>2년이상</v>
      </c>
      <c r="AD258" s="520" t="str">
        <f t="shared" si="56"/>
        <v/>
      </c>
      <c r="AE258" s="527">
        <f t="shared" si="57"/>
        <v>0</v>
      </c>
      <c r="AF258" s="527">
        <f t="shared" si="58"/>
        <v>0</v>
      </c>
      <c r="AG258" s="485"/>
      <c r="AH258" s="485"/>
      <c r="AI258" s="404"/>
    </row>
    <row r="259" spans="1:35" ht="12.75" thickBot="1">
      <c r="A259" s="489"/>
      <c r="B259" s="415"/>
      <c r="C259" s="486" t="s">
        <v>410</v>
      </c>
      <c r="D259" s="487">
        <f>SUMIF(FS!$O$9:$O$39,개요!$B$73&amp;RIGHT(NAV!C259,8),FS!$R$9:$R$39)</f>
        <v>0</v>
      </c>
      <c r="E259" s="487">
        <f t="shared" si="60"/>
        <v>0</v>
      </c>
      <c r="J259" s="551"/>
      <c r="K259" s="552"/>
      <c r="L259" s="551"/>
      <c r="M259" s="553"/>
      <c r="N259" s="553"/>
      <c r="O259" s="551"/>
      <c r="P259" s="553"/>
      <c r="Q259" s="524"/>
      <c r="R259" s="478">
        <f>IFERROR(INDEX(기초자산!M$6:M$408,MATCH(K259&amp;N259&amp;O259,기초자산!$A$6:$A$408,0),0),0)</f>
        <v>0</v>
      </c>
      <c r="S259" s="479">
        <f t="shared" si="52"/>
        <v>0</v>
      </c>
      <c r="T259" s="553"/>
      <c r="U259" s="471" t="s">
        <v>94</v>
      </c>
      <c r="V259" s="480">
        <f>IF(U259="한국 원화(KRW)",1,IF(OR(U259=환율!$A$6,U259=환율!$A$7),VLOOKUP(NAV!U259,환율!$A$6:$B$7,2,),IF(RIGHT(U259,5)="(100)",(VLOOKUP(NAV!U259,환율!$A$11:$B$65,2,))/100,VLOOKUP(NAV!U259,환율!$A$11:$B$65,2,))))</f>
        <v>1</v>
      </c>
      <c r="W259" s="481"/>
      <c r="X259" s="482">
        <f t="shared" si="53"/>
        <v>0</v>
      </c>
      <c r="Y259" s="481"/>
      <c r="Z259" s="481"/>
      <c r="AA259" s="483">
        <f t="shared" si="54"/>
        <v>0</v>
      </c>
      <c r="AB259" s="554"/>
      <c r="AC259" s="526" t="str">
        <f t="shared" si="55"/>
        <v>2년이상</v>
      </c>
      <c r="AD259" s="520" t="str">
        <f t="shared" si="56"/>
        <v/>
      </c>
      <c r="AE259" s="527">
        <f t="shared" si="57"/>
        <v>0</v>
      </c>
      <c r="AF259" s="527">
        <f t="shared" si="58"/>
        <v>0</v>
      </c>
      <c r="AG259" s="485"/>
      <c r="AH259" s="485"/>
      <c r="AI259" s="404"/>
    </row>
    <row r="260" spans="1:35" ht="12.75" thickBot="1">
      <c r="A260" s="489" t="s">
        <v>411</v>
      </c>
      <c r="B260" s="415" t="b">
        <f>D260=SUM(D257:D259)</f>
        <v>1</v>
      </c>
      <c r="C260" s="493" t="s">
        <v>412</v>
      </c>
      <c r="D260" s="494">
        <f>D247-D256</f>
        <v>0</v>
      </c>
      <c r="E260" s="494">
        <f>E247-E256</f>
        <v>0</v>
      </c>
      <c r="J260" s="551"/>
      <c r="K260" s="552"/>
      <c r="L260" s="551"/>
      <c r="M260" s="553"/>
      <c r="N260" s="553"/>
      <c r="O260" s="551"/>
      <c r="P260" s="553"/>
      <c r="Q260" s="524"/>
      <c r="R260" s="478">
        <f>IFERROR(INDEX(기초자산!M$6:M$408,MATCH(K260&amp;N260&amp;O260,기초자산!$A$6:$A$408,0),0),0)</f>
        <v>0</v>
      </c>
      <c r="S260" s="479">
        <f t="shared" si="52"/>
        <v>0</v>
      </c>
      <c r="T260" s="553"/>
      <c r="U260" s="471" t="s">
        <v>94</v>
      </c>
      <c r="V260" s="480">
        <f>IF(U260="한국 원화(KRW)",1,IF(OR(U260=환율!$A$6,U260=환율!$A$7),VLOOKUP(NAV!U260,환율!$A$6:$B$7,2,),IF(RIGHT(U260,5)="(100)",(VLOOKUP(NAV!U260,환율!$A$11:$B$65,2,))/100,VLOOKUP(NAV!U260,환율!$A$11:$B$65,2,))))</f>
        <v>1</v>
      </c>
      <c r="W260" s="481"/>
      <c r="X260" s="482">
        <f t="shared" si="53"/>
        <v>0</v>
      </c>
      <c r="Y260" s="481"/>
      <c r="Z260" s="481"/>
      <c r="AA260" s="483">
        <f t="shared" si="54"/>
        <v>0</v>
      </c>
      <c r="AB260" s="554"/>
      <c r="AC260" s="526" t="str">
        <f t="shared" si="55"/>
        <v>2년이상</v>
      </c>
      <c r="AD260" s="520" t="str">
        <f t="shared" si="56"/>
        <v/>
      </c>
      <c r="AE260" s="527">
        <f t="shared" si="57"/>
        <v>0</v>
      </c>
      <c r="AF260" s="527">
        <f t="shared" si="58"/>
        <v>0</v>
      </c>
      <c r="AG260" s="485"/>
      <c r="AH260" s="485"/>
      <c r="AI260" s="404"/>
    </row>
    <row r="261" spans="1:35" ht="12.75" thickBot="1">
      <c r="A261" s="489"/>
      <c r="B261" s="415"/>
      <c r="C261" s="486" t="s">
        <v>413</v>
      </c>
      <c r="D261" s="487">
        <v>0</v>
      </c>
      <c r="E261" s="499">
        <v>0</v>
      </c>
      <c r="J261" s="551"/>
      <c r="K261" s="552"/>
      <c r="L261" s="551"/>
      <c r="M261" s="553"/>
      <c r="N261" s="553"/>
      <c r="O261" s="551"/>
      <c r="P261" s="553"/>
      <c r="Q261" s="524"/>
      <c r="R261" s="478">
        <f>IFERROR(INDEX(기초자산!M$6:M$408,MATCH(K261&amp;N261&amp;O261,기초자산!$A$6:$A$408,0),0),0)</f>
        <v>0</v>
      </c>
      <c r="S261" s="479">
        <f t="shared" si="52"/>
        <v>0</v>
      </c>
      <c r="T261" s="553"/>
      <c r="U261" s="471" t="s">
        <v>94</v>
      </c>
      <c r="V261" s="480">
        <f>IF(U261="한국 원화(KRW)",1,IF(OR(U261=환율!$A$6,U261=환율!$A$7),VLOOKUP(NAV!U261,환율!$A$6:$B$7,2,),IF(RIGHT(U261,5)="(100)",(VLOOKUP(NAV!U261,환율!$A$11:$B$65,2,))/100,VLOOKUP(NAV!U261,환율!$A$11:$B$65,2,))))</f>
        <v>1</v>
      </c>
      <c r="W261" s="481"/>
      <c r="X261" s="482">
        <f t="shared" si="53"/>
        <v>0</v>
      </c>
      <c r="Y261" s="481"/>
      <c r="Z261" s="481"/>
      <c r="AA261" s="483">
        <f t="shared" si="54"/>
        <v>0</v>
      </c>
      <c r="AB261" s="554"/>
      <c r="AC261" s="526" t="str">
        <f t="shared" si="55"/>
        <v>2년이상</v>
      </c>
      <c r="AD261" s="520" t="str">
        <f t="shared" si="56"/>
        <v/>
      </c>
      <c r="AE261" s="527">
        <f t="shared" si="57"/>
        <v>0</v>
      </c>
      <c r="AF261" s="527">
        <f t="shared" si="58"/>
        <v>0</v>
      </c>
      <c r="AG261" s="485"/>
      <c r="AH261" s="485"/>
      <c r="AI261" s="404"/>
    </row>
    <row r="262" spans="1:35">
      <c r="A262" s="489"/>
      <c r="B262" s="415"/>
      <c r="C262" s="486" t="s">
        <v>414</v>
      </c>
      <c r="D262" s="487">
        <v>0</v>
      </c>
      <c r="E262" s="499">
        <v>0</v>
      </c>
      <c r="J262" s="495"/>
      <c r="K262" s="415"/>
      <c r="L262" s="495"/>
      <c r="M262" s="415"/>
      <c r="N262" s="415"/>
      <c r="O262" s="415"/>
      <c r="P262" s="415"/>
      <c r="Q262" s="422"/>
      <c r="R262" s="415"/>
      <c r="S262" s="415"/>
      <c r="T262" s="415"/>
      <c r="U262" s="415"/>
      <c r="V262" s="415"/>
      <c r="W262" s="422"/>
      <c r="X262" s="415"/>
      <c r="Y262" s="458"/>
      <c r="Z262" s="422"/>
      <c r="AA262" s="556"/>
      <c r="AB262" s="556"/>
      <c r="AC262" s="415"/>
      <c r="AE262" s="415"/>
      <c r="AI262" s="404"/>
    </row>
    <row r="263" spans="1:35">
      <c r="A263" s="489"/>
      <c r="B263" s="415"/>
      <c r="C263" s="493" t="s">
        <v>415</v>
      </c>
      <c r="D263" s="494">
        <f>D260+D261-D262</f>
        <v>0</v>
      </c>
      <c r="E263" s="494">
        <f>IF(E260+E261-E262&gt;0,E260+E261-E262,0)</f>
        <v>0</v>
      </c>
      <c r="J263" s="305"/>
      <c r="K263" s="415"/>
      <c r="L263" s="305"/>
      <c r="M263" s="415"/>
      <c r="N263" s="415"/>
      <c r="O263" s="415"/>
      <c r="S263" s="415"/>
      <c r="T263" s="415"/>
      <c r="U263" s="415"/>
      <c r="V263" s="415"/>
      <c r="Y263" s="458"/>
      <c r="AD263" s="557" t="str">
        <f>B237&amp;"순자산가치"</f>
        <v>SPC없음순자산가치</v>
      </c>
      <c r="AE263" s="529">
        <f>IF(E243+SUM(AE243:AE248)+SUM(AE251:AE261)-E256&gt;0,E243+SUM(AE243:AE248)+SUM(AE251:AE261)-E256,0)</f>
        <v>0</v>
      </c>
      <c r="AF263" s="529">
        <f>IF(E243+SUM(AF243:AF248)+SUM(AF251:AF261)-E256&gt;0,E243+SUM(AF243:AF248)+SUM(AF251:AF261)-E256,0)</f>
        <v>0</v>
      </c>
      <c r="AI263" s="404"/>
    </row>
    <row r="264" spans="1:35">
      <c r="A264" s="489"/>
      <c r="B264" s="558" t="str">
        <f>$B$237&amp;C264</f>
        <v>SPC없음보유지분율(%)</v>
      </c>
      <c r="C264" s="493" t="s">
        <v>416</v>
      </c>
      <c r="D264" s="559">
        <f>개요!$C$82</f>
        <v>0</v>
      </c>
      <c r="E264" s="494">
        <f>E263*D264</f>
        <v>0</v>
      </c>
      <c r="F264" s="560" t="s">
        <v>417</v>
      </c>
      <c r="G264" s="560"/>
      <c r="J264" s="495"/>
      <c r="K264" s="415"/>
      <c r="L264" s="495"/>
      <c r="M264" s="415"/>
      <c r="N264" s="415"/>
      <c r="O264" s="415"/>
      <c r="S264" s="415"/>
      <c r="T264" s="415"/>
      <c r="U264" s="415"/>
      <c r="V264" s="415"/>
      <c r="Y264" s="458"/>
      <c r="AD264" s="557" t="s">
        <v>272</v>
      </c>
      <c r="AE264" s="561">
        <f>$D264</f>
        <v>0</v>
      </c>
      <c r="AF264" s="561">
        <f>$D264</f>
        <v>0</v>
      </c>
      <c r="AI264" s="404"/>
    </row>
    <row r="265" spans="1:35">
      <c r="A265" s="489"/>
      <c r="B265" s="415"/>
      <c r="G265" s="503" t="s">
        <v>419</v>
      </c>
      <c r="I265" s="562"/>
      <c r="J265" s="495"/>
      <c r="K265" s="415"/>
      <c r="L265" s="495"/>
      <c r="M265" s="415"/>
      <c r="N265" s="415"/>
      <c r="O265" s="415"/>
      <c r="S265" s="415"/>
      <c r="T265" s="415"/>
      <c r="U265" s="415"/>
      <c r="V265" s="415"/>
      <c r="Y265" s="458"/>
      <c r="AD265" s="557" t="str">
        <f>B237&amp;"지분율 반영 순자산가치"</f>
        <v>SPC없음지분율 반영 순자산가치</v>
      </c>
      <c r="AE265" s="529">
        <f>AE263*AE264</f>
        <v>0</v>
      </c>
      <c r="AF265" s="529">
        <f>AF263*AF264</f>
        <v>0</v>
      </c>
      <c r="AI265" s="404"/>
    </row>
    <row r="266" spans="1:35">
      <c r="A266" s="489"/>
      <c r="D266" s="504" t="s">
        <v>370</v>
      </c>
      <c r="E266" s="505">
        <f>$C$7</f>
        <v>45473</v>
      </c>
      <c r="F266" s="506"/>
      <c r="G266" s="505"/>
      <c r="I266" s="563"/>
      <c r="J266" s="495"/>
      <c r="K266" s="415"/>
      <c r="L266" s="495"/>
      <c r="M266" s="415"/>
      <c r="N266" s="415"/>
      <c r="O266" s="415"/>
      <c r="S266" s="415"/>
      <c r="T266" s="415"/>
      <c r="U266" s="415"/>
      <c r="V266" s="415"/>
      <c r="Y266" s="422"/>
      <c r="AI266" s="404"/>
    </row>
    <row r="267" spans="1:35">
      <c r="D267" s="486" t="s">
        <v>412</v>
      </c>
      <c r="E267" s="487">
        <f>E263</f>
        <v>0</v>
      </c>
      <c r="F267" s="507" t="e">
        <f>E267/G267-1</f>
        <v>#DIV/0!</v>
      </c>
      <c r="G267" s="487"/>
      <c r="I267" s="564"/>
      <c r="J267" s="495"/>
      <c r="K267" s="415"/>
      <c r="L267" s="495"/>
      <c r="M267" s="415"/>
      <c r="S267" s="415"/>
      <c r="T267" s="415"/>
      <c r="U267" s="415"/>
      <c r="V267" s="415"/>
      <c r="Y267" s="422"/>
      <c r="AI267" s="404"/>
    </row>
    <row r="268" spans="1:35">
      <c r="A268" s="489"/>
      <c r="B268" s="415"/>
      <c r="D268" s="486" t="s">
        <v>418</v>
      </c>
      <c r="E268" s="565">
        <f>$D$264</f>
        <v>0</v>
      </c>
      <c r="F268" s="507"/>
      <c r="G268" s="565"/>
      <c r="I268" s="566"/>
      <c r="J268" s="305"/>
      <c r="K268" s="415"/>
      <c r="L268" s="305"/>
      <c r="M268" s="415"/>
      <c r="S268" s="415"/>
      <c r="T268" s="415"/>
      <c r="U268" s="415"/>
      <c r="V268" s="415"/>
      <c r="Y268" s="422"/>
      <c r="AI268" s="404"/>
    </row>
    <row r="269" spans="1:35">
      <c r="A269" s="489"/>
      <c r="B269" s="415"/>
      <c r="D269" s="567" t="s">
        <v>420</v>
      </c>
      <c r="E269" s="568">
        <f>E267*E268</f>
        <v>0</v>
      </c>
      <c r="F269" s="507" t="e">
        <f>E269/G269-1</f>
        <v>#DIV/0!</v>
      </c>
      <c r="G269" s="568"/>
      <c r="I269" s="564"/>
      <c r="AI269" s="404"/>
    </row>
    <row r="270" spans="1:35">
      <c r="E270" s="304" t="b">
        <f>E269=E264</f>
        <v>1</v>
      </c>
      <c r="AI270" s="404"/>
    </row>
    <row r="271" spans="1:35">
      <c r="F271" s="507"/>
      <c r="G271" s="507"/>
      <c r="AI271" s="404"/>
    </row>
    <row r="272" spans="1:35" ht="12.75" thickBot="1">
      <c r="A272" s="536"/>
      <c r="B272" s="536"/>
      <c r="C272" s="536"/>
      <c r="D272" s="536"/>
      <c r="E272" s="536"/>
      <c r="F272" s="572"/>
      <c r="G272" s="572"/>
      <c r="H272" s="536"/>
      <c r="I272" s="537"/>
      <c r="J272" s="536"/>
      <c r="K272" s="536"/>
      <c r="L272" s="536"/>
      <c r="M272" s="536"/>
      <c r="N272" s="536"/>
      <c r="O272" s="536"/>
      <c r="P272" s="536"/>
      <c r="Q272" s="540"/>
      <c r="R272" s="536"/>
      <c r="S272" s="536"/>
      <c r="T272" s="536"/>
      <c r="U272" s="536"/>
      <c r="V272" s="536"/>
      <c r="W272" s="540"/>
      <c r="X272" s="536"/>
      <c r="Y272" s="540"/>
      <c r="Z272" s="540"/>
      <c r="AA272" s="536"/>
      <c r="AB272" s="536"/>
      <c r="AC272" s="536"/>
      <c r="AD272" s="541"/>
      <c r="AE272" s="536"/>
      <c r="AF272" s="536"/>
      <c r="AG272" s="536"/>
      <c r="AH272" s="536"/>
      <c r="AI272" s="404"/>
    </row>
    <row r="273" spans="1:35" ht="12.75" thickTop="1">
      <c r="AI273" s="404"/>
    </row>
    <row r="274" spans="1:35" ht="12.75" thickBot="1">
      <c r="A274" s="459"/>
      <c r="B274" s="415"/>
      <c r="J274" s="428" t="s">
        <v>273</v>
      </c>
      <c r="K274" s="489"/>
      <c r="L274" s="497"/>
      <c r="M274" s="489"/>
      <c r="N274" s="415"/>
      <c r="O274" s="415"/>
      <c r="AI274" s="404"/>
    </row>
    <row r="275" spans="1:35" ht="12.75" thickBot="1">
      <c r="A275" s="542" t="s">
        <v>421</v>
      </c>
      <c r="B275" s="543" t="str">
        <f>IF(개요!$B$85="","SPC없음",개요!$B$85)</f>
        <v>SPC없음</v>
      </c>
      <c r="C275" s="454"/>
      <c r="J275" s="433"/>
      <c r="K275" s="434"/>
      <c r="L275" s="434"/>
      <c r="M275" s="434"/>
      <c r="N275" s="434"/>
      <c r="O275" s="434"/>
      <c r="P275" s="434"/>
      <c r="Q275" s="435"/>
      <c r="R275" s="434"/>
      <c r="S275" s="434"/>
      <c r="T275" s="434"/>
      <c r="U275" s="434"/>
      <c r="V275" s="436"/>
      <c r="AI275" s="404"/>
    </row>
    <row r="276" spans="1:35">
      <c r="B276" s="543" t="s">
        <v>369</v>
      </c>
      <c r="C276" s="569" t="str">
        <f>IF(개요!$C$86="","SPC없음",개요!$C$86)</f>
        <v>SPC없음</v>
      </c>
      <c r="J276" s="442"/>
      <c r="K276" s="151"/>
      <c r="L276" s="151"/>
      <c r="M276" s="151"/>
      <c r="N276" s="151"/>
      <c r="O276" s="151"/>
      <c r="P276" s="151"/>
      <c r="Q276" s="443"/>
      <c r="R276" s="151"/>
      <c r="S276" s="151"/>
      <c r="T276" s="151"/>
      <c r="U276" s="151"/>
      <c r="V276" s="444"/>
      <c r="AI276" s="404"/>
    </row>
    <row r="277" spans="1:35">
      <c r="B277" s="437" t="s">
        <v>422</v>
      </c>
      <c r="C277" s="570">
        <f>$C$7</f>
        <v>45473</v>
      </c>
      <c r="D277" s="546" t="b">
        <f>C277&gt;=C278</f>
        <v>1</v>
      </c>
      <c r="J277" s="442"/>
      <c r="K277" s="151"/>
      <c r="L277" s="151"/>
      <c r="M277" s="151"/>
      <c r="N277" s="151"/>
      <c r="O277" s="151"/>
      <c r="P277" s="151"/>
      <c r="Q277" s="443"/>
      <c r="R277" s="151"/>
      <c r="S277" s="151"/>
      <c r="T277" s="151"/>
      <c r="U277" s="151"/>
      <c r="V277" s="444"/>
      <c r="AI277" s="404"/>
    </row>
    <row r="278" spans="1:35" ht="12.75" thickBot="1">
      <c r="B278" s="449" t="s">
        <v>371</v>
      </c>
      <c r="C278" s="571">
        <f>FS!$X$8</f>
        <v>0</v>
      </c>
      <c r="J278" s="453"/>
      <c r="K278" s="454"/>
      <c r="L278" s="454"/>
      <c r="M278" s="454"/>
      <c r="N278" s="454"/>
      <c r="O278" s="454"/>
      <c r="P278" s="454"/>
      <c r="Q278" s="455"/>
      <c r="R278" s="454"/>
      <c r="S278" s="454"/>
      <c r="T278" s="454"/>
      <c r="U278" s="454"/>
      <c r="V278" s="456"/>
      <c r="AI278" s="404"/>
    </row>
    <row r="279" spans="1:35">
      <c r="A279" s="459"/>
      <c r="J279" s="428" t="s">
        <v>423</v>
      </c>
      <c r="K279" s="448"/>
      <c r="L279" s="420"/>
      <c r="M279" s="448"/>
      <c r="N279" s="448"/>
      <c r="O279" s="448"/>
      <c r="P279" s="415"/>
      <c r="Q279" s="422"/>
      <c r="R279" s="415"/>
      <c r="S279" s="415"/>
      <c r="T279" s="415"/>
      <c r="U279" s="415"/>
      <c r="V279" s="415"/>
      <c r="W279" s="422"/>
      <c r="Z279" s="458"/>
      <c r="AA279" s="459"/>
      <c r="AE279" s="803" t="s">
        <v>8</v>
      </c>
      <c r="AF279" s="803"/>
      <c r="AG279" s="460"/>
      <c r="AH279" s="460"/>
      <c r="AI279" s="404"/>
    </row>
    <row r="280" spans="1:35" ht="12.75" thickBot="1">
      <c r="A280" s="461" t="str">
        <f>IF(AND(B281:B307),"검증완료","검증필요")</f>
        <v>검증완료</v>
      </c>
      <c r="B280" s="462" t="s">
        <v>373</v>
      </c>
      <c r="C280" s="462" t="s">
        <v>9</v>
      </c>
      <c r="D280" s="462" t="s">
        <v>10</v>
      </c>
      <c r="E280" s="462" t="s">
        <v>11</v>
      </c>
      <c r="J280" s="462" t="s">
        <v>375</v>
      </c>
      <c r="K280" s="464" t="s">
        <v>424</v>
      </c>
      <c r="L280" s="462" t="s">
        <v>425</v>
      </c>
      <c r="M280" s="462" t="s">
        <v>426</v>
      </c>
      <c r="N280" s="462" t="s">
        <v>427</v>
      </c>
      <c r="O280" s="462" t="s">
        <v>1</v>
      </c>
      <c r="P280" s="464" t="s">
        <v>380</v>
      </c>
      <c r="Q280" s="465" t="s">
        <v>14</v>
      </c>
      <c r="R280" s="466" t="s">
        <v>428</v>
      </c>
      <c r="S280" s="466" t="s">
        <v>382</v>
      </c>
      <c r="T280" s="462" t="s">
        <v>12</v>
      </c>
      <c r="U280" s="462" t="s">
        <v>383</v>
      </c>
      <c r="V280" s="462" t="s">
        <v>400</v>
      </c>
      <c r="W280" s="465" t="s">
        <v>429</v>
      </c>
      <c r="X280" s="462" t="s">
        <v>385</v>
      </c>
      <c r="Y280" s="465" t="s">
        <v>430</v>
      </c>
      <c r="Z280" s="465" t="s">
        <v>3522</v>
      </c>
      <c r="AA280" s="464" t="s">
        <v>13</v>
      </c>
      <c r="AE280" s="467" t="s">
        <v>3627</v>
      </c>
      <c r="AF280" s="467" t="s">
        <v>3628</v>
      </c>
      <c r="AG280" s="467" t="s">
        <v>3629</v>
      </c>
      <c r="AH280" s="467" t="s">
        <v>3630</v>
      </c>
      <c r="AI280" s="404"/>
    </row>
    <row r="281" spans="1:35" ht="12.75" thickBot="1">
      <c r="A281" s="415"/>
      <c r="B281" s="415"/>
      <c r="C281" s="468" t="s">
        <v>16</v>
      </c>
      <c r="D281" s="469">
        <f>SUM(D282:D283)</f>
        <v>0</v>
      </c>
      <c r="E281" s="469">
        <f>SUM(E282:E283)</f>
        <v>0</v>
      </c>
      <c r="J281" s="476"/>
      <c r="K281" s="472"/>
      <c r="L281" s="473" t="str">
        <f>IF($J281="","SPC 없음",VLOOKUP($J281&amp;"SPC명",개요!$A$3:$E$1932,3,0))</f>
        <v>SPC 없음</v>
      </c>
      <c r="M281" s="474" t="str">
        <f>IF($J281="","SPC 없음",VLOOKUP($J281&amp;"설정일",개요!$A$3:$E$1932,3,0))</f>
        <v>SPC 없음</v>
      </c>
      <c r="N281" s="475" t="str">
        <f t="shared" ref="N281:N286" si="61">IF($J281="","SPC 없음",VLOOKUP($J281&amp;"자본금",$B$4:$E$2079,3,0)*VLOOKUP($J281&amp;"보유지분율(%)",$B$4:$E$2079,3,0))</f>
        <v>SPC 없음</v>
      </c>
      <c r="O281" s="471"/>
      <c r="P281" s="476"/>
      <c r="Q281" s="477"/>
      <c r="R281" s="478"/>
      <c r="S281" s="479" t="str">
        <f t="shared" ref="S281:S286" si="62">IF($J281="","SPC 없음",IF(P281="총액",IF(T281="장부가액 준용",W281,(VLOOKUP($J281&amp;"보유지분율(%)",$B$4:$E$2079,4,0))*V281),Q281*R281))</f>
        <v>SPC 없음</v>
      </c>
      <c r="T281" s="471"/>
      <c r="U281" s="471" t="s">
        <v>94</v>
      </c>
      <c r="V281" s="480">
        <f>IF(U281="한국 원화(KRW)",1,IF(OR(U281=환율!$A$6,U281=환율!$A$7),VLOOKUP(NAV!U281,환율!$A$6:$B$7,2,),IF(RIGHT(U281,5)="(100)",(VLOOKUP(NAV!U281,환율!$A$11:$B$51,2,))/100,VLOOKUP(NAV!U281,환율!$A$11:$B$51,2,))))</f>
        <v>1</v>
      </c>
      <c r="W281" s="481"/>
      <c r="X281" s="482">
        <f t="shared" ref="X281:X286" si="63">IFERROR(IF(P281="만원당",10000,Y281/Q281),0)</f>
        <v>0</v>
      </c>
      <c r="Y281" s="481"/>
      <c r="Z281" s="481"/>
      <c r="AA281" s="483">
        <f t="shared" ref="AA281:AA286" si="64">IFERROR(IF(Z281="",S281/W281-1,S281/Z281-1),0)</f>
        <v>0</v>
      </c>
      <c r="AE281" s="484" t="str">
        <f t="shared" ref="AE281:AE286" si="65">IF($J281="","SPC 없음",IF(P281="총액",(VLOOKUP($J281&amp;"지분율 반영 순자산가치",$AD$4:$AH$4973,2,0))*V281,AG281*$Q281))</f>
        <v>SPC 없음</v>
      </c>
      <c r="AF281" s="484" t="str">
        <f t="shared" ref="AF281:AF286" si="66">IF($J281="","SPC 없음",IF(P281="총액",(VLOOKUP($J281&amp;"지분율 반영 순자산가치",$AD$4:$AH$4973,3,0))*V281,AH281*$Q281))</f>
        <v>SPC 없음</v>
      </c>
      <c r="AG281" s="485"/>
      <c r="AH281" s="485"/>
      <c r="AI281" s="404"/>
    </row>
    <row r="282" spans="1:35" ht="12.75" thickBot="1">
      <c r="A282" s="415"/>
      <c r="B282" s="415"/>
      <c r="C282" s="486" t="s">
        <v>387</v>
      </c>
      <c r="D282" s="487">
        <f>SUMIF(FS!$U$9:$U$39,개요!$B$85&amp;RIGHT(NAV!C282,10),FS!$X$9:$X$39)</f>
        <v>0</v>
      </c>
      <c r="E282" s="487">
        <f>D282</f>
        <v>0</v>
      </c>
      <c r="J282" s="476"/>
      <c r="K282" s="472"/>
      <c r="L282" s="473" t="str">
        <f>IF($J282="","SPC 없음",VLOOKUP($J282&amp;"SPC명",개요!$A$3:$E$1932,3,0))</f>
        <v>SPC 없음</v>
      </c>
      <c r="M282" s="474" t="str">
        <f>IF($J282="","SPC 없음",VLOOKUP($J282&amp;"설정일",개요!$A$3:$E$1932,3,0))</f>
        <v>SPC 없음</v>
      </c>
      <c r="N282" s="475" t="str">
        <f t="shared" si="61"/>
        <v>SPC 없음</v>
      </c>
      <c r="O282" s="471"/>
      <c r="P282" s="476"/>
      <c r="Q282" s="477"/>
      <c r="R282" s="478"/>
      <c r="S282" s="479" t="str">
        <f t="shared" si="62"/>
        <v>SPC 없음</v>
      </c>
      <c r="T282" s="471"/>
      <c r="U282" s="471" t="s">
        <v>94</v>
      </c>
      <c r="V282" s="480">
        <f>IF(U282="한국 원화(KRW)",1,IF(OR(U282=환율!$A$6,U282=환율!$A$7),VLOOKUP(NAV!U282,환율!$A$6:$B$7,2,),IF(RIGHT(U282,5)="(100)",(VLOOKUP(NAV!U282,환율!$A$11:$B$51,2,))/100,VLOOKUP(NAV!U282,환율!$A$11:$B$51,2,))))</f>
        <v>1</v>
      </c>
      <c r="W282" s="481"/>
      <c r="X282" s="482">
        <f t="shared" si="63"/>
        <v>0</v>
      </c>
      <c r="Y282" s="481"/>
      <c r="Z282" s="481"/>
      <c r="AA282" s="483">
        <f t="shared" si="64"/>
        <v>0</v>
      </c>
      <c r="AE282" s="484" t="str">
        <f t="shared" si="65"/>
        <v>SPC 없음</v>
      </c>
      <c r="AF282" s="484" t="str">
        <f t="shared" si="66"/>
        <v>SPC 없음</v>
      </c>
      <c r="AG282" s="485"/>
      <c r="AH282" s="485"/>
      <c r="AI282" s="404"/>
    </row>
    <row r="283" spans="1:35" ht="12.75" thickBot="1">
      <c r="A283" s="415"/>
      <c r="B283" s="415"/>
      <c r="C283" s="486" t="s">
        <v>431</v>
      </c>
      <c r="D283" s="487">
        <f>SUMIF(FS!$U$9:$U$39,개요!$B$85&amp;RIGHT(NAV!C283,4),FS!$X$9:$X$39)</f>
        <v>0</v>
      </c>
      <c r="E283" s="487">
        <f>D283</f>
        <v>0</v>
      </c>
      <c r="J283" s="476"/>
      <c r="K283" s="472"/>
      <c r="L283" s="473" t="str">
        <f>IF($J283="","SPC 없음",VLOOKUP($J283&amp;"SPC명",개요!$A$3:$E$1932,3,0))</f>
        <v>SPC 없음</v>
      </c>
      <c r="M283" s="474" t="str">
        <f>IF($J283="","SPC 없음",VLOOKUP($J283&amp;"설정일",개요!$A$3:$E$1932,3,0))</f>
        <v>SPC 없음</v>
      </c>
      <c r="N283" s="475" t="str">
        <f t="shared" si="61"/>
        <v>SPC 없음</v>
      </c>
      <c r="O283" s="471"/>
      <c r="P283" s="476"/>
      <c r="Q283" s="477"/>
      <c r="R283" s="478"/>
      <c r="S283" s="479" t="str">
        <f t="shared" si="62"/>
        <v>SPC 없음</v>
      </c>
      <c r="T283" s="471"/>
      <c r="U283" s="471" t="s">
        <v>94</v>
      </c>
      <c r="V283" s="480">
        <f>IF(U283="한국 원화(KRW)",1,IF(OR(U283=환율!$A$6,U283=환율!$A$7),VLOOKUP(NAV!U283,환율!$A$6:$B$7,2,),IF(RIGHT(U283,5)="(100)",(VLOOKUP(NAV!U283,환율!$A$11:$B$51,2,))/100,VLOOKUP(NAV!U283,환율!$A$11:$B$51,2,))))</f>
        <v>1</v>
      </c>
      <c r="W283" s="481"/>
      <c r="X283" s="482">
        <f t="shared" si="63"/>
        <v>0</v>
      </c>
      <c r="Y283" s="481"/>
      <c r="Z283" s="481"/>
      <c r="AA283" s="483">
        <f t="shared" si="64"/>
        <v>0</v>
      </c>
      <c r="AE283" s="484" t="str">
        <f t="shared" si="65"/>
        <v>SPC 없음</v>
      </c>
      <c r="AF283" s="484" t="str">
        <f t="shared" si="66"/>
        <v>SPC 없음</v>
      </c>
      <c r="AG283" s="485"/>
      <c r="AH283" s="485"/>
      <c r="AI283" s="404"/>
    </row>
    <row r="284" spans="1:35" ht="12.75" thickBot="1">
      <c r="A284" s="489" t="s">
        <v>432</v>
      </c>
      <c r="B284" s="490" t="b">
        <f>SUM(W281:W286,W289:W299)=D284</f>
        <v>1</v>
      </c>
      <c r="C284" s="468" t="s">
        <v>390</v>
      </c>
      <c r="D284" s="469">
        <f>SUMIF(FS!$U$9:$U$39,개요!$B$85&amp;RIGHT(NAV!C284,4),FS!$X$9:$X$39)</f>
        <v>0</v>
      </c>
      <c r="E284" s="469">
        <f>SUM(S281:S286)+SUM(S289:S299)</f>
        <v>0</v>
      </c>
      <c r="J284" s="476"/>
      <c r="K284" s="472"/>
      <c r="L284" s="473" t="str">
        <f>IF($J284="","SPC 없음",VLOOKUP($J284&amp;"SPC명",개요!$A$3:$E$1932,3,0))</f>
        <v>SPC 없음</v>
      </c>
      <c r="M284" s="474" t="str">
        <f>IF($J284="","SPC 없음",VLOOKUP($J284&amp;"설정일",개요!$A$3:$E$1932,3,0))</f>
        <v>SPC 없음</v>
      </c>
      <c r="N284" s="475" t="str">
        <f t="shared" si="61"/>
        <v>SPC 없음</v>
      </c>
      <c r="O284" s="471"/>
      <c r="P284" s="476"/>
      <c r="Q284" s="477"/>
      <c r="R284" s="478"/>
      <c r="S284" s="479" t="str">
        <f t="shared" si="62"/>
        <v>SPC 없음</v>
      </c>
      <c r="T284" s="471"/>
      <c r="U284" s="471" t="s">
        <v>94</v>
      </c>
      <c r="V284" s="480">
        <f>IF(U284="한국 원화(KRW)",1,IF(OR(U284=환율!$A$6,U284=환율!$A$7),VLOOKUP(NAV!U284,환율!$A$6:$B$7,2,),IF(RIGHT(U284,5)="(100)",(VLOOKUP(NAV!U284,환율!$A$11:$B$51,2,))/100,VLOOKUP(NAV!U284,환율!$A$11:$B$51,2,))))</f>
        <v>1</v>
      </c>
      <c r="W284" s="481"/>
      <c r="X284" s="482">
        <f t="shared" si="63"/>
        <v>0</v>
      </c>
      <c r="Y284" s="481"/>
      <c r="Z284" s="481"/>
      <c r="AA284" s="483">
        <f t="shared" si="64"/>
        <v>0</v>
      </c>
      <c r="AE284" s="484" t="str">
        <f t="shared" si="65"/>
        <v>SPC 없음</v>
      </c>
      <c r="AF284" s="484" t="str">
        <f t="shared" si="66"/>
        <v>SPC 없음</v>
      </c>
      <c r="AG284" s="485"/>
      <c r="AH284" s="485"/>
      <c r="AI284" s="404"/>
    </row>
    <row r="285" spans="1:35" ht="12.75" thickBot="1">
      <c r="A285" s="492" t="s">
        <v>391</v>
      </c>
      <c r="B285" s="415" t="b">
        <f>D282+D283+D284=D285</f>
        <v>1</v>
      </c>
      <c r="C285" s="493" t="s">
        <v>2</v>
      </c>
      <c r="D285" s="494">
        <f>D281+D284</f>
        <v>0</v>
      </c>
      <c r="E285" s="494">
        <f>E281+E284</f>
        <v>0</v>
      </c>
      <c r="J285" s="476"/>
      <c r="K285" s="472"/>
      <c r="L285" s="473" t="str">
        <f>IF($J285="","SPC 없음",VLOOKUP($J285&amp;"SPC명",개요!$A$3:$E$1932,3,0))</f>
        <v>SPC 없음</v>
      </c>
      <c r="M285" s="474" t="str">
        <f>IF($J285="","SPC 없음",VLOOKUP($J285&amp;"설정일",개요!$A$3:$E$1932,3,0))</f>
        <v>SPC 없음</v>
      </c>
      <c r="N285" s="475" t="str">
        <f t="shared" si="61"/>
        <v>SPC 없음</v>
      </c>
      <c r="O285" s="471"/>
      <c r="P285" s="476"/>
      <c r="Q285" s="477"/>
      <c r="R285" s="478"/>
      <c r="S285" s="479" t="str">
        <f t="shared" si="62"/>
        <v>SPC 없음</v>
      </c>
      <c r="T285" s="471"/>
      <c r="U285" s="471" t="s">
        <v>94</v>
      </c>
      <c r="V285" s="480">
        <f>IF(U285="한국 원화(KRW)",1,IF(OR(U285=환율!$A$6,U285=환율!$A$7),VLOOKUP(NAV!U285,환율!$A$6:$B$7,2,),IF(RIGHT(U285,5)="(100)",(VLOOKUP(NAV!U285,환율!$A$11:$B$51,2,))/100,VLOOKUP(NAV!U285,환율!$A$11:$B$51,2,))))</f>
        <v>1</v>
      </c>
      <c r="W285" s="481"/>
      <c r="X285" s="482">
        <f t="shared" si="63"/>
        <v>0</v>
      </c>
      <c r="Y285" s="481"/>
      <c r="Z285" s="481"/>
      <c r="AA285" s="483">
        <f t="shared" si="64"/>
        <v>0</v>
      </c>
      <c r="AE285" s="484" t="str">
        <f t="shared" si="65"/>
        <v>SPC 없음</v>
      </c>
      <c r="AF285" s="484" t="str">
        <f t="shared" si="66"/>
        <v>SPC 없음</v>
      </c>
      <c r="AG285" s="485"/>
      <c r="AH285" s="485"/>
      <c r="AI285" s="404"/>
    </row>
    <row r="286" spans="1:35" ht="12.75" thickBot="1">
      <c r="A286" s="492"/>
      <c r="B286" s="496"/>
      <c r="C286" s="468" t="s">
        <v>18</v>
      </c>
      <c r="D286" s="469">
        <f>SUM(D287:D290)</f>
        <v>0</v>
      </c>
      <c r="E286" s="469">
        <f>SUM(E287:E290)</f>
        <v>0</v>
      </c>
      <c r="J286" s="476"/>
      <c r="K286" s="472"/>
      <c r="L286" s="473" t="str">
        <f>IF($J286="","SPC 없음",VLOOKUP($J286&amp;"SPC명",개요!$A$3:$E$1932,3,0))</f>
        <v>SPC 없음</v>
      </c>
      <c r="M286" s="474" t="str">
        <f>IF($J286="","SPC 없음",VLOOKUP($J286&amp;"설정일",개요!$A$3:$E$1932,3,0))</f>
        <v>SPC 없음</v>
      </c>
      <c r="N286" s="475" t="str">
        <f t="shared" si="61"/>
        <v>SPC 없음</v>
      </c>
      <c r="O286" s="471"/>
      <c r="P286" s="476"/>
      <c r="Q286" s="477"/>
      <c r="R286" s="478"/>
      <c r="S286" s="479" t="str">
        <f t="shared" si="62"/>
        <v>SPC 없음</v>
      </c>
      <c r="T286" s="471"/>
      <c r="U286" s="471" t="s">
        <v>94</v>
      </c>
      <c r="V286" s="480">
        <f>IF(U286="한국 원화(KRW)",1,IF(OR(U286=환율!$A$6,U286=환율!$A$7),VLOOKUP(NAV!U286,환율!$A$6:$B$7,2,),IF(RIGHT(U286,5)="(100)",(VLOOKUP(NAV!U286,환율!$A$11:$B$51,2,))/100,VLOOKUP(NAV!U286,환율!$A$11:$B$51,2,))))</f>
        <v>1</v>
      </c>
      <c r="W286" s="481"/>
      <c r="X286" s="482">
        <f t="shared" si="63"/>
        <v>0</v>
      </c>
      <c r="Y286" s="481"/>
      <c r="Z286" s="481"/>
      <c r="AA286" s="483">
        <f t="shared" si="64"/>
        <v>0</v>
      </c>
      <c r="AE286" s="484" t="str">
        <f t="shared" si="65"/>
        <v>SPC 없음</v>
      </c>
      <c r="AF286" s="484" t="str">
        <f t="shared" si="66"/>
        <v>SPC 없음</v>
      </c>
      <c r="AG286" s="485"/>
      <c r="AH286" s="485"/>
      <c r="AI286" s="404"/>
    </row>
    <row r="287" spans="1:35">
      <c r="A287" s="492"/>
      <c r="B287" s="496"/>
      <c r="C287" s="486" t="s">
        <v>392</v>
      </c>
      <c r="D287" s="487">
        <f>SUMIF(FS!$U$9:$U$39,개요!$B$85&amp;RIGHT(NAV!C287,5),FS!$X$9:$X$39)</f>
        <v>0</v>
      </c>
      <c r="E287" s="487">
        <f>D287</f>
        <v>0</v>
      </c>
      <c r="J287" s="428" t="s">
        <v>275</v>
      </c>
      <c r="K287" s="415"/>
      <c r="L287" s="305"/>
      <c r="M287" s="415"/>
      <c r="N287" s="415"/>
      <c r="O287" s="415"/>
      <c r="P287" s="415"/>
      <c r="Q287" s="422"/>
      <c r="R287" s="415"/>
      <c r="S287" s="415"/>
      <c r="T287" s="415"/>
      <c r="U287" s="415"/>
      <c r="W287" s="517" t="b">
        <f>SUM(W289:W299)+SUM(W281:W286)=D284</f>
        <v>1</v>
      </c>
      <c r="X287" s="415"/>
      <c r="Y287" s="422"/>
      <c r="Z287" s="422"/>
      <c r="AA287" s="459" t="str">
        <f>IF(OR(MAX(AA281:AA286,AA289:AA299)&gt;0.2,MIN(AA281:AA286,AA289:AA299)&lt;-0.2),"특이사항 확인","특이사항 없음")</f>
        <v>특이사항 없음</v>
      </c>
      <c r="AB287" s="415"/>
      <c r="AF287" s="415"/>
      <c r="AG287" s="415"/>
      <c r="AI287" s="404"/>
    </row>
    <row r="288" spans="1:35" ht="12.75" thickBot="1">
      <c r="A288" s="492"/>
      <c r="B288" s="496"/>
      <c r="C288" s="486" t="s">
        <v>433</v>
      </c>
      <c r="D288" s="487">
        <f>SUMIF(FS!$U$9:$U$39,개요!$B$85&amp;RIGHT(NAV!C288,3),FS!$X$9:$X$39)</f>
        <v>0</v>
      </c>
      <c r="E288" s="487">
        <f t="shared" ref="E288:E289" si="67">D288</f>
        <v>0</v>
      </c>
      <c r="I288" s="518">
        <f>COUNTA(J289:J299)</f>
        <v>0</v>
      </c>
      <c r="J288" s="548" t="s">
        <v>434</v>
      </c>
      <c r="K288" s="548" t="s">
        <v>0</v>
      </c>
      <c r="L288" s="548" t="s">
        <v>435</v>
      </c>
      <c r="M288" s="548" t="s">
        <v>436</v>
      </c>
      <c r="N288" s="548" t="s">
        <v>397</v>
      </c>
      <c r="O288" s="548" t="s">
        <v>398</v>
      </c>
      <c r="P288" s="548" t="s">
        <v>437</v>
      </c>
      <c r="Q288" s="519" t="s">
        <v>14</v>
      </c>
      <c r="R288" s="466" t="s">
        <v>299</v>
      </c>
      <c r="S288" s="466" t="s">
        <v>3525</v>
      </c>
      <c r="T288" s="549" t="s">
        <v>399</v>
      </c>
      <c r="U288" s="548" t="s">
        <v>383</v>
      </c>
      <c r="V288" s="548" t="s">
        <v>400</v>
      </c>
      <c r="W288" s="550" t="s">
        <v>10</v>
      </c>
      <c r="X288" s="549" t="s">
        <v>439</v>
      </c>
      <c r="Y288" s="550" t="s">
        <v>402</v>
      </c>
      <c r="Z288" s="550" t="s">
        <v>3523</v>
      </c>
      <c r="AA288" s="548" t="s">
        <v>13</v>
      </c>
      <c r="AB288" s="548" t="s">
        <v>440</v>
      </c>
      <c r="AC288" s="548" t="s">
        <v>441</v>
      </c>
      <c r="AE288" s="467" t="s">
        <v>3627</v>
      </c>
      <c r="AF288" s="467" t="s">
        <v>3628</v>
      </c>
      <c r="AG288" s="467" t="s">
        <v>3629</v>
      </c>
      <c r="AH288" s="467" t="s">
        <v>3630</v>
      </c>
      <c r="AI288" s="404"/>
    </row>
    <row r="289" spans="1:35" ht="12.75" thickBot="1">
      <c r="A289" s="492"/>
      <c r="B289" s="496"/>
      <c r="C289" s="486" t="s">
        <v>404</v>
      </c>
      <c r="D289" s="487">
        <f>SUMIF(FS!$U$9:$U$39,개요!$B$85&amp;RIGHT(NAV!C289,6),FS!$X$9:$X$39)</f>
        <v>0</v>
      </c>
      <c r="E289" s="487">
        <f t="shared" si="67"/>
        <v>0</v>
      </c>
      <c r="J289" s="551"/>
      <c r="K289" s="552"/>
      <c r="L289" s="551"/>
      <c r="M289" s="553"/>
      <c r="N289" s="553"/>
      <c r="O289" s="551"/>
      <c r="P289" s="553"/>
      <c r="Q289" s="524"/>
      <c r="R289" s="478">
        <f>IFERROR(INDEX(기초자산!M$6:M$408,MATCH(K289&amp;N289&amp;O289,기초자산!$A$6:$A$408,0),0),0)</f>
        <v>0</v>
      </c>
      <c r="S289" s="479">
        <f t="shared" ref="S289:S299" si="68">IFERROR(IF(T289="취득원가 준용",Y289,IF(T289="장부가액 준용",W289,IF(P289="주당",R289*Q289*V289,IF(RIGHT(U289,5)="(100)",Y289/1000*R289*V289,Y289/10000*R289*V289)))),0)</f>
        <v>0</v>
      </c>
      <c r="T289" s="553"/>
      <c r="U289" s="471" t="s">
        <v>94</v>
      </c>
      <c r="V289" s="480">
        <f>IF(U289="한국 원화(KRW)",1,IF(OR(U289=환율!$A$6,U289=환율!$A$7),VLOOKUP(NAV!U289,환율!$A$6:$B$7,2,),IF(RIGHT(U289,5)="(100)",(VLOOKUP(NAV!U289,환율!$A$11:$B$65,2,))/100,VLOOKUP(NAV!U289,환율!$A$11:$B$65,2,))))</f>
        <v>1</v>
      </c>
      <c r="W289" s="481"/>
      <c r="X289" s="482">
        <f t="shared" ref="X289:X299" si="69">IFERROR(IF(P289="만원당",10000,Y289/Q289),0)</f>
        <v>0</v>
      </c>
      <c r="Y289" s="481"/>
      <c r="Z289" s="481"/>
      <c r="AA289" s="483">
        <f t="shared" ref="AA289:AA299" si="70">IFERROR(IF(Z289="",S289/W289-1,S289/Z289-1),0)</f>
        <v>0</v>
      </c>
      <c r="AB289" s="554"/>
      <c r="AC289" s="526" t="str">
        <f t="shared" ref="AC289:AC299" si="71">IF(($C$7-AB289)/365&gt;2,"2년이상","2년미만")</f>
        <v>2년이상</v>
      </c>
      <c r="AD289" s="520" t="str">
        <f t="shared" ref="AD289:AD299" si="72">IF(OR(AA289&gt;20%,AA289&lt;-20%),"(1) Note 기재","")</f>
        <v/>
      </c>
      <c r="AE289" s="527">
        <f>IF(OR(T289="MTP",T289="과거거래 이용법",T289="취득원가 준용",T289="장부가액 준용",T289="상장종가 적용"),S289,IF(P289="주당",AG289*Q289*V289,Y289/10000*AG289*V289))</f>
        <v>0</v>
      </c>
      <c r="AF289" s="527">
        <f>IF(OR(T289="MTP",T289="과거거래 이용법",T289="취득원가 준용",T289="장부가액 준용",T289="상장종가 적용"),S289,IF(P289="주당",AH289*Q289*V289,Y289/10000*AH289*V289))</f>
        <v>0</v>
      </c>
      <c r="AG289" s="485"/>
      <c r="AH289" s="485"/>
      <c r="AI289" s="404"/>
    </row>
    <row r="290" spans="1:35" ht="12.75" thickBot="1">
      <c r="A290" s="492"/>
      <c r="B290" s="496"/>
      <c r="C290" s="486" t="s">
        <v>405</v>
      </c>
      <c r="D290" s="487">
        <f>SUMIF(FS!$U$9:$U$39,개요!$B$85&amp;RIGHT(NAV!C290,7),FS!$X$9:$X$39)</f>
        <v>0</v>
      </c>
      <c r="E290" s="487">
        <f>D290</f>
        <v>0</v>
      </c>
      <c r="J290" s="551"/>
      <c r="K290" s="552"/>
      <c r="L290" s="551"/>
      <c r="M290" s="553"/>
      <c r="N290" s="553"/>
      <c r="O290" s="551"/>
      <c r="P290" s="553"/>
      <c r="Q290" s="524"/>
      <c r="R290" s="478">
        <f>IFERROR(INDEX(기초자산!M$6:M$408,MATCH(K290&amp;N290&amp;O290,기초자산!$A$6:$A$408,0),0),0)</f>
        <v>0</v>
      </c>
      <c r="S290" s="479">
        <f t="shared" si="68"/>
        <v>0</v>
      </c>
      <c r="T290" s="553"/>
      <c r="U290" s="471" t="s">
        <v>94</v>
      </c>
      <c r="V290" s="480">
        <f>IF(U290="한국 원화(KRW)",1,IF(OR(U290=환율!$A$6,U290=환율!$A$7),VLOOKUP(NAV!U290,환율!$A$6:$B$7,2,),IF(RIGHT(U290,5)="(100)",(VLOOKUP(NAV!U290,환율!$A$11:$B$65,2,))/100,VLOOKUP(NAV!U290,환율!$A$11:$B$65,2,))))</f>
        <v>1</v>
      </c>
      <c r="W290" s="481"/>
      <c r="X290" s="482">
        <f t="shared" si="69"/>
        <v>0</v>
      </c>
      <c r="Y290" s="481"/>
      <c r="Z290" s="481"/>
      <c r="AA290" s="483">
        <f t="shared" si="70"/>
        <v>0</v>
      </c>
      <c r="AB290" s="554"/>
      <c r="AC290" s="526" t="str">
        <f t="shared" si="71"/>
        <v>2년이상</v>
      </c>
      <c r="AD290" s="520" t="str">
        <f t="shared" si="72"/>
        <v/>
      </c>
      <c r="AE290" s="527">
        <f t="shared" ref="AE290:AE299" si="73">IF(OR(T290="MTP",T290="과거거래 이용법",T290="취득원가 준용",T290="장부가액 준용",T290="상장종가 적용"),S290,IF(P290="주당",AG290*Q290*V290,Y290/10000*AG290*V290))</f>
        <v>0</v>
      </c>
      <c r="AF290" s="527">
        <f t="shared" ref="AF290:AF299" si="74">IF(OR(T290="MTP",T290="과거거래 이용법",T290="취득원가 준용",T290="장부가액 준용",T290="상장종가 적용"),S290,IF(P290="주당",AH290*Q290*V290,Y290/10000*AH290*V290))</f>
        <v>0</v>
      </c>
      <c r="AG290" s="485"/>
      <c r="AH290" s="485"/>
      <c r="AI290" s="404"/>
    </row>
    <row r="291" spans="1:35" ht="12.75" thickBot="1">
      <c r="A291" s="492"/>
      <c r="B291" s="496"/>
      <c r="C291" s="468" t="s">
        <v>442</v>
      </c>
      <c r="D291" s="469">
        <f>SUM(D292:D293)</f>
        <v>0</v>
      </c>
      <c r="E291" s="469">
        <f>SUM(E292:E293)</f>
        <v>0</v>
      </c>
      <c r="J291" s="551"/>
      <c r="K291" s="552"/>
      <c r="L291" s="551"/>
      <c r="M291" s="553"/>
      <c r="N291" s="553"/>
      <c r="O291" s="551"/>
      <c r="P291" s="553"/>
      <c r="Q291" s="524"/>
      <c r="R291" s="478">
        <f>IFERROR(INDEX(기초자산!M$6:M$408,MATCH(K291&amp;N291&amp;O291,기초자산!$A$6:$A$408,0),0),0)</f>
        <v>0</v>
      </c>
      <c r="S291" s="479">
        <f t="shared" si="68"/>
        <v>0</v>
      </c>
      <c r="T291" s="553"/>
      <c r="U291" s="471" t="s">
        <v>94</v>
      </c>
      <c r="V291" s="480">
        <f>IF(U291="한국 원화(KRW)",1,IF(OR(U291=환율!$A$6,U291=환율!$A$7),VLOOKUP(NAV!U291,환율!$A$6:$B$7,2,),IF(RIGHT(U291,5)="(100)",(VLOOKUP(NAV!U291,환율!$A$11:$B$65,2,))/100,VLOOKUP(NAV!U291,환율!$A$11:$B$65,2,))))</f>
        <v>1</v>
      </c>
      <c r="W291" s="481"/>
      <c r="X291" s="482">
        <f t="shared" si="69"/>
        <v>0</v>
      </c>
      <c r="Y291" s="481"/>
      <c r="Z291" s="481"/>
      <c r="AA291" s="483">
        <f t="shared" si="70"/>
        <v>0</v>
      </c>
      <c r="AB291" s="554"/>
      <c r="AC291" s="526" t="str">
        <f t="shared" si="71"/>
        <v>2년이상</v>
      </c>
      <c r="AD291" s="520" t="str">
        <f t="shared" si="72"/>
        <v/>
      </c>
      <c r="AE291" s="527">
        <f t="shared" si="73"/>
        <v>0</v>
      </c>
      <c r="AF291" s="527">
        <f t="shared" si="74"/>
        <v>0</v>
      </c>
      <c r="AG291" s="485"/>
      <c r="AH291" s="485"/>
      <c r="AI291" s="404"/>
    </row>
    <row r="292" spans="1:35" ht="12.75" thickBot="1">
      <c r="A292" s="492"/>
      <c r="B292" s="496"/>
      <c r="C292" s="486" t="s">
        <v>406</v>
      </c>
      <c r="D292" s="487">
        <f>SUMIF(FS!$U$9:$U$39,개요!$B$85&amp;RIGHT(NAV!C292,3),FS!$X$9:$X$39)</f>
        <v>0</v>
      </c>
      <c r="E292" s="487">
        <f>D292</f>
        <v>0</v>
      </c>
      <c r="J292" s="551"/>
      <c r="K292" s="552"/>
      <c r="L292" s="551"/>
      <c r="M292" s="553"/>
      <c r="N292" s="553"/>
      <c r="O292" s="551"/>
      <c r="P292" s="553"/>
      <c r="Q292" s="524"/>
      <c r="R292" s="478">
        <f>IFERROR(INDEX(기초자산!M$6:M$408,MATCH(K292&amp;N292&amp;O292,기초자산!$A$6:$A$408,0),0),0)</f>
        <v>0</v>
      </c>
      <c r="S292" s="479">
        <f t="shared" si="68"/>
        <v>0</v>
      </c>
      <c r="T292" s="553"/>
      <c r="U292" s="471" t="s">
        <v>94</v>
      </c>
      <c r="V292" s="480">
        <f>IF(U292="한국 원화(KRW)",1,IF(OR(U292=환율!$A$6,U292=환율!$A$7),VLOOKUP(NAV!U292,환율!$A$6:$B$7,2,),IF(RIGHT(U292,5)="(100)",(VLOOKUP(NAV!U292,환율!$A$11:$B$65,2,))/100,VLOOKUP(NAV!U292,환율!$A$11:$B$65,2,))))</f>
        <v>1</v>
      </c>
      <c r="W292" s="481"/>
      <c r="X292" s="482">
        <f t="shared" si="69"/>
        <v>0</v>
      </c>
      <c r="Y292" s="481"/>
      <c r="Z292" s="481"/>
      <c r="AA292" s="483">
        <f t="shared" si="70"/>
        <v>0</v>
      </c>
      <c r="AB292" s="554"/>
      <c r="AC292" s="526" t="str">
        <f t="shared" si="71"/>
        <v>2년이상</v>
      </c>
      <c r="AD292" s="520" t="str">
        <f t="shared" si="72"/>
        <v/>
      </c>
      <c r="AE292" s="527">
        <f t="shared" si="73"/>
        <v>0</v>
      </c>
      <c r="AF292" s="527">
        <f t="shared" si="74"/>
        <v>0</v>
      </c>
      <c r="AG292" s="485"/>
      <c r="AH292" s="485"/>
      <c r="AI292" s="404"/>
    </row>
    <row r="293" spans="1:35" ht="12.75" thickBot="1">
      <c r="A293" s="492"/>
      <c r="B293" s="496"/>
      <c r="C293" s="486" t="s">
        <v>443</v>
      </c>
      <c r="D293" s="487">
        <f>SUMIF(FS!$U$9:$U$39,개요!$B$85&amp;RIGHT(NAV!C293,4),FS!$X$9:$X$39)</f>
        <v>0</v>
      </c>
      <c r="E293" s="487">
        <f>D293</f>
        <v>0</v>
      </c>
      <c r="J293" s="551"/>
      <c r="K293" s="552"/>
      <c r="L293" s="551"/>
      <c r="M293" s="553"/>
      <c r="N293" s="553"/>
      <c r="O293" s="551"/>
      <c r="P293" s="553"/>
      <c r="Q293" s="524"/>
      <c r="R293" s="478">
        <f>IFERROR(INDEX(기초자산!M$6:M$408,MATCH(K293&amp;N293&amp;O293,기초자산!$A$6:$A$408,0),0),0)</f>
        <v>0</v>
      </c>
      <c r="S293" s="479">
        <f t="shared" si="68"/>
        <v>0</v>
      </c>
      <c r="T293" s="553"/>
      <c r="U293" s="471" t="s">
        <v>94</v>
      </c>
      <c r="V293" s="480">
        <f>IF(U293="한국 원화(KRW)",1,IF(OR(U293=환율!$A$6,U293=환율!$A$7),VLOOKUP(NAV!U293,환율!$A$6:$B$7,2,),IF(RIGHT(U293,5)="(100)",(VLOOKUP(NAV!U293,환율!$A$11:$B$65,2,))/100,VLOOKUP(NAV!U293,환율!$A$11:$B$65,2,))))</f>
        <v>1</v>
      </c>
      <c r="W293" s="481"/>
      <c r="X293" s="482">
        <f t="shared" si="69"/>
        <v>0</v>
      </c>
      <c r="Y293" s="481"/>
      <c r="Z293" s="481"/>
      <c r="AA293" s="483">
        <f t="shared" si="70"/>
        <v>0</v>
      </c>
      <c r="AB293" s="554"/>
      <c r="AC293" s="526" t="str">
        <f t="shared" si="71"/>
        <v>2년이상</v>
      </c>
      <c r="AD293" s="520" t="str">
        <f t="shared" si="72"/>
        <v/>
      </c>
      <c r="AE293" s="527">
        <f t="shared" si="73"/>
        <v>0</v>
      </c>
      <c r="AF293" s="527">
        <f t="shared" si="74"/>
        <v>0</v>
      </c>
      <c r="AG293" s="485"/>
      <c r="AH293" s="485"/>
      <c r="AI293" s="404"/>
    </row>
    <row r="294" spans="1:35" ht="12.75" thickBot="1">
      <c r="A294" s="489" t="s">
        <v>408</v>
      </c>
      <c r="B294" s="498" t="b">
        <f>D287+D288+D289+D290+D292+D293=D294</f>
        <v>1</v>
      </c>
      <c r="C294" s="493" t="s">
        <v>22</v>
      </c>
      <c r="D294" s="494">
        <f>D286+D291</f>
        <v>0</v>
      </c>
      <c r="E294" s="494">
        <f>E286+E291</f>
        <v>0</v>
      </c>
      <c r="J294" s="551"/>
      <c r="K294" s="552"/>
      <c r="L294" s="551"/>
      <c r="M294" s="553"/>
      <c r="N294" s="553"/>
      <c r="O294" s="551"/>
      <c r="P294" s="553"/>
      <c r="Q294" s="524"/>
      <c r="R294" s="478">
        <f>IFERROR(INDEX(기초자산!M$6:M$408,MATCH(K294&amp;N294&amp;O294,기초자산!$A$6:$A$408,0),0),0)</f>
        <v>0</v>
      </c>
      <c r="S294" s="479">
        <f t="shared" si="68"/>
        <v>0</v>
      </c>
      <c r="T294" s="553"/>
      <c r="U294" s="471" t="s">
        <v>94</v>
      </c>
      <c r="V294" s="480">
        <f>IF(U294="한국 원화(KRW)",1,IF(OR(U294=환율!$A$6,U294=환율!$A$7),VLOOKUP(NAV!U294,환율!$A$6:$B$7,2,),IF(RIGHT(U294,5)="(100)",(VLOOKUP(NAV!U294,환율!$A$11:$B$65,2,))/100,VLOOKUP(NAV!U294,환율!$A$11:$B$65,2,))))</f>
        <v>1</v>
      </c>
      <c r="W294" s="481"/>
      <c r="X294" s="482">
        <f t="shared" si="69"/>
        <v>0</v>
      </c>
      <c r="Y294" s="481"/>
      <c r="Z294" s="481"/>
      <c r="AA294" s="483">
        <f t="shared" si="70"/>
        <v>0</v>
      </c>
      <c r="AB294" s="554"/>
      <c r="AC294" s="526" t="str">
        <f t="shared" si="71"/>
        <v>2년이상</v>
      </c>
      <c r="AD294" s="520" t="str">
        <f t="shared" si="72"/>
        <v/>
      </c>
      <c r="AE294" s="527">
        <f t="shared" si="73"/>
        <v>0</v>
      </c>
      <c r="AF294" s="527">
        <f t="shared" si="74"/>
        <v>0</v>
      </c>
      <c r="AG294" s="485"/>
      <c r="AH294" s="485"/>
      <c r="AI294" s="404"/>
    </row>
    <row r="295" spans="1:35" ht="12.75" thickBot="1">
      <c r="A295" s="492"/>
      <c r="B295" s="555" t="str">
        <f>$B$275&amp;C295</f>
        <v>SPC없음자본금</v>
      </c>
      <c r="C295" s="486" t="s">
        <v>35</v>
      </c>
      <c r="D295" s="487">
        <f>SUMIF(FS!$U$9:$U$39,개요!$B$85&amp;RIGHT(NAV!C295,3),FS!$X$9:$X$39)</f>
        <v>0</v>
      </c>
      <c r="E295" s="487">
        <f>D295</f>
        <v>0</v>
      </c>
      <c r="J295" s="551"/>
      <c r="K295" s="552"/>
      <c r="L295" s="551"/>
      <c r="M295" s="553"/>
      <c r="N295" s="553"/>
      <c r="O295" s="551"/>
      <c r="P295" s="553"/>
      <c r="Q295" s="524"/>
      <c r="R295" s="478">
        <f>IFERROR(INDEX(기초자산!M$6:M$408,MATCH(K295&amp;N295&amp;O295,기초자산!$A$6:$A$408,0),0),0)</f>
        <v>0</v>
      </c>
      <c r="S295" s="479">
        <f t="shared" si="68"/>
        <v>0</v>
      </c>
      <c r="T295" s="553"/>
      <c r="U295" s="471" t="s">
        <v>94</v>
      </c>
      <c r="V295" s="480">
        <f>IF(U295="한국 원화(KRW)",1,IF(OR(U295=환율!$A$6,U295=환율!$A$7),VLOOKUP(NAV!U295,환율!$A$6:$B$7,2,),IF(RIGHT(U295,5)="(100)",(VLOOKUP(NAV!U295,환율!$A$11:$B$65,2,))/100,VLOOKUP(NAV!U295,환율!$A$11:$B$65,2,))))</f>
        <v>1</v>
      </c>
      <c r="W295" s="481"/>
      <c r="X295" s="482">
        <f t="shared" si="69"/>
        <v>0</v>
      </c>
      <c r="Y295" s="481"/>
      <c r="Z295" s="481"/>
      <c r="AA295" s="483">
        <f t="shared" si="70"/>
        <v>0</v>
      </c>
      <c r="AB295" s="554"/>
      <c r="AC295" s="526" t="str">
        <f t="shared" si="71"/>
        <v>2년이상</v>
      </c>
      <c r="AD295" s="520" t="str">
        <f t="shared" si="72"/>
        <v/>
      </c>
      <c r="AE295" s="527">
        <f t="shared" si="73"/>
        <v>0</v>
      </c>
      <c r="AF295" s="527">
        <f t="shared" si="74"/>
        <v>0</v>
      </c>
      <c r="AG295" s="485"/>
      <c r="AH295" s="485"/>
      <c r="AI295" s="404"/>
    </row>
    <row r="296" spans="1:35" ht="12.75" thickBot="1">
      <c r="C296" s="486" t="s">
        <v>409</v>
      </c>
      <c r="D296" s="487">
        <f>SUMIF(FS!$U$9:$U$39,개요!$B$85&amp;RIGHT(NAV!C296,10),FS!$X$9:$X$39)</f>
        <v>0</v>
      </c>
      <c r="E296" s="487">
        <f>D296</f>
        <v>0</v>
      </c>
      <c r="J296" s="551"/>
      <c r="K296" s="552"/>
      <c r="L296" s="551"/>
      <c r="M296" s="553"/>
      <c r="N296" s="553"/>
      <c r="O296" s="551"/>
      <c r="P296" s="553"/>
      <c r="Q296" s="524"/>
      <c r="R296" s="478">
        <f>IFERROR(INDEX(기초자산!M$6:M$408,MATCH(K296&amp;N296&amp;O296,기초자산!$A$6:$A$408,0),0),0)</f>
        <v>0</v>
      </c>
      <c r="S296" s="479">
        <f t="shared" si="68"/>
        <v>0</v>
      </c>
      <c r="T296" s="553"/>
      <c r="U296" s="471" t="s">
        <v>94</v>
      </c>
      <c r="V296" s="480">
        <f>IF(U296="한국 원화(KRW)",1,IF(OR(U296=환율!$A$6,U296=환율!$A$7),VLOOKUP(NAV!U296,환율!$A$6:$B$7,2,),IF(RIGHT(U296,5)="(100)",(VLOOKUP(NAV!U296,환율!$A$11:$B$65,2,))/100,VLOOKUP(NAV!U296,환율!$A$11:$B$65,2,))))</f>
        <v>1</v>
      </c>
      <c r="W296" s="481"/>
      <c r="X296" s="482">
        <f t="shared" si="69"/>
        <v>0</v>
      </c>
      <c r="Y296" s="481"/>
      <c r="Z296" s="481"/>
      <c r="AA296" s="483">
        <f t="shared" si="70"/>
        <v>0</v>
      </c>
      <c r="AB296" s="554"/>
      <c r="AC296" s="526" t="str">
        <f t="shared" si="71"/>
        <v>2년이상</v>
      </c>
      <c r="AD296" s="520" t="str">
        <f t="shared" si="72"/>
        <v/>
      </c>
      <c r="AE296" s="527">
        <f t="shared" si="73"/>
        <v>0</v>
      </c>
      <c r="AF296" s="527">
        <f t="shared" si="74"/>
        <v>0</v>
      </c>
      <c r="AG296" s="485"/>
      <c r="AH296" s="485"/>
      <c r="AI296" s="404"/>
    </row>
    <row r="297" spans="1:35" ht="12.75" thickBot="1">
      <c r="A297" s="489"/>
      <c r="B297" s="415"/>
      <c r="C297" s="486" t="s">
        <v>444</v>
      </c>
      <c r="D297" s="487">
        <f>SUMIF(FS!$U$9:$U$39,개요!$B$85&amp;RIGHT(NAV!C297,8),FS!$X$9:$X$39)</f>
        <v>0</v>
      </c>
      <c r="E297" s="487">
        <f>D297</f>
        <v>0</v>
      </c>
      <c r="J297" s="551"/>
      <c r="K297" s="552"/>
      <c r="L297" s="551"/>
      <c r="M297" s="553"/>
      <c r="N297" s="553"/>
      <c r="O297" s="551"/>
      <c r="P297" s="553"/>
      <c r="Q297" s="524"/>
      <c r="R297" s="478">
        <f>IFERROR(INDEX(기초자산!M$6:M$408,MATCH(K297&amp;N297&amp;O297,기초자산!$A$6:$A$408,0),0),0)</f>
        <v>0</v>
      </c>
      <c r="S297" s="479">
        <f t="shared" si="68"/>
        <v>0</v>
      </c>
      <c r="T297" s="553"/>
      <c r="U297" s="471" t="s">
        <v>94</v>
      </c>
      <c r="V297" s="480">
        <f>IF(U297="한국 원화(KRW)",1,IF(OR(U297=환율!$A$6,U297=환율!$A$7),VLOOKUP(NAV!U297,환율!$A$6:$B$7,2,),IF(RIGHT(U297,5)="(100)",(VLOOKUP(NAV!U297,환율!$A$11:$B$65,2,))/100,VLOOKUP(NAV!U297,환율!$A$11:$B$65,2,))))</f>
        <v>1</v>
      </c>
      <c r="W297" s="481"/>
      <c r="X297" s="482">
        <f t="shared" si="69"/>
        <v>0</v>
      </c>
      <c r="Y297" s="481"/>
      <c r="Z297" s="481"/>
      <c r="AA297" s="483">
        <f t="shared" si="70"/>
        <v>0</v>
      </c>
      <c r="AB297" s="554"/>
      <c r="AC297" s="526" t="str">
        <f t="shared" si="71"/>
        <v>2년이상</v>
      </c>
      <c r="AD297" s="520" t="str">
        <f t="shared" si="72"/>
        <v/>
      </c>
      <c r="AE297" s="527">
        <f t="shared" si="73"/>
        <v>0</v>
      </c>
      <c r="AF297" s="527">
        <f t="shared" si="74"/>
        <v>0</v>
      </c>
      <c r="AG297" s="485"/>
      <c r="AH297" s="485"/>
      <c r="AI297" s="404"/>
    </row>
    <row r="298" spans="1:35" ht="12.75" thickBot="1">
      <c r="A298" s="489" t="s">
        <v>411</v>
      </c>
      <c r="B298" s="415" t="b">
        <f>D298=SUM(D295:D297)</f>
        <v>1</v>
      </c>
      <c r="C298" s="493" t="s">
        <v>412</v>
      </c>
      <c r="D298" s="494">
        <f>D285-D294</f>
        <v>0</v>
      </c>
      <c r="E298" s="494">
        <f>E285-E294</f>
        <v>0</v>
      </c>
      <c r="J298" s="551"/>
      <c r="K298" s="552"/>
      <c r="L298" s="551"/>
      <c r="M298" s="553"/>
      <c r="N298" s="553"/>
      <c r="O298" s="551"/>
      <c r="P298" s="553"/>
      <c r="Q298" s="524"/>
      <c r="R298" s="478">
        <f>IFERROR(INDEX(기초자산!M$6:M$408,MATCH(K298&amp;N298&amp;O298,기초자산!$A$6:$A$408,0),0),0)</f>
        <v>0</v>
      </c>
      <c r="S298" s="479">
        <f t="shared" si="68"/>
        <v>0</v>
      </c>
      <c r="T298" s="553"/>
      <c r="U298" s="471" t="s">
        <v>94</v>
      </c>
      <c r="V298" s="480">
        <f>IF(U298="한국 원화(KRW)",1,IF(OR(U298=환율!$A$6,U298=환율!$A$7),VLOOKUP(NAV!U298,환율!$A$6:$B$7,2,),IF(RIGHT(U298,5)="(100)",(VLOOKUP(NAV!U298,환율!$A$11:$B$65,2,))/100,VLOOKUP(NAV!U298,환율!$A$11:$B$65,2,))))</f>
        <v>1</v>
      </c>
      <c r="W298" s="481"/>
      <c r="X298" s="482">
        <f t="shared" si="69"/>
        <v>0</v>
      </c>
      <c r="Y298" s="481"/>
      <c r="Z298" s="481"/>
      <c r="AA298" s="483">
        <f t="shared" si="70"/>
        <v>0</v>
      </c>
      <c r="AB298" s="554"/>
      <c r="AC298" s="526" t="str">
        <f t="shared" si="71"/>
        <v>2년이상</v>
      </c>
      <c r="AD298" s="520" t="str">
        <f t="shared" si="72"/>
        <v/>
      </c>
      <c r="AE298" s="527">
        <f t="shared" si="73"/>
        <v>0</v>
      </c>
      <c r="AF298" s="527">
        <f t="shared" si="74"/>
        <v>0</v>
      </c>
      <c r="AG298" s="485"/>
      <c r="AH298" s="485"/>
      <c r="AI298" s="404"/>
    </row>
    <row r="299" spans="1:35" ht="12.75" thickBot="1">
      <c r="A299" s="489"/>
      <c r="B299" s="415"/>
      <c r="C299" s="486" t="s">
        <v>445</v>
      </c>
      <c r="D299" s="487">
        <v>0</v>
      </c>
      <c r="E299" s="499">
        <v>0</v>
      </c>
      <c r="J299" s="551"/>
      <c r="K299" s="552"/>
      <c r="L299" s="551"/>
      <c r="M299" s="553"/>
      <c r="N299" s="553"/>
      <c r="O299" s="551"/>
      <c r="P299" s="553"/>
      <c r="Q299" s="524"/>
      <c r="R299" s="478">
        <f>IFERROR(INDEX(기초자산!M$6:M$408,MATCH(K299&amp;N299&amp;O299,기초자산!$A$6:$A$408,0),0),0)</f>
        <v>0</v>
      </c>
      <c r="S299" s="479">
        <f t="shared" si="68"/>
        <v>0</v>
      </c>
      <c r="T299" s="553"/>
      <c r="U299" s="471" t="s">
        <v>94</v>
      </c>
      <c r="V299" s="480">
        <f>IF(U299="한국 원화(KRW)",1,IF(OR(U299=환율!$A$6,U299=환율!$A$7),VLOOKUP(NAV!U299,환율!$A$6:$B$7,2,),IF(RIGHT(U299,5)="(100)",(VLOOKUP(NAV!U299,환율!$A$11:$B$65,2,))/100,VLOOKUP(NAV!U299,환율!$A$11:$B$65,2,))))</f>
        <v>1</v>
      </c>
      <c r="W299" s="481"/>
      <c r="X299" s="482">
        <f t="shared" si="69"/>
        <v>0</v>
      </c>
      <c r="Y299" s="481"/>
      <c r="Z299" s="481"/>
      <c r="AA299" s="483">
        <f t="shared" si="70"/>
        <v>0</v>
      </c>
      <c r="AB299" s="554"/>
      <c r="AC299" s="526" t="str">
        <f t="shared" si="71"/>
        <v>2년이상</v>
      </c>
      <c r="AD299" s="520" t="str">
        <f t="shared" si="72"/>
        <v/>
      </c>
      <c r="AE299" s="527">
        <f t="shared" si="73"/>
        <v>0</v>
      </c>
      <c r="AF299" s="527">
        <f t="shared" si="74"/>
        <v>0</v>
      </c>
      <c r="AG299" s="485"/>
      <c r="AH299" s="485"/>
      <c r="AI299" s="404"/>
    </row>
    <row r="300" spans="1:35">
      <c r="A300" s="489"/>
      <c r="B300" s="415"/>
      <c r="C300" s="486" t="s">
        <v>446</v>
      </c>
      <c r="D300" s="487">
        <v>0</v>
      </c>
      <c r="E300" s="499">
        <v>0</v>
      </c>
      <c r="J300" s="495"/>
      <c r="K300" s="415"/>
      <c r="L300" s="495"/>
      <c r="M300" s="415"/>
      <c r="N300" s="415"/>
      <c r="O300" s="415"/>
      <c r="P300" s="415"/>
      <c r="Q300" s="422"/>
      <c r="R300" s="415"/>
      <c r="S300" s="415"/>
      <c r="T300" s="415"/>
      <c r="U300" s="415"/>
      <c r="V300" s="415"/>
      <c r="W300" s="422"/>
      <c r="X300" s="415"/>
      <c r="Y300" s="458"/>
      <c r="Z300" s="422"/>
      <c r="AA300" s="556"/>
      <c r="AB300" s="556"/>
      <c r="AC300" s="415"/>
      <c r="AE300" s="415"/>
      <c r="AI300" s="404"/>
    </row>
    <row r="301" spans="1:35">
      <c r="A301" s="489"/>
      <c r="B301" s="415"/>
      <c r="C301" s="493" t="s">
        <v>415</v>
      </c>
      <c r="D301" s="494">
        <f>D298+D299-D300</f>
        <v>0</v>
      </c>
      <c r="E301" s="494">
        <f>IF(E298+E299-E300&gt;0,E298+E299-E300,0)</f>
        <v>0</v>
      </c>
      <c r="J301" s="305"/>
      <c r="K301" s="415"/>
      <c r="L301" s="305"/>
      <c r="M301" s="415"/>
      <c r="N301" s="415"/>
      <c r="O301" s="415"/>
      <c r="S301" s="415"/>
      <c r="T301" s="415"/>
      <c r="U301" s="415"/>
      <c r="V301" s="415"/>
      <c r="Y301" s="458"/>
      <c r="AD301" s="557" t="str">
        <f>B275&amp;"순자산가치"</f>
        <v>SPC없음순자산가치</v>
      </c>
      <c r="AE301" s="529">
        <f>IF(E281+SUM(AE281:AE286)+SUM(AE289:AE299)-E294&gt;0,E281+SUM(AE281:AE286)+SUM(AE289:AE299)-E294,0)</f>
        <v>0</v>
      </c>
      <c r="AF301" s="529">
        <f>IF(E281+SUM(AF281:AF286)+SUM(AF289:AF299)-E294&gt;0,E281+SUM(AF281:AF286)+SUM(AF289:AF299)-E294,0)</f>
        <v>0</v>
      </c>
      <c r="AI301" s="404"/>
    </row>
    <row r="302" spans="1:35">
      <c r="A302" s="489"/>
      <c r="B302" s="558" t="str">
        <f>$B$275&amp;C302</f>
        <v>SPC없음보유지분율(%)</v>
      </c>
      <c r="C302" s="493" t="s">
        <v>447</v>
      </c>
      <c r="D302" s="559">
        <f>개요!$C$94</f>
        <v>0</v>
      </c>
      <c r="E302" s="494">
        <f>E301*D302</f>
        <v>0</v>
      </c>
      <c r="F302" s="560" t="s">
        <v>417</v>
      </c>
      <c r="G302" s="560"/>
      <c r="J302" s="495"/>
      <c r="K302" s="415"/>
      <c r="L302" s="495"/>
      <c r="M302" s="415"/>
      <c r="N302" s="415"/>
      <c r="O302" s="415"/>
      <c r="S302" s="415"/>
      <c r="T302" s="415"/>
      <c r="U302" s="415"/>
      <c r="V302" s="415"/>
      <c r="Y302" s="458"/>
      <c r="AD302" s="557" t="s">
        <v>272</v>
      </c>
      <c r="AE302" s="561">
        <f>$D302</f>
        <v>0</v>
      </c>
      <c r="AF302" s="561">
        <f>$D302</f>
        <v>0</v>
      </c>
      <c r="AI302" s="404"/>
    </row>
    <row r="303" spans="1:35">
      <c r="A303" s="489"/>
      <c r="B303" s="415"/>
      <c r="G303" s="503" t="s">
        <v>448</v>
      </c>
      <c r="I303" s="562"/>
      <c r="J303" s="495"/>
      <c r="K303" s="415"/>
      <c r="L303" s="495"/>
      <c r="M303" s="415"/>
      <c r="N303" s="415"/>
      <c r="O303" s="415"/>
      <c r="S303" s="415"/>
      <c r="T303" s="415"/>
      <c r="U303" s="415"/>
      <c r="V303" s="415"/>
      <c r="Y303" s="458"/>
      <c r="AD303" s="557" t="str">
        <f>B275&amp;"지분율 반영 순자산가치"</f>
        <v>SPC없음지분율 반영 순자산가치</v>
      </c>
      <c r="AE303" s="529">
        <f>AE301*AE302</f>
        <v>0</v>
      </c>
      <c r="AF303" s="529">
        <f>AF301*AF302</f>
        <v>0</v>
      </c>
      <c r="AI303" s="404"/>
    </row>
    <row r="304" spans="1:35">
      <c r="A304" s="489"/>
      <c r="D304" s="504" t="s">
        <v>370</v>
      </c>
      <c r="E304" s="505">
        <f>$C$7</f>
        <v>45473</v>
      </c>
      <c r="F304" s="506"/>
      <c r="G304" s="505"/>
      <c r="I304" s="563"/>
      <c r="J304" s="495"/>
      <c r="K304" s="415"/>
      <c r="L304" s="495"/>
      <c r="M304" s="415"/>
      <c r="N304" s="415"/>
      <c r="O304" s="415"/>
      <c r="S304" s="415"/>
      <c r="T304" s="415"/>
      <c r="U304" s="415"/>
      <c r="V304" s="415"/>
      <c r="Y304" s="422"/>
      <c r="AI304" s="404"/>
    </row>
    <row r="305" spans="1:35">
      <c r="D305" s="486" t="s">
        <v>449</v>
      </c>
      <c r="E305" s="487">
        <f>E301</f>
        <v>0</v>
      </c>
      <c r="F305" s="507" t="e">
        <f>E305/G305-1</f>
        <v>#DIV/0!</v>
      </c>
      <c r="G305" s="487"/>
      <c r="I305" s="564"/>
      <c r="J305" s="495"/>
      <c r="K305" s="415"/>
      <c r="L305" s="495"/>
      <c r="M305" s="415"/>
      <c r="S305" s="415"/>
      <c r="T305" s="415"/>
      <c r="U305" s="415"/>
      <c r="V305" s="415"/>
      <c r="Y305" s="422"/>
      <c r="AI305" s="404"/>
    </row>
    <row r="306" spans="1:35">
      <c r="A306" s="489"/>
      <c r="B306" s="415"/>
      <c r="D306" s="486" t="s">
        <v>418</v>
      </c>
      <c r="E306" s="565">
        <f>$D$302</f>
        <v>0</v>
      </c>
      <c r="F306" s="507"/>
      <c r="G306" s="565"/>
      <c r="I306" s="566"/>
      <c r="J306" s="305"/>
      <c r="K306" s="415"/>
      <c r="L306" s="305"/>
      <c r="M306" s="415"/>
      <c r="S306" s="415"/>
      <c r="T306" s="415"/>
      <c r="U306" s="415"/>
      <c r="V306" s="415"/>
      <c r="Y306" s="422"/>
      <c r="AI306" s="404"/>
    </row>
    <row r="307" spans="1:35">
      <c r="A307" s="489"/>
      <c r="B307" s="415"/>
      <c r="D307" s="567" t="s">
        <v>450</v>
      </c>
      <c r="E307" s="568">
        <f>E305*E306</f>
        <v>0</v>
      </c>
      <c r="F307" s="507" t="e">
        <f>E307/G307-1</f>
        <v>#DIV/0!</v>
      </c>
      <c r="G307" s="568"/>
      <c r="I307" s="564"/>
      <c r="AI307" s="404"/>
    </row>
    <row r="308" spans="1:35">
      <c r="E308" s="304" t="b">
        <f>E307=E302</f>
        <v>1</v>
      </c>
      <c r="AI308" s="404"/>
    </row>
    <row r="309" spans="1:35">
      <c r="F309" s="507"/>
      <c r="G309" s="507"/>
      <c r="AI309" s="404"/>
    </row>
    <row r="310" spans="1:35" ht="12.75" thickBot="1">
      <c r="A310" s="536"/>
      <c r="B310" s="536"/>
      <c r="C310" s="536"/>
      <c r="D310" s="536"/>
      <c r="E310" s="536"/>
      <c r="F310" s="572"/>
      <c r="G310" s="572"/>
      <c r="H310" s="536"/>
      <c r="I310" s="537"/>
      <c r="J310" s="536"/>
      <c r="K310" s="536"/>
      <c r="L310" s="536"/>
      <c r="M310" s="536"/>
      <c r="N310" s="536"/>
      <c r="O310" s="536"/>
      <c r="P310" s="536"/>
      <c r="Q310" s="540"/>
      <c r="R310" s="536"/>
      <c r="S310" s="536"/>
      <c r="T310" s="536"/>
      <c r="U310" s="536"/>
      <c r="V310" s="536"/>
      <c r="W310" s="540"/>
      <c r="X310" s="536"/>
      <c r="Y310" s="540"/>
      <c r="Z310" s="540"/>
      <c r="AA310" s="536"/>
      <c r="AB310" s="536"/>
      <c r="AC310" s="536"/>
      <c r="AD310" s="541"/>
      <c r="AE310" s="536"/>
      <c r="AF310" s="536"/>
      <c r="AG310" s="536"/>
      <c r="AH310" s="536"/>
      <c r="AI310" s="404"/>
    </row>
    <row r="311" spans="1:35" ht="12.75" thickTop="1">
      <c r="AI311" s="404"/>
    </row>
    <row r="312" spans="1:35" ht="12.75" thickBot="1">
      <c r="A312" s="459"/>
      <c r="B312" s="415"/>
      <c r="J312" s="428" t="s">
        <v>273</v>
      </c>
      <c r="K312" s="489"/>
      <c r="L312" s="497"/>
      <c r="M312" s="489"/>
      <c r="N312" s="415"/>
      <c r="O312" s="415"/>
      <c r="AI312" s="404"/>
    </row>
    <row r="313" spans="1:35" ht="12.75" thickBot="1">
      <c r="A313" s="542" t="s">
        <v>451</v>
      </c>
      <c r="B313" s="543" t="str">
        <f>IF(개요!$B$97="","SPC없음",개요!$B$97)</f>
        <v>SPC없음</v>
      </c>
      <c r="C313" s="454"/>
      <c r="J313" s="433"/>
      <c r="K313" s="434"/>
      <c r="L313" s="434"/>
      <c r="M313" s="434"/>
      <c r="N313" s="434"/>
      <c r="O313" s="434"/>
      <c r="P313" s="434"/>
      <c r="Q313" s="435"/>
      <c r="R313" s="434"/>
      <c r="S313" s="434"/>
      <c r="T313" s="434"/>
      <c r="U313" s="434"/>
      <c r="V313" s="436"/>
      <c r="AI313" s="404"/>
    </row>
    <row r="314" spans="1:35">
      <c r="B314" s="543" t="s">
        <v>452</v>
      </c>
      <c r="C314" s="569" t="str">
        <f>IF(개요!$C$98="","SPC없음",개요!$C$98)</f>
        <v>SPC없음</v>
      </c>
      <c r="J314" s="442"/>
      <c r="K314" s="151"/>
      <c r="L314" s="151"/>
      <c r="M314" s="151"/>
      <c r="N314" s="151"/>
      <c r="O314" s="151"/>
      <c r="P314" s="151"/>
      <c r="Q314" s="443"/>
      <c r="R314" s="151"/>
      <c r="S314" s="151"/>
      <c r="T314" s="151"/>
      <c r="U314" s="151"/>
      <c r="V314" s="444"/>
      <c r="AI314" s="404"/>
    </row>
    <row r="315" spans="1:35">
      <c r="B315" s="437" t="s">
        <v>422</v>
      </c>
      <c r="C315" s="570">
        <f>$C$7</f>
        <v>45473</v>
      </c>
      <c r="D315" s="546" t="b">
        <f>C315&gt;=C316</f>
        <v>1</v>
      </c>
      <c r="J315" s="442"/>
      <c r="K315" s="151"/>
      <c r="L315" s="151"/>
      <c r="M315" s="151"/>
      <c r="N315" s="151"/>
      <c r="O315" s="151"/>
      <c r="P315" s="151"/>
      <c r="Q315" s="443"/>
      <c r="R315" s="151"/>
      <c r="S315" s="151"/>
      <c r="T315" s="151"/>
      <c r="U315" s="151"/>
      <c r="V315" s="444"/>
      <c r="AI315" s="404"/>
    </row>
    <row r="316" spans="1:35" ht="12.75" thickBot="1">
      <c r="B316" s="449" t="s">
        <v>371</v>
      </c>
      <c r="C316" s="571">
        <f>FS!$AD$8</f>
        <v>0</v>
      </c>
      <c r="J316" s="453"/>
      <c r="K316" s="454"/>
      <c r="L316" s="454"/>
      <c r="M316" s="454"/>
      <c r="N316" s="454"/>
      <c r="O316" s="454"/>
      <c r="P316" s="454"/>
      <c r="Q316" s="455"/>
      <c r="R316" s="454"/>
      <c r="S316" s="454"/>
      <c r="T316" s="454"/>
      <c r="U316" s="454"/>
      <c r="V316" s="456"/>
      <c r="AI316" s="404"/>
    </row>
    <row r="317" spans="1:35">
      <c r="A317" s="459"/>
      <c r="J317" s="428" t="s">
        <v>453</v>
      </c>
      <c r="K317" s="448"/>
      <c r="L317" s="420"/>
      <c r="M317" s="448"/>
      <c r="N317" s="448"/>
      <c r="O317" s="448"/>
      <c r="P317" s="415"/>
      <c r="Q317" s="422"/>
      <c r="R317" s="415"/>
      <c r="S317" s="415"/>
      <c r="T317" s="415"/>
      <c r="U317" s="415"/>
      <c r="V317" s="415"/>
      <c r="W317" s="422"/>
      <c r="Z317" s="458"/>
      <c r="AA317" s="459"/>
      <c r="AE317" s="803" t="s">
        <v>8</v>
      </c>
      <c r="AF317" s="803"/>
      <c r="AG317" s="460"/>
      <c r="AH317" s="460"/>
      <c r="AI317" s="404"/>
    </row>
    <row r="318" spans="1:35" ht="12.75" thickBot="1">
      <c r="A318" s="461" t="str">
        <f>IF(AND(B319:B345),"검증완료","검증필요")</f>
        <v>검증완료</v>
      </c>
      <c r="B318" s="462" t="s">
        <v>454</v>
      </c>
      <c r="C318" s="462" t="s">
        <v>9</v>
      </c>
      <c r="D318" s="462" t="s">
        <v>374</v>
      </c>
      <c r="E318" s="462" t="s">
        <v>455</v>
      </c>
      <c r="J318" s="462" t="s">
        <v>375</v>
      </c>
      <c r="K318" s="464" t="s">
        <v>0</v>
      </c>
      <c r="L318" s="462" t="s">
        <v>425</v>
      </c>
      <c r="M318" s="462" t="s">
        <v>456</v>
      </c>
      <c r="N318" s="462" t="s">
        <v>457</v>
      </c>
      <c r="O318" s="462" t="s">
        <v>1</v>
      </c>
      <c r="P318" s="464" t="s">
        <v>458</v>
      </c>
      <c r="Q318" s="465" t="s">
        <v>14</v>
      </c>
      <c r="R318" s="466" t="s">
        <v>459</v>
      </c>
      <c r="S318" s="466" t="s">
        <v>382</v>
      </c>
      <c r="T318" s="462" t="s">
        <v>12</v>
      </c>
      <c r="U318" s="462" t="s">
        <v>383</v>
      </c>
      <c r="V318" s="462" t="s">
        <v>400</v>
      </c>
      <c r="W318" s="465" t="s">
        <v>10</v>
      </c>
      <c r="X318" s="462" t="s">
        <v>385</v>
      </c>
      <c r="Y318" s="465" t="s">
        <v>460</v>
      </c>
      <c r="Z318" s="465" t="s">
        <v>3522</v>
      </c>
      <c r="AA318" s="464" t="s">
        <v>13</v>
      </c>
      <c r="AE318" s="467" t="s">
        <v>3627</v>
      </c>
      <c r="AF318" s="467" t="s">
        <v>3628</v>
      </c>
      <c r="AG318" s="467" t="s">
        <v>3629</v>
      </c>
      <c r="AH318" s="467" t="s">
        <v>3630</v>
      </c>
      <c r="AI318" s="404"/>
    </row>
    <row r="319" spans="1:35" ht="12.75" thickBot="1">
      <c r="A319" s="415"/>
      <c r="B319" s="415"/>
      <c r="C319" s="468" t="s">
        <v>16</v>
      </c>
      <c r="D319" s="469">
        <f>SUM(D320:D321)</f>
        <v>0</v>
      </c>
      <c r="E319" s="469">
        <f>SUM(E320:E321)</f>
        <v>0</v>
      </c>
      <c r="J319" s="476"/>
      <c r="K319" s="472"/>
      <c r="L319" s="473" t="str">
        <f>IF($J319="","SPC 없음",VLOOKUP($J319&amp;"SPC명",개요!$A$3:$E$1932,3,0))</f>
        <v>SPC 없음</v>
      </c>
      <c r="M319" s="474" t="str">
        <f>IF($J319="","SPC 없음",VLOOKUP($J319&amp;"설정일",개요!$A$3:$E$1932,3,0))</f>
        <v>SPC 없음</v>
      </c>
      <c r="N319" s="475" t="str">
        <f t="shared" ref="N319:N324" si="75">IF($J319="","SPC 없음",VLOOKUP($J319&amp;"자본금",$B$4:$E$2079,3,0)*VLOOKUP($J319&amp;"보유지분율(%)",$B$4:$E$2079,3,0))</f>
        <v>SPC 없음</v>
      </c>
      <c r="O319" s="471"/>
      <c r="P319" s="476"/>
      <c r="Q319" s="477"/>
      <c r="R319" s="478"/>
      <c r="S319" s="479" t="str">
        <f t="shared" ref="S319:S324" si="76">IF($J319="","SPC 없음",IF(P319="총액",IF(T319="장부가액 준용",W319,(VLOOKUP($J319&amp;"보유지분율(%)",$B$4:$E$2079,4,0))*V319),Q319*R319))</f>
        <v>SPC 없음</v>
      </c>
      <c r="T319" s="471"/>
      <c r="U319" s="471" t="s">
        <v>94</v>
      </c>
      <c r="V319" s="480">
        <f>IF(U319="한국 원화(KRW)",1,IF(OR(U319=환율!$A$6,U319=환율!$A$7),VLOOKUP(NAV!U319,환율!$A$6:$B$7,2,),IF(RIGHT(U319,5)="(100)",(VLOOKUP(NAV!U319,환율!$A$11:$B$51,2,))/100,VLOOKUP(NAV!U319,환율!$A$11:$B$51,2,))))</f>
        <v>1</v>
      </c>
      <c r="W319" s="481"/>
      <c r="X319" s="482">
        <f t="shared" ref="X319:X324" si="77">IFERROR(IF(P319="만원당",10000,Y319/Q319),0)</f>
        <v>0</v>
      </c>
      <c r="Y319" s="481"/>
      <c r="Z319" s="481"/>
      <c r="AA319" s="483">
        <f t="shared" ref="AA319:AA324" si="78">IFERROR(IF(Z319="",S319/W319-1,S319/Z319-1),0)</f>
        <v>0</v>
      </c>
      <c r="AE319" s="484" t="str">
        <f t="shared" ref="AE319:AE324" si="79">IF($J319="","SPC 없음",IF(P319="총액",(VLOOKUP($J319&amp;"지분율 반영 순자산가치",$AD$4:$AH$4973,2,0))*V319,AG319*$Q319))</f>
        <v>SPC 없음</v>
      </c>
      <c r="AF319" s="484" t="str">
        <f t="shared" ref="AF319:AF324" si="80">IF($J319="","SPC 없음",IF(P319="총액",(VLOOKUP($J319&amp;"지분율 반영 순자산가치",$AD$4:$AH$4973,3,0))*V319,AH319*$Q319))</f>
        <v>SPC 없음</v>
      </c>
      <c r="AG319" s="485"/>
      <c r="AH319" s="485"/>
      <c r="AI319" s="404"/>
    </row>
    <row r="320" spans="1:35" ht="12.75" thickBot="1">
      <c r="A320" s="415"/>
      <c r="B320" s="415"/>
      <c r="C320" s="486" t="s">
        <v>461</v>
      </c>
      <c r="D320" s="487">
        <f>SUMIF(FS!$AA$9:$AA$39,개요!$B$97&amp;RIGHT(NAV!C320,10),FS!$AD$9:$AD$39)</f>
        <v>0</v>
      </c>
      <c r="E320" s="487">
        <f>D320</f>
        <v>0</v>
      </c>
      <c r="J320" s="476"/>
      <c r="K320" s="472"/>
      <c r="L320" s="473" t="str">
        <f>IF($J320="","SPC 없음",VLOOKUP($J320&amp;"SPC명",개요!$A$3:$E$1932,3,0))</f>
        <v>SPC 없음</v>
      </c>
      <c r="M320" s="474" t="str">
        <f>IF($J320="","SPC 없음",VLOOKUP($J320&amp;"설정일",개요!$A$3:$E$1932,3,0))</f>
        <v>SPC 없음</v>
      </c>
      <c r="N320" s="475" t="str">
        <f t="shared" si="75"/>
        <v>SPC 없음</v>
      </c>
      <c r="O320" s="471"/>
      <c r="P320" s="476"/>
      <c r="Q320" s="477"/>
      <c r="R320" s="478"/>
      <c r="S320" s="479" t="str">
        <f t="shared" si="76"/>
        <v>SPC 없음</v>
      </c>
      <c r="T320" s="471"/>
      <c r="U320" s="471" t="s">
        <v>94</v>
      </c>
      <c r="V320" s="480">
        <f>IF(U320="한국 원화(KRW)",1,IF(OR(U320=환율!$A$6,U320=환율!$A$7),VLOOKUP(NAV!U320,환율!$A$6:$B$7,2,),IF(RIGHT(U320,5)="(100)",(VLOOKUP(NAV!U320,환율!$A$11:$B$51,2,))/100,VLOOKUP(NAV!U320,환율!$A$11:$B$51,2,))))</f>
        <v>1</v>
      </c>
      <c r="W320" s="481"/>
      <c r="X320" s="482">
        <f t="shared" si="77"/>
        <v>0</v>
      </c>
      <c r="Y320" s="481"/>
      <c r="Z320" s="481"/>
      <c r="AA320" s="483">
        <f t="shared" si="78"/>
        <v>0</v>
      </c>
      <c r="AE320" s="484" t="str">
        <f t="shared" si="79"/>
        <v>SPC 없음</v>
      </c>
      <c r="AF320" s="484" t="str">
        <f t="shared" si="80"/>
        <v>SPC 없음</v>
      </c>
      <c r="AG320" s="485"/>
      <c r="AH320" s="485"/>
      <c r="AI320" s="404"/>
    </row>
    <row r="321" spans="1:35" ht="12.75" thickBot="1">
      <c r="A321" s="415"/>
      <c r="B321" s="415"/>
      <c r="C321" s="486" t="s">
        <v>34</v>
      </c>
      <c r="D321" s="487">
        <f>SUMIF(FS!$AA$9:$AA$39,개요!$B$97&amp;RIGHT(NAV!C321,4),FS!$AD$9:$AD$39)</f>
        <v>0</v>
      </c>
      <c r="E321" s="487">
        <f>D321</f>
        <v>0</v>
      </c>
      <c r="J321" s="476"/>
      <c r="K321" s="472"/>
      <c r="L321" s="473" t="str">
        <f>IF($J321="","SPC 없음",VLOOKUP($J321&amp;"SPC명",개요!$A$3:$E$1932,3,0))</f>
        <v>SPC 없음</v>
      </c>
      <c r="M321" s="474" t="str">
        <f>IF($J321="","SPC 없음",VLOOKUP($J321&amp;"설정일",개요!$A$3:$E$1932,3,0))</f>
        <v>SPC 없음</v>
      </c>
      <c r="N321" s="475" t="str">
        <f t="shared" si="75"/>
        <v>SPC 없음</v>
      </c>
      <c r="O321" s="471"/>
      <c r="P321" s="476"/>
      <c r="Q321" s="477"/>
      <c r="R321" s="478"/>
      <c r="S321" s="479" t="str">
        <f t="shared" si="76"/>
        <v>SPC 없음</v>
      </c>
      <c r="T321" s="471"/>
      <c r="U321" s="471" t="s">
        <v>94</v>
      </c>
      <c r="V321" s="480">
        <f>IF(U321="한국 원화(KRW)",1,IF(OR(U321=환율!$A$6,U321=환율!$A$7),VLOOKUP(NAV!U321,환율!$A$6:$B$7,2,),IF(RIGHT(U321,5)="(100)",(VLOOKUP(NAV!U321,환율!$A$11:$B$51,2,))/100,VLOOKUP(NAV!U321,환율!$A$11:$B$51,2,))))</f>
        <v>1</v>
      </c>
      <c r="W321" s="481"/>
      <c r="X321" s="482">
        <f t="shared" si="77"/>
        <v>0</v>
      </c>
      <c r="Y321" s="481"/>
      <c r="Z321" s="481"/>
      <c r="AA321" s="483">
        <f t="shared" si="78"/>
        <v>0</v>
      </c>
      <c r="AE321" s="484" t="str">
        <f t="shared" si="79"/>
        <v>SPC 없음</v>
      </c>
      <c r="AF321" s="484" t="str">
        <f t="shared" si="80"/>
        <v>SPC 없음</v>
      </c>
      <c r="AG321" s="485"/>
      <c r="AH321" s="485"/>
      <c r="AI321" s="404"/>
    </row>
    <row r="322" spans="1:35" ht="12.75" thickBot="1">
      <c r="A322" s="489" t="s">
        <v>462</v>
      </c>
      <c r="B322" s="490" t="b">
        <f>SUM(W319:W324,W327:W337)=D322</f>
        <v>1</v>
      </c>
      <c r="C322" s="468" t="s">
        <v>463</v>
      </c>
      <c r="D322" s="469">
        <f>SUMIF(FS!$AA$9:$AA$39,개요!$B$97&amp;RIGHT(NAV!C322,4),FS!$AD$9:$AD$39)</f>
        <v>0</v>
      </c>
      <c r="E322" s="469">
        <f>SUM(S319:S324)+SUM(S327:S337)</f>
        <v>0</v>
      </c>
      <c r="J322" s="476"/>
      <c r="K322" s="472"/>
      <c r="L322" s="473" t="str">
        <f>IF($J322="","SPC 없음",VLOOKUP($J322&amp;"SPC명",개요!$A$3:$E$1932,3,0))</f>
        <v>SPC 없음</v>
      </c>
      <c r="M322" s="474" t="str">
        <f>IF($J322="","SPC 없음",VLOOKUP($J322&amp;"설정일",개요!$A$3:$E$1932,3,0))</f>
        <v>SPC 없음</v>
      </c>
      <c r="N322" s="475" t="str">
        <f t="shared" si="75"/>
        <v>SPC 없음</v>
      </c>
      <c r="O322" s="471"/>
      <c r="P322" s="476"/>
      <c r="Q322" s="477"/>
      <c r="R322" s="478"/>
      <c r="S322" s="479" t="str">
        <f t="shared" si="76"/>
        <v>SPC 없음</v>
      </c>
      <c r="T322" s="471"/>
      <c r="U322" s="471" t="s">
        <v>94</v>
      </c>
      <c r="V322" s="480">
        <f>IF(U322="한국 원화(KRW)",1,IF(OR(U322=환율!$A$6,U322=환율!$A$7),VLOOKUP(NAV!U322,환율!$A$6:$B$7,2,),IF(RIGHT(U322,5)="(100)",(VLOOKUP(NAV!U322,환율!$A$11:$B$51,2,))/100,VLOOKUP(NAV!U322,환율!$A$11:$B$51,2,))))</f>
        <v>1</v>
      </c>
      <c r="W322" s="481"/>
      <c r="X322" s="482">
        <f t="shared" si="77"/>
        <v>0</v>
      </c>
      <c r="Y322" s="481"/>
      <c r="Z322" s="481"/>
      <c r="AA322" s="483">
        <f t="shared" si="78"/>
        <v>0</v>
      </c>
      <c r="AE322" s="484" t="str">
        <f t="shared" si="79"/>
        <v>SPC 없음</v>
      </c>
      <c r="AF322" s="484" t="str">
        <f t="shared" si="80"/>
        <v>SPC 없음</v>
      </c>
      <c r="AG322" s="485"/>
      <c r="AH322" s="485"/>
      <c r="AI322" s="404"/>
    </row>
    <row r="323" spans="1:35" ht="12.75" thickBot="1">
      <c r="A323" s="492" t="s">
        <v>464</v>
      </c>
      <c r="B323" s="415" t="b">
        <f>D320+D321+D322=D323</f>
        <v>1</v>
      </c>
      <c r="C323" s="493" t="s">
        <v>2</v>
      </c>
      <c r="D323" s="494">
        <f>D319+D322</f>
        <v>0</v>
      </c>
      <c r="E323" s="494">
        <f>E319+E322</f>
        <v>0</v>
      </c>
      <c r="J323" s="476"/>
      <c r="K323" s="472"/>
      <c r="L323" s="473" t="str">
        <f>IF($J323="","SPC 없음",VLOOKUP($J323&amp;"SPC명",개요!$A$3:$E$1932,3,0))</f>
        <v>SPC 없음</v>
      </c>
      <c r="M323" s="474" t="str">
        <f>IF($J323="","SPC 없음",VLOOKUP($J323&amp;"설정일",개요!$A$3:$E$1932,3,0))</f>
        <v>SPC 없음</v>
      </c>
      <c r="N323" s="475" t="str">
        <f t="shared" si="75"/>
        <v>SPC 없음</v>
      </c>
      <c r="O323" s="471"/>
      <c r="P323" s="476"/>
      <c r="Q323" s="477"/>
      <c r="R323" s="478"/>
      <c r="S323" s="479" t="str">
        <f t="shared" si="76"/>
        <v>SPC 없음</v>
      </c>
      <c r="T323" s="471"/>
      <c r="U323" s="471" t="s">
        <v>94</v>
      </c>
      <c r="V323" s="480">
        <f>IF(U323="한국 원화(KRW)",1,IF(OR(U323=환율!$A$6,U323=환율!$A$7),VLOOKUP(NAV!U323,환율!$A$6:$B$7,2,),IF(RIGHT(U323,5)="(100)",(VLOOKUP(NAV!U323,환율!$A$11:$B$51,2,))/100,VLOOKUP(NAV!U323,환율!$A$11:$B$51,2,))))</f>
        <v>1</v>
      </c>
      <c r="W323" s="481"/>
      <c r="X323" s="482">
        <f t="shared" si="77"/>
        <v>0</v>
      </c>
      <c r="Y323" s="481"/>
      <c r="Z323" s="481"/>
      <c r="AA323" s="483">
        <f t="shared" si="78"/>
        <v>0</v>
      </c>
      <c r="AE323" s="484" t="str">
        <f t="shared" si="79"/>
        <v>SPC 없음</v>
      </c>
      <c r="AF323" s="484" t="str">
        <f t="shared" si="80"/>
        <v>SPC 없음</v>
      </c>
      <c r="AG323" s="485"/>
      <c r="AH323" s="485"/>
      <c r="AI323" s="404"/>
    </row>
    <row r="324" spans="1:35" ht="12.75" thickBot="1">
      <c r="A324" s="492"/>
      <c r="B324" s="496"/>
      <c r="C324" s="468" t="s">
        <v>18</v>
      </c>
      <c r="D324" s="469">
        <f>SUM(D325:D328)</f>
        <v>0</v>
      </c>
      <c r="E324" s="469">
        <f>SUM(E325:E328)</f>
        <v>0</v>
      </c>
      <c r="J324" s="476"/>
      <c r="K324" s="472"/>
      <c r="L324" s="473" t="str">
        <f>IF($J324="","SPC 없음",VLOOKUP($J324&amp;"SPC명",개요!$A$3:$E$1932,3,0))</f>
        <v>SPC 없음</v>
      </c>
      <c r="M324" s="474" t="str">
        <f>IF($J324="","SPC 없음",VLOOKUP($J324&amp;"설정일",개요!$A$3:$E$1932,3,0))</f>
        <v>SPC 없음</v>
      </c>
      <c r="N324" s="475" t="str">
        <f t="shared" si="75"/>
        <v>SPC 없음</v>
      </c>
      <c r="O324" s="471"/>
      <c r="P324" s="476"/>
      <c r="Q324" s="477"/>
      <c r="R324" s="478"/>
      <c r="S324" s="479" t="str">
        <f t="shared" si="76"/>
        <v>SPC 없음</v>
      </c>
      <c r="T324" s="471"/>
      <c r="U324" s="471" t="s">
        <v>94</v>
      </c>
      <c r="V324" s="480">
        <f>IF(U324="한국 원화(KRW)",1,IF(OR(U324=환율!$A$6,U324=환율!$A$7),VLOOKUP(NAV!U324,환율!$A$6:$B$7,2,),IF(RIGHT(U324,5)="(100)",(VLOOKUP(NAV!U324,환율!$A$11:$B$51,2,))/100,VLOOKUP(NAV!U324,환율!$A$11:$B$51,2,))))</f>
        <v>1</v>
      </c>
      <c r="W324" s="481"/>
      <c r="X324" s="482">
        <f t="shared" si="77"/>
        <v>0</v>
      </c>
      <c r="Y324" s="481"/>
      <c r="Z324" s="481"/>
      <c r="AA324" s="483">
        <f t="shared" si="78"/>
        <v>0</v>
      </c>
      <c r="AE324" s="484" t="str">
        <f t="shared" si="79"/>
        <v>SPC 없음</v>
      </c>
      <c r="AF324" s="484" t="str">
        <f t="shared" si="80"/>
        <v>SPC 없음</v>
      </c>
      <c r="AG324" s="485"/>
      <c r="AH324" s="485"/>
      <c r="AI324" s="404"/>
    </row>
    <row r="325" spans="1:35">
      <c r="A325" s="492"/>
      <c r="B325" s="496"/>
      <c r="C325" s="486" t="s">
        <v>392</v>
      </c>
      <c r="D325" s="487">
        <f>SUMIF(FS!$AA$9:$AA$39,개요!$B$97&amp;RIGHT(NAV!C325,5),FS!$AD$9:$AD$39)</f>
        <v>0</v>
      </c>
      <c r="E325" s="487">
        <f>D325</f>
        <v>0</v>
      </c>
      <c r="J325" s="428" t="s">
        <v>275</v>
      </c>
      <c r="K325" s="415"/>
      <c r="L325" s="305"/>
      <c r="M325" s="415"/>
      <c r="N325" s="415"/>
      <c r="O325" s="415"/>
      <c r="P325" s="415"/>
      <c r="Q325" s="422"/>
      <c r="R325" s="415"/>
      <c r="S325" s="415"/>
      <c r="T325" s="415"/>
      <c r="U325" s="415"/>
      <c r="W325" s="517" t="b">
        <f>SUM(W327:W337)+SUM(W319:W324)=D322</f>
        <v>1</v>
      </c>
      <c r="X325" s="415"/>
      <c r="Y325" s="422"/>
      <c r="Z325" s="422"/>
      <c r="AA325" s="459" t="str">
        <f>IF(OR(MAX(AA319:AA324,AA327:AA337)&gt;0.2,MIN(AA319:AA324,AA327:AA337)&lt;-0.2),"특이사항 확인","특이사항 없음")</f>
        <v>특이사항 없음</v>
      </c>
      <c r="AB325" s="415"/>
      <c r="AF325" s="415"/>
      <c r="AG325" s="415"/>
      <c r="AI325" s="404"/>
    </row>
    <row r="326" spans="1:35" ht="12.75" thickBot="1">
      <c r="A326" s="492"/>
      <c r="B326" s="496"/>
      <c r="C326" s="486" t="s">
        <v>465</v>
      </c>
      <c r="D326" s="487">
        <f>SUMIF(FS!$AA$9:$AA$39,개요!$B$97&amp;RIGHT(NAV!C326,3),FS!$AD$9:$AD$39)</f>
        <v>0</v>
      </c>
      <c r="E326" s="487">
        <f t="shared" ref="E326:E327" si="81">D326</f>
        <v>0</v>
      </c>
      <c r="I326" s="518">
        <f>COUNTA(J327:J337)</f>
        <v>0</v>
      </c>
      <c r="J326" s="548" t="s">
        <v>394</v>
      </c>
      <c r="K326" s="548" t="s">
        <v>0</v>
      </c>
      <c r="L326" s="548" t="s">
        <v>435</v>
      </c>
      <c r="M326" s="548" t="s">
        <v>396</v>
      </c>
      <c r="N326" s="548" t="s">
        <v>397</v>
      </c>
      <c r="O326" s="548" t="s">
        <v>466</v>
      </c>
      <c r="P326" s="548" t="s">
        <v>380</v>
      </c>
      <c r="Q326" s="519" t="s">
        <v>14</v>
      </c>
      <c r="R326" s="466" t="s">
        <v>299</v>
      </c>
      <c r="S326" s="466" t="s">
        <v>3525</v>
      </c>
      <c r="T326" s="549" t="s">
        <v>12</v>
      </c>
      <c r="U326" s="548" t="s">
        <v>383</v>
      </c>
      <c r="V326" s="548" t="s">
        <v>400</v>
      </c>
      <c r="W326" s="550" t="s">
        <v>10</v>
      </c>
      <c r="X326" s="549" t="s">
        <v>401</v>
      </c>
      <c r="Y326" s="550" t="s">
        <v>467</v>
      </c>
      <c r="Z326" s="550" t="s">
        <v>3523</v>
      </c>
      <c r="AA326" s="548" t="s">
        <v>13</v>
      </c>
      <c r="AB326" s="548" t="s">
        <v>15</v>
      </c>
      <c r="AC326" s="548" t="s">
        <v>441</v>
      </c>
      <c r="AE326" s="467" t="s">
        <v>3627</v>
      </c>
      <c r="AF326" s="467" t="s">
        <v>3628</v>
      </c>
      <c r="AG326" s="467" t="s">
        <v>3629</v>
      </c>
      <c r="AH326" s="467" t="s">
        <v>3630</v>
      </c>
      <c r="AI326" s="404"/>
    </row>
    <row r="327" spans="1:35" ht="12.75" thickBot="1">
      <c r="A327" s="492"/>
      <c r="B327" s="496"/>
      <c r="C327" s="486" t="s">
        <v>404</v>
      </c>
      <c r="D327" s="487">
        <f>SUMIF(FS!$AA$9:$AA$39,개요!$B$97&amp;RIGHT(NAV!C327,6),FS!$AD$9:$AD$39)</f>
        <v>0</v>
      </c>
      <c r="E327" s="487">
        <f t="shared" si="81"/>
        <v>0</v>
      </c>
      <c r="J327" s="551"/>
      <c r="K327" s="552"/>
      <c r="L327" s="551"/>
      <c r="M327" s="553"/>
      <c r="N327" s="553"/>
      <c r="O327" s="551"/>
      <c r="P327" s="553"/>
      <c r="Q327" s="524"/>
      <c r="R327" s="478">
        <f>IFERROR(INDEX(기초자산!M$6:M$408,MATCH(K327&amp;N327&amp;O327,기초자산!$A$6:$A$408,0),0),0)</f>
        <v>0</v>
      </c>
      <c r="S327" s="479">
        <f t="shared" ref="S327:S337" si="82">IFERROR(IF(T327="취득원가 준용",Y327,IF(T327="장부가액 준용",W327,IF(P327="주당",R327*Q327*V327,IF(RIGHT(U327,5)="(100)",Y327/1000*R327*V327,Y327/10000*R327*V327)))),0)</f>
        <v>0</v>
      </c>
      <c r="T327" s="553"/>
      <c r="U327" s="471" t="s">
        <v>94</v>
      </c>
      <c r="V327" s="480">
        <f>IF(U327="한국 원화(KRW)",1,IF(OR(U327=환율!$A$6,U327=환율!$A$7),VLOOKUP(NAV!U327,환율!$A$6:$B$7,2,),IF(RIGHT(U327,5)="(100)",(VLOOKUP(NAV!U327,환율!$A$11:$B$65,2,))/100,VLOOKUP(NAV!U327,환율!$A$11:$B$65,2,))))</f>
        <v>1</v>
      </c>
      <c r="W327" s="481"/>
      <c r="X327" s="482">
        <f t="shared" ref="X327:X337" si="83">IFERROR(IF(P327="만원당",10000,Y327/Q327),0)</f>
        <v>0</v>
      </c>
      <c r="Y327" s="481"/>
      <c r="Z327" s="481"/>
      <c r="AA327" s="483">
        <f t="shared" ref="AA327:AA337" si="84">IFERROR(IF(Z327="",S327/W327-1,S327/Z327-1),0)</f>
        <v>0</v>
      </c>
      <c r="AB327" s="554"/>
      <c r="AC327" s="526" t="str">
        <f t="shared" ref="AC327:AC337" si="85">IF(($C$7-AB327)/365&gt;2,"2년이상","2년미만")</f>
        <v>2년이상</v>
      </c>
      <c r="AD327" s="520" t="str">
        <f t="shared" ref="AD327:AD337" si="86">IF(OR(AA327&gt;20%,AA327&lt;-20%),"(1) Note 기재","")</f>
        <v/>
      </c>
      <c r="AE327" s="527">
        <f>IF(OR(T327="MTP",T327="과거거래 이용법",T327="취득원가 준용",T327="장부가액 준용",T327="상장종가 적용"),S327,IF(P327="주당",AG327*Q327*V327,Y327/10000*AG327*V327))</f>
        <v>0</v>
      </c>
      <c r="AF327" s="527">
        <f>IF(OR(T327="MTP",T327="과거거래 이용법",T327="취득원가 준용",T327="장부가액 준용",T327="상장종가 적용"),S327,IF(P327="주당",AH327*Q327*V327,Y327/10000*AH327*V327))</f>
        <v>0</v>
      </c>
      <c r="AG327" s="485"/>
      <c r="AH327" s="485"/>
      <c r="AI327" s="404"/>
    </row>
    <row r="328" spans="1:35" ht="12.75" thickBot="1">
      <c r="A328" s="492"/>
      <c r="B328" s="496"/>
      <c r="C328" s="486" t="s">
        <v>405</v>
      </c>
      <c r="D328" s="487">
        <f>SUMIF(FS!$AA$9:$AA$39,개요!$B$97&amp;RIGHT(NAV!C328,7),FS!$AD$9:$AD$39)</f>
        <v>0</v>
      </c>
      <c r="E328" s="487">
        <f>D328</f>
        <v>0</v>
      </c>
      <c r="J328" s="551"/>
      <c r="K328" s="552"/>
      <c r="L328" s="551"/>
      <c r="M328" s="553"/>
      <c r="N328" s="553"/>
      <c r="O328" s="551"/>
      <c r="P328" s="553"/>
      <c r="Q328" s="524"/>
      <c r="R328" s="478">
        <f>IFERROR(INDEX(기초자산!M$6:M$408,MATCH(K328&amp;N328&amp;O328,기초자산!$A$6:$A$408,0),0),0)</f>
        <v>0</v>
      </c>
      <c r="S328" s="479">
        <f t="shared" si="82"/>
        <v>0</v>
      </c>
      <c r="T328" s="553"/>
      <c r="U328" s="471" t="s">
        <v>94</v>
      </c>
      <c r="V328" s="480">
        <f>IF(U328="한국 원화(KRW)",1,IF(OR(U328=환율!$A$6,U328=환율!$A$7),VLOOKUP(NAV!U328,환율!$A$6:$B$7,2,),IF(RIGHT(U328,5)="(100)",(VLOOKUP(NAV!U328,환율!$A$11:$B$65,2,))/100,VLOOKUP(NAV!U328,환율!$A$11:$B$65,2,))))</f>
        <v>1</v>
      </c>
      <c r="W328" s="481"/>
      <c r="X328" s="482">
        <f t="shared" si="83"/>
        <v>0</v>
      </c>
      <c r="Y328" s="481"/>
      <c r="Z328" s="481"/>
      <c r="AA328" s="483">
        <f t="shared" si="84"/>
        <v>0</v>
      </c>
      <c r="AB328" s="554"/>
      <c r="AC328" s="526" t="str">
        <f t="shared" si="85"/>
        <v>2년이상</v>
      </c>
      <c r="AD328" s="520" t="str">
        <f t="shared" si="86"/>
        <v/>
      </c>
      <c r="AE328" s="527">
        <f t="shared" ref="AE328:AE337" si="87">IF(OR(T328="MTP",T328="과거거래 이용법",T328="취득원가 준용",T328="장부가액 준용",T328="상장종가 적용"),S328,IF(P328="주당",AG328*Q328*V328,Y328/10000*AG328*V328))</f>
        <v>0</v>
      </c>
      <c r="AF328" s="527">
        <f t="shared" ref="AF328:AF337" si="88">IF(OR(T328="MTP",T328="과거거래 이용법",T328="취득원가 준용",T328="장부가액 준용",T328="상장종가 적용"),S328,IF(P328="주당",AH328*Q328*V328,Y328/10000*AH328*V328))</f>
        <v>0</v>
      </c>
      <c r="AG328" s="485"/>
      <c r="AH328" s="485"/>
      <c r="AI328" s="404"/>
    </row>
    <row r="329" spans="1:35" ht="12.75" thickBot="1">
      <c r="A329" s="492"/>
      <c r="B329" s="496"/>
      <c r="C329" s="468" t="s">
        <v>21</v>
      </c>
      <c r="D329" s="469">
        <f>SUM(D330:D331)</f>
        <v>0</v>
      </c>
      <c r="E329" s="469">
        <f>SUM(E330:E331)</f>
        <v>0</v>
      </c>
      <c r="J329" s="551"/>
      <c r="K329" s="552"/>
      <c r="L329" s="551"/>
      <c r="M329" s="553"/>
      <c r="N329" s="553"/>
      <c r="O329" s="551"/>
      <c r="P329" s="553"/>
      <c r="Q329" s="524"/>
      <c r="R329" s="478">
        <f>IFERROR(INDEX(기초자산!M$6:M$408,MATCH(K329&amp;N329&amp;O329,기초자산!$A$6:$A$408,0),0),0)</f>
        <v>0</v>
      </c>
      <c r="S329" s="479">
        <f t="shared" si="82"/>
        <v>0</v>
      </c>
      <c r="T329" s="553"/>
      <c r="U329" s="471" t="s">
        <v>94</v>
      </c>
      <c r="V329" s="480">
        <f>IF(U329="한국 원화(KRW)",1,IF(OR(U329=환율!$A$6,U329=환율!$A$7),VLOOKUP(NAV!U329,환율!$A$6:$B$7,2,),IF(RIGHT(U329,5)="(100)",(VLOOKUP(NAV!U329,환율!$A$11:$B$65,2,))/100,VLOOKUP(NAV!U329,환율!$A$11:$B$65,2,))))</f>
        <v>1</v>
      </c>
      <c r="W329" s="481"/>
      <c r="X329" s="482">
        <f t="shared" si="83"/>
        <v>0</v>
      </c>
      <c r="Y329" s="481"/>
      <c r="Z329" s="481"/>
      <c r="AA329" s="483">
        <f t="shared" si="84"/>
        <v>0</v>
      </c>
      <c r="AB329" s="554"/>
      <c r="AC329" s="526" t="str">
        <f t="shared" si="85"/>
        <v>2년이상</v>
      </c>
      <c r="AD329" s="520" t="str">
        <f t="shared" si="86"/>
        <v/>
      </c>
      <c r="AE329" s="527">
        <f t="shared" si="87"/>
        <v>0</v>
      </c>
      <c r="AF329" s="527">
        <f t="shared" si="88"/>
        <v>0</v>
      </c>
      <c r="AG329" s="485"/>
      <c r="AH329" s="485"/>
      <c r="AI329" s="404"/>
    </row>
    <row r="330" spans="1:35" ht="12.75" thickBot="1">
      <c r="A330" s="492"/>
      <c r="B330" s="496"/>
      <c r="C330" s="486" t="s">
        <v>406</v>
      </c>
      <c r="D330" s="487">
        <f>SUMIF(FS!$AA$9:$AA$39,개요!$B$97&amp;RIGHT(NAV!C330,3),FS!$AD$9:$AD$39)</f>
        <v>0</v>
      </c>
      <c r="E330" s="487">
        <f>D330</f>
        <v>0</v>
      </c>
      <c r="J330" s="551"/>
      <c r="K330" s="552"/>
      <c r="L330" s="551"/>
      <c r="M330" s="553"/>
      <c r="N330" s="553"/>
      <c r="O330" s="551"/>
      <c r="P330" s="553"/>
      <c r="Q330" s="524"/>
      <c r="R330" s="478">
        <f>IFERROR(INDEX(기초자산!M$6:M$408,MATCH(K330&amp;N330&amp;O330,기초자산!$A$6:$A$408,0),0),0)</f>
        <v>0</v>
      </c>
      <c r="S330" s="479">
        <f t="shared" si="82"/>
        <v>0</v>
      </c>
      <c r="T330" s="553"/>
      <c r="U330" s="471" t="s">
        <v>94</v>
      </c>
      <c r="V330" s="480">
        <f>IF(U330="한국 원화(KRW)",1,IF(OR(U330=환율!$A$6,U330=환율!$A$7),VLOOKUP(NAV!U330,환율!$A$6:$B$7,2,),IF(RIGHT(U330,5)="(100)",(VLOOKUP(NAV!U330,환율!$A$11:$B$65,2,))/100,VLOOKUP(NAV!U330,환율!$A$11:$B$65,2,))))</f>
        <v>1</v>
      </c>
      <c r="W330" s="481"/>
      <c r="X330" s="482">
        <f t="shared" si="83"/>
        <v>0</v>
      </c>
      <c r="Y330" s="481"/>
      <c r="Z330" s="481"/>
      <c r="AA330" s="483">
        <f t="shared" si="84"/>
        <v>0</v>
      </c>
      <c r="AB330" s="554"/>
      <c r="AC330" s="526" t="str">
        <f t="shared" si="85"/>
        <v>2년이상</v>
      </c>
      <c r="AD330" s="520" t="str">
        <f t="shared" si="86"/>
        <v/>
      </c>
      <c r="AE330" s="527">
        <f t="shared" si="87"/>
        <v>0</v>
      </c>
      <c r="AF330" s="527">
        <f t="shared" si="88"/>
        <v>0</v>
      </c>
      <c r="AG330" s="485"/>
      <c r="AH330" s="485"/>
      <c r="AI330" s="404"/>
    </row>
    <row r="331" spans="1:35" ht="12.75" thickBot="1">
      <c r="A331" s="492"/>
      <c r="B331" s="496"/>
      <c r="C331" s="486" t="s">
        <v>407</v>
      </c>
      <c r="D331" s="487">
        <f>SUMIF(FS!$AA$9:$AA$39,개요!$B$97&amp;RIGHT(NAV!C331,4),FS!$AD$9:$AD$39)</f>
        <v>0</v>
      </c>
      <c r="E331" s="487">
        <f>D331</f>
        <v>0</v>
      </c>
      <c r="J331" s="551"/>
      <c r="K331" s="552"/>
      <c r="L331" s="551"/>
      <c r="M331" s="553"/>
      <c r="N331" s="553"/>
      <c r="O331" s="551"/>
      <c r="P331" s="553"/>
      <c r="Q331" s="524"/>
      <c r="R331" s="478">
        <f>IFERROR(INDEX(기초자산!M$6:M$408,MATCH(K331&amp;N331&amp;O331,기초자산!$A$6:$A$408,0),0),0)</f>
        <v>0</v>
      </c>
      <c r="S331" s="479">
        <f t="shared" si="82"/>
        <v>0</v>
      </c>
      <c r="T331" s="553"/>
      <c r="U331" s="471" t="s">
        <v>94</v>
      </c>
      <c r="V331" s="480">
        <f>IF(U331="한국 원화(KRW)",1,IF(OR(U331=환율!$A$6,U331=환율!$A$7),VLOOKUP(NAV!U331,환율!$A$6:$B$7,2,),IF(RIGHT(U331,5)="(100)",(VLOOKUP(NAV!U331,환율!$A$11:$B$65,2,))/100,VLOOKUP(NAV!U331,환율!$A$11:$B$65,2,))))</f>
        <v>1</v>
      </c>
      <c r="W331" s="481"/>
      <c r="X331" s="482">
        <f t="shared" si="83"/>
        <v>0</v>
      </c>
      <c r="Y331" s="481"/>
      <c r="Z331" s="481"/>
      <c r="AA331" s="483">
        <f t="shared" si="84"/>
        <v>0</v>
      </c>
      <c r="AB331" s="554"/>
      <c r="AC331" s="526" t="str">
        <f t="shared" si="85"/>
        <v>2년이상</v>
      </c>
      <c r="AD331" s="520" t="str">
        <f t="shared" si="86"/>
        <v/>
      </c>
      <c r="AE331" s="527">
        <f t="shared" si="87"/>
        <v>0</v>
      </c>
      <c r="AF331" s="527">
        <f t="shared" si="88"/>
        <v>0</v>
      </c>
      <c r="AG331" s="485"/>
      <c r="AH331" s="485"/>
      <c r="AI331" s="404"/>
    </row>
    <row r="332" spans="1:35" ht="12.75" thickBot="1">
      <c r="A332" s="489" t="s">
        <v>408</v>
      </c>
      <c r="B332" s="498" t="b">
        <f>D325+D326+D327+D328+D330+D331=D332</f>
        <v>1</v>
      </c>
      <c r="C332" s="493" t="s">
        <v>22</v>
      </c>
      <c r="D332" s="494">
        <f>D324+D329</f>
        <v>0</v>
      </c>
      <c r="E332" s="494">
        <f>E324+E329</f>
        <v>0</v>
      </c>
      <c r="J332" s="551"/>
      <c r="K332" s="552"/>
      <c r="L332" s="551"/>
      <c r="M332" s="553"/>
      <c r="N332" s="553"/>
      <c r="O332" s="551"/>
      <c r="P332" s="553"/>
      <c r="Q332" s="524"/>
      <c r="R332" s="478">
        <f>IFERROR(INDEX(기초자산!M$6:M$408,MATCH(K332&amp;N332&amp;O332,기초자산!$A$6:$A$408,0),0),0)</f>
        <v>0</v>
      </c>
      <c r="S332" s="479">
        <f t="shared" si="82"/>
        <v>0</v>
      </c>
      <c r="T332" s="553"/>
      <c r="U332" s="471" t="s">
        <v>94</v>
      </c>
      <c r="V332" s="480">
        <f>IF(U332="한국 원화(KRW)",1,IF(OR(U332=환율!$A$6,U332=환율!$A$7),VLOOKUP(NAV!U332,환율!$A$6:$B$7,2,),IF(RIGHT(U332,5)="(100)",(VLOOKUP(NAV!U332,환율!$A$11:$B$65,2,))/100,VLOOKUP(NAV!U332,환율!$A$11:$B$65,2,))))</f>
        <v>1</v>
      </c>
      <c r="W332" s="481"/>
      <c r="X332" s="482">
        <f t="shared" si="83"/>
        <v>0</v>
      </c>
      <c r="Y332" s="481"/>
      <c r="Z332" s="481"/>
      <c r="AA332" s="483">
        <f t="shared" si="84"/>
        <v>0</v>
      </c>
      <c r="AB332" s="554"/>
      <c r="AC332" s="526" t="str">
        <f t="shared" si="85"/>
        <v>2년이상</v>
      </c>
      <c r="AD332" s="520" t="str">
        <f t="shared" si="86"/>
        <v/>
      </c>
      <c r="AE332" s="527">
        <f t="shared" si="87"/>
        <v>0</v>
      </c>
      <c r="AF332" s="527">
        <f t="shared" si="88"/>
        <v>0</v>
      </c>
      <c r="AG332" s="485"/>
      <c r="AH332" s="485"/>
      <c r="AI332" s="404"/>
    </row>
    <row r="333" spans="1:35" ht="12.75" thickBot="1">
      <c r="A333" s="492"/>
      <c r="B333" s="555" t="str">
        <f>$B$313&amp;C333</f>
        <v>SPC없음자본금</v>
      </c>
      <c r="C333" s="486" t="s">
        <v>35</v>
      </c>
      <c r="D333" s="487">
        <f>SUMIF(FS!$AA$9:$AA$39,개요!$B$97&amp;RIGHT(NAV!C333,3),FS!$AD$9:$AD$39)</f>
        <v>0</v>
      </c>
      <c r="E333" s="487">
        <f>D333</f>
        <v>0</v>
      </c>
      <c r="J333" s="551"/>
      <c r="K333" s="552"/>
      <c r="L333" s="551"/>
      <c r="M333" s="553"/>
      <c r="N333" s="553"/>
      <c r="O333" s="551"/>
      <c r="P333" s="553"/>
      <c r="Q333" s="524"/>
      <c r="R333" s="478">
        <f>IFERROR(INDEX(기초자산!M$6:M$408,MATCH(K333&amp;N333&amp;O333,기초자산!$A$6:$A$408,0),0),0)</f>
        <v>0</v>
      </c>
      <c r="S333" s="479">
        <f t="shared" si="82"/>
        <v>0</v>
      </c>
      <c r="T333" s="553"/>
      <c r="U333" s="471" t="s">
        <v>94</v>
      </c>
      <c r="V333" s="480">
        <f>IF(U333="한국 원화(KRW)",1,IF(OR(U333=환율!$A$6,U333=환율!$A$7),VLOOKUP(NAV!U333,환율!$A$6:$B$7,2,),IF(RIGHT(U333,5)="(100)",(VLOOKUP(NAV!U333,환율!$A$11:$B$65,2,))/100,VLOOKUP(NAV!U333,환율!$A$11:$B$65,2,))))</f>
        <v>1</v>
      </c>
      <c r="W333" s="481"/>
      <c r="X333" s="482">
        <f t="shared" si="83"/>
        <v>0</v>
      </c>
      <c r="Y333" s="481"/>
      <c r="Z333" s="481"/>
      <c r="AA333" s="483">
        <f t="shared" si="84"/>
        <v>0</v>
      </c>
      <c r="AB333" s="554"/>
      <c r="AC333" s="526" t="str">
        <f t="shared" si="85"/>
        <v>2년이상</v>
      </c>
      <c r="AD333" s="520" t="str">
        <f t="shared" si="86"/>
        <v/>
      </c>
      <c r="AE333" s="527">
        <f t="shared" si="87"/>
        <v>0</v>
      </c>
      <c r="AF333" s="527">
        <f t="shared" si="88"/>
        <v>0</v>
      </c>
      <c r="AG333" s="485"/>
      <c r="AH333" s="485"/>
      <c r="AI333" s="404"/>
    </row>
    <row r="334" spans="1:35" ht="12.75" thickBot="1">
      <c r="C334" s="486" t="s">
        <v>409</v>
      </c>
      <c r="D334" s="487">
        <f>SUMIF(FS!$AA$9:$AA$39,개요!$B$97&amp;RIGHT(NAV!C334,10),FS!$AD$9:$AD$39)</f>
        <v>0</v>
      </c>
      <c r="E334" s="487">
        <f>D334</f>
        <v>0</v>
      </c>
      <c r="J334" s="551"/>
      <c r="K334" s="552"/>
      <c r="L334" s="551"/>
      <c r="M334" s="553"/>
      <c r="N334" s="553"/>
      <c r="O334" s="551"/>
      <c r="P334" s="553"/>
      <c r="Q334" s="524"/>
      <c r="R334" s="478">
        <f>IFERROR(INDEX(기초자산!M$6:M$408,MATCH(K334&amp;N334&amp;O334,기초자산!$A$6:$A$408,0),0),0)</f>
        <v>0</v>
      </c>
      <c r="S334" s="479">
        <f t="shared" si="82"/>
        <v>0</v>
      </c>
      <c r="T334" s="553"/>
      <c r="U334" s="471" t="s">
        <v>94</v>
      </c>
      <c r="V334" s="480">
        <f>IF(U334="한국 원화(KRW)",1,IF(OR(U334=환율!$A$6,U334=환율!$A$7),VLOOKUP(NAV!U334,환율!$A$6:$B$7,2,),IF(RIGHT(U334,5)="(100)",(VLOOKUP(NAV!U334,환율!$A$11:$B$65,2,))/100,VLOOKUP(NAV!U334,환율!$A$11:$B$65,2,))))</f>
        <v>1</v>
      </c>
      <c r="W334" s="481"/>
      <c r="X334" s="482">
        <f t="shared" si="83"/>
        <v>0</v>
      </c>
      <c r="Y334" s="481"/>
      <c r="Z334" s="481"/>
      <c r="AA334" s="483">
        <f t="shared" si="84"/>
        <v>0</v>
      </c>
      <c r="AB334" s="554"/>
      <c r="AC334" s="526" t="str">
        <f t="shared" si="85"/>
        <v>2년이상</v>
      </c>
      <c r="AD334" s="520" t="str">
        <f t="shared" si="86"/>
        <v/>
      </c>
      <c r="AE334" s="527">
        <f t="shared" si="87"/>
        <v>0</v>
      </c>
      <c r="AF334" s="527">
        <f t="shared" si="88"/>
        <v>0</v>
      </c>
      <c r="AG334" s="485"/>
      <c r="AH334" s="485"/>
      <c r="AI334" s="404"/>
    </row>
    <row r="335" spans="1:35" ht="12.75" thickBot="1">
      <c r="A335" s="489"/>
      <c r="B335" s="415"/>
      <c r="C335" s="486" t="s">
        <v>410</v>
      </c>
      <c r="D335" s="487">
        <f>SUMIF(FS!$AA$9:$AA$39,개요!$B$97&amp;RIGHT(NAV!C335,8),FS!$AD$9:$AD$39)</f>
        <v>0</v>
      </c>
      <c r="E335" s="487">
        <f>D335</f>
        <v>0</v>
      </c>
      <c r="J335" s="551"/>
      <c r="K335" s="552"/>
      <c r="L335" s="551"/>
      <c r="M335" s="553"/>
      <c r="N335" s="553"/>
      <c r="O335" s="551"/>
      <c r="P335" s="553"/>
      <c r="Q335" s="524"/>
      <c r="R335" s="478">
        <f>IFERROR(INDEX(기초자산!M$6:M$408,MATCH(K335&amp;N335&amp;O335,기초자산!$A$6:$A$408,0),0),0)</f>
        <v>0</v>
      </c>
      <c r="S335" s="479">
        <f t="shared" si="82"/>
        <v>0</v>
      </c>
      <c r="T335" s="553"/>
      <c r="U335" s="471" t="s">
        <v>94</v>
      </c>
      <c r="V335" s="480">
        <f>IF(U335="한국 원화(KRW)",1,IF(OR(U335=환율!$A$6,U335=환율!$A$7),VLOOKUP(NAV!U335,환율!$A$6:$B$7,2,),IF(RIGHT(U335,5)="(100)",(VLOOKUP(NAV!U335,환율!$A$11:$B$65,2,))/100,VLOOKUP(NAV!U335,환율!$A$11:$B$65,2,))))</f>
        <v>1</v>
      </c>
      <c r="W335" s="481"/>
      <c r="X335" s="482">
        <f t="shared" si="83"/>
        <v>0</v>
      </c>
      <c r="Y335" s="481"/>
      <c r="Z335" s="481"/>
      <c r="AA335" s="483">
        <f t="shared" si="84"/>
        <v>0</v>
      </c>
      <c r="AB335" s="554"/>
      <c r="AC335" s="526" t="str">
        <f t="shared" si="85"/>
        <v>2년이상</v>
      </c>
      <c r="AD335" s="520" t="str">
        <f t="shared" si="86"/>
        <v/>
      </c>
      <c r="AE335" s="527">
        <f t="shared" si="87"/>
        <v>0</v>
      </c>
      <c r="AF335" s="527">
        <f t="shared" si="88"/>
        <v>0</v>
      </c>
      <c r="AG335" s="485"/>
      <c r="AH335" s="485"/>
      <c r="AI335" s="404"/>
    </row>
    <row r="336" spans="1:35" ht="12.75" thickBot="1">
      <c r="A336" s="489" t="s">
        <v>411</v>
      </c>
      <c r="B336" s="415" t="b">
        <f>D336=SUM(D333:D335)</f>
        <v>1</v>
      </c>
      <c r="C336" s="493" t="s">
        <v>412</v>
      </c>
      <c r="D336" s="494">
        <f>D323-D332</f>
        <v>0</v>
      </c>
      <c r="E336" s="494">
        <f>E323-E332</f>
        <v>0</v>
      </c>
      <c r="J336" s="551"/>
      <c r="K336" s="552"/>
      <c r="L336" s="551"/>
      <c r="M336" s="553"/>
      <c r="N336" s="553"/>
      <c r="O336" s="551"/>
      <c r="P336" s="553"/>
      <c r="Q336" s="524"/>
      <c r="R336" s="478">
        <f>IFERROR(INDEX(기초자산!M$6:M$408,MATCH(K336&amp;N336&amp;O336,기초자산!$A$6:$A$408,0),0),0)</f>
        <v>0</v>
      </c>
      <c r="S336" s="479">
        <f t="shared" si="82"/>
        <v>0</v>
      </c>
      <c r="T336" s="553"/>
      <c r="U336" s="471" t="s">
        <v>94</v>
      </c>
      <c r="V336" s="480">
        <f>IF(U336="한국 원화(KRW)",1,IF(OR(U336=환율!$A$6,U336=환율!$A$7),VLOOKUP(NAV!U336,환율!$A$6:$B$7,2,),IF(RIGHT(U336,5)="(100)",(VLOOKUP(NAV!U336,환율!$A$11:$B$65,2,))/100,VLOOKUP(NAV!U336,환율!$A$11:$B$65,2,))))</f>
        <v>1</v>
      </c>
      <c r="W336" s="481"/>
      <c r="X336" s="482">
        <f t="shared" si="83"/>
        <v>0</v>
      </c>
      <c r="Y336" s="481"/>
      <c r="Z336" s="481"/>
      <c r="AA336" s="483">
        <f t="shared" si="84"/>
        <v>0</v>
      </c>
      <c r="AB336" s="554"/>
      <c r="AC336" s="526" t="str">
        <f t="shared" si="85"/>
        <v>2년이상</v>
      </c>
      <c r="AD336" s="520" t="str">
        <f t="shared" si="86"/>
        <v/>
      </c>
      <c r="AE336" s="527">
        <f t="shared" si="87"/>
        <v>0</v>
      </c>
      <c r="AF336" s="527">
        <f t="shared" si="88"/>
        <v>0</v>
      </c>
      <c r="AG336" s="485"/>
      <c r="AH336" s="485"/>
      <c r="AI336" s="404"/>
    </row>
    <row r="337" spans="1:35" ht="12.75" thickBot="1">
      <c r="A337" s="489"/>
      <c r="B337" s="415"/>
      <c r="C337" s="486" t="s">
        <v>468</v>
      </c>
      <c r="D337" s="487">
        <v>0</v>
      </c>
      <c r="E337" s="499">
        <v>0</v>
      </c>
      <c r="J337" s="551"/>
      <c r="K337" s="552"/>
      <c r="L337" s="551"/>
      <c r="M337" s="553"/>
      <c r="N337" s="553"/>
      <c r="O337" s="551"/>
      <c r="P337" s="553"/>
      <c r="Q337" s="524"/>
      <c r="R337" s="478">
        <f>IFERROR(INDEX(기초자산!M$6:M$408,MATCH(K337&amp;N337&amp;O337,기초자산!$A$6:$A$408,0),0),0)</f>
        <v>0</v>
      </c>
      <c r="S337" s="479">
        <f t="shared" si="82"/>
        <v>0</v>
      </c>
      <c r="T337" s="553"/>
      <c r="U337" s="471" t="s">
        <v>94</v>
      </c>
      <c r="V337" s="480">
        <f>IF(U337="한국 원화(KRW)",1,IF(OR(U337=환율!$A$6,U337=환율!$A$7),VLOOKUP(NAV!U337,환율!$A$6:$B$7,2,),IF(RIGHT(U337,5)="(100)",(VLOOKUP(NAV!U337,환율!$A$11:$B$65,2,))/100,VLOOKUP(NAV!U337,환율!$A$11:$B$65,2,))))</f>
        <v>1</v>
      </c>
      <c r="W337" s="481"/>
      <c r="X337" s="482">
        <f t="shared" si="83"/>
        <v>0</v>
      </c>
      <c r="Y337" s="481"/>
      <c r="Z337" s="481"/>
      <c r="AA337" s="483">
        <f t="shared" si="84"/>
        <v>0</v>
      </c>
      <c r="AB337" s="554"/>
      <c r="AC337" s="526" t="str">
        <f t="shared" si="85"/>
        <v>2년이상</v>
      </c>
      <c r="AD337" s="520" t="str">
        <f t="shared" si="86"/>
        <v/>
      </c>
      <c r="AE337" s="527">
        <f t="shared" si="87"/>
        <v>0</v>
      </c>
      <c r="AF337" s="527">
        <f t="shared" si="88"/>
        <v>0</v>
      </c>
      <c r="AG337" s="485"/>
      <c r="AH337" s="485"/>
      <c r="AI337" s="404"/>
    </row>
    <row r="338" spans="1:35">
      <c r="A338" s="489"/>
      <c r="B338" s="415"/>
      <c r="C338" s="486" t="s">
        <v>446</v>
      </c>
      <c r="D338" s="487">
        <v>0</v>
      </c>
      <c r="E338" s="499">
        <v>0</v>
      </c>
      <c r="J338" s="495"/>
      <c r="K338" s="415"/>
      <c r="L338" s="495"/>
      <c r="M338" s="415"/>
      <c r="N338" s="415"/>
      <c r="O338" s="415"/>
      <c r="P338" s="415"/>
      <c r="Q338" s="422"/>
      <c r="R338" s="415"/>
      <c r="S338" s="415"/>
      <c r="T338" s="415"/>
      <c r="U338" s="415"/>
      <c r="V338" s="415"/>
      <c r="W338" s="422"/>
      <c r="X338" s="415"/>
      <c r="Y338" s="458"/>
      <c r="Z338" s="422"/>
      <c r="AA338" s="556"/>
      <c r="AB338" s="556"/>
      <c r="AC338" s="415"/>
      <c r="AE338" s="415"/>
      <c r="AI338" s="404"/>
    </row>
    <row r="339" spans="1:35">
      <c r="A339" s="489"/>
      <c r="B339" s="415"/>
      <c r="C339" s="493" t="s">
        <v>469</v>
      </c>
      <c r="D339" s="494">
        <f>D336+D337-D338</f>
        <v>0</v>
      </c>
      <c r="E339" s="494">
        <f>IF(E336+E337-E338&gt;0,E336+E337-E338,0)</f>
        <v>0</v>
      </c>
      <c r="J339" s="305"/>
      <c r="K339" s="415"/>
      <c r="L339" s="305"/>
      <c r="M339" s="415"/>
      <c r="N339" s="415"/>
      <c r="O339" s="415"/>
      <c r="S339" s="415"/>
      <c r="T339" s="415"/>
      <c r="U339" s="415"/>
      <c r="V339" s="415"/>
      <c r="Y339" s="458"/>
      <c r="AD339" s="557" t="str">
        <f>B313&amp;"순자산가치"</f>
        <v>SPC없음순자산가치</v>
      </c>
      <c r="AE339" s="529">
        <f>IF(E319+SUM(AE319:AE324)+SUM(AE327:AE337)-E332&gt;0,E319+SUM(AE319:AE324)+SUM(AE327:AE337)-E332,0)</f>
        <v>0</v>
      </c>
      <c r="AF339" s="529">
        <f>IF(E319+SUM(AF319:AF324)+SUM(AF327:AF337)-E332&gt;0,E319+SUM(AF319:AF324)+SUM(AF327:AF337)-E332,0)</f>
        <v>0</v>
      </c>
      <c r="AI339" s="404"/>
    </row>
    <row r="340" spans="1:35">
      <c r="A340" s="489"/>
      <c r="B340" s="558" t="str">
        <f>$B$313&amp;C340</f>
        <v>SPC없음보유지분율(%)</v>
      </c>
      <c r="C340" s="493" t="s">
        <v>416</v>
      </c>
      <c r="D340" s="559">
        <f>개요!$C$106</f>
        <v>0</v>
      </c>
      <c r="E340" s="494">
        <f>E339*D340</f>
        <v>0</v>
      </c>
      <c r="F340" s="560" t="s">
        <v>470</v>
      </c>
      <c r="G340" s="560"/>
      <c r="J340" s="495"/>
      <c r="K340" s="415"/>
      <c r="L340" s="495"/>
      <c r="M340" s="415"/>
      <c r="N340" s="415"/>
      <c r="O340" s="415"/>
      <c r="S340" s="415"/>
      <c r="T340" s="415"/>
      <c r="U340" s="415"/>
      <c r="V340" s="415"/>
      <c r="Y340" s="458"/>
      <c r="AD340" s="557" t="s">
        <v>272</v>
      </c>
      <c r="AE340" s="561">
        <f>$D340</f>
        <v>0</v>
      </c>
      <c r="AF340" s="561">
        <f>$D340</f>
        <v>0</v>
      </c>
      <c r="AI340" s="404"/>
    </row>
    <row r="341" spans="1:35">
      <c r="A341" s="489"/>
      <c r="B341" s="415"/>
      <c r="G341" s="503" t="s">
        <v>419</v>
      </c>
      <c r="I341" s="562"/>
      <c r="J341" s="495"/>
      <c r="K341" s="415"/>
      <c r="L341" s="495"/>
      <c r="M341" s="415"/>
      <c r="N341" s="415"/>
      <c r="O341" s="415"/>
      <c r="S341" s="415"/>
      <c r="T341" s="415"/>
      <c r="U341" s="415"/>
      <c r="V341" s="415"/>
      <c r="Y341" s="458"/>
      <c r="AD341" s="557" t="str">
        <f>B313&amp;"지분율 반영 순자산가치"</f>
        <v>SPC없음지분율 반영 순자산가치</v>
      </c>
      <c r="AE341" s="529">
        <f>AE339*AE340</f>
        <v>0</v>
      </c>
      <c r="AF341" s="529">
        <f>AF339*AF340</f>
        <v>0</v>
      </c>
      <c r="AI341" s="404"/>
    </row>
    <row r="342" spans="1:35">
      <c r="A342" s="489"/>
      <c r="D342" s="504" t="s">
        <v>471</v>
      </c>
      <c r="E342" s="505">
        <f>$C$7</f>
        <v>45473</v>
      </c>
      <c r="F342" s="506"/>
      <c r="G342" s="505"/>
      <c r="I342" s="563"/>
      <c r="J342" s="495"/>
      <c r="K342" s="415"/>
      <c r="L342" s="495"/>
      <c r="M342" s="415"/>
      <c r="N342" s="415"/>
      <c r="O342" s="415"/>
      <c r="S342" s="415"/>
      <c r="T342" s="415"/>
      <c r="U342" s="415"/>
      <c r="V342" s="415"/>
      <c r="Y342" s="422"/>
      <c r="AI342" s="404"/>
    </row>
    <row r="343" spans="1:35">
      <c r="D343" s="486" t="s">
        <v>412</v>
      </c>
      <c r="E343" s="487">
        <f>E339</f>
        <v>0</v>
      </c>
      <c r="F343" s="507" t="e">
        <f>E343/G343-1</f>
        <v>#DIV/0!</v>
      </c>
      <c r="G343" s="487"/>
      <c r="I343" s="564"/>
      <c r="J343" s="495"/>
      <c r="K343" s="415"/>
      <c r="L343" s="495"/>
      <c r="M343" s="415"/>
      <c r="S343" s="415"/>
      <c r="T343" s="415"/>
      <c r="U343" s="415"/>
      <c r="V343" s="415"/>
      <c r="Y343" s="422"/>
      <c r="AI343" s="404"/>
    </row>
    <row r="344" spans="1:35">
      <c r="A344" s="489"/>
      <c r="B344" s="415"/>
      <c r="D344" s="486" t="s">
        <v>418</v>
      </c>
      <c r="E344" s="565">
        <f>$D$340</f>
        <v>0</v>
      </c>
      <c r="F344" s="507"/>
      <c r="G344" s="565"/>
      <c r="I344" s="566"/>
      <c r="J344" s="305"/>
      <c r="K344" s="415"/>
      <c r="L344" s="305"/>
      <c r="M344" s="415"/>
      <c r="S344" s="415"/>
      <c r="T344" s="415"/>
      <c r="U344" s="415"/>
      <c r="V344" s="415"/>
      <c r="Y344" s="422"/>
      <c r="AI344" s="404"/>
    </row>
    <row r="345" spans="1:35">
      <c r="A345" s="489"/>
      <c r="B345" s="415"/>
      <c r="D345" s="567" t="s">
        <v>420</v>
      </c>
      <c r="E345" s="568">
        <f>E343*E344</f>
        <v>0</v>
      </c>
      <c r="F345" s="507" t="e">
        <f>E345/G345-1</f>
        <v>#DIV/0!</v>
      </c>
      <c r="G345" s="568"/>
      <c r="I345" s="564"/>
      <c r="AI345" s="404"/>
    </row>
    <row r="346" spans="1:35">
      <c r="E346" s="304" t="b">
        <f>E345=E340</f>
        <v>1</v>
      </c>
      <c r="AI346" s="404"/>
    </row>
    <row r="347" spans="1:35">
      <c r="F347" s="507"/>
      <c r="G347" s="507"/>
      <c r="AI347" s="404"/>
    </row>
    <row r="348" spans="1:35" ht="12.75" thickBot="1">
      <c r="A348" s="536"/>
      <c r="B348" s="536"/>
      <c r="C348" s="536"/>
      <c r="D348" s="536"/>
      <c r="E348" s="536"/>
      <c r="F348" s="572"/>
      <c r="G348" s="572"/>
      <c r="H348" s="536"/>
      <c r="I348" s="537"/>
      <c r="J348" s="536"/>
      <c r="K348" s="536"/>
      <c r="L348" s="536"/>
      <c r="M348" s="536"/>
      <c r="N348" s="536"/>
      <c r="O348" s="536"/>
      <c r="P348" s="536"/>
      <c r="Q348" s="540"/>
      <c r="R348" s="536"/>
      <c r="S348" s="536"/>
      <c r="T348" s="536"/>
      <c r="U348" s="536"/>
      <c r="V348" s="536"/>
      <c r="W348" s="540"/>
      <c r="X348" s="536"/>
      <c r="Y348" s="540"/>
      <c r="Z348" s="540"/>
      <c r="AA348" s="536"/>
      <c r="AB348" s="536"/>
      <c r="AC348" s="536"/>
      <c r="AD348" s="541"/>
      <c r="AE348" s="536"/>
      <c r="AF348" s="536"/>
      <c r="AG348" s="536"/>
      <c r="AH348" s="536"/>
      <c r="AI348" s="404"/>
    </row>
    <row r="349" spans="1:35" ht="12.75" thickTop="1">
      <c r="F349" s="507"/>
      <c r="G349" s="507"/>
      <c r="AI349" s="404"/>
    </row>
    <row r="350" spans="1:35" ht="12.75" thickBot="1">
      <c r="A350" s="459"/>
      <c r="B350" s="415"/>
      <c r="J350" s="428" t="s">
        <v>273</v>
      </c>
      <c r="K350" s="489"/>
      <c r="L350" s="497"/>
      <c r="M350" s="489"/>
      <c r="N350" s="415"/>
      <c r="O350" s="415"/>
      <c r="AI350" s="404"/>
    </row>
    <row r="351" spans="1:35" ht="12.75" thickBot="1">
      <c r="A351" s="542" t="s">
        <v>500</v>
      </c>
      <c r="B351" s="543" t="str">
        <f>IF(개요!$B$109="","SPC없음",개요!$B$109)</f>
        <v>SPC없음</v>
      </c>
      <c r="C351" s="454"/>
      <c r="J351" s="433"/>
      <c r="K351" s="434"/>
      <c r="L351" s="434"/>
      <c r="M351" s="434"/>
      <c r="N351" s="434"/>
      <c r="O351" s="434"/>
      <c r="P351" s="434"/>
      <c r="Q351" s="435"/>
      <c r="R351" s="434"/>
      <c r="S351" s="434"/>
      <c r="T351" s="434"/>
      <c r="U351" s="434"/>
      <c r="V351" s="436"/>
      <c r="AI351" s="404"/>
    </row>
    <row r="352" spans="1:35">
      <c r="B352" s="543" t="s">
        <v>369</v>
      </c>
      <c r="C352" s="569" t="str">
        <f>IF(개요!$C$110="","SPC없음",개요!$C$110)</f>
        <v>SPC없음</v>
      </c>
      <c r="J352" s="442"/>
      <c r="K352" s="151"/>
      <c r="L352" s="151"/>
      <c r="M352" s="151"/>
      <c r="N352" s="151"/>
      <c r="O352" s="151"/>
      <c r="P352" s="151"/>
      <c r="Q352" s="443"/>
      <c r="R352" s="151"/>
      <c r="S352" s="151"/>
      <c r="T352" s="151"/>
      <c r="U352" s="151"/>
      <c r="V352" s="444"/>
      <c r="AI352" s="404"/>
    </row>
    <row r="353" spans="1:35">
      <c r="B353" s="437" t="s">
        <v>370</v>
      </c>
      <c r="C353" s="570">
        <f>$C$7</f>
        <v>45473</v>
      </c>
      <c r="D353" s="546" t="b">
        <f>C353&gt;=C354</f>
        <v>1</v>
      </c>
      <c r="J353" s="442"/>
      <c r="K353" s="151"/>
      <c r="L353" s="151"/>
      <c r="M353" s="151"/>
      <c r="N353" s="151"/>
      <c r="O353" s="151"/>
      <c r="P353" s="151"/>
      <c r="Q353" s="443"/>
      <c r="R353" s="151"/>
      <c r="S353" s="151"/>
      <c r="T353" s="151"/>
      <c r="U353" s="151"/>
      <c r="V353" s="444"/>
      <c r="AI353" s="404"/>
    </row>
    <row r="354" spans="1:35" ht="12.75" thickBot="1">
      <c r="B354" s="449" t="s">
        <v>371</v>
      </c>
      <c r="C354" s="571">
        <f>FS!$AJ$8</f>
        <v>0</v>
      </c>
      <c r="J354" s="453"/>
      <c r="K354" s="454"/>
      <c r="L354" s="454"/>
      <c r="M354" s="454"/>
      <c r="N354" s="454"/>
      <c r="O354" s="454"/>
      <c r="P354" s="454"/>
      <c r="Q354" s="455"/>
      <c r="R354" s="454"/>
      <c r="S354" s="454"/>
      <c r="T354" s="454"/>
      <c r="U354" s="454"/>
      <c r="V354" s="456"/>
      <c r="AI354" s="404"/>
    </row>
    <row r="355" spans="1:35">
      <c r="A355" s="459"/>
      <c r="J355" s="428" t="s">
        <v>372</v>
      </c>
      <c r="K355" s="448"/>
      <c r="L355" s="420"/>
      <c r="M355" s="448"/>
      <c r="N355" s="448"/>
      <c r="O355" s="448"/>
      <c r="P355" s="415"/>
      <c r="Q355" s="422"/>
      <c r="R355" s="415"/>
      <c r="S355" s="415"/>
      <c r="T355" s="415"/>
      <c r="U355" s="415"/>
      <c r="V355" s="415"/>
      <c r="W355" s="422"/>
      <c r="Z355" s="458"/>
      <c r="AE355" s="803" t="s">
        <v>8</v>
      </c>
      <c r="AF355" s="803"/>
      <c r="AG355" s="460"/>
      <c r="AH355" s="460"/>
      <c r="AI355" s="404"/>
    </row>
    <row r="356" spans="1:35" ht="12.75" thickBot="1">
      <c r="A356" s="461" t="str">
        <f>IF(AND(B357:B383),"검증완료","검증필요")</f>
        <v>검증완료</v>
      </c>
      <c r="B356" s="462" t="s">
        <v>373</v>
      </c>
      <c r="C356" s="462" t="s">
        <v>9</v>
      </c>
      <c r="D356" s="462" t="s">
        <v>501</v>
      </c>
      <c r="E356" s="462" t="s">
        <v>11</v>
      </c>
      <c r="J356" s="462" t="s">
        <v>375</v>
      </c>
      <c r="K356" s="464" t="s">
        <v>0</v>
      </c>
      <c r="L356" s="462" t="s">
        <v>369</v>
      </c>
      <c r="M356" s="462" t="s">
        <v>456</v>
      </c>
      <c r="N356" s="462" t="s">
        <v>378</v>
      </c>
      <c r="O356" s="462" t="s">
        <v>502</v>
      </c>
      <c r="P356" s="464" t="s">
        <v>380</v>
      </c>
      <c r="Q356" s="465" t="s">
        <v>14</v>
      </c>
      <c r="R356" s="466" t="s">
        <v>381</v>
      </c>
      <c r="S356" s="466" t="s">
        <v>382</v>
      </c>
      <c r="T356" s="462" t="s">
        <v>12</v>
      </c>
      <c r="U356" s="462" t="s">
        <v>383</v>
      </c>
      <c r="V356" s="462" t="s">
        <v>400</v>
      </c>
      <c r="W356" s="465" t="s">
        <v>10</v>
      </c>
      <c r="X356" s="462" t="s">
        <v>385</v>
      </c>
      <c r="Y356" s="465" t="s">
        <v>430</v>
      </c>
      <c r="Z356" s="465" t="s">
        <v>3522</v>
      </c>
      <c r="AA356" s="464" t="s">
        <v>13</v>
      </c>
      <c r="AE356" s="467" t="s">
        <v>3627</v>
      </c>
      <c r="AF356" s="467" t="s">
        <v>3628</v>
      </c>
      <c r="AG356" s="467" t="s">
        <v>3629</v>
      </c>
      <c r="AH356" s="467" t="s">
        <v>3630</v>
      </c>
      <c r="AI356" s="404"/>
    </row>
    <row r="357" spans="1:35" ht="12.75" thickBot="1">
      <c r="A357" s="415"/>
      <c r="B357" s="415"/>
      <c r="C357" s="468" t="s">
        <v>16</v>
      </c>
      <c r="D357" s="469">
        <f>SUM(D358:D359)</f>
        <v>0</v>
      </c>
      <c r="E357" s="469">
        <f>SUM(E358:E359)</f>
        <v>0</v>
      </c>
      <c r="J357" s="476"/>
      <c r="K357" s="472"/>
      <c r="L357" s="473" t="str">
        <f>IF($J357="","SPC 없음",VLOOKUP($J357&amp;"SPC명",개요!$A$3:$E$1932,3,0))</f>
        <v>SPC 없음</v>
      </c>
      <c r="M357" s="474" t="str">
        <f>IF($J357="","SPC 없음",VLOOKUP($J357&amp;"설정일",개요!$A$3:$E$1932,3,0))</f>
        <v>SPC 없음</v>
      </c>
      <c r="N357" s="475" t="str">
        <f t="shared" ref="N357:N362" si="89">IF($J357="","SPC 없음",VLOOKUP($J357&amp;"자본금",$B$4:$E$2079,3,0)*VLOOKUP($J357&amp;"보유지분율(%)",$B$4:$E$2079,3,0))</f>
        <v>SPC 없음</v>
      </c>
      <c r="O357" s="471"/>
      <c r="P357" s="476"/>
      <c r="Q357" s="477"/>
      <c r="R357" s="478"/>
      <c r="S357" s="479" t="str">
        <f t="shared" ref="S357:S362" si="90">IF($J357="","SPC 없음",IF(P357="총액",IF(T357="장부가액 준용",W357,(VLOOKUP($J357&amp;"보유지분율(%)",$B$4:$E$2079,4,0))*V357),Q357*R357))</f>
        <v>SPC 없음</v>
      </c>
      <c r="T357" s="471"/>
      <c r="U357" s="471" t="s">
        <v>94</v>
      </c>
      <c r="V357" s="480">
        <f>IF(U357="한국 원화(KRW)",1,IF(OR(U357=환율!$A$6,U357=환율!$A$7),VLOOKUP(NAV!U357,환율!$A$6:$B$7,2,),IF(RIGHT(U357,5)="(100)",(VLOOKUP(NAV!U357,환율!$A$11:$B$51,2,))/100,VLOOKUP(NAV!U357,환율!$A$11:$B$51,2,))))</f>
        <v>1</v>
      </c>
      <c r="W357" s="481"/>
      <c r="X357" s="482">
        <f t="shared" ref="X357:X362" si="91">IFERROR(IF(P357="만원당",10000,Y357/Q357),0)</f>
        <v>0</v>
      </c>
      <c r="Y357" s="481"/>
      <c r="Z357" s="481"/>
      <c r="AA357" s="483">
        <f t="shared" ref="AA357:AA362" si="92">IFERROR(IF(Z357="",S357/W357-1,S357/Z357-1),0)</f>
        <v>0</v>
      </c>
      <c r="AE357" s="484" t="str">
        <f t="shared" ref="AE357:AE362" si="93">IF($J357="","SPC 없음",IF(P357="총액",(VLOOKUP($J357&amp;"지분율 반영 순자산가치",$AD$4:$AH$4973,2,0))*V357,AG357*$Q357))</f>
        <v>SPC 없음</v>
      </c>
      <c r="AF357" s="484" t="str">
        <f t="shared" ref="AF357:AF362" si="94">IF($J357="","SPC 없음",IF(P357="총액",(VLOOKUP($J357&amp;"지분율 반영 순자산가치",$AD$4:$AH$4973,3,0))*V357,AH357*$Q357))</f>
        <v>SPC 없음</v>
      </c>
      <c r="AG357" s="485"/>
      <c r="AH357" s="485"/>
      <c r="AI357" s="404"/>
    </row>
    <row r="358" spans="1:35" ht="12.75" thickBot="1">
      <c r="A358" s="415"/>
      <c r="B358" s="415"/>
      <c r="C358" s="486" t="s">
        <v>387</v>
      </c>
      <c r="D358" s="487">
        <f>SUMIF(FS!$AG$9:$AG$39,개요!$B$109&amp;RIGHT(NAV!C358,10),FS!$AJ$9:$AJ$39)</f>
        <v>0</v>
      </c>
      <c r="E358" s="487">
        <f>D358</f>
        <v>0</v>
      </c>
      <c r="J358" s="476"/>
      <c r="K358" s="472"/>
      <c r="L358" s="473" t="str">
        <f>IF($J358="","SPC 없음",VLOOKUP($J358&amp;"SPC명",개요!$A$3:$E$1932,3,0))</f>
        <v>SPC 없음</v>
      </c>
      <c r="M358" s="474" t="str">
        <f>IF($J358="","SPC 없음",VLOOKUP($J358&amp;"설정일",개요!$A$3:$E$1932,3,0))</f>
        <v>SPC 없음</v>
      </c>
      <c r="N358" s="475" t="str">
        <f t="shared" si="89"/>
        <v>SPC 없음</v>
      </c>
      <c r="O358" s="471"/>
      <c r="P358" s="476"/>
      <c r="Q358" s="477"/>
      <c r="R358" s="478"/>
      <c r="S358" s="479" t="str">
        <f t="shared" si="90"/>
        <v>SPC 없음</v>
      </c>
      <c r="T358" s="471"/>
      <c r="U358" s="471" t="s">
        <v>94</v>
      </c>
      <c r="V358" s="480">
        <f>IF(U358="한국 원화(KRW)",1,IF(OR(U358=환율!$A$6,U358=환율!$A$7),VLOOKUP(NAV!U358,환율!$A$6:$B$7,2,),IF(RIGHT(U358,5)="(100)",(VLOOKUP(NAV!U358,환율!$A$11:$B$51,2,))/100,VLOOKUP(NAV!U358,환율!$A$11:$B$51,2,))))</f>
        <v>1</v>
      </c>
      <c r="W358" s="481"/>
      <c r="X358" s="482">
        <f t="shared" si="91"/>
        <v>0</v>
      </c>
      <c r="Y358" s="481"/>
      <c r="Z358" s="481"/>
      <c r="AA358" s="483">
        <f t="shared" si="92"/>
        <v>0</v>
      </c>
      <c r="AE358" s="484" t="str">
        <f t="shared" si="93"/>
        <v>SPC 없음</v>
      </c>
      <c r="AF358" s="484" t="str">
        <f t="shared" si="94"/>
        <v>SPC 없음</v>
      </c>
      <c r="AG358" s="485"/>
      <c r="AH358" s="485"/>
      <c r="AI358" s="404"/>
    </row>
    <row r="359" spans="1:35" ht="12.75" thickBot="1">
      <c r="A359" s="415"/>
      <c r="B359" s="415"/>
      <c r="C359" s="486" t="s">
        <v>34</v>
      </c>
      <c r="D359" s="487">
        <f>SUMIF(FS!$AG$9:$AG$39,개요!$B$109&amp;RIGHT(NAV!C359,4),FS!$AJ$9:$AJ$39)</f>
        <v>0</v>
      </c>
      <c r="E359" s="487">
        <f>D359</f>
        <v>0</v>
      </c>
      <c r="J359" s="476"/>
      <c r="K359" s="472"/>
      <c r="L359" s="473" t="str">
        <f>IF($J359="","SPC 없음",VLOOKUP($J359&amp;"SPC명",개요!$A$3:$E$1932,3,0))</f>
        <v>SPC 없음</v>
      </c>
      <c r="M359" s="474" t="str">
        <f>IF($J359="","SPC 없음",VLOOKUP($J359&amp;"설정일",개요!$A$3:$E$1932,3,0))</f>
        <v>SPC 없음</v>
      </c>
      <c r="N359" s="475" t="str">
        <f t="shared" si="89"/>
        <v>SPC 없음</v>
      </c>
      <c r="O359" s="471"/>
      <c r="P359" s="476"/>
      <c r="Q359" s="477"/>
      <c r="R359" s="478"/>
      <c r="S359" s="479" t="str">
        <f t="shared" si="90"/>
        <v>SPC 없음</v>
      </c>
      <c r="T359" s="471"/>
      <c r="U359" s="471" t="s">
        <v>94</v>
      </c>
      <c r="V359" s="480">
        <f>IF(U359="한국 원화(KRW)",1,IF(OR(U359=환율!$A$6,U359=환율!$A$7),VLOOKUP(NAV!U359,환율!$A$6:$B$7,2,),IF(RIGHT(U359,5)="(100)",(VLOOKUP(NAV!U359,환율!$A$11:$B$51,2,))/100,VLOOKUP(NAV!U359,환율!$A$11:$B$51,2,))))</f>
        <v>1</v>
      </c>
      <c r="W359" s="481"/>
      <c r="X359" s="482">
        <f t="shared" si="91"/>
        <v>0</v>
      </c>
      <c r="Y359" s="481"/>
      <c r="Z359" s="481"/>
      <c r="AA359" s="483">
        <f t="shared" si="92"/>
        <v>0</v>
      </c>
      <c r="AE359" s="484" t="str">
        <f t="shared" si="93"/>
        <v>SPC 없음</v>
      </c>
      <c r="AF359" s="484" t="str">
        <f t="shared" si="94"/>
        <v>SPC 없음</v>
      </c>
      <c r="AG359" s="485"/>
      <c r="AH359" s="485"/>
      <c r="AI359" s="404"/>
    </row>
    <row r="360" spans="1:35" ht="12.75" thickBot="1">
      <c r="A360" s="489" t="s">
        <v>503</v>
      </c>
      <c r="B360" s="490" t="b">
        <f>SUM(W357:W362,W365:W375)=D360</f>
        <v>1</v>
      </c>
      <c r="C360" s="468" t="s">
        <v>504</v>
      </c>
      <c r="D360" s="469">
        <f>SUMIF(FS!$AG$9:$AG$39,개요!$B$109&amp;RIGHT(NAV!C360,4),FS!$AJ$9:$AJ$39)</f>
        <v>0</v>
      </c>
      <c r="E360" s="469">
        <f>SUM(S357:S362)+SUM(S365:S375)</f>
        <v>0</v>
      </c>
      <c r="J360" s="476"/>
      <c r="K360" s="472"/>
      <c r="L360" s="473" t="str">
        <f>IF($J360="","SPC 없음",VLOOKUP($J360&amp;"SPC명",개요!$A$3:$E$1932,3,0))</f>
        <v>SPC 없음</v>
      </c>
      <c r="M360" s="474" t="str">
        <f>IF($J360="","SPC 없음",VLOOKUP($J360&amp;"설정일",개요!$A$3:$E$1932,3,0))</f>
        <v>SPC 없음</v>
      </c>
      <c r="N360" s="475" t="str">
        <f t="shared" si="89"/>
        <v>SPC 없음</v>
      </c>
      <c r="O360" s="471"/>
      <c r="P360" s="476"/>
      <c r="Q360" s="477"/>
      <c r="R360" s="478"/>
      <c r="S360" s="479" t="str">
        <f t="shared" si="90"/>
        <v>SPC 없음</v>
      </c>
      <c r="T360" s="471"/>
      <c r="U360" s="471" t="s">
        <v>94</v>
      </c>
      <c r="V360" s="480">
        <f>IF(U360="한국 원화(KRW)",1,IF(OR(U360=환율!$A$6,U360=환율!$A$7),VLOOKUP(NAV!U360,환율!$A$6:$B$7,2,),IF(RIGHT(U360,5)="(100)",(VLOOKUP(NAV!U360,환율!$A$11:$B$51,2,))/100,VLOOKUP(NAV!U360,환율!$A$11:$B$51,2,))))</f>
        <v>1</v>
      </c>
      <c r="W360" s="481"/>
      <c r="X360" s="482">
        <f t="shared" si="91"/>
        <v>0</v>
      </c>
      <c r="Y360" s="481"/>
      <c r="Z360" s="481"/>
      <c r="AA360" s="483">
        <f t="shared" si="92"/>
        <v>0</v>
      </c>
      <c r="AE360" s="484" t="str">
        <f t="shared" si="93"/>
        <v>SPC 없음</v>
      </c>
      <c r="AF360" s="484" t="str">
        <f t="shared" si="94"/>
        <v>SPC 없음</v>
      </c>
      <c r="AG360" s="485"/>
      <c r="AH360" s="485"/>
      <c r="AI360" s="404"/>
    </row>
    <row r="361" spans="1:35" ht="12.75" thickBot="1">
      <c r="A361" s="492" t="s">
        <v>391</v>
      </c>
      <c r="B361" s="415" t="b">
        <f>D358+D359+D360=D361</f>
        <v>1</v>
      </c>
      <c r="C361" s="493" t="s">
        <v>2</v>
      </c>
      <c r="D361" s="494">
        <f>D357+D360</f>
        <v>0</v>
      </c>
      <c r="E361" s="494">
        <f>E357+E360</f>
        <v>0</v>
      </c>
      <c r="J361" s="476"/>
      <c r="K361" s="472"/>
      <c r="L361" s="473" t="str">
        <f>IF($J361="","SPC 없음",VLOOKUP($J361&amp;"SPC명",개요!$A$3:$E$1932,3,0))</f>
        <v>SPC 없음</v>
      </c>
      <c r="M361" s="474" t="str">
        <f>IF($J361="","SPC 없음",VLOOKUP($J361&amp;"설정일",개요!$A$3:$E$1932,3,0))</f>
        <v>SPC 없음</v>
      </c>
      <c r="N361" s="475" t="str">
        <f t="shared" si="89"/>
        <v>SPC 없음</v>
      </c>
      <c r="O361" s="471"/>
      <c r="P361" s="476"/>
      <c r="Q361" s="477"/>
      <c r="R361" s="478"/>
      <c r="S361" s="479" t="str">
        <f t="shared" si="90"/>
        <v>SPC 없음</v>
      </c>
      <c r="T361" s="471"/>
      <c r="U361" s="471" t="s">
        <v>94</v>
      </c>
      <c r="V361" s="480">
        <f>IF(U361="한국 원화(KRW)",1,IF(OR(U361=환율!$A$6,U361=환율!$A$7),VLOOKUP(NAV!U361,환율!$A$6:$B$7,2,),IF(RIGHT(U361,5)="(100)",(VLOOKUP(NAV!U361,환율!$A$11:$B$51,2,))/100,VLOOKUP(NAV!U361,환율!$A$11:$B$51,2,))))</f>
        <v>1</v>
      </c>
      <c r="W361" s="481"/>
      <c r="X361" s="482">
        <f t="shared" si="91"/>
        <v>0</v>
      </c>
      <c r="Y361" s="481"/>
      <c r="Z361" s="481"/>
      <c r="AA361" s="483">
        <f t="shared" si="92"/>
        <v>0</v>
      </c>
      <c r="AE361" s="484" t="str">
        <f t="shared" si="93"/>
        <v>SPC 없음</v>
      </c>
      <c r="AF361" s="484" t="str">
        <f t="shared" si="94"/>
        <v>SPC 없음</v>
      </c>
      <c r="AG361" s="485"/>
      <c r="AH361" s="485"/>
      <c r="AI361" s="404"/>
    </row>
    <row r="362" spans="1:35" ht="12.75" thickBot="1">
      <c r="A362" s="492"/>
      <c r="B362" s="496"/>
      <c r="C362" s="468" t="s">
        <v>18</v>
      </c>
      <c r="D362" s="469">
        <f>SUM(D363:D366)</f>
        <v>0</v>
      </c>
      <c r="E362" s="469">
        <f>SUM(E363:E366)</f>
        <v>0</v>
      </c>
      <c r="J362" s="476"/>
      <c r="K362" s="472"/>
      <c r="L362" s="473" t="str">
        <f>IF($J362="","SPC 없음",VLOOKUP($J362&amp;"SPC명",개요!$A$3:$E$1932,3,0))</f>
        <v>SPC 없음</v>
      </c>
      <c r="M362" s="474" t="str">
        <f>IF($J362="","SPC 없음",VLOOKUP($J362&amp;"설정일",개요!$A$3:$E$1932,3,0))</f>
        <v>SPC 없음</v>
      </c>
      <c r="N362" s="475" t="str">
        <f t="shared" si="89"/>
        <v>SPC 없음</v>
      </c>
      <c r="O362" s="471"/>
      <c r="P362" s="476"/>
      <c r="Q362" s="477"/>
      <c r="R362" s="478"/>
      <c r="S362" s="479" t="str">
        <f t="shared" si="90"/>
        <v>SPC 없음</v>
      </c>
      <c r="T362" s="471"/>
      <c r="U362" s="471" t="s">
        <v>94</v>
      </c>
      <c r="V362" s="480">
        <f>IF(U362="한국 원화(KRW)",1,IF(OR(U362=환율!$A$6,U362=환율!$A$7),VLOOKUP(NAV!U362,환율!$A$6:$B$7,2,),IF(RIGHT(U362,5)="(100)",(VLOOKUP(NAV!U362,환율!$A$11:$B$51,2,))/100,VLOOKUP(NAV!U362,환율!$A$11:$B$51,2,))))</f>
        <v>1</v>
      </c>
      <c r="W362" s="481"/>
      <c r="X362" s="482">
        <f t="shared" si="91"/>
        <v>0</v>
      </c>
      <c r="Y362" s="481"/>
      <c r="Z362" s="481"/>
      <c r="AA362" s="483">
        <f t="shared" si="92"/>
        <v>0</v>
      </c>
      <c r="AE362" s="484" t="str">
        <f t="shared" si="93"/>
        <v>SPC 없음</v>
      </c>
      <c r="AF362" s="484" t="str">
        <f t="shared" si="94"/>
        <v>SPC 없음</v>
      </c>
      <c r="AG362" s="485"/>
      <c r="AH362" s="485"/>
      <c r="AI362" s="404"/>
    </row>
    <row r="363" spans="1:35">
      <c r="A363" s="492"/>
      <c r="B363" s="496"/>
      <c r="C363" s="486" t="s">
        <v>505</v>
      </c>
      <c r="D363" s="487">
        <f>SUMIF(FS!$AG$9:$AG$39,개요!$B$109&amp;RIGHT(NAV!C363,5),FS!$AJ$9:$AJ$39)</f>
        <v>0</v>
      </c>
      <c r="E363" s="487">
        <f>D363</f>
        <v>0</v>
      </c>
      <c r="J363" s="428" t="s">
        <v>275</v>
      </c>
      <c r="K363" s="415"/>
      <c r="L363" s="305"/>
      <c r="M363" s="415"/>
      <c r="N363" s="415"/>
      <c r="O363" s="415"/>
      <c r="P363" s="415"/>
      <c r="Q363" s="422"/>
      <c r="R363" s="415"/>
      <c r="S363" s="415"/>
      <c r="T363" s="415"/>
      <c r="U363" s="415"/>
      <c r="W363" s="517" t="b">
        <f>SUM(W365:W375)+SUM(W357:W362)=D360</f>
        <v>1</v>
      </c>
      <c r="X363" s="415"/>
      <c r="Y363" s="422"/>
      <c r="Z363" s="422"/>
      <c r="AA363" s="459" t="str">
        <f>IF(OR(MAX(AA357:AA362,AA365:AA375)&gt;0.2,MIN(AA357:AA362,AA365:AA375)&lt;-0.2),"특이사항 확인","특이사항 없음")</f>
        <v>특이사항 없음</v>
      </c>
      <c r="AB363" s="415"/>
      <c r="AF363" s="415"/>
      <c r="AG363" s="415"/>
      <c r="AI363" s="404"/>
    </row>
    <row r="364" spans="1:35" ht="12.75" thickBot="1">
      <c r="A364" s="492"/>
      <c r="B364" s="496"/>
      <c r="C364" s="486" t="s">
        <v>393</v>
      </c>
      <c r="D364" s="487">
        <f>SUMIF(FS!$AG$9:$AG$39,개요!$B$109&amp;RIGHT(NAV!C364,3),FS!$AJ$9:$AJ$39)</f>
        <v>0</v>
      </c>
      <c r="E364" s="487">
        <f t="shared" ref="E364:E365" si="95">D364</f>
        <v>0</v>
      </c>
      <c r="I364" s="518">
        <f>COUNTA(J365:J375)</f>
        <v>0</v>
      </c>
      <c r="J364" s="548" t="s">
        <v>506</v>
      </c>
      <c r="K364" s="548" t="s">
        <v>0</v>
      </c>
      <c r="L364" s="548" t="s">
        <v>507</v>
      </c>
      <c r="M364" s="548" t="s">
        <v>396</v>
      </c>
      <c r="N364" s="548" t="s">
        <v>508</v>
      </c>
      <c r="O364" s="548" t="s">
        <v>398</v>
      </c>
      <c r="P364" s="548" t="s">
        <v>509</v>
      </c>
      <c r="Q364" s="519" t="s">
        <v>14</v>
      </c>
      <c r="R364" s="466" t="s">
        <v>299</v>
      </c>
      <c r="S364" s="466" t="s">
        <v>3525</v>
      </c>
      <c r="T364" s="549" t="s">
        <v>12</v>
      </c>
      <c r="U364" s="548" t="s">
        <v>383</v>
      </c>
      <c r="V364" s="548" t="s">
        <v>400</v>
      </c>
      <c r="W364" s="550" t="s">
        <v>10</v>
      </c>
      <c r="X364" s="549" t="s">
        <v>510</v>
      </c>
      <c r="Y364" s="550" t="s">
        <v>402</v>
      </c>
      <c r="Z364" s="550" t="s">
        <v>3523</v>
      </c>
      <c r="AA364" s="548" t="s">
        <v>13</v>
      </c>
      <c r="AB364" s="548" t="s">
        <v>15</v>
      </c>
      <c r="AC364" s="548" t="s">
        <v>473</v>
      </c>
      <c r="AE364" s="467" t="s">
        <v>3627</v>
      </c>
      <c r="AF364" s="467" t="s">
        <v>3628</v>
      </c>
      <c r="AG364" s="467" t="s">
        <v>3629</v>
      </c>
      <c r="AH364" s="467" t="s">
        <v>3630</v>
      </c>
      <c r="AI364" s="404"/>
    </row>
    <row r="365" spans="1:35" ht="12.75" thickBot="1">
      <c r="A365" s="492"/>
      <c r="B365" s="496"/>
      <c r="C365" s="486" t="s">
        <v>511</v>
      </c>
      <c r="D365" s="487">
        <f>SUMIF(FS!$AG$9:$AG$39,개요!$B$109&amp;RIGHT(NAV!C365,6),FS!$AJ$9:$AJ$39)</f>
        <v>0</v>
      </c>
      <c r="E365" s="487">
        <f t="shared" si="95"/>
        <v>0</v>
      </c>
      <c r="J365" s="551"/>
      <c r="K365" s="552"/>
      <c r="L365" s="551"/>
      <c r="M365" s="553"/>
      <c r="N365" s="553"/>
      <c r="O365" s="551"/>
      <c r="P365" s="553"/>
      <c r="Q365" s="524"/>
      <c r="R365" s="478">
        <f>IFERROR(INDEX(기초자산!M$6:M$408,MATCH(K365&amp;N365&amp;O365,기초자산!$A$6:$A$408,0),0),0)</f>
        <v>0</v>
      </c>
      <c r="S365" s="479">
        <f t="shared" ref="S365:S375" si="96">IFERROR(IF(T365="취득원가 준용",Y365,IF(T365="장부가액 준용",W365,IF(P365="주당",R365*Q365*V365,IF(RIGHT(U365,5)="(100)",Y365/1000*R365*V365,Y365/10000*R365*V365)))),0)</f>
        <v>0</v>
      </c>
      <c r="T365" s="553"/>
      <c r="U365" s="471" t="s">
        <v>94</v>
      </c>
      <c r="V365" s="480">
        <f>IF(U365="한국 원화(KRW)",1,IF(OR(U365=환율!$A$6,U365=환율!$A$7),VLOOKUP(NAV!U365,환율!$A$6:$B$7,2,),IF(RIGHT(U365,5)="(100)",(VLOOKUP(NAV!U365,환율!$A$11:$B$65,2,))/100,VLOOKUP(NAV!U365,환율!$A$11:$B$65,2,))))</f>
        <v>1</v>
      </c>
      <c r="W365" s="481"/>
      <c r="X365" s="482">
        <f t="shared" ref="X365:X375" si="97">IFERROR(IF(P365="만원당",10000,Y365/Q365),0)</f>
        <v>0</v>
      </c>
      <c r="Y365" s="481"/>
      <c r="Z365" s="481"/>
      <c r="AA365" s="483">
        <f t="shared" ref="AA365:AA375" si="98">IFERROR(IF(Z365="",S365/W365-1,S365/Z365-1),0)</f>
        <v>0</v>
      </c>
      <c r="AB365" s="554"/>
      <c r="AC365" s="526" t="str">
        <f t="shared" ref="AC365:AC375" si="99">IF(($C$7-AB365)/365&gt;2,"2년이상","2년미만")</f>
        <v>2년이상</v>
      </c>
      <c r="AD365" s="520" t="str">
        <f t="shared" ref="AD365:AD375" si="100">IF(OR(AA365&gt;20%,AA365&lt;-20%),"(1) Note 기재","")</f>
        <v/>
      </c>
      <c r="AE365" s="527">
        <f>IF(OR(T365="MTP",T365="과거거래 이용법",T365="취득원가 준용",T365="장부가액 준용",T365="상장종가 적용"),S365,IF(P365="주당",AG365*Q365*V365,Y365/10000*AG365*V365))</f>
        <v>0</v>
      </c>
      <c r="AF365" s="527">
        <f>IF(OR(T365="MTP",T365="과거거래 이용법",T365="취득원가 준용",T365="장부가액 준용",T365="상장종가 적용"),S365,IF(P365="주당",AH365*Q365*V365,Y365/10000*AH365*V365))</f>
        <v>0</v>
      </c>
      <c r="AG365" s="485"/>
      <c r="AH365" s="485"/>
      <c r="AI365" s="404"/>
    </row>
    <row r="366" spans="1:35" ht="12.75" thickBot="1">
      <c r="A366" s="492"/>
      <c r="B366" s="496"/>
      <c r="C366" s="486" t="s">
        <v>405</v>
      </c>
      <c r="D366" s="487">
        <f>SUMIF(FS!$AG$9:$AG$39,개요!$B$109&amp;RIGHT(NAV!C366,7),FS!$AJ$9:$AJ$39)</f>
        <v>0</v>
      </c>
      <c r="E366" s="487">
        <f>D366</f>
        <v>0</v>
      </c>
      <c r="J366" s="551"/>
      <c r="K366" s="552"/>
      <c r="L366" s="551"/>
      <c r="M366" s="553"/>
      <c r="N366" s="553"/>
      <c r="O366" s="551"/>
      <c r="P366" s="553"/>
      <c r="Q366" s="524"/>
      <c r="R366" s="478">
        <f>IFERROR(INDEX(기초자산!M$6:M$408,MATCH(K366&amp;N366&amp;O366,기초자산!$A$6:$A$408,0),0),0)</f>
        <v>0</v>
      </c>
      <c r="S366" s="479">
        <f t="shared" si="96"/>
        <v>0</v>
      </c>
      <c r="T366" s="553"/>
      <c r="U366" s="471" t="s">
        <v>94</v>
      </c>
      <c r="V366" s="480">
        <f>IF(U366="한국 원화(KRW)",1,IF(OR(U366=환율!$A$6,U366=환율!$A$7),VLOOKUP(NAV!U366,환율!$A$6:$B$7,2,),IF(RIGHT(U366,5)="(100)",(VLOOKUP(NAV!U366,환율!$A$11:$B$65,2,))/100,VLOOKUP(NAV!U366,환율!$A$11:$B$65,2,))))</f>
        <v>1</v>
      </c>
      <c r="W366" s="481"/>
      <c r="X366" s="482">
        <f t="shared" si="97"/>
        <v>0</v>
      </c>
      <c r="Y366" s="481"/>
      <c r="Z366" s="481"/>
      <c r="AA366" s="483">
        <f t="shared" si="98"/>
        <v>0</v>
      </c>
      <c r="AB366" s="554"/>
      <c r="AC366" s="526" t="str">
        <f t="shared" si="99"/>
        <v>2년이상</v>
      </c>
      <c r="AD366" s="520" t="str">
        <f t="shared" si="100"/>
        <v/>
      </c>
      <c r="AE366" s="527">
        <f t="shared" ref="AE366:AE375" si="101">IF(OR(T366="MTP",T366="과거거래 이용법",T366="취득원가 준용",T366="장부가액 준용",T366="상장종가 적용"),S366,IF(P366="주당",AG366*Q366*V366,Y366/10000*AG366*V366))</f>
        <v>0</v>
      </c>
      <c r="AF366" s="527">
        <f t="shared" ref="AF366:AF375" si="102">IF(OR(T366="MTP",T366="과거거래 이용법",T366="취득원가 준용",T366="장부가액 준용",T366="상장종가 적용"),S366,IF(P366="주당",AH366*Q366*V366,Y366/10000*AH366*V366))</f>
        <v>0</v>
      </c>
      <c r="AG366" s="485"/>
      <c r="AH366" s="485"/>
      <c r="AI366" s="404"/>
    </row>
    <row r="367" spans="1:35" ht="12.75" thickBot="1">
      <c r="A367" s="492"/>
      <c r="B367" s="496"/>
      <c r="C367" s="468" t="s">
        <v>21</v>
      </c>
      <c r="D367" s="469">
        <f>SUM(D368:D369)</f>
        <v>0</v>
      </c>
      <c r="E367" s="469">
        <f>SUM(E368:E369)</f>
        <v>0</v>
      </c>
      <c r="J367" s="551"/>
      <c r="K367" s="552"/>
      <c r="L367" s="551"/>
      <c r="M367" s="553"/>
      <c r="N367" s="553"/>
      <c r="O367" s="551"/>
      <c r="P367" s="553"/>
      <c r="Q367" s="524"/>
      <c r="R367" s="478">
        <f>IFERROR(INDEX(기초자산!M$6:M$408,MATCH(K367&amp;N367&amp;O367,기초자산!$A$6:$A$408,0),0),0)</f>
        <v>0</v>
      </c>
      <c r="S367" s="479">
        <f t="shared" si="96"/>
        <v>0</v>
      </c>
      <c r="T367" s="553"/>
      <c r="U367" s="471" t="s">
        <v>94</v>
      </c>
      <c r="V367" s="480">
        <f>IF(U367="한국 원화(KRW)",1,IF(OR(U367=환율!$A$6,U367=환율!$A$7),VLOOKUP(NAV!U367,환율!$A$6:$B$7,2,),IF(RIGHT(U367,5)="(100)",(VLOOKUP(NAV!U367,환율!$A$11:$B$65,2,))/100,VLOOKUP(NAV!U367,환율!$A$11:$B$65,2,))))</f>
        <v>1</v>
      </c>
      <c r="W367" s="481"/>
      <c r="X367" s="482">
        <f t="shared" si="97"/>
        <v>0</v>
      </c>
      <c r="Y367" s="481"/>
      <c r="Z367" s="481"/>
      <c r="AA367" s="483">
        <f t="shared" si="98"/>
        <v>0</v>
      </c>
      <c r="AB367" s="554"/>
      <c r="AC367" s="526" t="str">
        <f t="shared" si="99"/>
        <v>2년이상</v>
      </c>
      <c r="AD367" s="520" t="str">
        <f t="shared" si="100"/>
        <v/>
      </c>
      <c r="AE367" s="527">
        <f t="shared" si="101"/>
        <v>0</v>
      </c>
      <c r="AF367" s="527">
        <f t="shared" si="102"/>
        <v>0</v>
      </c>
      <c r="AG367" s="485"/>
      <c r="AH367" s="485"/>
      <c r="AI367" s="404"/>
    </row>
    <row r="368" spans="1:35" ht="12.75" thickBot="1">
      <c r="A368" s="492"/>
      <c r="B368" s="496"/>
      <c r="C368" s="486" t="s">
        <v>406</v>
      </c>
      <c r="D368" s="487">
        <f>SUMIF(FS!$AG$9:$AG$39,개요!$B$109&amp;RIGHT(NAV!C368,3),FS!$AJ$9:$AJ$39)</f>
        <v>0</v>
      </c>
      <c r="E368" s="487">
        <f>D368</f>
        <v>0</v>
      </c>
      <c r="J368" s="551"/>
      <c r="K368" s="552"/>
      <c r="L368" s="551"/>
      <c r="M368" s="553"/>
      <c r="N368" s="553"/>
      <c r="O368" s="551"/>
      <c r="P368" s="553"/>
      <c r="Q368" s="524"/>
      <c r="R368" s="478">
        <f>IFERROR(INDEX(기초자산!M$6:M$408,MATCH(K368&amp;N368&amp;O368,기초자산!$A$6:$A$408,0),0),0)</f>
        <v>0</v>
      </c>
      <c r="S368" s="479">
        <f t="shared" si="96"/>
        <v>0</v>
      </c>
      <c r="T368" s="553"/>
      <c r="U368" s="471" t="s">
        <v>94</v>
      </c>
      <c r="V368" s="480">
        <f>IF(U368="한국 원화(KRW)",1,IF(OR(U368=환율!$A$6,U368=환율!$A$7),VLOOKUP(NAV!U368,환율!$A$6:$B$7,2,),IF(RIGHT(U368,5)="(100)",(VLOOKUP(NAV!U368,환율!$A$11:$B$65,2,))/100,VLOOKUP(NAV!U368,환율!$A$11:$B$65,2,))))</f>
        <v>1</v>
      </c>
      <c r="W368" s="481"/>
      <c r="X368" s="482">
        <f t="shared" si="97"/>
        <v>0</v>
      </c>
      <c r="Y368" s="481"/>
      <c r="Z368" s="481"/>
      <c r="AA368" s="483">
        <f t="shared" si="98"/>
        <v>0</v>
      </c>
      <c r="AB368" s="554"/>
      <c r="AC368" s="526" t="str">
        <f t="shared" si="99"/>
        <v>2년이상</v>
      </c>
      <c r="AD368" s="520" t="str">
        <f t="shared" si="100"/>
        <v/>
      </c>
      <c r="AE368" s="527">
        <f t="shared" si="101"/>
        <v>0</v>
      </c>
      <c r="AF368" s="527">
        <f t="shared" si="102"/>
        <v>0</v>
      </c>
      <c r="AG368" s="485"/>
      <c r="AH368" s="485"/>
      <c r="AI368" s="404"/>
    </row>
    <row r="369" spans="1:35" ht="12.75" thickBot="1">
      <c r="A369" s="492"/>
      <c r="B369" s="496"/>
      <c r="C369" s="486" t="s">
        <v>407</v>
      </c>
      <c r="D369" s="487">
        <f>SUMIF(FS!$AG$9:$AG$39,개요!$B$109&amp;RIGHT(NAV!C369,4),FS!$AJ$9:$AJ$39)</f>
        <v>0</v>
      </c>
      <c r="E369" s="487">
        <f>D369</f>
        <v>0</v>
      </c>
      <c r="J369" s="551"/>
      <c r="K369" s="552"/>
      <c r="L369" s="551"/>
      <c r="M369" s="553"/>
      <c r="N369" s="553"/>
      <c r="O369" s="551"/>
      <c r="P369" s="553"/>
      <c r="Q369" s="524"/>
      <c r="R369" s="478">
        <f>IFERROR(INDEX(기초자산!M$6:M$408,MATCH(K369&amp;N369&amp;O369,기초자산!$A$6:$A$408,0),0),0)</f>
        <v>0</v>
      </c>
      <c r="S369" s="479">
        <f t="shared" si="96"/>
        <v>0</v>
      </c>
      <c r="T369" s="553"/>
      <c r="U369" s="471" t="s">
        <v>94</v>
      </c>
      <c r="V369" s="480">
        <f>IF(U369="한국 원화(KRW)",1,IF(OR(U369=환율!$A$6,U369=환율!$A$7),VLOOKUP(NAV!U369,환율!$A$6:$B$7,2,),IF(RIGHT(U369,5)="(100)",(VLOOKUP(NAV!U369,환율!$A$11:$B$65,2,))/100,VLOOKUP(NAV!U369,환율!$A$11:$B$65,2,))))</f>
        <v>1</v>
      </c>
      <c r="W369" s="481"/>
      <c r="X369" s="482">
        <f t="shared" si="97"/>
        <v>0</v>
      </c>
      <c r="Y369" s="481"/>
      <c r="Z369" s="481"/>
      <c r="AA369" s="483">
        <f t="shared" si="98"/>
        <v>0</v>
      </c>
      <c r="AB369" s="554"/>
      <c r="AC369" s="526" t="str">
        <f t="shared" si="99"/>
        <v>2년이상</v>
      </c>
      <c r="AD369" s="520" t="str">
        <f t="shared" si="100"/>
        <v/>
      </c>
      <c r="AE369" s="527">
        <f t="shared" si="101"/>
        <v>0</v>
      </c>
      <c r="AF369" s="527">
        <f t="shared" si="102"/>
        <v>0</v>
      </c>
      <c r="AG369" s="485"/>
      <c r="AH369" s="485"/>
      <c r="AI369" s="404"/>
    </row>
    <row r="370" spans="1:35" ht="12.75" thickBot="1">
      <c r="A370" s="489" t="s">
        <v>408</v>
      </c>
      <c r="B370" s="498" t="b">
        <f>D363+D364+D365+D366+D368+D369=D370</f>
        <v>1</v>
      </c>
      <c r="C370" s="493" t="s">
        <v>22</v>
      </c>
      <c r="D370" s="494">
        <f>D362+D367</f>
        <v>0</v>
      </c>
      <c r="E370" s="494">
        <f>E362+E367</f>
        <v>0</v>
      </c>
      <c r="J370" s="551"/>
      <c r="K370" s="552"/>
      <c r="L370" s="551"/>
      <c r="M370" s="553"/>
      <c r="N370" s="553"/>
      <c r="O370" s="551"/>
      <c r="P370" s="553"/>
      <c r="Q370" s="524"/>
      <c r="R370" s="478">
        <f>IFERROR(INDEX(기초자산!M$6:M$408,MATCH(K370&amp;N370&amp;O370,기초자산!$A$6:$A$408,0),0),0)</f>
        <v>0</v>
      </c>
      <c r="S370" s="479">
        <f t="shared" si="96"/>
        <v>0</v>
      </c>
      <c r="T370" s="553"/>
      <c r="U370" s="471" t="s">
        <v>94</v>
      </c>
      <c r="V370" s="480">
        <f>IF(U370="한국 원화(KRW)",1,IF(OR(U370=환율!$A$6,U370=환율!$A$7),VLOOKUP(NAV!U370,환율!$A$6:$B$7,2,),IF(RIGHT(U370,5)="(100)",(VLOOKUP(NAV!U370,환율!$A$11:$B$65,2,))/100,VLOOKUP(NAV!U370,환율!$A$11:$B$65,2,))))</f>
        <v>1</v>
      </c>
      <c r="W370" s="481"/>
      <c r="X370" s="482">
        <f t="shared" si="97"/>
        <v>0</v>
      </c>
      <c r="Y370" s="481"/>
      <c r="Z370" s="481"/>
      <c r="AA370" s="483">
        <f t="shared" si="98"/>
        <v>0</v>
      </c>
      <c r="AB370" s="554"/>
      <c r="AC370" s="526" t="str">
        <f t="shared" si="99"/>
        <v>2년이상</v>
      </c>
      <c r="AD370" s="520" t="str">
        <f t="shared" si="100"/>
        <v/>
      </c>
      <c r="AE370" s="527">
        <f t="shared" si="101"/>
        <v>0</v>
      </c>
      <c r="AF370" s="527">
        <f t="shared" si="102"/>
        <v>0</v>
      </c>
      <c r="AG370" s="485"/>
      <c r="AH370" s="485"/>
      <c r="AI370" s="404"/>
    </row>
    <row r="371" spans="1:35" ht="12.75" thickBot="1">
      <c r="A371" s="492"/>
      <c r="B371" s="555" t="str">
        <f>$B$351&amp;C371</f>
        <v>SPC없음자본금</v>
      </c>
      <c r="C371" s="486" t="s">
        <v>35</v>
      </c>
      <c r="D371" s="487">
        <f>SUMIF(FS!$AG$9:$AG$39,개요!$B$109&amp;RIGHT(NAV!C371,3),FS!$AJ$9:$AJ$39)</f>
        <v>0</v>
      </c>
      <c r="E371" s="487">
        <f>D371</f>
        <v>0</v>
      </c>
      <c r="J371" s="551"/>
      <c r="K371" s="552"/>
      <c r="L371" s="551"/>
      <c r="M371" s="553"/>
      <c r="N371" s="553"/>
      <c r="O371" s="551"/>
      <c r="P371" s="553"/>
      <c r="Q371" s="524"/>
      <c r="R371" s="478">
        <f>IFERROR(INDEX(기초자산!M$6:M$408,MATCH(K371&amp;N371&amp;O371,기초자산!$A$6:$A$408,0),0),0)</f>
        <v>0</v>
      </c>
      <c r="S371" s="479">
        <f t="shared" si="96"/>
        <v>0</v>
      </c>
      <c r="T371" s="553"/>
      <c r="U371" s="471" t="s">
        <v>94</v>
      </c>
      <c r="V371" s="480">
        <f>IF(U371="한국 원화(KRW)",1,IF(OR(U371=환율!$A$6,U371=환율!$A$7),VLOOKUP(NAV!U371,환율!$A$6:$B$7,2,),IF(RIGHT(U371,5)="(100)",(VLOOKUP(NAV!U371,환율!$A$11:$B$65,2,))/100,VLOOKUP(NAV!U371,환율!$A$11:$B$65,2,))))</f>
        <v>1</v>
      </c>
      <c r="W371" s="481"/>
      <c r="X371" s="482">
        <f t="shared" si="97"/>
        <v>0</v>
      </c>
      <c r="Y371" s="481"/>
      <c r="Z371" s="481"/>
      <c r="AA371" s="483">
        <f t="shared" si="98"/>
        <v>0</v>
      </c>
      <c r="AB371" s="554"/>
      <c r="AC371" s="526" t="str">
        <f t="shared" si="99"/>
        <v>2년이상</v>
      </c>
      <c r="AD371" s="520" t="str">
        <f t="shared" si="100"/>
        <v/>
      </c>
      <c r="AE371" s="527">
        <f t="shared" si="101"/>
        <v>0</v>
      </c>
      <c r="AF371" s="527">
        <f t="shared" si="102"/>
        <v>0</v>
      </c>
      <c r="AG371" s="485"/>
      <c r="AH371" s="485"/>
      <c r="AI371" s="404"/>
    </row>
    <row r="372" spans="1:35" ht="12.75" thickBot="1">
      <c r="C372" s="486" t="s">
        <v>409</v>
      </c>
      <c r="D372" s="487">
        <f>SUMIF(FS!$AG$9:$AG$39,개요!$B$109&amp;RIGHT(NAV!C372,10),FS!$AJ$9:$AJ$39)</f>
        <v>0</v>
      </c>
      <c r="E372" s="487">
        <f>D372</f>
        <v>0</v>
      </c>
      <c r="J372" s="551"/>
      <c r="K372" s="552"/>
      <c r="L372" s="551"/>
      <c r="M372" s="553"/>
      <c r="N372" s="553"/>
      <c r="O372" s="551"/>
      <c r="P372" s="553"/>
      <c r="Q372" s="524"/>
      <c r="R372" s="478">
        <f>IFERROR(INDEX(기초자산!M$6:M$408,MATCH(K372&amp;N372&amp;O372,기초자산!$A$6:$A$408,0),0),0)</f>
        <v>0</v>
      </c>
      <c r="S372" s="479">
        <f t="shared" si="96"/>
        <v>0</v>
      </c>
      <c r="T372" s="553"/>
      <c r="U372" s="471" t="s">
        <v>94</v>
      </c>
      <c r="V372" s="480">
        <f>IF(U372="한국 원화(KRW)",1,IF(OR(U372=환율!$A$6,U372=환율!$A$7),VLOOKUP(NAV!U372,환율!$A$6:$B$7,2,),IF(RIGHT(U372,5)="(100)",(VLOOKUP(NAV!U372,환율!$A$11:$B$65,2,))/100,VLOOKUP(NAV!U372,환율!$A$11:$B$65,2,))))</f>
        <v>1</v>
      </c>
      <c r="W372" s="481"/>
      <c r="X372" s="482">
        <f t="shared" si="97"/>
        <v>0</v>
      </c>
      <c r="Y372" s="481"/>
      <c r="Z372" s="481"/>
      <c r="AA372" s="483">
        <f t="shared" si="98"/>
        <v>0</v>
      </c>
      <c r="AB372" s="554"/>
      <c r="AC372" s="526" t="str">
        <f t="shared" si="99"/>
        <v>2년이상</v>
      </c>
      <c r="AD372" s="520" t="str">
        <f t="shared" si="100"/>
        <v/>
      </c>
      <c r="AE372" s="527">
        <f t="shared" si="101"/>
        <v>0</v>
      </c>
      <c r="AF372" s="527">
        <f t="shared" si="102"/>
        <v>0</v>
      </c>
      <c r="AG372" s="485"/>
      <c r="AH372" s="485"/>
      <c r="AI372" s="404"/>
    </row>
    <row r="373" spans="1:35" ht="12.75" thickBot="1">
      <c r="A373" s="489"/>
      <c r="B373" s="415"/>
      <c r="C373" s="486" t="s">
        <v>410</v>
      </c>
      <c r="D373" s="487">
        <f>SUMIF(FS!$AG$9:$AG$39,개요!$B$109&amp;RIGHT(NAV!C373,8),FS!$AJ$9:$AJ$39)</f>
        <v>0</v>
      </c>
      <c r="E373" s="487">
        <f>D373</f>
        <v>0</v>
      </c>
      <c r="J373" s="551"/>
      <c r="K373" s="552"/>
      <c r="L373" s="551"/>
      <c r="M373" s="553"/>
      <c r="N373" s="553"/>
      <c r="O373" s="551"/>
      <c r="P373" s="553"/>
      <c r="Q373" s="524"/>
      <c r="R373" s="478">
        <f>IFERROR(INDEX(기초자산!M$6:M$408,MATCH(K373&amp;N373&amp;O373,기초자산!$A$6:$A$408,0),0),0)</f>
        <v>0</v>
      </c>
      <c r="S373" s="479">
        <f t="shared" si="96"/>
        <v>0</v>
      </c>
      <c r="T373" s="553"/>
      <c r="U373" s="471" t="s">
        <v>94</v>
      </c>
      <c r="V373" s="480">
        <f>IF(U373="한국 원화(KRW)",1,IF(OR(U373=환율!$A$6,U373=환율!$A$7),VLOOKUP(NAV!U373,환율!$A$6:$B$7,2,),IF(RIGHT(U373,5)="(100)",(VLOOKUP(NAV!U373,환율!$A$11:$B$65,2,))/100,VLOOKUP(NAV!U373,환율!$A$11:$B$65,2,))))</f>
        <v>1</v>
      </c>
      <c r="W373" s="481"/>
      <c r="X373" s="482">
        <f t="shared" si="97"/>
        <v>0</v>
      </c>
      <c r="Y373" s="481"/>
      <c r="Z373" s="481"/>
      <c r="AA373" s="483">
        <f t="shared" si="98"/>
        <v>0</v>
      </c>
      <c r="AB373" s="554"/>
      <c r="AC373" s="526" t="str">
        <f t="shared" si="99"/>
        <v>2년이상</v>
      </c>
      <c r="AD373" s="520" t="str">
        <f t="shared" si="100"/>
        <v/>
      </c>
      <c r="AE373" s="527">
        <f t="shared" si="101"/>
        <v>0</v>
      </c>
      <c r="AF373" s="527">
        <f t="shared" si="102"/>
        <v>0</v>
      </c>
      <c r="AG373" s="485"/>
      <c r="AH373" s="485"/>
      <c r="AI373" s="404"/>
    </row>
    <row r="374" spans="1:35" ht="12.75" thickBot="1">
      <c r="A374" s="489" t="s">
        <v>411</v>
      </c>
      <c r="B374" s="415" t="b">
        <f>D374=SUM(D371:D373)</f>
        <v>1</v>
      </c>
      <c r="C374" s="493" t="s">
        <v>412</v>
      </c>
      <c r="D374" s="494">
        <f>D361-D370</f>
        <v>0</v>
      </c>
      <c r="E374" s="494">
        <f>E361-E370</f>
        <v>0</v>
      </c>
      <c r="J374" s="551"/>
      <c r="K374" s="552"/>
      <c r="L374" s="551"/>
      <c r="M374" s="553"/>
      <c r="N374" s="553"/>
      <c r="O374" s="551"/>
      <c r="P374" s="553"/>
      <c r="Q374" s="524"/>
      <c r="R374" s="478">
        <f>IFERROR(INDEX(기초자산!M$6:M$408,MATCH(K374&amp;N374&amp;O374,기초자산!$A$6:$A$408,0),0),0)</f>
        <v>0</v>
      </c>
      <c r="S374" s="479">
        <f t="shared" si="96"/>
        <v>0</v>
      </c>
      <c r="T374" s="553"/>
      <c r="U374" s="471" t="s">
        <v>94</v>
      </c>
      <c r="V374" s="480">
        <f>IF(U374="한국 원화(KRW)",1,IF(OR(U374=환율!$A$6,U374=환율!$A$7),VLOOKUP(NAV!U374,환율!$A$6:$B$7,2,),IF(RIGHT(U374,5)="(100)",(VLOOKUP(NAV!U374,환율!$A$11:$B$65,2,))/100,VLOOKUP(NAV!U374,환율!$A$11:$B$65,2,))))</f>
        <v>1</v>
      </c>
      <c r="W374" s="481"/>
      <c r="X374" s="482">
        <f t="shared" si="97"/>
        <v>0</v>
      </c>
      <c r="Y374" s="481"/>
      <c r="Z374" s="481"/>
      <c r="AA374" s="483">
        <f t="shared" si="98"/>
        <v>0</v>
      </c>
      <c r="AB374" s="554"/>
      <c r="AC374" s="526" t="str">
        <f t="shared" si="99"/>
        <v>2년이상</v>
      </c>
      <c r="AD374" s="520" t="str">
        <f t="shared" si="100"/>
        <v/>
      </c>
      <c r="AE374" s="527">
        <f t="shared" si="101"/>
        <v>0</v>
      </c>
      <c r="AF374" s="527">
        <f t="shared" si="102"/>
        <v>0</v>
      </c>
      <c r="AG374" s="485"/>
      <c r="AH374" s="485"/>
      <c r="AI374" s="404"/>
    </row>
    <row r="375" spans="1:35" ht="12.75" thickBot="1">
      <c r="A375" s="489"/>
      <c r="B375" s="415"/>
      <c r="C375" s="486" t="s">
        <v>512</v>
      </c>
      <c r="D375" s="487">
        <v>0</v>
      </c>
      <c r="E375" s="499">
        <v>0</v>
      </c>
      <c r="J375" s="551"/>
      <c r="K375" s="552"/>
      <c r="L375" s="551"/>
      <c r="M375" s="553"/>
      <c r="N375" s="553"/>
      <c r="O375" s="551"/>
      <c r="P375" s="553"/>
      <c r="Q375" s="524"/>
      <c r="R375" s="478">
        <f>IFERROR(INDEX(기초자산!M$6:M$408,MATCH(K375&amp;N375&amp;O375,기초자산!$A$6:$A$408,0),0),0)</f>
        <v>0</v>
      </c>
      <c r="S375" s="479">
        <f t="shared" si="96"/>
        <v>0</v>
      </c>
      <c r="T375" s="553"/>
      <c r="U375" s="471" t="s">
        <v>94</v>
      </c>
      <c r="V375" s="480">
        <f>IF(U375="한국 원화(KRW)",1,IF(OR(U375=환율!$A$6,U375=환율!$A$7),VLOOKUP(NAV!U375,환율!$A$6:$B$7,2,),IF(RIGHT(U375,5)="(100)",(VLOOKUP(NAV!U375,환율!$A$11:$B$65,2,))/100,VLOOKUP(NAV!U375,환율!$A$11:$B$65,2,))))</f>
        <v>1</v>
      </c>
      <c r="W375" s="481"/>
      <c r="X375" s="482">
        <f t="shared" si="97"/>
        <v>0</v>
      </c>
      <c r="Y375" s="481"/>
      <c r="Z375" s="481"/>
      <c r="AA375" s="483">
        <f t="shared" si="98"/>
        <v>0</v>
      </c>
      <c r="AB375" s="554"/>
      <c r="AC375" s="526" t="str">
        <f t="shared" si="99"/>
        <v>2년이상</v>
      </c>
      <c r="AD375" s="520" t="str">
        <f t="shared" si="100"/>
        <v/>
      </c>
      <c r="AE375" s="527">
        <f t="shared" si="101"/>
        <v>0</v>
      </c>
      <c r="AF375" s="527">
        <f t="shared" si="102"/>
        <v>0</v>
      </c>
      <c r="AG375" s="485"/>
      <c r="AH375" s="485"/>
      <c r="AI375" s="404"/>
    </row>
    <row r="376" spans="1:35">
      <c r="A376" s="489"/>
      <c r="B376" s="415"/>
      <c r="C376" s="486" t="s">
        <v>414</v>
      </c>
      <c r="D376" s="487">
        <v>0</v>
      </c>
      <c r="E376" s="499">
        <v>0</v>
      </c>
      <c r="J376" s="495"/>
      <c r="K376" s="415"/>
      <c r="L376" s="495"/>
      <c r="M376" s="415"/>
      <c r="N376" s="415"/>
      <c r="O376" s="415"/>
      <c r="P376" s="415"/>
      <c r="Q376" s="422"/>
      <c r="R376" s="415"/>
      <c r="S376" s="415"/>
      <c r="T376" s="415"/>
      <c r="U376" s="415"/>
      <c r="V376" s="415"/>
      <c r="W376" s="422"/>
      <c r="X376" s="415"/>
      <c r="Y376" s="458"/>
      <c r="Z376" s="422"/>
      <c r="AA376" s="556"/>
      <c r="AB376" s="556"/>
      <c r="AC376" s="415"/>
      <c r="AE376" s="415"/>
      <c r="AI376" s="404"/>
    </row>
    <row r="377" spans="1:35">
      <c r="A377" s="489"/>
      <c r="B377" s="415"/>
      <c r="C377" s="493" t="s">
        <v>513</v>
      </c>
      <c r="D377" s="494">
        <f>D374+D375-D376</f>
        <v>0</v>
      </c>
      <c r="E377" s="494">
        <f>IF(E374+E375-E376&gt;0,E374+E375-E376,0)</f>
        <v>0</v>
      </c>
      <c r="J377" s="305"/>
      <c r="K377" s="415"/>
      <c r="L377" s="305"/>
      <c r="M377" s="415"/>
      <c r="N377" s="415"/>
      <c r="O377" s="415"/>
      <c r="S377" s="415"/>
      <c r="T377" s="415"/>
      <c r="U377" s="415"/>
      <c r="V377" s="415"/>
      <c r="Y377" s="458"/>
      <c r="AD377" s="557" t="str">
        <f>B351&amp;"순자산가치"</f>
        <v>SPC없음순자산가치</v>
      </c>
      <c r="AE377" s="529">
        <f>IF(E357+SUM(AE357:AE362)+SUM(AE365:AE375)-E370&gt;0,E357+SUM(AE357:AE362)+SUM(AE365:AE375)-E370,0)</f>
        <v>0</v>
      </c>
      <c r="AF377" s="529">
        <f>IF(E357+SUM(AF357:AF362)+SUM(AF365:AF375)-E370&gt;0,E357+SUM(AF357:AF362)+SUM(AF365:AF375)-E370,0)</f>
        <v>0</v>
      </c>
      <c r="AI377" s="404"/>
    </row>
    <row r="378" spans="1:35">
      <c r="A378" s="489"/>
      <c r="B378" s="558" t="str">
        <f>$B$351&amp;C378</f>
        <v>SPC없음보유지분율(%)</v>
      </c>
      <c r="C378" s="493" t="s">
        <v>514</v>
      </c>
      <c r="D378" s="559">
        <f>개요!$C$118</f>
        <v>0</v>
      </c>
      <c r="E378" s="494">
        <f>E377*D378</f>
        <v>0</v>
      </c>
      <c r="F378" s="560" t="s">
        <v>417</v>
      </c>
      <c r="G378" s="560"/>
      <c r="J378" s="495"/>
      <c r="K378" s="415"/>
      <c r="L378" s="495"/>
      <c r="M378" s="415"/>
      <c r="N378" s="415"/>
      <c r="O378" s="415"/>
      <c r="S378" s="415"/>
      <c r="T378" s="415"/>
      <c r="U378" s="415"/>
      <c r="V378" s="415"/>
      <c r="Y378" s="458"/>
      <c r="AD378" s="557" t="s">
        <v>272</v>
      </c>
      <c r="AE378" s="561">
        <f>$D378</f>
        <v>0</v>
      </c>
      <c r="AF378" s="561">
        <f>$D378</f>
        <v>0</v>
      </c>
      <c r="AI378" s="404"/>
    </row>
    <row r="379" spans="1:35">
      <c r="A379" s="489"/>
      <c r="B379" s="415"/>
      <c r="G379" s="503" t="s">
        <v>419</v>
      </c>
      <c r="I379" s="562"/>
      <c r="J379" s="495"/>
      <c r="K379" s="415"/>
      <c r="L379" s="495"/>
      <c r="M379" s="415"/>
      <c r="N379" s="415"/>
      <c r="O379" s="415"/>
      <c r="S379" s="415"/>
      <c r="T379" s="415"/>
      <c r="U379" s="415"/>
      <c r="V379" s="415"/>
      <c r="Y379" s="458"/>
      <c r="AD379" s="557" t="str">
        <f>B351&amp;"지분율 반영 순자산가치"</f>
        <v>SPC없음지분율 반영 순자산가치</v>
      </c>
      <c r="AE379" s="529">
        <f>AE377*AE378</f>
        <v>0</v>
      </c>
      <c r="AF379" s="529">
        <f>AF377*AF378</f>
        <v>0</v>
      </c>
      <c r="AI379" s="404"/>
    </row>
    <row r="380" spans="1:35">
      <c r="A380" s="489"/>
      <c r="D380" s="504" t="s">
        <v>515</v>
      </c>
      <c r="E380" s="505">
        <f>$C$7</f>
        <v>45473</v>
      </c>
      <c r="F380" s="506"/>
      <c r="G380" s="505"/>
      <c r="I380" s="563"/>
      <c r="J380" s="495"/>
      <c r="K380" s="415"/>
      <c r="L380" s="495"/>
      <c r="M380" s="415"/>
      <c r="N380" s="415"/>
      <c r="O380" s="415"/>
      <c r="S380" s="415"/>
      <c r="T380" s="415"/>
      <c r="U380" s="415"/>
      <c r="V380" s="415"/>
      <c r="Y380" s="422"/>
      <c r="AI380" s="404"/>
    </row>
    <row r="381" spans="1:35">
      <c r="D381" s="486" t="s">
        <v>412</v>
      </c>
      <c r="E381" s="487">
        <f>E377</f>
        <v>0</v>
      </c>
      <c r="F381" s="507" t="e">
        <f>E381/G381-1</f>
        <v>#DIV/0!</v>
      </c>
      <c r="G381" s="487"/>
      <c r="I381" s="564"/>
      <c r="J381" s="495"/>
      <c r="K381" s="415"/>
      <c r="L381" s="495"/>
      <c r="M381" s="415"/>
      <c r="S381" s="415"/>
      <c r="T381" s="415"/>
      <c r="U381" s="415"/>
      <c r="V381" s="415"/>
      <c r="Y381" s="422"/>
      <c r="AI381" s="404"/>
    </row>
    <row r="382" spans="1:35">
      <c r="A382" s="489"/>
      <c r="B382" s="415"/>
      <c r="D382" s="486" t="s">
        <v>418</v>
      </c>
      <c r="E382" s="565">
        <f>$D$378</f>
        <v>0</v>
      </c>
      <c r="F382" s="507"/>
      <c r="G382" s="565"/>
      <c r="I382" s="566"/>
      <c r="J382" s="305"/>
      <c r="K382" s="415"/>
      <c r="L382" s="305"/>
      <c r="M382" s="415"/>
      <c r="S382" s="415"/>
      <c r="T382" s="415"/>
      <c r="U382" s="415"/>
      <c r="V382" s="415"/>
      <c r="Y382" s="422"/>
      <c r="AI382" s="404"/>
    </row>
    <row r="383" spans="1:35">
      <c r="A383" s="489"/>
      <c r="B383" s="415"/>
      <c r="D383" s="567" t="s">
        <v>420</v>
      </c>
      <c r="E383" s="568">
        <f>E381*E382</f>
        <v>0</v>
      </c>
      <c r="F383" s="507" t="e">
        <f>E383/G383-1</f>
        <v>#DIV/0!</v>
      </c>
      <c r="G383" s="568"/>
      <c r="I383" s="564"/>
      <c r="AI383" s="404"/>
    </row>
    <row r="384" spans="1:35">
      <c r="E384" s="304" t="b">
        <f>E383=E378</f>
        <v>1</v>
      </c>
      <c r="AI384" s="404"/>
    </row>
    <row r="385" spans="1:35">
      <c r="F385" s="507"/>
      <c r="G385" s="507"/>
      <c r="AI385" s="404"/>
    </row>
    <row r="386" spans="1:35" ht="12.75" thickBot="1">
      <c r="A386" s="536"/>
      <c r="B386" s="536"/>
      <c r="C386" s="536"/>
      <c r="D386" s="536"/>
      <c r="E386" s="536"/>
      <c r="F386" s="572"/>
      <c r="G386" s="572"/>
      <c r="H386" s="536"/>
      <c r="I386" s="537"/>
      <c r="J386" s="536"/>
      <c r="K386" s="536"/>
      <c r="L386" s="536"/>
      <c r="M386" s="536"/>
      <c r="N386" s="536"/>
      <c r="O386" s="536"/>
      <c r="P386" s="536"/>
      <c r="Q386" s="540"/>
      <c r="R386" s="536"/>
      <c r="S386" s="536"/>
      <c r="T386" s="536"/>
      <c r="U386" s="536"/>
      <c r="V386" s="536"/>
      <c r="W386" s="540"/>
      <c r="X386" s="536"/>
      <c r="Y386" s="540"/>
      <c r="Z386" s="540"/>
      <c r="AA386" s="536"/>
      <c r="AB386" s="536"/>
      <c r="AC386" s="536"/>
      <c r="AD386" s="541"/>
      <c r="AE386" s="536"/>
      <c r="AF386" s="536"/>
      <c r="AG386" s="536"/>
      <c r="AH386" s="536"/>
      <c r="AI386" s="404"/>
    </row>
    <row r="387" spans="1:35" ht="12.75" thickTop="1">
      <c r="F387" s="507"/>
      <c r="G387" s="507"/>
      <c r="AI387" s="404"/>
    </row>
    <row r="388" spans="1:35" ht="12.75" thickBot="1">
      <c r="A388" s="459"/>
      <c r="B388" s="415"/>
      <c r="J388" s="428" t="s">
        <v>273</v>
      </c>
      <c r="K388" s="489"/>
      <c r="L388" s="497"/>
      <c r="M388" s="489"/>
      <c r="N388" s="415"/>
      <c r="O388" s="415"/>
      <c r="AI388" s="404"/>
    </row>
    <row r="389" spans="1:35" ht="12.75" thickBot="1">
      <c r="A389" s="542" t="s">
        <v>499</v>
      </c>
      <c r="B389" s="543" t="str">
        <f>IF(개요!$B$121="","SPC없음",개요!$B$121)</f>
        <v>SPC없음</v>
      </c>
      <c r="C389" s="454"/>
      <c r="J389" s="433"/>
      <c r="K389" s="434"/>
      <c r="L389" s="434"/>
      <c r="M389" s="434"/>
      <c r="N389" s="434"/>
      <c r="O389" s="434"/>
      <c r="P389" s="434"/>
      <c r="Q389" s="435"/>
      <c r="R389" s="434"/>
      <c r="S389" s="434"/>
      <c r="T389" s="434"/>
      <c r="U389" s="434"/>
      <c r="V389" s="436"/>
      <c r="AI389" s="404"/>
    </row>
    <row r="390" spans="1:35">
      <c r="B390" s="543" t="s">
        <v>369</v>
      </c>
      <c r="C390" s="569" t="str">
        <f>IF(개요!$C$122="","SPC없음",개요!$C$122)</f>
        <v>SPC없음</v>
      </c>
      <c r="J390" s="442"/>
      <c r="K390" s="151"/>
      <c r="L390" s="151"/>
      <c r="M390" s="151"/>
      <c r="N390" s="151"/>
      <c r="O390" s="151"/>
      <c r="P390" s="151"/>
      <c r="Q390" s="443"/>
      <c r="R390" s="151"/>
      <c r="S390" s="151"/>
      <c r="T390" s="151"/>
      <c r="U390" s="151"/>
      <c r="V390" s="444"/>
      <c r="AI390" s="404"/>
    </row>
    <row r="391" spans="1:35">
      <c r="B391" s="437" t="s">
        <v>370</v>
      </c>
      <c r="C391" s="570">
        <f>$C$7</f>
        <v>45473</v>
      </c>
      <c r="D391" s="546" t="b">
        <f>C391&gt;=C392</f>
        <v>1</v>
      </c>
      <c r="J391" s="442"/>
      <c r="K391" s="151"/>
      <c r="L391" s="151"/>
      <c r="M391" s="151"/>
      <c r="N391" s="151"/>
      <c r="O391" s="151"/>
      <c r="P391" s="151"/>
      <c r="Q391" s="443"/>
      <c r="R391" s="151"/>
      <c r="S391" s="151"/>
      <c r="T391" s="151"/>
      <c r="U391" s="151"/>
      <c r="V391" s="444"/>
      <c r="AI391" s="404"/>
    </row>
    <row r="392" spans="1:35" ht="12.75" thickBot="1">
      <c r="B392" s="449" t="s">
        <v>371</v>
      </c>
      <c r="C392" s="571">
        <f>FS!$AP$8</f>
        <v>0</v>
      </c>
      <c r="J392" s="453"/>
      <c r="K392" s="454"/>
      <c r="L392" s="454"/>
      <c r="M392" s="454"/>
      <c r="N392" s="454"/>
      <c r="O392" s="454"/>
      <c r="P392" s="454"/>
      <c r="Q392" s="455"/>
      <c r="R392" s="454"/>
      <c r="S392" s="454"/>
      <c r="T392" s="454"/>
      <c r="U392" s="454"/>
      <c r="V392" s="456"/>
      <c r="AI392" s="404"/>
    </row>
    <row r="393" spans="1:35">
      <c r="A393" s="459"/>
      <c r="J393" s="428" t="s">
        <v>540</v>
      </c>
      <c r="K393" s="448"/>
      <c r="L393" s="420"/>
      <c r="M393" s="448"/>
      <c r="N393" s="448"/>
      <c r="O393" s="448"/>
      <c r="P393" s="415"/>
      <c r="Q393" s="422"/>
      <c r="R393" s="415"/>
      <c r="S393" s="415"/>
      <c r="T393" s="415"/>
      <c r="U393" s="415"/>
      <c r="V393" s="415"/>
      <c r="W393" s="422"/>
      <c r="Z393" s="458"/>
      <c r="AE393" s="803" t="s">
        <v>8</v>
      </c>
      <c r="AF393" s="803"/>
      <c r="AG393" s="460"/>
      <c r="AH393" s="460"/>
      <c r="AI393" s="404"/>
    </row>
    <row r="394" spans="1:35" ht="12.75" thickBot="1">
      <c r="A394" s="461" t="str">
        <f>IF(AND(B395:B421),"검증완료","검증필요")</f>
        <v>검증완료</v>
      </c>
      <c r="B394" s="462" t="s">
        <v>541</v>
      </c>
      <c r="C394" s="462" t="s">
        <v>542</v>
      </c>
      <c r="D394" s="462" t="s">
        <v>10</v>
      </c>
      <c r="E394" s="462" t="s">
        <v>543</v>
      </c>
      <c r="J394" s="462" t="s">
        <v>544</v>
      </c>
      <c r="K394" s="464" t="s">
        <v>497</v>
      </c>
      <c r="L394" s="462" t="s">
        <v>369</v>
      </c>
      <c r="M394" s="462" t="s">
        <v>545</v>
      </c>
      <c r="N394" s="462" t="s">
        <v>546</v>
      </c>
      <c r="O394" s="462" t="s">
        <v>547</v>
      </c>
      <c r="P394" s="464" t="s">
        <v>380</v>
      </c>
      <c r="Q394" s="465" t="s">
        <v>14</v>
      </c>
      <c r="R394" s="466" t="s">
        <v>381</v>
      </c>
      <c r="S394" s="466" t="s">
        <v>382</v>
      </c>
      <c r="T394" s="462" t="s">
        <v>12</v>
      </c>
      <c r="U394" s="462" t="s">
        <v>383</v>
      </c>
      <c r="V394" s="462" t="s">
        <v>400</v>
      </c>
      <c r="W394" s="465" t="s">
        <v>548</v>
      </c>
      <c r="X394" s="462" t="s">
        <v>549</v>
      </c>
      <c r="Y394" s="465" t="s">
        <v>430</v>
      </c>
      <c r="Z394" s="465" t="s">
        <v>3522</v>
      </c>
      <c r="AA394" s="464" t="s">
        <v>13</v>
      </c>
      <c r="AE394" s="467" t="s">
        <v>3627</v>
      </c>
      <c r="AF394" s="467" t="s">
        <v>3628</v>
      </c>
      <c r="AG394" s="467" t="s">
        <v>3629</v>
      </c>
      <c r="AH394" s="467" t="s">
        <v>3630</v>
      </c>
      <c r="AI394" s="404"/>
    </row>
    <row r="395" spans="1:35" ht="12.75" thickBot="1">
      <c r="A395" s="415"/>
      <c r="B395" s="415"/>
      <c r="C395" s="468" t="s">
        <v>16</v>
      </c>
      <c r="D395" s="469">
        <f>SUM(D396:D397)</f>
        <v>0</v>
      </c>
      <c r="E395" s="469">
        <f>SUM(E396:E397)</f>
        <v>0</v>
      </c>
      <c r="J395" s="476"/>
      <c r="K395" s="472"/>
      <c r="L395" s="473" t="str">
        <f>IF($J395="","SPC 없음",VLOOKUP($J395&amp;"SPC명",개요!$A$3:$E$1932,3,0))</f>
        <v>SPC 없음</v>
      </c>
      <c r="M395" s="474" t="str">
        <f>IF($J395="","SPC 없음",VLOOKUP($J395&amp;"설정일",개요!$A$3:$E$1932,3,0))</f>
        <v>SPC 없음</v>
      </c>
      <c r="N395" s="475" t="str">
        <f t="shared" ref="N395:N400" si="103">IF($J395="","SPC 없음",VLOOKUP($J395&amp;"자본금",$B$4:$E$2079,3,0)*VLOOKUP($J395&amp;"보유지분율(%)",$B$4:$E$2079,3,0))</f>
        <v>SPC 없음</v>
      </c>
      <c r="O395" s="471"/>
      <c r="P395" s="476"/>
      <c r="Q395" s="477"/>
      <c r="R395" s="478"/>
      <c r="S395" s="479" t="str">
        <f t="shared" ref="S395:S400" si="104">IF($J395="","SPC 없음",IF(P395="총액",IF(T395="장부가액 준용",W395,(VLOOKUP($J395&amp;"보유지분율(%)",$B$4:$E$2079,4,0))*V395),Q395*R395))</f>
        <v>SPC 없음</v>
      </c>
      <c r="T395" s="471"/>
      <c r="U395" s="471" t="s">
        <v>94</v>
      </c>
      <c r="V395" s="480">
        <f>IF(U395="한국 원화(KRW)",1,IF(OR(U395=환율!$A$6,U395=환율!$A$7),VLOOKUP(NAV!U395,환율!$A$6:$B$7,2,),IF(RIGHT(U395,5)="(100)",(VLOOKUP(NAV!U395,환율!$A$11:$B$51,2,))/100,VLOOKUP(NAV!U395,환율!$A$11:$B$51,2,))))</f>
        <v>1</v>
      </c>
      <c r="W395" s="481"/>
      <c r="X395" s="482">
        <f t="shared" ref="X395:X400" si="105">IFERROR(IF(P395="만원당",10000,Y395/Q395),0)</f>
        <v>0</v>
      </c>
      <c r="Y395" s="481"/>
      <c r="Z395" s="481"/>
      <c r="AA395" s="483">
        <f t="shared" ref="AA395:AA400" si="106">IFERROR(IF(Z395="",S395/W395-1,S395/Z395-1),0)</f>
        <v>0</v>
      </c>
      <c r="AE395" s="484" t="str">
        <f t="shared" ref="AE395:AE400" si="107">IF($J395="","SPC 없음",IF(P395="총액",(VLOOKUP($J395&amp;"지분율 반영 순자산가치",$AD$4:$AH$4973,2,0))*V395,AG395*$Q395))</f>
        <v>SPC 없음</v>
      </c>
      <c r="AF395" s="484" t="str">
        <f t="shared" ref="AF395:AF400" si="108">IF($J395="","SPC 없음",IF(P395="총액",(VLOOKUP($J395&amp;"지분율 반영 순자산가치",$AD$4:$AH$4973,3,0))*V395,AH395*$Q395))</f>
        <v>SPC 없음</v>
      </c>
      <c r="AG395" s="485"/>
      <c r="AH395" s="485"/>
      <c r="AI395" s="404"/>
    </row>
    <row r="396" spans="1:35" ht="12.75" thickBot="1">
      <c r="A396" s="415"/>
      <c r="B396" s="415"/>
      <c r="C396" s="486" t="s">
        <v>387</v>
      </c>
      <c r="D396" s="487">
        <f>SUMIF(FS!$AM$9:$AM$39,개요!$B$121&amp;RIGHT(NAV!C396,10),FS!$AP$9:$AP$39)</f>
        <v>0</v>
      </c>
      <c r="E396" s="487">
        <f>D396</f>
        <v>0</v>
      </c>
      <c r="J396" s="476"/>
      <c r="K396" s="472"/>
      <c r="L396" s="473" t="str">
        <f>IF($J396="","SPC 없음",VLOOKUP($J396&amp;"SPC명",개요!$A$3:$E$1932,3,0))</f>
        <v>SPC 없음</v>
      </c>
      <c r="M396" s="474" t="str">
        <f>IF($J396="","SPC 없음",VLOOKUP($J396&amp;"설정일",개요!$A$3:$E$1932,3,0))</f>
        <v>SPC 없음</v>
      </c>
      <c r="N396" s="475" t="str">
        <f t="shared" si="103"/>
        <v>SPC 없음</v>
      </c>
      <c r="O396" s="471"/>
      <c r="P396" s="476"/>
      <c r="Q396" s="477"/>
      <c r="R396" s="478"/>
      <c r="S396" s="479" t="str">
        <f t="shared" si="104"/>
        <v>SPC 없음</v>
      </c>
      <c r="T396" s="471"/>
      <c r="U396" s="471" t="s">
        <v>94</v>
      </c>
      <c r="V396" s="480">
        <f>IF(U396="한국 원화(KRW)",1,IF(OR(U396=환율!$A$6,U396=환율!$A$7),VLOOKUP(NAV!U396,환율!$A$6:$B$7,2,),IF(RIGHT(U396,5)="(100)",(VLOOKUP(NAV!U396,환율!$A$11:$B$51,2,))/100,VLOOKUP(NAV!U396,환율!$A$11:$B$51,2,))))</f>
        <v>1</v>
      </c>
      <c r="W396" s="481"/>
      <c r="X396" s="482">
        <f t="shared" si="105"/>
        <v>0</v>
      </c>
      <c r="Y396" s="481"/>
      <c r="Z396" s="481"/>
      <c r="AA396" s="483">
        <f t="shared" si="106"/>
        <v>0</v>
      </c>
      <c r="AE396" s="484" t="str">
        <f t="shared" si="107"/>
        <v>SPC 없음</v>
      </c>
      <c r="AF396" s="484" t="str">
        <f t="shared" si="108"/>
        <v>SPC 없음</v>
      </c>
      <c r="AG396" s="485"/>
      <c r="AH396" s="485"/>
      <c r="AI396" s="404"/>
    </row>
    <row r="397" spans="1:35" ht="12.75" thickBot="1">
      <c r="A397" s="415"/>
      <c r="B397" s="415"/>
      <c r="C397" s="486" t="s">
        <v>34</v>
      </c>
      <c r="D397" s="487">
        <f>SUMIF(FS!$AM$9:$AM$39,개요!$B$121&amp;RIGHT(NAV!C397,4),FS!$AP$9:$AP$39)</f>
        <v>0</v>
      </c>
      <c r="E397" s="487">
        <f>D397</f>
        <v>0</v>
      </c>
      <c r="J397" s="476"/>
      <c r="K397" s="472"/>
      <c r="L397" s="473" t="str">
        <f>IF($J397="","SPC 없음",VLOOKUP($J397&amp;"SPC명",개요!$A$3:$E$1932,3,0))</f>
        <v>SPC 없음</v>
      </c>
      <c r="M397" s="474" t="str">
        <f>IF($J397="","SPC 없음",VLOOKUP($J397&amp;"설정일",개요!$A$3:$E$1932,3,0))</f>
        <v>SPC 없음</v>
      </c>
      <c r="N397" s="475" t="str">
        <f t="shared" si="103"/>
        <v>SPC 없음</v>
      </c>
      <c r="O397" s="471"/>
      <c r="P397" s="476"/>
      <c r="Q397" s="477"/>
      <c r="R397" s="478"/>
      <c r="S397" s="479" t="str">
        <f t="shared" si="104"/>
        <v>SPC 없음</v>
      </c>
      <c r="T397" s="471"/>
      <c r="U397" s="471" t="s">
        <v>94</v>
      </c>
      <c r="V397" s="480">
        <f>IF(U397="한국 원화(KRW)",1,IF(OR(U397=환율!$A$6,U397=환율!$A$7),VLOOKUP(NAV!U397,환율!$A$6:$B$7,2,),IF(RIGHT(U397,5)="(100)",(VLOOKUP(NAV!U397,환율!$A$11:$B$51,2,))/100,VLOOKUP(NAV!U397,환율!$A$11:$B$51,2,))))</f>
        <v>1</v>
      </c>
      <c r="W397" s="481"/>
      <c r="X397" s="482">
        <f t="shared" si="105"/>
        <v>0</v>
      </c>
      <c r="Y397" s="481"/>
      <c r="Z397" s="481"/>
      <c r="AA397" s="483">
        <f t="shared" si="106"/>
        <v>0</v>
      </c>
      <c r="AE397" s="484" t="str">
        <f t="shared" si="107"/>
        <v>SPC 없음</v>
      </c>
      <c r="AF397" s="484" t="str">
        <f t="shared" si="108"/>
        <v>SPC 없음</v>
      </c>
      <c r="AG397" s="485"/>
      <c r="AH397" s="485"/>
      <c r="AI397" s="404"/>
    </row>
    <row r="398" spans="1:35" ht="12.75" thickBot="1">
      <c r="A398" s="489" t="s">
        <v>389</v>
      </c>
      <c r="B398" s="490" t="b">
        <f>SUM(W395:W400,W403:W413)=D398</f>
        <v>1</v>
      </c>
      <c r="C398" s="468" t="s">
        <v>17</v>
      </c>
      <c r="D398" s="469">
        <f>SUMIF(FS!$AM$9:$AM$39,개요!$B$121&amp;RIGHT(NAV!C398,4),FS!$AP$9:$AP$39)</f>
        <v>0</v>
      </c>
      <c r="E398" s="469">
        <f>SUM(S395:S400)+SUM(S403:S413)</f>
        <v>0</v>
      </c>
      <c r="J398" s="476"/>
      <c r="K398" s="472"/>
      <c r="L398" s="473" t="str">
        <f>IF($J398="","SPC 없음",VLOOKUP($J398&amp;"SPC명",개요!$A$3:$E$1932,3,0))</f>
        <v>SPC 없음</v>
      </c>
      <c r="M398" s="474" t="str">
        <f>IF($J398="","SPC 없음",VLOOKUP($J398&amp;"설정일",개요!$A$3:$E$1932,3,0))</f>
        <v>SPC 없음</v>
      </c>
      <c r="N398" s="475" t="str">
        <f t="shared" si="103"/>
        <v>SPC 없음</v>
      </c>
      <c r="O398" s="471"/>
      <c r="P398" s="476"/>
      <c r="Q398" s="477"/>
      <c r="R398" s="478"/>
      <c r="S398" s="479" t="str">
        <f t="shared" si="104"/>
        <v>SPC 없음</v>
      </c>
      <c r="T398" s="471"/>
      <c r="U398" s="471" t="s">
        <v>94</v>
      </c>
      <c r="V398" s="480">
        <f>IF(U398="한국 원화(KRW)",1,IF(OR(U398=환율!$A$6,U398=환율!$A$7),VLOOKUP(NAV!U398,환율!$A$6:$B$7,2,),IF(RIGHT(U398,5)="(100)",(VLOOKUP(NAV!U398,환율!$A$11:$B$51,2,))/100,VLOOKUP(NAV!U398,환율!$A$11:$B$51,2,))))</f>
        <v>1</v>
      </c>
      <c r="W398" s="481"/>
      <c r="X398" s="482">
        <f t="shared" si="105"/>
        <v>0</v>
      </c>
      <c r="Y398" s="481"/>
      <c r="Z398" s="481"/>
      <c r="AA398" s="483">
        <f t="shared" si="106"/>
        <v>0</v>
      </c>
      <c r="AE398" s="484" t="str">
        <f t="shared" si="107"/>
        <v>SPC 없음</v>
      </c>
      <c r="AF398" s="484" t="str">
        <f t="shared" si="108"/>
        <v>SPC 없음</v>
      </c>
      <c r="AG398" s="485"/>
      <c r="AH398" s="485"/>
      <c r="AI398" s="404"/>
    </row>
    <row r="399" spans="1:35" ht="12.75" thickBot="1">
      <c r="A399" s="492" t="s">
        <v>391</v>
      </c>
      <c r="B399" s="415" t="b">
        <f>D396+D397+D398=D399</f>
        <v>1</v>
      </c>
      <c r="C399" s="493" t="s">
        <v>2</v>
      </c>
      <c r="D399" s="494">
        <f>D395+D398</f>
        <v>0</v>
      </c>
      <c r="E399" s="494">
        <f>E395+E398</f>
        <v>0</v>
      </c>
      <c r="J399" s="476"/>
      <c r="K399" s="472"/>
      <c r="L399" s="473" t="str">
        <f>IF($J399="","SPC 없음",VLOOKUP($J399&amp;"SPC명",개요!$A$3:$E$1932,3,0))</f>
        <v>SPC 없음</v>
      </c>
      <c r="M399" s="474" t="str">
        <f>IF($J399="","SPC 없음",VLOOKUP($J399&amp;"설정일",개요!$A$3:$E$1932,3,0))</f>
        <v>SPC 없음</v>
      </c>
      <c r="N399" s="475" t="str">
        <f t="shared" si="103"/>
        <v>SPC 없음</v>
      </c>
      <c r="O399" s="471"/>
      <c r="P399" s="476"/>
      <c r="Q399" s="477"/>
      <c r="R399" s="478"/>
      <c r="S399" s="479" t="str">
        <f t="shared" si="104"/>
        <v>SPC 없음</v>
      </c>
      <c r="T399" s="471"/>
      <c r="U399" s="471" t="s">
        <v>94</v>
      </c>
      <c r="V399" s="480">
        <f>IF(U399="한국 원화(KRW)",1,IF(OR(U399=환율!$A$6,U399=환율!$A$7),VLOOKUP(NAV!U399,환율!$A$6:$B$7,2,),IF(RIGHT(U399,5)="(100)",(VLOOKUP(NAV!U399,환율!$A$11:$B$51,2,))/100,VLOOKUP(NAV!U399,환율!$A$11:$B$51,2,))))</f>
        <v>1</v>
      </c>
      <c r="W399" s="481"/>
      <c r="X399" s="482">
        <f t="shared" si="105"/>
        <v>0</v>
      </c>
      <c r="Y399" s="481"/>
      <c r="Z399" s="481"/>
      <c r="AA399" s="483">
        <f t="shared" si="106"/>
        <v>0</v>
      </c>
      <c r="AE399" s="484" t="str">
        <f t="shared" si="107"/>
        <v>SPC 없음</v>
      </c>
      <c r="AF399" s="484" t="str">
        <f t="shared" si="108"/>
        <v>SPC 없음</v>
      </c>
      <c r="AG399" s="485"/>
      <c r="AH399" s="485"/>
      <c r="AI399" s="404"/>
    </row>
    <row r="400" spans="1:35" ht="12.75" thickBot="1">
      <c r="A400" s="492"/>
      <c r="B400" s="496"/>
      <c r="C400" s="468" t="s">
        <v>18</v>
      </c>
      <c r="D400" s="469">
        <f>SUM(D401:D404)</f>
        <v>0</v>
      </c>
      <c r="E400" s="469">
        <f>SUM(E401:E404)</f>
        <v>0</v>
      </c>
      <c r="J400" s="476"/>
      <c r="K400" s="472"/>
      <c r="L400" s="473" t="str">
        <f>IF($J400="","SPC 없음",VLOOKUP($J400&amp;"SPC명",개요!$A$3:$E$1932,3,0))</f>
        <v>SPC 없음</v>
      </c>
      <c r="M400" s="474" t="str">
        <f>IF($J400="","SPC 없음",VLOOKUP($J400&amp;"설정일",개요!$A$3:$E$1932,3,0))</f>
        <v>SPC 없음</v>
      </c>
      <c r="N400" s="475" t="str">
        <f t="shared" si="103"/>
        <v>SPC 없음</v>
      </c>
      <c r="O400" s="471"/>
      <c r="P400" s="476"/>
      <c r="Q400" s="477"/>
      <c r="R400" s="478"/>
      <c r="S400" s="479" t="str">
        <f t="shared" si="104"/>
        <v>SPC 없음</v>
      </c>
      <c r="T400" s="471"/>
      <c r="U400" s="471" t="s">
        <v>94</v>
      </c>
      <c r="V400" s="480">
        <f>IF(U400="한국 원화(KRW)",1,IF(OR(U400=환율!$A$6,U400=환율!$A$7),VLOOKUP(NAV!U400,환율!$A$6:$B$7,2,),IF(RIGHT(U400,5)="(100)",(VLOOKUP(NAV!U400,환율!$A$11:$B$51,2,))/100,VLOOKUP(NAV!U400,환율!$A$11:$B$51,2,))))</f>
        <v>1</v>
      </c>
      <c r="W400" s="481"/>
      <c r="X400" s="482">
        <f t="shared" si="105"/>
        <v>0</v>
      </c>
      <c r="Y400" s="481"/>
      <c r="Z400" s="481"/>
      <c r="AA400" s="483">
        <f t="shared" si="106"/>
        <v>0</v>
      </c>
      <c r="AE400" s="484" t="str">
        <f t="shared" si="107"/>
        <v>SPC 없음</v>
      </c>
      <c r="AF400" s="484" t="str">
        <f t="shared" si="108"/>
        <v>SPC 없음</v>
      </c>
      <c r="AG400" s="485"/>
      <c r="AH400" s="485"/>
      <c r="AI400" s="404"/>
    </row>
    <row r="401" spans="1:35">
      <c r="A401" s="492"/>
      <c r="B401" s="496"/>
      <c r="C401" s="486" t="s">
        <v>392</v>
      </c>
      <c r="D401" s="487">
        <f>SUMIF(FS!$AM$9:$AM$39,개요!$B$121&amp;RIGHT(NAV!C401,5),FS!$AP$9:$AP$39)</f>
        <v>0</v>
      </c>
      <c r="E401" s="487">
        <f>D401</f>
        <v>0</v>
      </c>
      <c r="J401" s="428" t="s">
        <v>275</v>
      </c>
      <c r="K401" s="415"/>
      <c r="L401" s="305"/>
      <c r="M401" s="415"/>
      <c r="N401" s="415"/>
      <c r="O401" s="415"/>
      <c r="P401" s="415"/>
      <c r="Q401" s="422"/>
      <c r="R401" s="415"/>
      <c r="S401" s="415"/>
      <c r="T401" s="415"/>
      <c r="U401" s="415"/>
      <c r="W401" s="517" t="b">
        <f>SUM(W403:W413)+SUM(W395:W400)=D398</f>
        <v>1</v>
      </c>
      <c r="X401" s="415"/>
      <c r="Y401" s="422"/>
      <c r="Z401" s="422"/>
      <c r="AA401" s="459" t="str">
        <f>IF(OR(MAX(AA395:AA400,AA403:AA413)&gt;0.2,MIN(AA395:AA400,AA403:AA413)&lt;-0.2),"특이사항 확인","특이사항 없음")</f>
        <v>특이사항 없음</v>
      </c>
      <c r="AB401" s="415"/>
      <c r="AF401" s="415"/>
      <c r="AG401" s="415"/>
      <c r="AI401" s="404"/>
    </row>
    <row r="402" spans="1:35" ht="12.75" thickBot="1">
      <c r="A402" s="492"/>
      <c r="B402" s="496"/>
      <c r="C402" s="486" t="s">
        <v>393</v>
      </c>
      <c r="D402" s="487">
        <f>SUMIF(FS!$AM$9:$AM$39,개요!$B$121&amp;RIGHT(NAV!C402,3),FS!$AP$9:$AP$39)</f>
        <v>0</v>
      </c>
      <c r="E402" s="487">
        <f t="shared" ref="E402:E403" si="109">D402</f>
        <v>0</v>
      </c>
      <c r="I402" s="518">
        <f>COUNTA(J403:J413)</f>
        <v>0</v>
      </c>
      <c r="J402" s="548" t="s">
        <v>394</v>
      </c>
      <c r="K402" s="548" t="s">
        <v>0</v>
      </c>
      <c r="L402" s="548" t="s">
        <v>550</v>
      </c>
      <c r="M402" s="548" t="s">
        <v>551</v>
      </c>
      <c r="N402" s="548" t="s">
        <v>397</v>
      </c>
      <c r="O402" s="548" t="s">
        <v>398</v>
      </c>
      <c r="P402" s="548" t="s">
        <v>552</v>
      </c>
      <c r="Q402" s="519" t="s">
        <v>14</v>
      </c>
      <c r="R402" s="466" t="s">
        <v>299</v>
      </c>
      <c r="S402" s="466" t="s">
        <v>3525</v>
      </c>
      <c r="T402" s="549" t="s">
        <v>12</v>
      </c>
      <c r="U402" s="548" t="s">
        <v>383</v>
      </c>
      <c r="V402" s="548" t="s">
        <v>400</v>
      </c>
      <c r="W402" s="550" t="s">
        <v>548</v>
      </c>
      <c r="X402" s="549" t="s">
        <v>401</v>
      </c>
      <c r="Y402" s="550" t="s">
        <v>402</v>
      </c>
      <c r="Z402" s="550" t="s">
        <v>3523</v>
      </c>
      <c r="AA402" s="548" t="s">
        <v>13</v>
      </c>
      <c r="AB402" s="548" t="s">
        <v>15</v>
      </c>
      <c r="AC402" s="548" t="s">
        <v>553</v>
      </c>
      <c r="AE402" s="467" t="s">
        <v>3627</v>
      </c>
      <c r="AF402" s="467" t="s">
        <v>3628</v>
      </c>
      <c r="AG402" s="467" t="s">
        <v>3629</v>
      </c>
      <c r="AH402" s="467" t="s">
        <v>3630</v>
      </c>
      <c r="AI402" s="404"/>
    </row>
    <row r="403" spans="1:35" ht="12.75" thickBot="1">
      <c r="A403" s="492"/>
      <c r="B403" s="496"/>
      <c r="C403" s="486" t="s">
        <v>404</v>
      </c>
      <c r="D403" s="487">
        <f>SUMIF(FS!$AM$9:$AM$39,개요!$B$121&amp;RIGHT(NAV!C403,6),FS!$AP$9:$AP$39)</f>
        <v>0</v>
      </c>
      <c r="E403" s="487">
        <f t="shared" si="109"/>
        <v>0</v>
      </c>
      <c r="J403" s="551"/>
      <c r="K403" s="552"/>
      <c r="L403" s="551"/>
      <c r="M403" s="553"/>
      <c r="N403" s="553"/>
      <c r="O403" s="551"/>
      <c r="P403" s="553"/>
      <c r="Q403" s="524"/>
      <c r="R403" s="478">
        <f>IFERROR(INDEX(기초자산!M$6:M$408,MATCH(K403&amp;N403&amp;O403,기초자산!$A$6:$A$408,0),0),0)</f>
        <v>0</v>
      </c>
      <c r="S403" s="479">
        <f t="shared" ref="S403:S413" si="110">IFERROR(IF(T403="취득원가 준용",Y403,IF(T403="장부가액 준용",W403,IF(P403="주당",R403*Q403*V403,IF(RIGHT(U403,5)="(100)",Y403/1000*R403*V403,Y403/10000*R403*V403)))),0)</f>
        <v>0</v>
      </c>
      <c r="T403" s="553"/>
      <c r="U403" s="471" t="s">
        <v>94</v>
      </c>
      <c r="V403" s="480">
        <f>IF(U403="한국 원화(KRW)",1,IF(OR(U403=환율!$A$6,U403=환율!$A$7),VLOOKUP(NAV!U403,환율!$A$6:$B$7,2,),IF(RIGHT(U403,5)="(100)",(VLOOKUP(NAV!U403,환율!$A$11:$B$65,2,))/100,VLOOKUP(NAV!U403,환율!$A$11:$B$65,2,))))</f>
        <v>1</v>
      </c>
      <c r="W403" s="481"/>
      <c r="X403" s="482">
        <f t="shared" ref="X403:X413" si="111">IFERROR(IF(P403="만원당",10000,Y403/Q403),0)</f>
        <v>0</v>
      </c>
      <c r="Y403" s="481"/>
      <c r="Z403" s="481"/>
      <c r="AA403" s="483">
        <f t="shared" ref="AA403:AA413" si="112">IFERROR(IF(Z403="",S403/W403-1,S403/Z403-1),0)</f>
        <v>0</v>
      </c>
      <c r="AB403" s="554"/>
      <c r="AC403" s="526" t="str">
        <f t="shared" ref="AC403:AC413" si="113">IF(($C$7-AB403)/365&gt;2,"2년이상","2년미만")</f>
        <v>2년이상</v>
      </c>
      <c r="AD403" s="520" t="str">
        <f t="shared" ref="AD403:AD413" si="114">IF(OR(AA403&gt;20%,AA403&lt;-20%),"(1) Note 기재","")</f>
        <v/>
      </c>
      <c r="AE403" s="527">
        <f>IF(OR(T403="MTP",T403="과거거래 이용법",T403="취득원가 준용",T403="장부가액 준용",T403="상장종가 적용"),S403,IF(P403="주당",AG403*Q403*V403,Y403/10000*AG403*V403))</f>
        <v>0</v>
      </c>
      <c r="AF403" s="527">
        <f>IF(OR(T403="MTP",T403="과거거래 이용법",T403="취득원가 준용",T403="장부가액 준용",T403="상장종가 적용"),S403,IF(P403="주당",AH403*Q403*V403,Y403/10000*AH403*V403))</f>
        <v>0</v>
      </c>
      <c r="AG403" s="485"/>
      <c r="AH403" s="485"/>
      <c r="AI403" s="404"/>
    </row>
    <row r="404" spans="1:35" ht="12.75" thickBot="1">
      <c r="A404" s="492"/>
      <c r="B404" s="496"/>
      <c r="C404" s="486" t="s">
        <v>405</v>
      </c>
      <c r="D404" s="487">
        <f>SUMIF(FS!$AM$9:$AM$39,개요!$B$121&amp;RIGHT(NAV!C404,7),FS!$AP$9:$AP$39)</f>
        <v>0</v>
      </c>
      <c r="E404" s="487">
        <f>D404</f>
        <v>0</v>
      </c>
      <c r="J404" s="551"/>
      <c r="K404" s="552"/>
      <c r="L404" s="551"/>
      <c r="M404" s="553"/>
      <c r="N404" s="553"/>
      <c r="O404" s="551"/>
      <c r="P404" s="553"/>
      <c r="Q404" s="524"/>
      <c r="R404" s="478">
        <f>IFERROR(INDEX(기초자산!M$6:M$408,MATCH(K404&amp;N404&amp;O404,기초자산!$A$6:$A$408,0),0),0)</f>
        <v>0</v>
      </c>
      <c r="S404" s="479">
        <f t="shared" si="110"/>
        <v>0</v>
      </c>
      <c r="T404" s="553"/>
      <c r="U404" s="471" t="s">
        <v>94</v>
      </c>
      <c r="V404" s="480">
        <f>IF(U404="한국 원화(KRW)",1,IF(OR(U404=환율!$A$6,U404=환율!$A$7),VLOOKUP(NAV!U404,환율!$A$6:$B$7,2,),IF(RIGHT(U404,5)="(100)",(VLOOKUP(NAV!U404,환율!$A$11:$B$65,2,))/100,VLOOKUP(NAV!U404,환율!$A$11:$B$65,2,))))</f>
        <v>1</v>
      </c>
      <c r="W404" s="481"/>
      <c r="X404" s="482">
        <f t="shared" si="111"/>
        <v>0</v>
      </c>
      <c r="Y404" s="481"/>
      <c r="Z404" s="481"/>
      <c r="AA404" s="483">
        <f t="shared" si="112"/>
        <v>0</v>
      </c>
      <c r="AB404" s="554"/>
      <c r="AC404" s="526" t="str">
        <f t="shared" si="113"/>
        <v>2년이상</v>
      </c>
      <c r="AD404" s="520" t="str">
        <f t="shared" si="114"/>
        <v/>
      </c>
      <c r="AE404" s="527">
        <f t="shared" ref="AE404:AE413" si="115">IF(OR(T404="MTP",T404="과거거래 이용법",T404="취득원가 준용",T404="장부가액 준용",T404="상장종가 적용"),S404,IF(P404="주당",AG404*Q404*V404,Y404/10000*AG404*V404))</f>
        <v>0</v>
      </c>
      <c r="AF404" s="527">
        <f t="shared" ref="AF404:AF413" si="116">IF(OR(T404="MTP",T404="과거거래 이용법",T404="취득원가 준용",T404="장부가액 준용",T404="상장종가 적용"),S404,IF(P404="주당",AH404*Q404*V404,Y404/10000*AH404*V404))</f>
        <v>0</v>
      </c>
      <c r="AG404" s="485"/>
      <c r="AH404" s="485"/>
      <c r="AI404" s="404"/>
    </row>
    <row r="405" spans="1:35" ht="12.75" thickBot="1">
      <c r="A405" s="492"/>
      <c r="B405" s="496"/>
      <c r="C405" s="468" t="s">
        <v>554</v>
      </c>
      <c r="D405" s="469">
        <f>SUM(D406:D407)</f>
        <v>0</v>
      </c>
      <c r="E405" s="469">
        <f>SUM(E406:E407)</f>
        <v>0</v>
      </c>
      <c r="J405" s="551"/>
      <c r="K405" s="552"/>
      <c r="L405" s="551"/>
      <c r="M405" s="553"/>
      <c r="N405" s="553"/>
      <c r="O405" s="551"/>
      <c r="P405" s="553"/>
      <c r="Q405" s="524"/>
      <c r="R405" s="478">
        <f>IFERROR(INDEX(기초자산!M$6:M$408,MATCH(K405&amp;N405&amp;O405,기초자산!$A$6:$A$408,0),0),0)</f>
        <v>0</v>
      </c>
      <c r="S405" s="479">
        <f t="shared" si="110"/>
        <v>0</v>
      </c>
      <c r="T405" s="553"/>
      <c r="U405" s="471" t="s">
        <v>94</v>
      </c>
      <c r="V405" s="480">
        <f>IF(U405="한국 원화(KRW)",1,IF(OR(U405=환율!$A$6,U405=환율!$A$7),VLOOKUP(NAV!U405,환율!$A$6:$B$7,2,),IF(RIGHT(U405,5)="(100)",(VLOOKUP(NAV!U405,환율!$A$11:$B$65,2,))/100,VLOOKUP(NAV!U405,환율!$A$11:$B$65,2,))))</f>
        <v>1</v>
      </c>
      <c r="W405" s="481"/>
      <c r="X405" s="482">
        <f t="shared" si="111"/>
        <v>0</v>
      </c>
      <c r="Y405" s="481"/>
      <c r="Z405" s="481"/>
      <c r="AA405" s="483">
        <f t="shared" si="112"/>
        <v>0</v>
      </c>
      <c r="AB405" s="554"/>
      <c r="AC405" s="526" t="str">
        <f t="shared" si="113"/>
        <v>2년이상</v>
      </c>
      <c r="AD405" s="520" t="str">
        <f t="shared" si="114"/>
        <v/>
      </c>
      <c r="AE405" s="527">
        <f t="shared" si="115"/>
        <v>0</v>
      </c>
      <c r="AF405" s="527">
        <f t="shared" si="116"/>
        <v>0</v>
      </c>
      <c r="AG405" s="485"/>
      <c r="AH405" s="485"/>
      <c r="AI405" s="404"/>
    </row>
    <row r="406" spans="1:35" ht="12.75" thickBot="1">
      <c r="A406" s="492"/>
      <c r="B406" s="496"/>
      <c r="C406" s="486" t="s">
        <v>406</v>
      </c>
      <c r="D406" s="487">
        <f>SUMIF(FS!$AM$9:$AM$39,개요!$B$121&amp;RIGHT(NAV!C406,3),FS!$AP$9:$AP$39)</f>
        <v>0</v>
      </c>
      <c r="E406" s="487">
        <f>D406</f>
        <v>0</v>
      </c>
      <c r="J406" s="551"/>
      <c r="K406" s="552"/>
      <c r="L406" s="551"/>
      <c r="M406" s="553"/>
      <c r="N406" s="553"/>
      <c r="O406" s="551"/>
      <c r="P406" s="553"/>
      <c r="Q406" s="524"/>
      <c r="R406" s="478">
        <f>IFERROR(INDEX(기초자산!M$6:M$408,MATCH(K406&amp;N406&amp;O406,기초자산!$A$6:$A$408,0),0),0)</f>
        <v>0</v>
      </c>
      <c r="S406" s="479">
        <f t="shared" si="110"/>
        <v>0</v>
      </c>
      <c r="T406" s="553"/>
      <c r="U406" s="471" t="s">
        <v>94</v>
      </c>
      <c r="V406" s="480">
        <f>IF(U406="한국 원화(KRW)",1,IF(OR(U406=환율!$A$6,U406=환율!$A$7),VLOOKUP(NAV!U406,환율!$A$6:$B$7,2,),IF(RIGHT(U406,5)="(100)",(VLOOKUP(NAV!U406,환율!$A$11:$B$65,2,))/100,VLOOKUP(NAV!U406,환율!$A$11:$B$65,2,))))</f>
        <v>1</v>
      </c>
      <c r="W406" s="481"/>
      <c r="X406" s="482">
        <f t="shared" si="111"/>
        <v>0</v>
      </c>
      <c r="Y406" s="481"/>
      <c r="Z406" s="481"/>
      <c r="AA406" s="483">
        <f t="shared" si="112"/>
        <v>0</v>
      </c>
      <c r="AB406" s="554"/>
      <c r="AC406" s="526" t="str">
        <f t="shared" si="113"/>
        <v>2년이상</v>
      </c>
      <c r="AD406" s="520" t="str">
        <f t="shared" si="114"/>
        <v/>
      </c>
      <c r="AE406" s="527">
        <f t="shared" si="115"/>
        <v>0</v>
      </c>
      <c r="AF406" s="527">
        <f t="shared" si="116"/>
        <v>0</v>
      </c>
      <c r="AG406" s="485"/>
      <c r="AH406" s="485"/>
      <c r="AI406" s="404"/>
    </row>
    <row r="407" spans="1:35" ht="12.75" thickBot="1">
      <c r="A407" s="492"/>
      <c r="B407" s="496"/>
      <c r="C407" s="486" t="s">
        <v>407</v>
      </c>
      <c r="D407" s="487">
        <f>SUMIF(FS!$AM$9:$AM$39,개요!$B$121&amp;RIGHT(NAV!C407,4),FS!$AP$9:$AP$39)</f>
        <v>0</v>
      </c>
      <c r="E407" s="487">
        <f>D407</f>
        <v>0</v>
      </c>
      <c r="J407" s="551"/>
      <c r="K407" s="552"/>
      <c r="L407" s="551"/>
      <c r="M407" s="553"/>
      <c r="N407" s="553"/>
      <c r="O407" s="551"/>
      <c r="P407" s="553"/>
      <c r="Q407" s="524"/>
      <c r="R407" s="478">
        <f>IFERROR(INDEX(기초자산!M$6:M$408,MATCH(K407&amp;N407&amp;O407,기초자산!$A$6:$A$408,0),0),0)</f>
        <v>0</v>
      </c>
      <c r="S407" s="479">
        <f t="shared" si="110"/>
        <v>0</v>
      </c>
      <c r="T407" s="553"/>
      <c r="U407" s="471" t="s">
        <v>94</v>
      </c>
      <c r="V407" s="480">
        <f>IF(U407="한국 원화(KRW)",1,IF(OR(U407=환율!$A$6,U407=환율!$A$7),VLOOKUP(NAV!U407,환율!$A$6:$B$7,2,),IF(RIGHT(U407,5)="(100)",(VLOOKUP(NAV!U407,환율!$A$11:$B$65,2,))/100,VLOOKUP(NAV!U407,환율!$A$11:$B$65,2,))))</f>
        <v>1</v>
      </c>
      <c r="W407" s="481"/>
      <c r="X407" s="482">
        <f t="shared" si="111"/>
        <v>0</v>
      </c>
      <c r="Y407" s="481"/>
      <c r="Z407" s="481"/>
      <c r="AA407" s="483">
        <f t="shared" si="112"/>
        <v>0</v>
      </c>
      <c r="AB407" s="554"/>
      <c r="AC407" s="526" t="str">
        <f t="shared" si="113"/>
        <v>2년이상</v>
      </c>
      <c r="AD407" s="520" t="str">
        <f t="shared" si="114"/>
        <v/>
      </c>
      <c r="AE407" s="527">
        <f t="shared" si="115"/>
        <v>0</v>
      </c>
      <c r="AF407" s="527">
        <f t="shared" si="116"/>
        <v>0</v>
      </c>
      <c r="AG407" s="485"/>
      <c r="AH407" s="485"/>
      <c r="AI407" s="404"/>
    </row>
    <row r="408" spans="1:35" ht="12.75" thickBot="1">
      <c r="A408" s="489" t="s">
        <v>408</v>
      </c>
      <c r="B408" s="498" t="b">
        <f>D401+D402+D403+D404+D406+D407=D408</f>
        <v>1</v>
      </c>
      <c r="C408" s="493" t="s">
        <v>22</v>
      </c>
      <c r="D408" s="494">
        <f>D400+D405</f>
        <v>0</v>
      </c>
      <c r="E408" s="494">
        <f>E400+E405</f>
        <v>0</v>
      </c>
      <c r="J408" s="551"/>
      <c r="K408" s="552"/>
      <c r="L408" s="551"/>
      <c r="M408" s="553"/>
      <c r="N408" s="553"/>
      <c r="O408" s="551"/>
      <c r="P408" s="553"/>
      <c r="Q408" s="524"/>
      <c r="R408" s="478">
        <f>IFERROR(INDEX(기초자산!M$6:M$408,MATCH(K408&amp;N408&amp;O408,기초자산!$A$6:$A$408,0),0),0)</f>
        <v>0</v>
      </c>
      <c r="S408" s="479">
        <f t="shared" si="110"/>
        <v>0</v>
      </c>
      <c r="T408" s="553"/>
      <c r="U408" s="471" t="s">
        <v>94</v>
      </c>
      <c r="V408" s="480">
        <f>IF(U408="한국 원화(KRW)",1,IF(OR(U408=환율!$A$6,U408=환율!$A$7),VLOOKUP(NAV!U408,환율!$A$6:$B$7,2,),IF(RIGHT(U408,5)="(100)",(VLOOKUP(NAV!U408,환율!$A$11:$B$65,2,))/100,VLOOKUP(NAV!U408,환율!$A$11:$B$65,2,))))</f>
        <v>1</v>
      </c>
      <c r="W408" s="481"/>
      <c r="X408" s="482">
        <f t="shared" si="111"/>
        <v>0</v>
      </c>
      <c r="Y408" s="481"/>
      <c r="Z408" s="481"/>
      <c r="AA408" s="483">
        <f t="shared" si="112"/>
        <v>0</v>
      </c>
      <c r="AB408" s="554"/>
      <c r="AC408" s="526" t="str">
        <f t="shared" si="113"/>
        <v>2년이상</v>
      </c>
      <c r="AD408" s="520" t="str">
        <f t="shared" si="114"/>
        <v/>
      </c>
      <c r="AE408" s="527">
        <f t="shared" si="115"/>
        <v>0</v>
      </c>
      <c r="AF408" s="527">
        <f t="shared" si="116"/>
        <v>0</v>
      </c>
      <c r="AG408" s="485"/>
      <c r="AH408" s="485"/>
      <c r="AI408" s="404"/>
    </row>
    <row r="409" spans="1:35" ht="12.75" thickBot="1">
      <c r="A409" s="492"/>
      <c r="B409" s="555" t="str">
        <f>$B$389&amp;C409</f>
        <v>SPC없음자본금</v>
      </c>
      <c r="C409" s="486" t="s">
        <v>35</v>
      </c>
      <c r="D409" s="487">
        <f>SUMIF(FS!$AM$9:$AM$39,개요!$B$121&amp;RIGHT(NAV!C409,3),FS!$AP$9:$AP$39)</f>
        <v>0</v>
      </c>
      <c r="E409" s="487">
        <f>D409</f>
        <v>0</v>
      </c>
      <c r="J409" s="551"/>
      <c r="K409" s="552"/>
      <c r="L409" s="551"/>
      <c r="M409" s="553"/>
      <c r="N409" s="553"/>
      <c r="O409" s="551"/>
      <c r="P409" s="553"/>
      <c r="Q409" s="524"/>
      <c r="R409" s="478">
        <f>IFERROR(INDEX(기초자산!M$6:M$408,MATCH(K409&amp;N409&amp;O409,기초자산!$A$6:$A$408,0),0),0)</f>
        <v>0</v>
      </c>
      <c r="S409" s="479">
        <f t="shared" si="110"/>
        <v>0</v>
      </c>
      <c r="T409" s="553"/>
      <c r="U409" s="471" t="s">
        <v>94</v>
      </c>
      <c r="V409" s="480">
        <f>IF(U409="한국 원화(KRW)",1,IF(OR(U409=환율!$A$6,U409=환율!$A$7),VLOOKUP(NAV!U409,환율!$A$6:$B$7,2,),IF(RIGHT(U409,5)="(100)",(VLOOKUP(NAV!U409,환율!$A$11:$B$65,2,))/100,VLOOKUP(NAV!U409,환율!$A$11:$B$65,2,))))</f>
        <v>1</v>
      </c>
      <c r="W409" s="481"/>
      <c r="X409" s="482">
        <f t="shared" si="111"/>
        <v>0</v>
      </c>
      <c r="Y409" s="481"/>
      <c r="Z409" s="481"/>
      <c r="AA409" s="483">
        <f t="shared" si="112"/>
        <v>0</v>
      </c>
      <c r="AB409" s="554"/>
      <c r="AC409" s="526" t="str">
        <f t="shared" si="113"/>
        <v>2년이상</v>
      </c>
      <c r="AD409" s="520" t="str">
        <f t="shared" si="114"/>
        <v/>
      </c>
      <c r="AE409" s="527">
        <f t="shared" si="115"/>
        <v>0</v>
      </c>
      <c r="AF409" s="527">
        <f t="shared" si="116"/>
        <v>0</v>
      </c>
      <c r="AG409" s="485"/>
      <c r="AH409" s="485"/>
      <c r="AI409" s="404"/>
    </row>
    <row r="410" spans="1:35" ht="12.75" thickBot="1">
      <c r="C410" s="486" t="s">
        <v>409</v>
      </c>
      <c r="D410" s="487">
        <f>SUMIF(FS!$AM$9:$AM$39,개요!$B$121&amp;RIGHT(NAV!C410,10),FS!$AP$9:$AP$39)</f>
        <v>0</v>
      </c>
      <c r="E410" s="487">
        <f>D410</f>
        <v>0</v>
      </c>
      <c r="J410" s="551"/>
      <c r="K410" s="552"/>
      <c r="L410" s="551"/>
      <c r="M410" s="553"/>
      <c r="N410" s="553"/>
      <c r="O410" s="551"/>
      <c r="P410" s="553"/>
      <c r="Q410" s="524"/>
      <c r="R410" s="478">
        <f>IFERROR(INDEX(기초자산!M$6:M$408,MATCH(K410&amp;N410&amp;O410,기초자산!$A$6:$A$408,0),0),0)</f>
        <v>0</v>
      </c>
      <c r="S410" s="479">
        <f t="shared" si="110"/>
        <v>0</v>
      </c>
      <c r="T410" s="553"/>
      <c r="U410" s="471" t="s">
        <v>94</v>
      </c>
      <c r="V410" s="480">
        <f>IF(U410="한국 원화(KRW)",1,IF(OR(U410=환율!$A$6,U410=환율!$A$7),VLOOKUP(NAV!U410,환율!$A$6:$B$7,2,),IF(RIGHT(U410,5)="(100)",(VLOOKUP(NAV!U410,환율!$A$11:$B$65,2,))/100,VLOOKUP(NAV!U410,환율!$A$11:$B$65,2,))))</f>
        <v>1</v>
      </c>
      <c r="W410" s="481"/>
      <c r="X410" s="482">
        <f t="shared" si="111"/>
        <v>0</v>
      </c>
      <c r="Y410" s="481"/>
      <c r="Z410" s="481"/>
      <c r="AA410" s="483">
        <f t="shared" si="112"/>
        <v>0</v>
      </c>
      <c r="AB410" s="554"/>
      <c r="AC410" s="526" t="str">
        <f t="shared" si="113"/>
        <v>2년이상</v>
      </c>
      <c r="AD410" s="520" t="str">
        <f t="shared" si="114"/>
        <v/>
      </c>
      <c r="AE410" s="527">
        <f t="shared" si="115"/>
        <v>0</v>
      </c>
      <c r="AF410" s="527">
        <f t="shared" si="116"/>
        <v>0</v>
      </c>
      <c r="AG410" s="485"/>
      <c r="AH410" s="485"/>
      <c r="AI410" s="404"/>
    </row>
    <row r="411" spans="1:35" ht="12.75" thickBot="1">
      <c r="A411" s="489"/>
      <c r="B411" s="415"/>
      <c r="C411" s="486" t="s">
        <v>410</v>
      </c>
      <c r="D411" s="487">
        <f>SUMIF(FS!$AM$9:$AM$39,개요!$B$121&amp;RIGHT(NAV!C411,8),FS!$AP$9:$AP$39)</f>
        <v>0</v>
      </c>
      <c r="E411" s="487">
        <f>D411</f>
        <v>0</v>
      </c>
      <c r="J411" s="551"/>
      <c r="K411" s="552"/>
      <c r="L411" s="551"/>
      <c r="M411" s="553"/>
      <c r="N411" s="553"/>
      <c r="O411" s="551"/>
      <c r="P411" s="553"/>
      <c r="Q411" s="524"/>
      <c r="R411" s="478">
        <f>IFERROR(INDEX(기초자산!M$6:M$408,MATCH(K411&amp;N411&amp;O411,기초자산!$A$6:$A$408,0),0),0)</f>
        <v>0</v>
      </c>
      <c r="S411" s="479">
        <f t="shared" si="110"/>
        <v>0</v>
      </c>
      <c r="T411" s="553"/>
      <c r="U411" s="471" t="s">
        <v>94</v>
      </c>
      <c r="V411" s="480">
        <f>IF(U411="한국 원화(KRW)",1,IF(OR(U411=환율!$A$6,U411=환율!$A$7),VLOOKUP(NAV!U411,환율!$A$6:$B$7,2,),IF(RIGHT(U411,5)="(100)",(VLOOKUP(NAV!U411,환율!$A$11:$B$65,2,))/100,VLOOKUP(NAV!U411,환율!$A$11:$B$65,2,))))</f>
        <v>1</v>
      </c>
      <c r="W411" s="481"/>
      <c r="X411" s="482">
        <f t="shared" si="111"/>
        <v>0</v>
      </c>
      <c r="Y411" s="481"/>
      <c r="Z411" s="481"/>
      <c r="AA411" s="483">
        <f t="shared" si="112"/>
        <v>0</v>
      </c>
      <c r="AB411" s="554"/>
      <c r="AC411" s="526" t="str">
        <f t="shared" si="113"/>
        <v>2년이상</v>
      </c>
      <c r="AD411" s="520" t="str">
        <f t="shared" si="114"/>
        <v/>
      </c>
      <c r="AE411" s="527">
        <f t="shared" si="115"/>
        <v>0</v>
      </c>
      <c r="AF411" s="527">
        <f t="shared" si="116"/>
        <v>0</v>
      </c>
      <c r="AG411" s="485"/>
      <c r="AH411" s="485"/>
      <c r="AI411" s="404"/>
    </row>
    <row r="412" spans="1:35" ht="12.75" thickBot="1">
      <c r="A412" s="489" t="s">
        <v>555</v>
      </c>
      <c r="B412" s="415" t="b">
        <f>D412=SUM(D409:D411)</f>
        <v>1</v>
      </c>
      <c r="C412" s="493" t="s">
        <v>412</v>
      </c>
      <c r="D412" s="494">
        <f>D399-D408</f>
        <v>0</v>
      </c>
      <c r="E412" s="494">
        <f>E399-E408</f>
        <v>0</v>
      </c>
      <c r="J412" s="551"/>
      <c r="K412" s="552"/>
      <c r="L412" s="551"/>
      <c r="M412" s="553"/>
      <c r="N412" s="553"/>
      <c r="O412" s="551"/>
      <c r="P412" s="553"/>
      <c r="Q412" s="524"/>
      <c r="R412" s="478">
        <f>IFERROR(INDEX(기초자산!M$6:M$408,MATCH(K412&amp;N412&amp;O412,기초자산!$A$6:$A$408,0),0),0)</f>
        <v>0</v>
      </c>
      <c r="S412" s="479">
        <f t="shared" si="110"/>
        <v>0</v>
      </c>
      <c r="T412" s="553"/>
      <c r="U412" s="471" t="s">
        <v>94</v>
      </c>
      <c r="V412" s="480">
        <f>IF(U412="한국 원화(KRW)",1,IF(OR(U412=환율!$A$6,U412=환율!$A$7),VLOOKUP(NAV!U412,환율!$A$6:$B$7,2,),IF(RIGHT(U412,5)="(100)",(VLOOKUP(NAV!U412,환율!$A$11:$B$65,2,))/100,VLOOKUP(NAV!U412,환율!$A$11:$B$65,2,))))</f>
        <v>1</v>
      </c>
      <c r="W412" s="481"/>
      <c r="X412" s="482">
        <f t="shared" si="111"/>
        <v>0</v>
      </c>
      <c r="Y412" s="481"/>
      <c r="Z412" s="481"/>
      <c r="AA412" s="483">
        <f t="shared" si="112"/>
        <v>0</v>
      </c>
      <c r="AB412" s="554"/>
      <c r="AC412" s="526" t="str">
        <f t="shared" si="113"/>
        <v>2년이상</v>
      </c>
      <c r="AD412" s="520" t="str">
        <f t="shared" si="114"/>
        <v/>
      </c>
      <c r="AE412" s="527">
        <f t="shared" si="115"/>
        <v>0</v>
      </c>
      <c r="AF412" s="527">
        <f t="shared" si="116"/>
        <v>0</v>
      </c>
      <c r="AG412" s="485"/>
      <c r="AH412" s="485"/>
      <c r="AI412" s="404"/>
    </row>
    <row r="413" spans="1:35" ht="12.75" thickBot="1">
      <c r="A413" s="489"/>
      <c r="B413" s="415"/>
      <c r="C413" s="486" t="s">
        <v>478</v>
      </c>
      <c r="D413" s="487">
        <v>0</v>
      </c>
      <c r="E413" s="499">
        <v>0</v>
      </c>
      <c r="J413" s="551"/>
      <c r="K413" s="552"/>
      <c r="L413" s="551"/>
      <c r="M413" s="553"/>
      <c r="N413" s="553"/>
      <c r="O413" s="551"/>
      <c r="P413" s="553"/>
      <c r="Q413" s="524"/>
      <c r="R413" s="478">
        <f>IFERROR(INDEX(기초자산!M$6:M$408,MATCH(K413&amp;N413&amp;O413,기초자산!$A$6:$A$408,0),0),0)</f>
        <v>0</v>
      </c>
      <c r="S413" s="479">
        <f t="shared" si="110"/>
        <v>0</v>
      </c>
      <c r="T413" s="553"/>
      <c r="U413" s="471" t="s">
        <v>94</v>
      </c>
      <c r="V413" s="480">
        <f>IF(U413="한국 원화(KRW)",1,IF(OR(U413=환율!$A$6,U413=환율!$A$7),VLOOKUP(NAV!U413,환율!$A$6:$B$7,2,),IF(RIGHT(U413,5)="(100)",(VLOOKUP(NAV!U413,환율!$A$11:$B$65,2,))/100,VLOOKUP(NAV!U413,환율!$A$11:$B$65,2,))))</f>
        <v>1</v>
      </c>
      <c r="W413" s="481"/>
      <c r="X413" s="482">
        <f t="shared" si="111"/>
        <v>0</v>
      </c>
      <c r="Y413" s="481"/>
      <c r="Z413" s="481"/>
      <c r="AA413" s="483">
        <f t="shared" si="112"/>
        <v>0</v>
      </c>
      <c r="AB413" s="554"/>
      <c r="AC413" s="526" t="str">
        <f t="shared" si="113"/>
        <v>2년이상</v>
      </c>
      <c r="AD413" s="520" t="str">
        <f t="shared" si="114"/>
        <v/>
      </c>
      <c r="AE413" s="527">
        <f t="shared" si="115"/>
        <v>0</v>
      </c>
      <c r="AF413" s="527">
        <f t="shared" si="116"/>
        <v>0</v>
      </c>
      <c r="AG413" s="485"/>
      <c r="AH413" s="485"/>
      <c r="AI413" s="404"/>
    </row>
    <row r="414" spans="1:35">
      <c r="A414" s="489"/>
      <c r="B414" s="415"/>
      <c r="C414" s="486" t="s">
        <v>556</v>
      </c>
      <c r="D414" s="487">
        <v>0</v>
      </c>
      <c r="E414" s="499">
        <v>0</v>
      </c>
      <c r="J414" s="495"/>
      <c r="K414" s="415"/>
      <c r="L414" s="495"/>
      <c r="M414" s="415"/>
      <c r="N414" s="415"/>
      <c r="O414" s="415"/>
      <c r="P414" s="415"/>
      <c r="Q414" s="422"/>
      <c r="R414" s="415"/>
      <c r="S414" s="415"/>
      <c r="T414" s="415"/>
      <c r="U414" s="415"/>
      <c r="V414" s="415"/>
      <c r="W414" s="422"/>
      <c r="X414" s="415"/>
      <c r="Y414" s="458"/>
      <c r="Z414" s="422"/>
      <c r="AA414" s="556"/>
      <c r="AB414" s="556"/>
      <c r="AC414" s="415"/>
      <c r="AE414" s="415"/>
      <c r="AI414" s="404"/>
    </row>
    <row r="415" spans="1:35">
      <c r="A415" s="489"/>
      <c r="B415" s="415"/>
      <c r="C415" s="493" t="s">
        <v>415</v>
      </c>
      <c r="D415" s="494">
        <f>D412+D413-D414</f>
        <v>0</v>
      </c>
      <c r="E415" s="494">
        <f>IF(E412+E413-E414&gt;0,E412+E413-E414,0)</f>
        <v>0</v>
      </c>
      <c r="J415" s="305"/>
      <c r="K415" s="415"/>
      <c r="L415" s="305"/>
      <c r="M415" s="415"/>
      <c r="N415" s="415"/>
      <c r="O415" s="415"/>
      <c r="S415" s="415"/>
      <c r="T415" s="415"/>
      <c r="U415" s="415"/>
      <c r="V415" s="415"/>
      <c r="Y415" s="458"/>
      <c r="AD415" s="557" t="str">
        <f>B389&amp;"순자산가치"</f>
        <v>SPC없음순자산가치</v>
      </c>
      <c r="AE415" s="529">
        <f>IF(E395+SUM(AE395:AE400)+SUM(AE403:AE413)-E408&gt;0,E395+SUM(AE395:AE400)+SUM(AE403:AE413)-E408,0)</f>
        <v>0</v>
      </c>
      <c r="AF415" s="529">
        <f>IF(E395+SUM(AF395:AF400)+SUM(AF403:AF413)-E408&gt;0,E395+SUM(AF395:AF400)+SUM(AF403:AF413)-E408,0)</f>
        <v>0</v>
      </c>
      <c r="AI415" s="404"/>
    </row>
    <row r="416" spans="1:35">
      <c r="A416" s="489"/>
      <c r="B416" s="558" t="str">
        <f>$B$389&amp;C416</f>
        <v>SPC없음보유지분율(%)</v>
      </c>
      <c r="C416" s="493" t="s">
        <v>416</v>
      </c>
      <c r="D416" s="559">
        <f>개요!$C$130</f>
        <v>0</v>
      </c>
      <c r="E416" s="494">
        <f>E415*D416</f>
        <v>0</v>
      </c>
      <c r="F416" s="560" t="s">
        <v>417</v>
      </c>
      <c r="G416" s="560"/>
      <c r="J416" s="495"/>
      <c r="K416" s="415"/>
      <c r="L416" s="495"/>
      <c r="M416" s="415"/>
      <c r="N416" s="415"/>
      <c r="O416" s="415"/>
      <c r="S416" s="415"/>
      <c r="T416" s="415"/>
      <c r="U416" s="415"/>
      <c r="V416" s="415"/>
      <c r="Y416" s="458"/>
      <c r="AD416" s="557" t="s">
        <v>272</v>
      </c>
      <c r="AE416" s="561">
        <f>$D416</f>
        <v>0</v>
      </c>
      <c r="AF416" s="561">
        <f>$D416</f>
        <v>0</v>
      </c>
      <c r="AI416" s="404"/>
    </row>
    <row r="417" spans="1:35">
      <c r="A417" s="489"/>
      <c r="B417" s="415"/>
      <c r="G417" s="503" t="s">
        <v>419</v>
      </c>
      <c r="I417" s="562"/>
      <c r="J417" s="495"/>
      <c r="K417" s="415"/>
      <c r="L417" s="495"/>
      <c r="M417" s="415"/>
      <c r="N417" s="415"/>
      <c r="O417" s="415"/>
      <c r="S417" s="415"/>
      <c r="T417" s="415"/>
      <c r="U417" s="415"/>
      <c r="V417" s="415"/>
      <c r="Y417" s="458"/>
      <c r="AD417" s="557" t="str">
        <f>B389&amp;"지분율 반영 순자산가치"</f>
        <v>SPC없음지분율 반영 순자산가치</v>
      </c>
      <c r="AE417" s="529">
        <f>AE415*AE416</f>
        <v>0</v>
      </c>
      <c r="AF417" s="529">
        <f>AF415*AF416</f>
        <v>0</v>
      </c>
      <c r="AI417" s="404"/>
    </row>
    <row r="418" spans="1:35">
      <c r="A418" s="489"/>
      <c r="D418" s="504" t="s">
        <v>370</v>
      </c>
      <c r="E418" s="505">
        <f>$C$7</f>
        <v>45473</v>
      </c>
      <c r="F418" s="506"/>
      <c r="G418" s="505"/>
      <c r="I418" s="563"/>
      <c r="J418" s="495"/>
      <c r="K418" s="415"/>
      <c r="L418" s="495"/>
      <c r="M418" s="415"/>
      <c r="N418" s="415"/>
      <c r="O418" s="415"/>
      <c r="S418" s="415"/>
      <c r="T418" s="415"/>
      <c r="U418" s="415"/>
      <c r="V418" s="415"/>
      <c r="Y418" s="422"/>
      <c r="AI418" s="404"/>
    </row>
    <row r="419" spans="1:35">
      <c r="D419" s="486" t="s">
        <v>412</v>
      </c>
      <c r="E419" s="487">
        <f>E415</f>
        <v>0</v>
      </c>
      <c r="F419" s="507" t="e">
        <f>E419/G419-1</f>
        <v>#DIV/0!</v>
      </c>
      <c r="G419" s="487"/>
      <c r="I419" s="564"/>
      <c r="J419" s="495"/>
      <c r="K419" s="415"/>
      <c r="L419" s="495"/>
      <c r="M419" s="415"/>
      <c r="S419" s="415"/>
      <c r="T419" s="415"/>
      <c r="U419" s="415"/>
      <c r="V419" s="415"/>
      <c r="Y419" s="422"/>
      <c r="AI419" s="404"/>
    </row>
    <row r="420" spans="1:35">
      <c r="A420" s="489"/>
      <c r="B420" s="415"/>
      <c r="D420" s="486" t="s">
        <v>557</v>
      </c>
      <c r="E420" s="565">
        <f>$D$416</f>
        <v>0</v>
      </c>
      <c r="F420" s="507"/>
      <c r="G420" s="565"/>
      <c r="I420" s="566"/>
      <c r="J420" s="305"/>
      <c r="K420" s="415"/>
      <c r="L420" s="305"/>
      <c r="M420" s="415"/>
      <c r="S420" s="415"/>
      <c r="T420" s="415"/>
      <c r="U420" s="415"/>
      <c r="V420" s="415"/>
      <c r="Y420" s="422"/>
      <c r="AI420" s="404"/>
    </row>
    <row r="421" spans="1:35">
      <c r="A421" s="489"/>
      <c r="B421" s="415"/>
      <c r="D421" s="567" t="s">
        <v>420</v>
      </c>
      <c r="E421" s="568">
        <f>E419*E420</f>
        <v>0</v>
      </c>
      <c r="F421" s="507" t="e">
        <f>E421/G421-1</f>
        <v>#DIV/0!</v>
      </c>
      <c r="G421" s="568"/>
      <c r="I421" s="564"/>
      <c r="AI421" s="404"/>
    </row>
    <row r="422" spans="1:35">
      <c r="E422" s="304" t="b">
        <f>E421=E416</f>
        <v>1</v>
      </c>
      <c r="AI422" s="404"/>
    </row>
    <row r="423" spans="1:35">
      <c r="F423" s="507"/>
      <c r="G423" s="507"/>
      <c r="AI423" s="404"/>
    </row>
    <row r="424" spans="1:35" ht="12.75" thickBot="1">
      <c r="A424" s="536"/>
      <c r="B424" s="536"/>
      <c r="C424" s="536"/>
      <c r="D424" s="536"/>
      <c r="E424" s="536"/>
      <c r="F424" s="572"/>
      <c r="G424" s="572"/>
      <c r="H424" s="536"/>
      <c r="I424" s="537"/>
      <c r="J424" s="536"/>
      <c r="K424" s="536"/>
      <c r="L424" s="536"/>
      <c r="M424" s="536"/>
      <c r="N424" s="536"/>
      <c r="O424" s="536"/>
      <c r="P424" s="536"/>
      <c r="Q424" s="540"/>
      <c r="R424" s="536"/>
      <c r="S424" s="536"/>
      <c r="T424" s="536"/>
      <c r="U424" s="536"/>
      <c r="V424" s="536"/>
      <c r="W424" s="540"/>
      <c r="X424" s="536"/>
      <c r="Y424" s="540"/>
      <c r="Z424" s="540"/>
      <c r="AA424" s="536"/>
      <c r="AB424" s="536"/>
      <c r="AC424" s="536"/>
      <c r="AD424" s="541"/>
      <c r="AE424" s="536"/>
      <c r="AF424" s="536"/>
      <c r="AG424" s="536"/>
      <c r="AH424" s="536"/>
      <c r="AI424" s="404"/>
    </row>
    <row r="425" spans="1:35" ht="12.75" thickTop="1">
      <c r="F425" s="507"/>
      <c r="G425" s="507"/>
      <c r="AI425" s="404"/>
    </row>
    <row r="426" spans="1:35" ht="12.75" thickBot="1">
      <c r="A426" s="459"/>
      <c r="B426" s="415"/>
      <c r="J426" s="428" t="s">
        <v>273</v>
      </c>
      <c r="K426" s="489"/>
      <c r="L426" s="497"/>
      <c r="M426" s="489"/>
      <c r="N426" s="415"/>
      <c r="O426" s="415"/>
      <c r="AI426" s="404"/>
    </row>
    <row r="427" spans="1:35" ht="12.75" thickBot="1">
      <c r="A427" s="542" t="s">
        <v>558</v>
      </c>
      <c r="B427" s="543" t="str">
        <f>IF(개요!$B$133="","SPC없음",개요!$B$133)</f>
        <v>SPC없음</v>
      </c>
      <c r="C427" s="454"/>
      <c r="J427" s="433"/>
      <c r="K427" s="434"/>
      <c r="L427" s="434"/>
      <c r="M427" s="434"/>
      <c r="N427" s="434"/>
      <c r="O427" s="434"/>
      <c r="P427" s="434"/>
      <c r="Q427" s="435"/>
      <c r="R427" s="434"/>
      <c r="S427" s="434"/>
      <c r="T427" s="434"/>
      <c r="U427" s="434"/>
      <c r="V427" s="436"/>
      <c r="AI427" s="404"/>
    </row>
    <row r="428" spans="1:35">
      <c r="B428" s="543" t="s">
        <v>369</v>
      </c>
      <c r="C428" s="569" t="str">
        <f>IF(개요!$C$134="","SPC없음",개요!$C$134)</f>
        <v>SPC없음</v>
      </c>
      <c r="J428" s="442"/>
      <c r="K428" s="151"/>
      <c r="L428" s="151"/>
      <c r="M428" s="151"/>
      <c r="N428" s="151"/>
      <c r="O428" s="151"/>
      <c r="P428" s="151"/>
      <c r="Q428" s="443"/>
      <c r="R428" s="151"/>
      <c r="S428" s="151"/>
      <c r="T428" s="151"/>
      <c r="U428" s="151"/>
      <c r="V428" s="444"/>
      <c r="AI428" s="404"/>
    </row>
    <row r="429" spans="1:35">
      <c r="B429" s="437" t="s">
        <v>495</v>
      </c>
      <c r="C429" s="570">
        <f>$C$7</f>
        <v>45473</v>
      </c>
      <c r="D429" s="546" t="b">
        <f>C429&gt;=C430</f>
        <v>1</v>
      </c>
      <c r="J429" s="442"/>
      <c r="K429" s="151"/>
      <c r="L429" s="151"/>
      <c r="M429" s="151"/>
      <c r="N429" s="151"/>
      <c r="O429" s="151"/>
      <c r="P429" s="151"/>
      <c r="Q429" s="443"/>
      <c r="R429" s="151"/>
      <c r="S429" s="151"/>
      <c r="T429" s="151"/>
      <c r="U429" s="151"/>
      <c r="V429" s="444"/>
      <c r="AI429" s="404"/>
    </row>
    <row r="430" spans="1:35" ht="12.75" thickBot="1">
      <c r="B430" s="449" t="s">
        <v>559</v>
      </c>
      <c r="C430" s="571">
        <f>FS!$AV$8</f>
        <v>0</v>
      </c>
      <c r="J430" s="453"/>
      <c r="K430" s="454"/>
      <c r="L430" s="454"/>
      <c r="M430" s="454"/>
      <c r="N430" s="454"/>
      <c r="O430" s="454"/>
      <c r="P430" s="454"/>
      <c r="Q430" s="455"/>
      <c r="R430" s="454"/>
      <c r="S430" s="454"/>
      <c r="T430" s="454"/>
      <c r="U430" s="454"/>
      <c r="V430" s="456"/>
      <c r="AI430" s="404"/>
    </row>
    <row r="431" spans="1:35">
      <c r="A431" s="459"/>
      <c r="J431" s="428" t="s">
        <v>560</v>
      </c>
      <c r="K431" s="448"/>
      <c r="L431" s="420"/>
      <c r="M431" s="448"/>
      <c r="N431" s="448"/>
      <c r="O431" s="448"/>
      <c r="P431" s="415"/>
      <c r="Q431" s="422"/>
      <c r="R431" s="415"/>
      <c r="S431" s="415"/>
      <c r="T431" s="415"/>
      <c r="U431" s="415"/>
      <c r="V431" s="415"/>
      <c r="W431" s="422"/>
      <c r="Z431" s="458"/>
      <c r="AE431" s="803" t="s">
        <v>8</v>
      </c>
      <c r="AF431" s="803"/>
      <c r="AG431" s="460"/>
      <c r="AH431" s="460"/>
      <c r="AI431" s="404"/>
    </row>
    <row r="432" spans="1:35" ht="12.75" thickBot="1">
      <c r="A432" s="461" t="str">
        <f>IF(AND(B433:B459),"검증완료","검증필요")</f>
        <v>검증완료</v>
      </c>
      <c r="B432" s="462" t="s">
        <v>373</v>
      </c>
      <c r="C432" s="462" t="s">
        <v>561</v>
      </c>
      <c r="D432" s="462" t="s">
        <v>10</v>
      </c>
      <c r="E432" s="462" t="s">
        <v>11</v>
      </c>
      <c r="J432" s="462" t="s">
        <v>375</v>
      </c>
      <c r="K432" s="464" t="s">
        <v>562</v>
      </c>
      <c r="L432" s="462" t="s">
        <v>369</v>
      </c>
      <c r="M432" s="462" t="s">
        <v>456</v>
      </c>
      <c r="N432" s="462" t="s">
        <v>563</v>
      </c>
      <c r="O432" s="462" t="s">
        <v>1</v>
      </c>
      <c r="P432" s="464" t="s">
        <v>380</v>
      </c>
      <c r="Q432" s="465" t="s">
        <v>14</v>
      </c>
      <c r="R432" s="466" t="s">
        <v>496</v>
      </c>
      <c r="S432" s="466" t="s">
        <v>564</v>
      </c>
      <c r="T432" s="462" t="s">
        <v>12</v>
      </c>
      <c r="U432" s="462" t="s">
        <v>565</v>
      </c>
      <c r="V432" s="462" t="s">
        <v>400</v>
      </c>
      <c r="W432" s="465" t="s">
        <v>493</v>
      </c>
      <c r="X432" s="462" t="s">
        <v>566</v>
      </c>
      <c r="Y432" s="465" t="s">
        <v>430</v>
      </c>
      <c r="Z432" s="465" t="s">
        <v>3522</v>
      </c>
      <c r="AA432" s="464" t="s">
        <v>13</v>
      </c>
      <c r="AE432" s="467" t="s">
        <v>3627</v>
      </c>
      <c r="AF432" s="467" t="s">
        <v>3628</v>
      </c>
      <c r="AG432" s="467" t="s">
        <v>3629</v>
      </c>
      <c r="AH432" s="467" t="s">
        <v>3630</v>
      </c>
      <c r="AI432" s="404"/>
    </row>
    <row r="433" spans="1:35" ht="12.75" thickBot="1">
      <c r="A433" s="415"/>
      <c r="B433" s="415"/>
      <c r="C433" s="468" t="s">
        <v>516</v>
      </c>
      <c r="D433" s="469">
        <f>SUM(D434:D435)</f>
        <v>0</v>
      </c>
      <c r="E433" s="469">
        <f>SUM(E434:E435)</f>
        <v>0</v>
      </c>
      <c r="J433" s="476"/>
      <c r="K433" s="472"/>
      <c r="L433" s="473" t="str">
        <f>IF($J433="","SPC 없음",VLOOKUP($J433&amp;"SPC명",개요!$A$3:$E$1932,3,0))</f>
        <v>SPC 없음</v>
      </c>
      <c r="M433" s="474" t="str">
        <f>IF($J433="","SPC 없음",VLOOKUP($J433&amp;"설정일",개요!$A$3:$E$1932,3,0))</f>
        <v>SPC 없음</v>
      </c>
      <c r="N433" s="475" t="str">
        <f t="shared" ref="N433:N438" si="117">IF($J433="","SPC 없음",VLOOKUP($J433&amp;"자본금",$B$4:$E$2079,3,0)*VLOOKUP($J433&amp;"보유지분율(%)",$B$4:$E$2079,3,0))</f>
        <v>SPC 없음</v>
      </c>
      <c r="O433" s="471"/>
      <c r="P433" s="476"/>
      <c r="Q433" s="477"/>
      <c r="R433" s="478"/>
      <c r="S433" s="479" t="str">
        <f t="shared" ref="S433:S438" si="118">IF($J433="","SPC 없음",IF(P433="총액",IF(T433="장부가액 준용",W433,(VLOOKUP($J433&amp;"보유지분율(%)",$B$4:$E$2079,4,0))*V433),Q433*R433))</f>
        <v>SPC 없음</v>
      </c>
      <c r="T433" s="471"/>
      <c r="U433" s="471" t="s">
        <v>94</v>
      </c>
      <c r="V433" s="480">
        <f>IF(U433="한국 원화(KRW)",1,IF(OR(U433=환율!$A$6,U433=환율!$A$7),VLOOKUP(NAV!U433,환율!$A$6:$B$7,2,),IF(RIGHT(U433,5)="(100)",(VLOOKUP(NAV!U433,환율!$A$11:$B$65,2,))/100,VLOOKUP(NAV!U433,환율!$A$11:$B$65,2,))))</f>
        <v>1</v>
      </c>
      <c r="W433" s="481"/>
      <c r="X433" s="482">
        <f t="shared" ref="X433:X438" si="119">IFERROR(IF(P433="만원당",10000,Y433/Q433),0)</f>
        <v>0</v>
      </c>
      <c r="Y433" s="481"/>
      <c r="Z433" s="481"/>
      <c r="AA433" s="483">
        <f t="shared" ref="AA433:AA438" si="120">IFERROR(IF(Z433="",S433/W433-1,S433/Z433-1),0)</f>
        <v>0</v>
      </c>
      <c r="AE433" s="484" t="str">
        <f t="shared" ref="AE433:AE438" si="121">IF($J433="","SPC 없음",IF(P433="총액",(VLOOKUP($J433&amp;"지분율 반영 순자산가치",$AD$4:$AH$4973,2,0))*V433,AG433*$Q433))</f>
        <v>SPC 없음</v>
      </c>
      <c r="AF433" s="484" t="str">
        <f t="shared" ref="AF433:AF438" si="122">IF($J433="","SPC 없음",IF(P433="총액",(VLOOKUP($J433&amp;"지분율 반영 순자산가치",$AD$4:$AH$4973,3,0))*V433,AH433*$Q433))</f>
        <v>SPC 없음</v>
      </c>
      <c r="AG433" s="485"/>
      <c r="AH433" s="485"/>
      <c r="AI433" s="404"/>
    </row>
    <row r="434" spans="1:35" ht="12.75" thickBot="1">
      <c r="A434" s="415"/>
      <c r="B434" s="415"/>
      <c r="C434" s="486" t="s">
        <v>387</v>
      </c>
      <c r="D434" s="487">
        <f>SUMIF(FS!$AS$9:$AS$39,개요!$B$133&amp;RIGHT(NAV!C434,10),FS!$AV$9:$AV$39)</f>
        <v>0</v>
      </c>
      <c r="E434" s="487">
        <f>D434</f>
        <v>0</v>
      </c>
      <c r="J434" s="476"/>
      <c r="K434" s="472"/>
      <c r="L434" s="473" t="str">
        <f>IF($J434="","SPC 없음",VLOOKUP($J434&amp;"SPC명",개요!$A$3:$E$1932,3,0))</f>
        <v>SPC 없음</v>
      </c>
      <c r="M434" s="474" t="str">
        <f>IF($J434="","SPC 없음",VLOOKUP($J434&amp;"설정일",개요!$A$3:$E$1932,3,0))</f>
        <v>SPC 없음</v>
      </c>
      <c r="N434" s="475" t="str">
        <f t="shared" si="117"/>
        <v>SPC 없음</v>
      </c>
      <c r="O434" s="471"/>
      <c r="P434" s="476"/>
      <c r="Q434" s="477"/>
      <c r="R434" s="478"/>
      <c r="S434" s="479" t="str">
        <f t="shared" si="118"/>
        <v>SPC 없음</v>
      </c>
      <c r="T434" s="471"/>
      <c r="U434" s="471" t="s">
        <v>94</v>
      </c>
      <c r="V434" s="480">
        <f>IF(U434="한국 원화(KRW)",1,IF(OR(U434=환율!$A$6,U434=환율!$A$7),VLOOKUP(NAV!U434,환율!$A$6:$B$7,2,),IF(RIGHT(U434,5)="(100)",(VLOOKUP(NAV!U434,환율!$A$11:$B$65,2,))/100,VLOOKUP(NAV!U434,환율!$A$11:$B$65,2,))))</f>
        <v>1</v>
      </c>
      <c r="W434" s="481"/>
      <c r="X434" s="482">
        <f t="shared" si="119"/>
        <v>0</v>
      </c>
      <c r="Y434" s="481"/>
      <c r="Z434" s="481"/>
      <c r="AA434" s="483">
        <f t="shared" si="120"/>
        <v>0</v>
      </c>
      <c r="AE434" s="484" t="str">
        <f t="shared" si="121"/>
        <v>SPC 없음</v>
      </c>
      <c r="AF434" s="484" t="str">
        <f t="shared" si="122"/>
        <v>SPC 없음</v>
      </c>
      <c r="AG434" s="485"/>
      <c r="AH434" s="485"/>
      <c r="AI434" s="404"/>
    </row>
    <row r="435" spans="1:35" ht="12.75" thickBot="1">
      <c r="A435" s="415"/>
      <c r="B435" s="415"/>
      <c r="C435" s="486" t="s">
        <v>34</v>
      </c>
      <c r="D435" s="487">
        <f>SUMIF(FS!$AS$9:$AS$39,개요!$B$133&amp;RIGHT(NAV!C435,4),FS!$AV$9:$AV$39)</f>
        <v>0</v>
      </c>
      <c r="E435" s="487">
        <f>D435</f>
        <v>0</v>
      </c>
      <c r="J435" s="476"/>
      <c r="K435" s="472"/>
      <c r="L435" s="473" t="str">
        <f>IF($J435="","SPC 없음",VLOOKUP($J435&amp;"SPC명",개요!$A$3:$E$1932,3,0))</f>
        <v>SPC 없음</v>
      </c>
      <c r="M435" s="474" t="str">
        <f>IF($J435="","SPC 없음",VLOOKUP($J435&amp;"설정일",개요!$A$3:$E$1932,3,0))</f>
        <v>SPC 없음</v>
      </c>
      <c r="N435" s="475" t="str">
        <f t="shared" si="117"/>
        <v>SPC 없음</v>
      </c>
      <c r="O435" s="471"/>
      <c r="P435" s="476"/>
      <c r="Q435" s="477"/>
      <c r="R435" s="478"/>
      <c r="S435" s="479" t="str">
        <f t="shared" si="118"/>
        <v>SPC 없음</v>
      </c>
      <c r="T435" s="471"/>
      <c r="U435" s="471" t="s">
        <v>94</v>
      </c>
      <c r="V435" s="480">
        <f>IF(U435="한국 원화(KRW)",1,IF(OR(U435=환율!$A$6,U435=환율!$A$7),VLOOKUP(NAV!U435,환율!$A$6:$B$7,2,),IF(RIGHT(U435,5)="(100)",(VLOOKUP(NAV!U435,환율!$A$11:$B$65,2,))/100,VLOOKUP(NAV!U435,환율!$A$11:$B$65,2,))))</f>
        <v>1</v>
      </c>
      <c r="W435" s="481"/>
      <c r="X435" s="482">
        <f t="shared" si="119"/>
        <v>0</v>
      </c>
      <c r="Y435" s="481"/>
      <c r="Z435" s="481"/>
      <c r="AA435" s="483">
        <f t="shared" si="120"/>
        <v>0</v>
      </c>
      <c r="AE435" s="484" t="str">
        <f t="shared" si="121"/>
        <v>SPC 없음</v>
      </c>
      <c r="AF435" s="484" t="str">
        <f t="shared" si="122"/>
        <v>SPC 없음</v>
      </c>
      <c r="AG435" s="485"/>
      <c r="AH435" s="485"/>
      <c r="AI435" s="404"/>
    </row>
    <row r="436" spans="1:35" ht="12.75" thickBot="1">
      <c r="A436" s="489" t="s">
        <v>567</v>
      </c>
      <c r="B436" s="490" t="b">
        <f>SUM(W433:W438,W441:W451)=D436</f>
        <v>1</v>
      </c>
      <c r="C436" s="468" t="s">
        <v>568</v>
      </c>
      <c r="D436" s="469">
        <f>SUMIF(FS!$AS$9:$AS$39,개요!$B$133&amp;RIGHT(NAV!C436,4),FS!$AV$9:$AV$39)</f>
        <v>0</v>
      </c>
      <c r="E436" s="469">
        <f>SUM(S433:S438)+SUM(S441:S451)</f>
        <v>0</v>
      </c>
      <c r="J436" s="476"/>
      <c r="K436" s="472"/>
      <c r="L436" s="473" t="str">
        <f>IF($J436="","SPC 없음",VLOOKUP($J436&amp;"SPC명",개요!$A$3:$E$1932,3,0))</f>
        <v>SPC 없음</v>
      </c>
      <c r="M436" s="474" t="str">
        <f>IF($J436="","SPC 없음",VLOOKUP($J436&amp;"설정일",개요!$A$3:$E$1932,3,0))</f>
        <v>SPC 없음</v>
      </c>
      <c r="N436" s="475" t="str">
        <f t="shared" si="117"/>
        <v>SPC 없음</v>
      </c>
      <c r="O436" s="471"/>
      <c r="P436" s="476"/>
      <c r="Q436" s="477"/>
      <c r="R436" s="478"/>
      <c r="S436" s="479" t="str">
        <f t="shared" si="118"/>
        <v>SPC 없음</v>
      </c>
      <c r="T436" s="471"/>
      <c r="U436" s="471" t="s">
        <v>94</v>
      </c>
      <c r="V436" s="480">
        <f>IF(U436="한국 원화(KRW)",1,IF(OR(U436=환율!$A$6,U436=환율!$A$7),VLOOKUP(NAV!U436,환율!$A$6:$B$7,2,),IF(RIGHT(U436,5)="(100)",(VLOOKUP(NAV!U436,환율!$A$11:$B$65,2,))/100,VLOOKUP(NAV!U436,환율!$A$11:$B$65,2,))))</f>
        <v>1</v>
      </c>
      <c r="W436" s="481"/>
      <c r="X436" s="482">
        <f t="shared" si="119"/>
        <v>0</v>
      </c>
      <c r="Y436" s="481"/>
      <c r="Z436" s="481"/>
      <c r="AA436" s="483">
        <f t="shared" si="120"/>
        <v>0</v>
      </c>
      <c r="AE436" s="484" t="str">
        <f t="shared" si="121"/>
        <v>SPC 없음</v>
      </c>
      <c r="AF436" s="484" t="str">
        <f t="shared" si="122"/>
        <v>SPC 없음</v>
      </c>
      <c r="AG436" s="485"/>
      <c r="AH436" s="485"/>
      <c r="AI436" s="404"/>
    </row>
    <row r="437" spans="1:35" ht="12.75" thickBot="1">
      <c r="A437" s="492" t="s">
        <v>391</v>
      </c>
      <c r="B437" s="415" t="b">
        <f>D434+D435+D436=D437</f>
        <v>1</v>
      </c>
      <c r="C437" s="493" t="s">
        <v>517</v>
      </c>
      <c r="D437" s="494">
        <f>D433+D436</f>
        <v>0</v>
      </c>
      <c r="E437" s="494">
        <f>E433+E436</f>
        <v>0</v>
      </c>
      <c r="J437" s="476"/>
      <c r="K437" s="472"/>
      <c r="L437" s="473" t="str">
        <f>IF($J437="","SPC 없음",VLOOKUP($J437&amp;"SPC명",개요!$A$3:$E$1932,3,0))</f>
        <v>SPC 없음</v>
      </c>
      <c r="M437" s="474" t="str">
        <f>IF($J437="","SPC 없음",VLOOKUP($J437&amp;"설정일",개요!$A$3:$E$1932,3,0))</f>
        <v>SPC 없음</v>
      </c>
      <c r="N437" s="475" t="str">
        <f t="shared" si="117"/>
        <v>SPC 없음</v>
      </c>
      <c r="O437" s="471"/>
      <c r="P437" s="476"/>
      <c r="Q437" s="477"/>
      <c r="R437" s="478"/>
      <c r="S437" s="479" t="str">
        <f t="shared" si="118"/>
        <v>SPC 없음</v>
      </c>
      <c r="T437" s="471"/>
      <c r="U437" s="471" t="s">
        <v>94</v>
      </c>
      <c r="V437" s="480">
        <f>IF(U437="한국 원화(KRW)",1,IF(OR(U437=환율!$A$6,U437=환율!$A$7),VLOOKUP(NAV!U437,환율!$A$6:$B$7,2,),IF(RIGHT(U437,5)="(100)",(VLOOKUP(NAV!U437,환율!$A$11:$B$65,2,))/100,VLOOKUP(NAV!U437,환율!$A$11:$B$65,2,))))</f>
        <v>1</v>
      </c>
      <c r="W437" s="481"/>
      <c r="X437" s="482">
        <f t="shared" si="119"/>
        <v>0</v>
      </c>
      <c r="Y437" s="481"/>
      <c r="Z437" s="481"/>
      <c r="AA437" s="483">
        <f t="shared" si="120"/>
        <v>0</v>
      </c>
      <c r="AE437" s="484" t="str">
        <f t="shared" si="121"/>
        <v>SPC 없음</v>
      </c>
      <c r="AF437" s="484" t="str">
        <f t="shared" si="122"/>
        <v>SPC 없음</v>
      </c>
      <c r="AG437" s="485"/>
      <c r="AH437" s="485"/>
      <c r="AI437" s="404"/>
    </row>
    <row r="438" spans="1:35" ht="12.75" thickBot="1">
      <c r="A438" s="492"/>
      <c r="B438" s="496"/>
      <c r="C438" s="468" t="s">
        <v>18</v>
      </c>
      <c r="D438" s="469">
        <f>SUM(D439:D442)</f>
        <v>0</v>
      </c>
      <c r="E438" s="469">
        <f>SUM(E439:E442)</f>
        <v>0</v>
      </c>
      <c r="J438" s="476"/>
      <c r="K438" s="472"/>
      <c r="L438" s="473" t="str">
        <f>IF($J438="","SPC 없음",VLOOKUP($J438&amp;"SPC명",개요!$A$3:$E$1932,3,0))</f>
        <v>SPC 없음</v>
      </c>
      <c r="M438" s="474" t="str">
        <f>IF($J438="","SPC 없음",VLOOKUP($J438&amp;"설정일",개요!$A$3:$E$1932,3,0))</f>
        <v>SPC 없음</v>
      </c>
      <c r="N438" s="475" t="str">
        <f t="shared" si="117"/>
        <v>SPC 없음</v>
      </c>
      <c r="O438" s="471"/>
      <c r="P438" s="476"/>
      <c r="Q438" s="477"/>
      <c r="R438" s="478"/>
      <c r="S438" s="479" t="str">
        <f t="shared" si="118"/>
        <v>SPC 없음</v>
      </c>
      <c r="T438" s="471"/>
      <c r="U438" s="471" t="s">
        <v>94</v>
      </c>
      <c r="V438" s="480">
        <f>IF(U438="한국 원화(KRW)",1,IF(OR(U438=환율!$A$6,U438=환율!$A$7),VLOOKUP(NAV!U438,환율!$A$6:$B$7,2,),IF(RIGHT(U438,5)="(100)",(VLOOKUP(NAV!U438,환율!$A$11:$B$65,2,))/100,VLOOKUP(NAV!U438,환율!$A$11:$B$65,2,))))</f>
        <v>1</v>
      </c>
      <c r="W438" s="481"/>
      <c r="X438" s="482">
        <f t="shared" si="119"/>
        <v>0</v>
      </c>
      <c r="Y438" s="481"/>
      <c r="Z438" s="481"/>
      <c r="AA438" s="483">
        <f t="shared" si="120"/>
        <v>0</v>
      </c>
      <c r="AE438" s="484" t="str">
        <f t="shared" si="121"/>
        <v>SPC 없음</v>
      </c>
      <c r="AF438" s="484" t="str">
        <f t="shared" si="122"/>
        <v>SPC 없음</v>
      </c>
      <c r="AG438" s="485"/>
      <c r="AH438" s="485"/>
      <c r="AI438" s="404"/>
    </row>
    <row r="439" spans="1:35">
      <c r="A439" s="492"/>
      <c r="B439" s="496"/>
      <c r="C439" s="486" t="s">
        <v>392</v>
      </c>
      <c r="D439" s="487">
        <f>SUMIF(FS!$AS$9:$AS$39,개요!$B$133&amp;RIGHT(NAV!C439,5),FS!$AV$9:$AV$39)</f>
        <v>0</v>
      </c>
      <c r="E439" s="487">
        <f>D439</f>
        <v>0</v>
      </c>
      <c r="J439" s="428" t="s">
        <v>275</v>
      </c>
      <c r="K439" s="573"/>
      <c r="L439" s="305"/>
      <c r="M439" s="415"/>
      <c r="N439" s="415"/>
      <c r="O439" s="415"/>
      <c r="P439" s="415"/>
      <c r="Q439" s="422"/>
      <c r="R439" s="415"/>
      <c r="S439" s="415"/>
      <c r="T439" s="415"/>
      <c r="U439" s="415"/>
      <c r="W439" s="517" t="b">
        <f>SUM(W441:W451)+SUM(W433:W438)=D436</f>
        <v>1</v>
      </c>
      <c r="X439" s="415"/>
      <c r="Y439" s="422"/>
      <c r="Z439" s="422"/>
      <c r="AA439" s="459" t="str">
        <f>IF(OR(MAX(AA433:AA438,AA441:AA451)&gt;0.2,MIN(AA433:AA438,AA441:AA451)&lt;-0.2),"특이사항 확인","특이사항 없음")</f>
        <v>특이사항 없음</v>
      </c>
      <c r="AB439" s="415"/>
      <c r="AF439" s="415"/>
      <c r="AG439" s="415"/>
      <c r="AI439" s="404"/>
    </row>
    <row r="440" spans="1:35" ht="12.75" thickBot="1">
      <c r="A440" s="492"/>
      <c r="B440" s="496"/>
      <c r="C440" s="486" t="s">
        <v>393</v>
      </c>
      <c r="D440" s="487">
        <f>SUMIF(FS!$AS$9:$AS$39,개요!$B$133&amp;RIGHT(NAV!C440,3),FS!$AV$9:$AV$39)</f>
        <v>0</v>
      </c>
      <c r="E440" s="487">
        <f t="shared" ref="E440:E441" si="123">D440</f>
        <v>0</v>
      </c>
      <c r="I440" s="518">
        <f>COUNTA(J441:J451)</f>
        <v>0</v>
      </c>
      <c r="J440" s="548" t="s">
        <v>394</v>
      </c>
      <c r="K440" s="548" t="s">
        <v>0</v>
      </c>
      <c r="L440" s="548" t="s">
        <v>435</v>
      </c>
      <c r="M440" s="548" t="s">
        <v>396</v>
      </c>
      <c r="N440" s="548" t="s">
        <v>397</v>
      </c>
      <c r="O440" s="548" t="s">
        <v>398</v>
      </c>
      <c r="P440" s="548" t="s">
        <v>380</v>
      </c>
      <c r="Q440" s="519" t="s">
        <v>14</v>
      </c>
      <c r="R440" s="466" t="s">
        <v>299</v>
      </c>
      <c r="S440" s="466" t="s">
        <v>3525</v>
      </c>
      <c r="T440" s="549" t="s">
        <v>12</v>
      </c>
      <c r="U440" s="548" t="s">
        <v>383</v>
      </c>
      <c r="V440" s="548" t="s">
        <v>400</v>
      </c>
      <c r="W440" s="550" t="s">
        <v>10</v>
      </c>
      <c r="X440" s="549" t="s">
        <v>401</v>
      </c>
      <c r="Y440" s="550" t="s">
        <v>300</v>
      </c>
      <c r="Z440" s="550" t="s">
        <v>3523</v>
      </c>
      <c r="AA440" s="548" t="s">
        <v>13</v>
      </c>
      <c r="AB440" s="548" t="s">
        <v>569</v>
      </c>
      <c r="AC440" s="548" t="s">
        <v>473</v>
      </c>
      <c r="AE440" s="467" t="s">
        <v>3627</v>
      </c>
      <c r="AF440" s="467" t="s">
        <v>3628</v>
      </c>
      <c r="AG440" s="467" t="s">
        <v>3629</v>
      </c>
      <c r="AH440" s="467" t="s">
        <v>3630</v>
      </c>
      <c r="AI440" s="404"/>
    </row>
    <row r="441" spans="1:35" ht="12.75" thickBot="1">
      <c r="A441" s="492"/>
      <c r="B441" s="496"/>
      <c r="C441" s="486" t="s">
        <v>570</v>
      </c>
      <c r="D441" s="487">
        <f>SUMIF(FS!$AS$9:$AS$39,개요!$B$133&amp;RIGHT(NAV!C441,6),FS!$AV$9:$AV$39)</f>
        <v>0</v>
      </c>
      <c r="E441" s="487">
        <f t="shared" si="123"/>
        <v>0</v>
      </c>
      <c r="J441" s="551"/>
      <c r="K441" s="552"/>
      <c r="L441" s="551"/>
      <c r="M441" s="553"/>
      <c r="N441" s="553"/>
      <c r="O441" s="551"/>
      <c r="P441" s="553"/>
      <c r="Q441" s="524"/>
      <c r="R441" s="478">
        <f>IFERROR(INDEX(기초자산!M$6:M$408,MATCH(K441&amp;N441&amp;O441,기초자산!$A$6:$A$408,0),0),0)</f>
        <v>0</v>
      </c>
      <c r="S441" s="479">
        <f t="shared" ref="S441:S451" si="124">IFERROR(IF(T441="취득원가 준용",Y441,IF(T441="장부가액 준용",W441,IF(P441="주당",R441*Q441*V441,IF(RIGHT(U441,5)="(100)",Y441/1000*R441*V441,Y441/10000*R441*V441)))),0)</f>
        <v>0</v>
      </c>
      <c r="T441" s="553"/>
      <c r="U441" s="471" t="s">
        <v>94</v>
      </c>
      <c r="V441" s="480">
        <f>IF(U441="한국 원화(KRW)",1,IF(OR(U441=환율!$A$6,U441=환율!$A$7),VLOOKUP(NAV!U441,환율!$A$6:$B$7,2,),IF(RIGHT(U441,5)="(100)",(VLOOKUP(NAV!U441,환율!$A$11:$B$65,2,))/100,VLOOKUP(NAV!U441,환율!$A$11:$B$65,2,))))</f>
        <v>1</v>
      </c>
      <c r="W441" s="481"/>
      <c r="X441" s="482">
        <f t="shared" ref="X441:X451" si="125">IFERROR(IF(P441="만원당",10000,Y441/Q441),0)</f>
        <v>0</v>
      </c>
      <c r="Y441" s="481"/>
      <c r="Z441" s="481"/>
      <c r="AA441" s="483">
        <f t="shared" ref="AA441:AA451" si="126">IFERROR(IF(Z441="",S441/W441-1,S441/Z441-1),0)</f>
        <v>0</v>
      </c>
      <c r="AB441" s="554"/>
      <c r="AC441" s="526" t="str">
        <f t="shared" ref="AC441:AC451" si="127">IF(($C$7-AB441)/365&gt;2,"2년이상","2년미만")</f>
        <v>2년이상</v>
      </c>
      <c r="AD441" s="520" t="str">
        <f t="shared" ref="AD441:AD451" si="128">IF(OR(AA441&gt;20%,AA441&lt;-20%),"(1) Note 기재","")</f>
        <v/>
      </c>
      <c r="AE441" s="527">
        <f>IF(OR(T441="MTP",T441="과거거래 이용법",T441="취득원가 준용",T441="장부가액 준용",T441="상장종가 적용"),S441,IF(P441="주당",AG441*Q441*V441,Y441/10000*AG441*V441))</f>
        <v>0</v>
      </c>
      <c r="AF441" s="527">
        <f>IF(OR(T441="MTP",T441="과거거래 이용법",T441="취득원가 준용",T441="장부가액 준용",T441="상장종가 적용"),S441,IF(P441="주당",AH441*Q441*V441,Y441/10000*AH441*V441))</f>
        <v>0</v>
      </c>
      <c r="AG441" s="485"/>
      <c r="AH441" s="485"/>
      <c r="AI441" s="404"/>
    </row>
    <row r="442" spans="1:35" ht="12.75" thickBot="1">
      <c r="A442" s="492"/>
      <c r="B442" s="496"/>
      <c r="C442" s="486" t="s">
        <v>571</v>
      </c>
      <c r="D442" s="487">
        <f>SUMIF(FS!$AS$9:$AS$39,개요!$B$133&amp;RIGHT(NAV!C442,7),FS!$AV$9:$AV$39)</f>
        <v>0</v>
      </c>
      <c r="E442" s="487">
        <f>D442</f>
        <v>0</v>
      </c>
      <c r="J442" s="551"/>
      <c r="K442" s="552"/>
      <c r="L442" s="551"/>
      <c r="M442" s="553"/>
      <c r="N442" s="553"/>
      <c r="O442" s="551"/>
      <c r="P442" s="553"/>
      <c r="Q442" s="524"/>
      <c r="R442" s="478">
        <f>IFERROR(INDEX(기초자산!M$6:M$408,MATCH(K442&amp;N442&amp;O442,기초자산!$A$6:$A$408,0),0),0)</f>
        <v>0</v>
      </c>
      <c r="S442" s="479">
        <f t="shared" si="124"/>
        <v>0</v>
      </c>
      <c r="T442" s="553"/>
      <c r="U442" s="471" t="s">
        <v>94</v>
      </c>
      <c r="V442" s="480">
        <f>IF(U442="한국 원화(KRW)",1,IF(OR(U442=환율!$A$6,U442=환율!$A$7),VLOOKUP(NAV!U442,환율!$A$6:$B$7,2,),IF(RIGHT(U442,5)="(100)",(VLOOKUP(NAV!U442,환율!$A$11:$B$65,2,))/100,VLOOKUP(NAV!U442,환율!$A$11:$B$65,2,))))</f>
        <v>1</v>
      </c>
      <c r="W442" s="481"/>
      <c r="X442" s="482">
        <f t="shared" si="125"/>
        <v>0</v>
      </c>
      <c r="Y442" s="481"/>
      <c r="Z442" s="481"/>
      <c r="AA442" s="483">
        <f t="shared" si="126"/>
        <v>0</v>
      </c>
      <c r="AB442" s="554"/>
      <c r="AC442" s="526" t="str">
        <f t="shared" si="127"/>
        <v>2년이상</v>
      </c>
      <c r="AD442" s="520" t="str">
        <f t="shared" si="128"/>
        <v/>
      </c>
      <c r="AE442" s="527">
        <f t="shared" ref="AE442:AE451" si="129">IF(OR(T442="MTP",T442="과거거래 이용법",T442="취득원가 준용",T442="장부가액 준용",T442="상장종가 적용"),S442,IF(P442="주당",AG442*Q442*V442,Y442/10000*AG442*V442))</f>
        <v>0</v>
      </c>
      <c r="AF442" s="527">
        <f t="shared" ref="AF442:AF451" si="130">IF(OR(T442="MTP",T442="과거거래 이용법",T442="취득원가 준용",T442="장부가액 준용",T442="상장종가 적용"),S442,IF(P442="주당",AH442*Q442*V442,Y442/10000*AH442*V442))</f>
        <v>0</v>
      </c>
      <c r="AG442" s="485"/>
      <c r="AH442" s="485"/>
      <c r="AI442" s="404"/>
    </row>
    <row r="443" spans="1:35" ht="12.75" thickBot="1">
      <c r="A443" s="492"/>
      <c r="B443" s="496"/>
      <c r="C443" s="468" t="s">
        <v>572</v>
      </c>
      <c r="D443" s="469">
        <f>SUM(D444:D445)</f>
        <v>0</v>
      </c>
      <c r="E443" s="469">
        <f>SUM(E444:E445)</f>
        <v>0</v>
      </c>
      <c r="J443" s="551"/>
      <c r="K443" s="552"/>
      <c r="L443" s="551"/>
      <c r="M443" s="553"/>
      <c r="N443" s="553"/>
      <c r="O443" s="551"/>
      <c r="P443" s="553"/>
      <c r="Q443" s="524"/>
      <c r="R443" s="478">
        <f>IFERROR(INDEX(기초자산!M$6:M$408,MATCH(K443&amp;N443&amp;O443,기초자산!$A$6:$A$408,0),0),0)</f>
        <v>0</v>
      </c>
      <c r="S443" s="479">
        <f t="shared" si="124"/>
        <v>0</v>
      </c>
      <c r="T443" s="553"/>
      <c r="U443" s="471" t="s">
        <v>94</v>
      </c>
      <c r="V443" s="480">
        <f>IF(U443="한국 원화(KRW)",1,IF(OR(U443=환율!$A$6,U443=환율!$A$7),VLOOKUP(NAV!U443,환율!$A$6:$B$7,2,),IF(RIGHT(U443,5)="(100)",(VLOOKUP(NAV!U443,환율!$A$11:$B$65,2,))/100,VLOOKUP(NAV!U443,환율!$A$11:$B$65,2,))))</f>
        <v>1</v>
      </c>
      <c r="W443" s="481"/>
      <c r="X443" s="482">
        <f t="shared" si="125"/>
        <v>0</v>
      </c>
      <c r="Y443" s="481"/>
      <c r="Z443" s="481"/>
      <c r="AA443" s="483">
        <f t="shared" si="126"/>
        <v>0</v>
      </c>
      <c r="AB443" s="554"/>
      <c r="AC443" s="526" t="str">
        <f t="shared" si="127"/>
        <v>2년이상</v>
      </c>
      <c r="AD443" s="520" t="str">
        <f t="shared" si="128"/>
        <v/>
      </c>
      <c r="AE443" s="527">
        <f t="shared" si="129"/>
        <v>0</v>
      </c>
      <c r="AF443" s="527">
        <f t="shared" si="130"/>
        <v>0</v>
      </c>
      <c r="AG443" s="485"/>
      <c r="AH443" s="485"/>
      <c r="AI443" s="404"/>
    </row>
    <row r="444" spans="1:35" ht="12.75" thickBot="1">
      <c r="A444" s="492"/>
      <c r="B444" s="496"/>
      <c r="C444" s="486" t="s">
        <v>406</v>
      </c>
      <c r="D444" s="487">
        <f>SUMIF(FS!$AS$9:$AS$39,개요!$B$133&amp;RIGHT(NAV!C444,3),FS!$AV$9:$AV$39)</f>
        <v>0</v>
      </c>
      <c r="E444" s="487">
        <f>D444</f>
        <v>0</v>
      </c>
      <c r="J444" s="551"/>
      <c r="K444" s="552"/>
      <c r="L444" s="551"/>
      <c r="M444" s="553"/>
      <c r="N444" s="553"/>
      <c r="O444" s="551"/>
      <c r="P444" s="553"/>
      <c r="Q444" s="524"/>
      <c r="R444" s="478">
        <f>IFERROR(INDEX(기초자산!M$6:M$408,MATCH(K444&amp;N444&amp;O444,기초자산!$A$6:$A$408,0),0),0)</f>
        <v>0</v>
      </c>
      <c r="S444" s="479">
        <f t="shared" si="124"/>
        <v>0</v>
      </c>
      <c r="T444" s="553"/>
      <c r="U444" s="471" t="s">
        <v>94</v>
      </c>
      <c r="V444" s="480">
        <f>IF(U444="한국 원화(KRW)",1,IF(OR(U444=환율!$A$6,U444=환율!$A$7),VLOOKUP(NAV!U444,환율!$A$6:$B$7,2,),IF(RIGHT(U444,5)="(100)",(VLOOKUP(NAV!U444,환율!$A$11:$B$65,2,))/100,VLOOKUP(NAV!U444,환율!$A$11:$B$65,2,))))</f>
        <v>1</v>
      </c>
      <c r="W444" s="481"/>
      <c r="X444" s="482">
        <f t="shared" si="125"/>
        <v>0</v>
      </c>
      <c r="Y444" s="481"/>
      <c r="Z444" s="481"/>
      <c r="AA444" s="483">
        <f t="shared" si="126"/>
        <v>0</v>
      </c>
      <c r="AB444" s="554"/>
      <c r="AC444" s="526" t="str">
        <f t="shared" si="127"/>
        <v>2년이상</v>
      </c>
      <c r="AD444" s="520" t="str">
        <f t="shared" si="128"/>
        <v/>
      </c>
      <c r="AE444" s="527">
        <f t="shared" si="129"/>
        <v>0</v>
      </c>
      <c r="AF444" s="527">
        <f t="shared" si="130"/>
        <v>0</v>
      </c>
      <c r="AG444" s="485"/>
      <c r="AH444" s="485"/>
      <c r="AI444" s="404"/>
    </row>
    <row r="445" spans="1:35" ht="12.75" thickBot="1">
      <c r="A445" s="492"/>
      <c r="B445" s="496"/>
      <c r="C445" s="486" t="s">
        <v>407</v>
      </c>
      <c r="D445" s="487">
        <f>SUMIF(FS!$AS$9:$AS$39,개요!$B$133&amp;RIGHT(NAV!C445,4),FS!$AV$9:$AV$39)</f>
        <v>0</v>
      </c>
      <c r="E445" s="487">
        <f>D445</f>
        <v>0</v>
      </c>
      <c r="J445" s="551"/>
      <c r="K445" s="552"/>
      <c r="L445" s="551"/>
      <c r="M445" s="553"/>
      <c r="N445" s="553"/>
      <c r="O445" s="551"/>
      <c r="P445" s="553"/>
      <c r="Q445" s="524"/>
      <c r="R445" s="478">
        <f>IFERROR(INDEX(기초자산!M$6:M$408,MATCH(K445&amp;N445&amp;O445,기초자산!$A$6:$A$408,0),0),0)</f>
        <v>0</v>
      </c>
      <c r="S445" s="479">
        <f t="shared" si="124"/>
        <v>0</v>
      </c>
      <c r="T445" s="553"/>
      <c r="U445" s="471" t="s">
        <v>94</v>
      </c>
      <c r="V445" s="480">
        <f>IF(U445="한국 원화(KRW)",1,IF(OR(U445=환율!$A$6,U445=환율!$A$7),VLOOKUP(NAV!U445,환율!$A$6:$B$7,2,),IF(RIGHT(U445,5)="(100)",(VLOOKUP(NAV!U445,환율!$A$11:$B$65,2,))/100,VLOOKUP(NAV!U445,환율!$A$11:$B$65,2,))))</f>
        <v>1</v>
      </c>
      <c r="W445" s="481"/>
      <c r="X445" s="482">
        <f t="shared" si="125"/>
        <v>0</v>
      </c>
      <c r="Y445" s="481"/>
      <c r="Z445" s="481"/>
      <c r="AA445" s="483">
        <f t="shared" si="126"/>
        <v>0</v>
      </c>
      <c r="AB445" s="554"/>
      <c r="AC445" s="526" t="str">
        <f t="shared" si="127"/>
        <v>2년이상</v>
      </c>
      <c r="AD445" s="520" t="str">
        <f t="shared" si="128"/>
        <v/>
      </c>
      <c r="AE445" s="527">
        <f t="shared" si="129"/>
        <v>0</v>
      </c>
      <c r="AF445" s="527">
        <f t="shared" si="130"/>
        <v>0</v>
      </c>
      <c r="AG445" s="485"/>
      <c r="AH445" s="485"/>
      <c r="AI445" s="404"/>
    </row>
    <row r="446" spans="1:35" ht="12.75" thickBot="1">
      <c r="A446" s="489" t="s">
        <v>408</v>
      </c>
      <c r="B446" s="498" t="b">
        <f>D439+D440+D441+D442+D444+D445=D446</f>
        <v>1</v>
      </c>
      <c r="C446" s="493" t="s">
        <v>518</v>
      </c>
      <c r="D446" s="494">
        <f>D438+D443</f>
        <v>0</v>
      </c>
      <c r="E446" s="494">
        <f>E438+E443</f>
        <v>0</v>
      </c>
      <c r="J446" s="551"/>
      <c r="K446" s="552"/>
      <c r="L446" s="551"/>
      <c r="M446" s="553"/>
      <c r="N446" s="553"/>
      <c r="O446" s="551"/>
      <c r="P446" s="553"/>
      <c r="Q446" s="524"/>
      <c r="R446" s="478">
        <f>IFERROR(INDEX(기초자산!M$6:M$408,MATCH(K446&amp;N446&amp;O446,기초자산!$A$6:$A$408,0),0),0)</f>
        <v>0</v>
      </c>
      <c r="S446" s="479">
        <f t="shared" si="124"/>
        <v>0</v>
      </c>
      <c r="T446" s="553"/>
      <c r="U446" s="471" t="s">
        <v>94</v>
      </c>
      <c r="V446" s="480">
        <f>IF(U446="한국 원화(KRW)",1,IF(OR(U446=환율!$A$6,U446=환율!$A$7),VLOOKUP(NAV!U446,환율!$A$6:$B$7,2,),IF(RIGHT(U446,5)="(100)",(VLOOKUP(NAV!U446,환율!$A$11:$B$65,2,))/100,VLOOKUP(NAV!U446,환율!$A$11:$B$65,2,))))</f>
        <v>1</v>
      </c>
      <c r="W446" s="481"/>
      <c r="X446" s="482">
        <f t="shared" si="125"/>
        <v>0</v>
      </c>
      <c r="Y446" s="481"/>
      <c r="Z446" s="481"/>
      <c r="AA446" s="483">
        <f t="shared" si="126"/>
        <v>0</v>
      </c>
      <c r="AB446" s="554"/>
      <c r="AC446" s="526" t="str">
        <f t="shared" si="127"/>
        <v>2년이상</v>
      </c>
      <c r="AD446" s="520" t="str">
        <f t="shared" si="128"/>
        <v/>
      </c>
      <c r="AE446" s="527">
        <f t="shared" si="129"/>
        <v>0</v>
      </c>
      <c r="AF446" s="527">
        <f t="shared" si="130"/>
        <v>0</v>
      </c>
      <c r="AG446" s="485"/>
      <c r="AH446" s="485"/>
      <c r="AI446" s="404"/>
    </row>
    <row r="447" spans="1:35" ht="12.75" thickBot="1">
      <c r="A447" s="492"/>
      <c r="B447" s="555" t="str">
        <f>$B$427&amp;C447</f>
        <v>SPC없음자본금</v>
      </c>
      <c r="C447" s="486" t="s">
        <v>573</v>
      </c>
      <c r="D447" s="487">
        <f>SUMIF(FS!$AS$9:$AS$39,개요!$B$133&amp;RIGHT(NAV!C447,3),FS!$AV$9:$AV$39)</f>
        <v>0</v>
      </c>
      <c r="E447" s="487">
        <f>D447</f>
        <v>0</v>
      </c>
      <c r="J447" s="551"/>
      <c r="K447" s="552"/>
      <c r="L447" s="551"/>
      <c r="M447" s="553"/>
      <c r="N447" s="553"/>
      <c r="O447" s="551"/>
      <c r="P447" s="553"/>
      <c r="Q447" s="524"/>
      <c r="R447" s="478">
        <f>IFERROR(INDEX(기초자산!M$6:M$408,MATCH(K447&amp;N447&amp;O447,기초자산!$A$6:$A$408,0),0),0)</f>
        <v>0</v>
      </c>
      <c r="S447" s="479">
        <f t="shared" si="124"/>
        <v>0</v>
      </c>
      <c r="T447" s="553"/>
      <c r="U447" s="471" t="s">
        <v>94</v>
      </c>
      <c r="V447" s="480">
        <f>IF(U447="한국 원화(KRW)",1,IF(OR(U447=환율!$A$6,U447=환율!$A$7),VLOOKUP(NAV!U447,환율!$A$6:$B$7,2,),IF(RIGHT(U447,5)="(100)",(VLOOKUP(NAV!U447,환율!$A$11:$B$65,2,))/100,VLOOKUP(NAV!U447,환율!$A$11:$B$65,2,))))</f>
        <v>1</v>
      </c>
      <c r="W447" s="481"/>
      <c r="X447" s="482">
        <f t="shared" si="125"/>
        <v>0</v>
      </c>
      <c r="Y447" s="481"/>
      <c r="Z447" s="481"/>
      <c r="AA447" s="483">
        <f t="shared" si="126"/>
        <v>0</v>
      </c>
      <c r="AB447" s="554"/>
      <c r="AC447" s="526" t="str">
        <f t="shared" si="127"/>
        <v>2년이상</v>
      </c>
      <c r="AD447" s="520" t="str">
        <f t="shared" si="128"/>
        <v/>
      </c>
      <c r="AE447" s="527">
        <f t="shared" si="129"/>
        <v>0</v>
      </c>
      <c r="AF447" s="527">
        <f t="shared" si="130"/>
        <v>0</v>
      </c>
      <c r="AG447" s="485"/>
      <c r="AH447" s="485"/>
      <c r="AI447" s="404"/>
    </row>
    <row r="448" spans="1:35" ht="12.75" thickBot="1">
      <c r="C448" s="486" t="s">
        <v>409</v>
      </c>
      <c r="D448" s="487">
        <f>SUMIF(FS!$AS$9:$AS$39,개요!$B$133&amp;RIGHT(NAV!C448,10),FS!$AV$9:$AV$39)</f>
        <v>0</v>
      </c>
      <c r="E448" s="487">
        <f>D448</f>
        <v>0</v>
      </c>
      <c r="J448" s="551"/>
      <c r="K448" s="552"/>
      <c r="L448" s="551"/>
      <c r="M448" s="553"/>
      <c r="N448" s="553"/>
      <c r="O448" s="551"/>
      <c r="P448" s="553"/>
      <c r="Q448" s="524"/>
      <c r="R448" s="478">
        <f>IFERROR(INDEX(기초자산!M$6:M$408,MATCH(K448&amp;N448&amp;O448,기초자산!$A$6:$A$408,0),0),0)</f>
        <v>0</v>
      </c>
      <c r="S448" s="479">
        <f t="shared" si="124"/>
        <v>0</v>
      </c>
      <c r="T448" s="553"/>
      <c r="U448" s="471" t="s">
        <v>94</v>
      </c>
      <c r="V448" s="480">
        <f>IF(U448="한국 원화(KRW)",1,IF(OR(U448=환율!$A$6,U448=환율!$A$7),VLOOKUP(NAV!U448,환율!$A$6:$B$7,2,),IF(RIGHT(U448,5)="(100)",(VLOOKUP(NAV!U448,환율!$A$11:$B$65,2,))/100,VLOOKUP(NAV!U448,환율!$A$11:$B$65,2,))))</f>
        <v>1</v>
      </c>
      <c r="W448" s="481"/>
      <c r="X448" s="482">
        <f t="shared" si="125"/>
        <v>0</v>
      </c>
      <c r="Y448" s="481"/>
      <c r="Z448" s="481"/>
      <c r="AA448" s="483">
        <f t="shared" si="126"/>
        <v>0</v>
      </c>
      <c r="AB448" s="554"/>
      <c r="AC448" s="526" t="str">
        <f t="shared" si="127"/>
        <v>2년이상</v>
      </c>
      <c r="AD448" s="520" t="str">
        <f t="shared" si="128"/>
        <v/>
      </c>
      <c r="AE448" s="527">
        <f t="shared" si="129"/>
        <v>0</v>
      </c>
      <c r="AF448" s="527">
        <f t="shared" si="130"/>
        <v>0</v>
      </c>
      <c r="AG448" s="485"/>
      <c r="AH448" s="485"/>
      <c r="AI448" s="404"/>
    </row>
    <row r="449" spans="1:35" ht="12.75" thickBot="1">
      <c r="A449" s="489"/>
      <c r="B449" s="415"/>
      <c r="C449" s="486" t="s">
        <v>574</v>
      </c>
      <c r="D449" s="487">
        <f>SUMIF(FS!$AS$9:$AS$39,개요!$B$133&amp;RIGHT(NAV!C449,8),FS!$AV$9:$AV$39)</f>
        <v>0</v>
      </c>
      <c r="E449" s="487">
        <f>D449</f>
        <v>0</v>
      </c>
      <c r="J449" s="551"/>
      <c r="K449" s="552"/>
      <c r="L449" s="551"/>
      <c r="M449" s="553"/>
      <c r="N449" s="553"/>
      <c r="O449" s="551"/>
      <c r="P449" s="553"/>
      <c r="Q449" s="524"/>
      <c r="R449" s="478">
        <f>IFERROR(INDEX(기초자산!M$6:M$408,MATCH(K449&amp;N449&amp;O449,기초자산!$A$6:$A$408,0),0),0)</f>
        <v>0</v>
      </c>
      <c r="S449" s="479">
        <f t="shared" si="124"/>
        <v>0</v>
      </c>
      <c r="T449" s="553"/>
      <c r="U449" s="471" t="s">
        <v>94</v>
      </c>
      <c r="V449" s="480">
        <f>IF(U449="한국 원화(KRW)",1,IF(OR(U449=환율!$A$6,U449=환율!$A$7),VLOOKUP(NAV!U449,환율!$A$6:$B$7,2,),IF(RIGHT(U449,5)="(100)",(VLOOKUP(NAV!U449,환율!$A$11:$B$65,2,))/100,VLOOKUP(NAV!U449,환율!$A$11:$B$65,2,))))</f>
        <v>1</v>
      </c>
      <c r="W449" s="481"/>
      <c r="X449" s="482">
        <f t="shared" si="125"/>
        <v>0</v>
      </c>
      <c r="Y449" s="481"/>
      <c r="Z449" s="481"/>
      <c r="AA449" s="483">
        <f t="shared" si="126"/>
        <v>0</v>
      </c>
      <c r="AB449" s="554"/>
      <c r="AC449" s="526" t="str">
        <f t="shared" si="127"/>
        <v>2년이상</v>
      </c>
      <c r="AD449" s="520" t="str">
        <f t="shared" si="128"/>
        <v/>
      </c>
      <c r="AE449" s="527">
        <f t="shared" si="129"/>
        <v>0</v>
      </c>
      <c r="AF449" s="527">
        <f t="shared" si="130"/>
        <v>0</v>
      </c>
      <c r="AG449" s="485"/>
      <c r="AH449" s="485"/>
      <c r="AI449" s="404"/>
    </row>
    <row r="450" spans="1:35" ht="12.75" thickBot="1">
      <c r="A450" s="489" t="s">
        <v>411</v>
      </c>
      <c r="B450" s="415" t="b">
        <f>D450=SUM(D447:D449)</f>
        <v>1</v>
      </c>
      <c r="C450" s="493" t="s">
        <v>575</v>
      </c>
      <c r="D450" s="494">
        <f>D437-D446</f>
        <v>0</v>
      </c>
      <c r="E450" s="494">
        <f>E437-E446</f>
        <v>0</v>
      </c>
      <c r="J450" s="551"/>
      <c r="K450" s="552"/>
      <c r="L450" s="551"/>
      <c r="M450" s="553"/>
      <c r="N450" s="553"/>
      <c r="O450" s="551"/>
      <c r="P450" s="553"/>
      <c r="Q450" s="524"/>
      <c r="R450" s="478">
        <f>IFERROR(INDEX(기초자산!M$6:M$408,MATCH(K450&amp;N450&amp;O450,기초자산!$A$6:$A$408,0),0),0)</f>
        <v>0</v>
      </c>
      <c r="S450" s="479">
        <f t="shared" si="124"/>
        <v>0</v>
      </c>
      <c r="T450" s="553"/>
      <c r="U450" s="471" t="s">
        <v>94</v>
      </c>
      <c r="V450" s="480">
        <f>IF(U450="한국 원화(KRW)",1,IF(OR(U450=환율!$A$6,U450=환율!$A$7),VLOOKUP(NAV!U450,환율!$A$6:$B$7,2,),IF(RIGHT(U450,5)="(100)",(VLOOKUP(NAV!U450,환율!$A$11:$B$65,2,))/100,VLOOKUP(NAV!U450,환율!$A$11:$B$65,2,))))</f>
        <v>1</v>
      </c>
      <c r="W450" s="481"/>
      <c r="X450" s="482">
        <f t="shared" si="125"/>
        <v>0</v>
      </c>
      <c r="Y450" s="481"/>
      <c r="Z450" s="481"/>
      <c r="AA450" s="483">
        <f t="shared" si="126"/>
        <v>0</v>
      </c>
      <c r="AB450" s="554"/>
      <c r="AC450" s="526" t="str">
        <f t="shared" si="127"/>
        <v>2년이상</v>
      </c>
      <c r="AD450" s="520" t="str">
        <f t="shared" si="128"/>
        <v/>
      </c>
      <c r="AE450" s="527">
        <f t="shared" si="129"/>
        <v>0</v>
      </c>
      <c r="AF450" s="527">
        <f t="shared" si="130"/>
        <v>0</v>
      </c>
      <c r="AG450" s="485"/>
      <c r="AH450" s="485"/>
      <c r="AI450" s="404"/>
    </row>
    <row r="451" spans="1:35" ht="12.75" thickBot="1">
      <c r="A451" s="489"/>
      <c r="B451" s="415"/>
      <c r="C451" s="486" t="s">
        <v>478</v>
      </c>
      <c r="D451" s="487">
        <v>0</v>
      </c>
      <c r="E451" s="499">
        <v>0</v>
      </c>
      <c r="J451" s="551"/>
      <c r="K451" s="552"/>
      <c r="L451" s="551"/>
      <c r="M451" s="553"/>
      <c r="N451" s="553"/>
      <c r="O451" s="551"/>
      <c r="P451" s="553"/>
      <c r="Q451" s="524"/>
      <c r="R451" s="478">
        <f>IFERROR(INDEX(기초자산!M$6:M$408,MATCH(K451&amp;N451&amp;O451,기초자산!$A$6:$A$408,0),0),0)</f>
        <v>0</v>
      </c>
      <c r="S451" s="479">
        <f t="shared" si="124"/>
        <v>0</v>
      </c>
      <c r="T451" s="553"/>
      <c r="U451" s="471" t="s">
        <v>94</v>
      </c>
      <c r="V451" s="480">
        <f>IF(U451="한국 원화(KRW)",1,IF(OR(U451=환율!$A$6,U451=환율!$A$7),VLOOKUP(NAV!U451,환율!$A$6:$B$7,2,),IF(RIGHT(U451,5)="(100)",(VLOOKUP(NAV!U451,환율!$A$11:$B$65,2,))/100,VLOOKUP(NAV!U451,환율!$A$11:$B$65,2,))))</f>
        <v>1</v>
      </c>
      <c r="W451" s="481"/>
      <c r="X451" s="482">
        <f t="shared" si="125"/>
        <v>0</v>
      </c>
      <c r="Y451" s="481"/>
      <c r="Z451" s="481"/>
      <c r="AA451" s="483">
        <f t="shared" si="126"/>
        <v>0</v>
      </c>
      <c r="AB451" s="554"/>
      <c r="AC451" s="526" t="str">
        <f t="shared" si="127"/>
        <v>2년이상</v>
      </c>
      <c r="AD451" s="520" t="str">
        <f t="shared" si="128"/>
        <v/>
      </c>
      <c r="AE451" s="527">
        <f t="shared" si="129"/>
        <v>0</v>
      </c>
      <c r="AF451" s="527">
        <f t="shared" si="130"/>
        <v>0</v>
      </c>
      <c r="AG451" s="485"/>
      <c r="AH451" s="485"/>
      <c r="AI451" s="404"/>
    </row>
    <row r="452" spans="1:35">
      <c r="A452" s="489"/>
      <c r="B452" s="415"/>
      <c r="C452" s="486" t="s">
        <v>414</v>
      </c>
      <c r="D452" s="487">
        <v>0</v>
      </c>
      <c r="E452" s="499">
        <v>0</v>
      </c>
      <c r="J452" s="495"/>
      <c r="K452" s="415"/>
      <c r="L452" s="495"/>
      <c r="M452" s="415"/>
      <c r="N452" s="415"/>
      <c r="O452" s="415"/>
      <c r="P452" s="415"/>
      <c r="Q452" s="422"/>
      <c r="R452" s="415"/>
      <c r="S452" s="415"/>
      <c r="T452" s="415"/>
      <c r="U452" s="415"/>
      <c r="V452" s="415"/>
      <c r="W452" s="422"/>
      <c r="X452" s="415"/>
      <c r="Y452" s="458"/>
      <c r="Z452" s="422"/>
      <c r="AA452" s="556"/>
      <c r="AB452" s="556"/>
      <c r="AC452" s="415"/>
      <c r="AE452" s="415"/>
      <c r="AI452" s="404"/>
    </row>
    <row r="453" spans="1:35">
      <c r="A453" s="489"/>
      <c r="B453" s="415"/>
      <c r="C453" s="493" t="s">
        <v>576</v>
      </c>
      <c r="D453" s="494">
        <f>D450+D451-D452</f>
        <v>0</v>
      </c>
      <c r="E453" s="494">
        <f>IF(E450+E451-E452&gt;0,E450+E451-E452,0)</f>
        <v>0</v>
      </c>
      <c r="J453" s="305"/>
      <c r="K453" s="415"/>
      <c r="L453" s="305"/>
      <c r="M453" s="415"/>
      <c r="N453" s="415"/>
      <c r="O453" s="415"/>
      <c r="S453" s="415"/>
      <c r="T453" s="415"/>
      <c r="U453" s="415"/>
      <c r="V453" s="415"/>
      <c r="Y453" s="458"/>
      <c r="AD453" s="557" t="str">
        <f>B427&amp;"순자산가치"</f>
        <v>SPC없음순자산가치</v>
      </c>
      <c r="AE453" s="529">
        <f>IF(E433+SUM(AE433:AE438)+SUM(AE441:AE451)-E446&gt;0,E433+SUM(AE433:AE438)+SUM(AE441:AE451)-E446,0)</f>
        <v>0</v>
      </c>
      <c r="AF453" s="529">
        <f>IF(E433+SUM(AF433:AF438)+SUM(AF441:AF451)-E446&gt;0,E433+SUM(AF433:AF438)+SUM(AF441:AF451)-E446,0)</f>
        <v>0</v>
      </c>
      <c r="AI453" s="404"/>
    </row>
    <row r="454" spans="1:35">
      <c r="A454" s="489"/>
      <c r="B454" s="558" t="str">
        <f>$B$427&amp;C454</f>
        <v>SPC없음보유지분율(%)</v>
      </c>
      <c r="C454" s="493" t="s">
        <v>494</v>
      </c>
      <c r="D454" s="559">
        <f>개요!$C$142</f>
        <v>0</v>
      </c>
      <c r="E454" s="494">
        <f>E453*D454</f>
        <v>0</v>
      </c>
      <c r="F454" s="560" t="s">
        <v>417</v>
      </c>
      <c r="G454" s="560"/>
      <c r="J454" s="495"/>
      <c r="K454" s="415"/>
      <c r="L454" s="495"/>
      <c r="M454" s="415"/>
      <c r="N454" s="415"/>
      <c r="O454" s="415"/>
      <c r="S454" s="415"/>
      <c r="T454" s="415"/>
      <c r="U454" s="415"/>
      <c r="V454" s="415"/>
      <c r="Y454" s="458"/>
      <c r="AD454" s="557" t="s">
        <v>272</v>
      </c>
      <c r="AE454" s="561">
        <f>$D454</f>
        <v>0</v>
      </c>
      <c r="AF454" s="561">
        <f>$D454</f>
        <v>0</v>
      </c>
      <c r="AI454" s="404"/>
    </row>
    <row r="455" spans="1:35">
      <c r="A455" s="489"/>
      <c r="B455" s="415"/>
      <c r="G455" s="503" t="s">
        <v>577</v>
      </c>
      <c r="I455" s="562"/>
      <c r="J455" s="495"/>
      <c r="K455" s="415"/>
      <c r="L455" s="495"/>
      <c r="M455" s="415"/>
      <c r="N455" s="415"/>
      <c r="O455" s="415"/>
      <c r="S455" s="415"/>
      <c r="T455" s="415"/>
      <c r="U455" s="415"/>
      <c r="V455" s="415"/>
      <c r="Y455" s="458"/>
      <c r="AD455" s="557" t="str">
        <f>B427&amp;"지분율 반영 순자산가치"</f>
        <v>SPC없음지분율 반영 순자산가치</v>
      </c>
      <c r="AE455" s="529">
        <f>AE453*AE454</f>
        <v>0</v>
      </c>
      <c r="AF455" s="529">
        <f>AF453*AF454</f>
        <v>0</v>
      </c>
      <c r="AI455" s="404"/>
    </row>
    <row r="456" spans="1:35">
      <c r="A456" s="489"/>
      <c r="D456" s="504" t="s">
        <v>370</v>
      </c>
      <c r="E456" s="505">
        <f>$C$7</f>
        <v>45473</v>
      </c>
      <c r="F456" s="506"/>
      <c r="G456" s="505"/>
      <c r="I456" s="563"/>
      <c r="J456" s="495"/>
      <c r="K456" s="415"/>
      <c r="L456" s="495"/>
      <c r="M456" s="415"/>
      <c r="N456" s="415"/>
      <c r="O456" s="415"/>
      <c r="S456" s="415"/>
      <c r="T456" s="415"/>
      <c r="U456" s="415"/>
      <c r="V456" s="415"/>
      <c r="Y456" s="422"/>
      <c r="AI456" s="404"/>
    </row>
    <row r="457" spans="1:35">
      <c r="D457" s="486" t="s">
        <v>412</v>
      </c>
      <c r="E457" s="487">
        <f>E453</f>
        <v>0</v>
      </c>
      <c r="F457" s="507" t="e">
        <f>E457/G457-1</f>
        <v>#DIV/0!</v>
      </c>
      <c r="G457" s="487"/>
      <c r="I457" s="564"/>
      <c r="J457" s="495"/>
      <c r="K457" s="415"/>
      <c r="L457" s="495"/>
      <c r="M457" s="415"/>
      <c r="S457" s="415"/>
      <c r="T457" s="415"/>
      <c r="U457" s="415"/>
      <c r="V457" s="415"/>
      <c r="Y457" s="422"/>
      <c r="AI457" s="404"/>
    </row>
    <row r="458" spans="1:35">
      <c r="A458" s="489"/>
      <c r="B458" s="415"/>
      <c r="D458" s="486" t="s">
        <v>418</v>
      </c>
      <c r="E458" s="565">
        <f>$D$454</f>
        <v>0</v>
      </c>
      <c r="F458" s="507"/>
      <c r="G458" s="565"/>
      <c r="I458" s="566"/>
      <c r="J458" s="305"/>
      <c r="K458" s="415"/>
      <c r="L458" s="305"/>
      <c r="M458" s="415"/>
      <c r="S458" s="415"/>
      <c r="T458" s="415"/>
      <c r="U458" s="415"/>
      <c r="V458" s="415"/>
      <c r="Y458" s="422"/>
      <c r="AI458" s="404"/>
    </row>
    <row r="459" spans="1:35">
      <c r="A459" s="489"/>
      <c r="B459" s="415"/>
      <c r="D459" s="567" t="s">
        <v>578</v>
      </c>
      <c r="E459" s="568">
        <f>E457*E458</f>
        <v>0</v>
      </c>
      <c r="F459" s="507" t="e">
        <f>E459/G459-1</f>
        <v>#DIV/0!</v>
      </c>
      <c r="G459" s="568"/>
      <c r="I459" s="564"/>
      <c r="AI459" s="404"/>
    </row>
    <row r="460" spans="1:35">
      <c r="E460" s="304" t="b">
        <f>E459=E454</f>
        <v>1</v>
      </c>
      <c r="AI460" s="404"/>
    </row>
    <row r="461" spans="1:35">
      <c r="F461" s="507"/>
      <c r="G461" s="507"/>
      <c r="AI461" s="404"/>
    </row>
    <row r="462" spans="1:35" ht="12.75" thickBot="1">
      <c r="A462" s="536"/>
      <c r="B462" s="536"/>
      <c r="C462" s="536"/>
      <c r="D462" s="536"/>
      <c r="E462" s="536"/>
      <c r="F462" s="572"/>
      <c r="G462" s="572"/>
      <c r="H462" s="536"/>
      <c r="I462" s="537"/>
      <c r="J462" s="536"/>
      <c r="K462" s="536"/>
      <c r="L462" s="536"/>
      <c r="M462" s="536"/>
      <c r="N462" s="536"/>
      <c r="O462" s="536"/>
      <c r="P462" s="536"/>
      <c r="Q462" s="540"/>
      <c r="R462" s="536"/>
      <c r="S462" s="536"/>
      <c r="T462" s="536"/>
      <c r="U462" s="536"/>
      <c r="V462" s="536"/>
      <c r="W462" s="540"/>
      <c r="X462" s="536"/>
      <c r="Y462" s="540"/>
      <c r="Z462" s="540"/>
      <c r="AA462" s="536"/>
      <c r="AB462" s="536"/>
      <c r="AC462" s="536"/>
      <c r="AD462" s="541"/>
      <c r="AE462" s="536"/>
      <c r="AF462" s="536"/>
      <c r="AG462" s="536"/>
      <c r="AH462" s="536"/>
      <c r="AI462" s="404"/>
    </row>
    <row r="463" spans="1:35" ht="12.75" thickTop="1">
      <c r="F463" s="507"/>
      <c r="G463" s="507"/>
      <c r="AI463" s="404"/>
    </row>
    <row r="464" spans="1:35" ht="12.75" thickBot="1">
      <c r="A464" s="459"/>
      <c r="B464" s="415"/>
      <c r="J464" s="428" t="s">
        <v>273</v>
      </c>
      <c r="K464" s="489"/>
      <c r="L464" s="497"/>
      <c r="M464" s="489"/>
      <c r="N464" s="415"/>
      <c r="O464" s="415"/>
      <c r="AI464" s="404"/>
    </row>
    <row r="465" spans="1:35" ht="12.75" thickBot="1">
      <c r="A465" s="542" t="s">
        <v>579</v>
      </c>
      <c r="B465" s="543" t="str">
        <f>IF(개요!$B$145="","SPC없음",개요!$B$145)</f>
        <v>SPC없음</v>
      </c>
      <c r="C465" s="454"/>
      <c r="J465" s="433"/>
      <c r="K465" s="434"/>
      <c r="L465" s="434"/>
      <c r="M465" s="434"/>
      <c r="N465" s="434"/>
      <c r="O465" s="434"/>
      <c r="P465" s="434"/>
      <c r="Q465" s="435"/>
      <c r="R465" s="434"/>
      <c r="S465" s="434"/>
      <c r="T465" s="434"/>
      <c r="U465" s="434"/>
      <c r="V465" s="436"/>
      <c r="AI465" s="404"/>
    </row>
    <row r="466" spans="1:35">
      <c r="B466" s="543" t="s">
        <v>425</v>
      </c>
      <c r="C466" s="569" t="str">
        <f>IF(개요!$C$146="","SPC없음",개요!$C$146)</f>
        <v>SPC없음</v>
      </c>
      <c r="J466" s="442"/>
      <c r="K466" s="151"/>
      <c r="L466" s="151"/>
      <c r="M466" s="151"/>
      <c r="N466" s="151"/>
      <c r="O466" s="151"/>
      <c r="P466" s="151"/>
      <c r="Q466" s="443"/>
      <c r="R466" s="151"/>
      <c r="S466" s="151"/>
      <c r="T466" s="151"/>
      <c r="U466" s="151"/>
      <c r="V466" s="444"/>
      <c r="AI466" s="404"/>
    </row>
    <row r="467" spans="1:35">
      <c r="B467" s="437" t="s">
        <v>370</v>
      </c>
      <c r="C467" s="570">
        <f>$C$7</f>
        <v>45473</v>
      </c>
      <c r="D467" s="546" t="b">
        <f>C467&gt;=C468</f>
        <v>1</v>
      </c>
      <c r="J467" s="442"/>
      <c r="K467" s="151"/>
      <c r="L467" s="151"/>
      <c r="M467" s="151"/>
      <c r="N467" s="151"/>
      <c r="O467" s="151"/>
      <c r="P467" s="151"/>
      <c r="Q467" s="443"/>
      <c r="R467" s="151"/>
      <c r="S467" s="151"/>
      <c r="T467" s="151"/>
      <c r="U467" s="151"/>
      <c r="V467" s="444"/>
      <c r="AI467" s="404"/>
    </row>
    <row r="468" spans="1:35" ht="12.75" thickBot="1">
      <c r="B468" s="449" t="s">
        <v>580</v>
      </c>
      <c r="C468" s="571">
        <f>FS!$BB$8</f>
        <v>0</v>
      </c>
      <c r="J468" s="453"/>
      <c r="K468" s="454"/>
      <c r="L468" s="454"/>
      <c r="M468" s="454"/>
      <c r="N468" s="454"/>
      <c r="O468" s="454"/>
      <c r="P468" s="454"/>
      <c r="Q468" s="455"/>
      <c r="R468" s="454"/>
      <c r="S468" s="454"/>
      <c r="T468" s="454"/>
      <c r="U468" s="454"/>
      <c r="V468" s="456"/>
      <c r="AI468" s="404"/>
    </row>
    <row r="469" spans="1:35">
      <c r="A469" s="459"/>
      <c r="J469" s="428" t="s">
        <v>453</v>
      </c>
      <c r="K469" s="448"/>
      <c r="L469" s="420"/>
      <c r="M469" s="448"/>
      <c r="N469" s="448"/>
      <c r="O469" s="448"/>
      <c r="P469" s="415"/>
      <c r="Q469" s="422"/>
      <c r="R469" s="415"/>
      <c r="S469" s="415"/>
      <c r="T469" s="415"/>
      <c r="U469" s="415"/>
      <c r="V469" s="415"/>
      <c r="W469" s="422"/>
      <c r="Z469" s="458"/>
      <c r="AE469" s="803" t="s">
        <v>8</v>
      </c>
      <c r="AF469" s="803"/>
      <c r="AG469" s="460"/>
      <c r="AH469" s="460"/>
      <c r="AI469" s="404"/>
    </row>
    <row r="470" spans="1:35" ht="12.75" thickBot="1">
      <c r="A470" s="461" t="str">
        <f>IF(AND(B471:B497),"검증완료","검증필요")</f>
        <v>검증완료</v>
      </c>
      <c r="B470" s="462" t="s">
        <v>581</v>
      </c>
      <c r="C470" s="462" t="s">
        <v>582</v>
      </c>
      <c r="D470" s="462" t="s">
        <v>583</v>
      </c>
      <c r="E470" s="462" t="s">
        <v>11</v>
      </c>
      <c r="J470" s="462" t="s">
        <v>375</v>
      </c>
      <c r="K470" s="464" t="s">
        <v>584</v>
      </c>
      <c r="L470" s="462" t="s">
        <v>425</v>
      </c>
      <c r="M470" s="462" t="s">
        <v>585</v>
      </c>
      <c r="N470" s="462" t="s">
        <v>378</v>
      </c>
      <c r="O470" s="462" t="s">
        <v>1</v>
      </c>
      <c r="P470" s="464" t="s">
        <v>586</v>
      </c>
      <c r="Q470" s="465" t="s">
        <v>14</v>
      </c>
      <c r="R470" s="466" t="s">
        <v>381</v>
      </c>
      <c r="S470" s="466" t="s">
        <v>587</v>
      </c>
      <c r="T470" s="462" t="s">
        <v>588</v>
      </c>
      <c r="U470" s="462" t="s">
        <v>383</v>
      </c>
      <c r="V470" s="462" t="s">
        <v>589</v>
      </c>
      <c r="W470" s="465" t="s">
        <v>429</v>
      </c>
      <c r="X470" s="462" t="s">
        <v>590</v>
      </c>
      <c r="Y470" s="465" t="s">
        <v>386</v>
      </c>
      <c r="Z470" s="465" t="s">
        <v>3522</v>
      </c>
      <c r="AA470" s="464" t="s">
        <v>13</v>
      </c>
      <c r="AE470" s="467" t="s">
        <v>3627</v>
      </c>
      <c r="AF470" s="467" t="s">
        <v>3628</v>
      </c>
      <c r="AG470" s="467" t="s">
        <v>3629</v>
      </c>
      <c r="AH470" s="467" t="s">
        <v>3630</v>
      </c>
      <c r="AI470" s="404"/>
    </row>
    <row r="471" spans="1:35" ht="12.75" thickBot="1">
      <c r="A471" s="415"/>
      <c r="B471" s="415"/>
      <c r="C471" s="468" t="s">
        <v>480</v>
      </c>
      <c r="D471" s="469">
        <f>SUM(D472:D473)</f>
        <v>0</v>
      </c>
      <c r="E471" s="469">
        <f>SUM(E472:E473)</f>
        <v>0</v>
      </c>
      <c r="J471" s="476"/>
      <c r="K471" s="472"/>
      <c r="L471" s="473" t="str">
        <f>IF($J471="","SPC 없음",VLOOKUP($J471&amp;"SPC명",개요!$A$3:$E$1932,3,0))</f>
        <v>SPC 없음</v>
      </c>
      <c r="M471" s="474" t="str">
        <f>IF($J471="","SPC 없음",VLOOKUP($J471&amp;"설정일",개요!$A$3:$E$1932,3,0))</f>
        <v>SPC 없음</v>
      </c>
      <c r="N471" s="475" t="str">
        <f t="shared" ref="N471:N476" si="131">IF($J471="","SPC 없음",VLOOKUP($J471&amp;"자본금",$B$4:$E$2079,3,0)*VLOOKUP($J471&amp;"보유지분율(%)",$B$4:$E$2079,3,0))</f>
        <v>SPC 없음</v>
      </c>
      <c r="O471" s="471"/>
      <c r="P471" s="476"/>
      <c r="Q471" s="477"/>
      <c r="R471" s="478"/>
      <c r="S471" s="479" t="str">
        <f t="shared" ref="S471:S476" si="132">IF($J471="","SPC 없음",IF(P471="총액",IF(T471="장부가액 준용",W471,(VLOOKUP($J471&amp;"보유지분율(%)",$B$4:$E$2079,4,0))*V471),Q471*R471))</f>
        <v>SPC 없음</v>
      </c>
      <c r="T471" s="471"/>
      <c r="U471" s="471" t="s">
        <v>94</v>
      </c>
      <c r="V471" s="480">
        <f>IF(U471="한국 원화(KRW)",1,IF(OR(U471=환율!$A$6,U471=환율!$A$7),VLOOKUP(NAV!U471,환율!$A$6:$B$7,2,),IF(RIGHT(U471,5)="(100)",(VLOOKUP(NAV!U471,환율!$A$11:$B$65,2,))/100,VLOOKUP(NAV!U471,환율!$A$11:$B$65,2,))))</f>
        <v>1</v>
      </c>
      <c r="W471" s="481"/>
      <c r="X471" s="482">
        <f t="shared" ref="X471:X476" si="133">IFERROR(IF(P471="만원당",10000,Y471/Q471),0)</f>
        <v>0</v>
      </c>
      <c r="Y471" s="481"/>
      <c r="Z471" s="481"/>
      <c r="AA471" s="483">
        <f t="shared" ref="AA471:AA476" si="134">IFERROR(IF(Z471="",S471/W471-1,S471/Z471-1),0)</f>
        <v>0</v>
      </c>
      <c r="AE471" s="484" t="str">
        <f t="shared" ref="AE471:AE476" si="135">IF($J471="","SPC 없음",IF(P471="총액",(VLOOKUP($J471&amp;"지분율 반영 순자산가치",$AD$4:$AH$4973,2,0))*V471,AG471*$Q471))</f>
        <v>SPC 없음</v>
      </c>
      <c r="AF471" s="484" t="str">
        <f t="shared" ref="AF471:AF476" si="136">IF($J471="","SPC 없음",IF(P471="총액",(VLOOKUP($J471&amp;"지분율 반영 순자산가치",$AD$4:$AH$4973,3,0))*V471,AH471*$Q471))</f>
        <v>SPC 없음</v>
      </c>
      <c r="AG471" s="485"/>
      <c r="AH471" s="485"/>
      <c r="AI471" s="404"/>
    </row>
    <row r="472" spans="1:35" ht="12.75" thickBot="1">
      <c r="A472" s="415"/>
      <c r="B472" s="415"/>
      <c r="C472" s="486" t="s">
        <v>591</v>
      </c>
      <c r="D472" s="487">
        <f>SUMIF(FS!$AY$9:$AY$39,개요!$B$145&amp;RIGHT(NAV!C472,10),FS!$BB$9:$BB$39)</f>
        <v>0</v>
      </c>
      <c r="E472" s="487">
        <f>D472</f>
        <v>0</v>
      </c>
      <c r="J472" s="476"/>
      <c r="K472" s="472"/>
      <c r="L472" s="473" t="str">
        <f>IF($J472="","SPC 없음",VLOOKUP($J472&amp;"SPC명",개요!$A$3:$E$1932,3,0))</f>
        <v>SPC 없음</v>
      </c>
      <c r="M472" s="474" t="str">
        <f>IF($J472="","SPC 없음",VLOOKUP($J472&amp;"설정일",개요!$A$3:$E$1932,3,0))</f>
        <v>SPC 없음</v>
      </c>
      <c r="N472" s="475" t="str">
        <f t="shared" si="131"/>
        <v>SPC 없음</v>
      </c>
      <c r="O472" s="471"/>
      <c r="P472" s="476"/>
      <c r="Q472" s="477"/>
      <c r="R472" s="478"/>
      <c r="S472" s="479" t="str">
        <f t="shared" si="132"/>
        <v>SPC 없음</v>
      </c>
      <c r="T472" s="471"/>
      <c r="U472" s="471" t="s">
        <v>94</v>
      </c>
      <c r="V472" s="480">
        <f>IF(U472="한국 원화(KRW)",1,IF(OR(U472=환율!$A$6,U472=환율!$A$7),VLOOKUP(NAV!U472,환율!$A$6:$B$7,2,),IF(RIGHT(U472,5)="(100)",(VLOOKUP(NAV!U472,환율!$A$11:$B$65,2,))/100,VLOOKUP(NAV!U472,환율!$A$11:$B$65,2,))))</f>
        <v>1</v>
      </c>
      <c r="W472" s="481"/>
      <c r="X472" s="482">
        <f t="shared" si="133"/>
        <v>0</v>
      </c>
      <c r="Y472" s="481"/>
      <c r="Z472" s="481"/>
      <c r="AA472" s="483">
        <f t="shared" si="134"/>
        <v>0</v>
      </c>
      <c r="AE472" s="484" t="str">
        <f t="shared" si="135"/>
        <v>SPC 없음</v>
      </c>
      <c r="AF472" s="484" t="str">
        <f t="shared" si="136"/>
        <v>SPC 없음</v>
      </c>
      <c r="AG472" s="485"/>
      <c r="AH472" s="485"/>
      <c r="AI472" s="404"/>
    </row>
    <row r="473" spans="1:35" ht="12.75" thickBot="1">
      <c r="A473" s="415"/>
      <c r="B473" s="415"/>
      <c r="C473" s="486" t="s">
        <v>34</v>
      </c>
      <c r="D473" s="487">
        <f>SUMIF(FS!$AY$9:$AY$39,개요!$B$145&amp;RIGHT(NAV!C473,4),FS!$BB$9:$BB$39)</f>
        <v>0</v>
      </c>
      <c r="E473" s="487">
        <f>D473</f>
        <v>0</v>
      </c>
      <c r="J473" s="476"/>
      <c r="K473" s="472"/>
      <c r="L473" s="473" t="str">
        <f>IF($J473="","SPC 없음",VLOOKUP($J473&amp;"SPC명",개요!$A$3:$E$1932,3,0))</f>
        <v>SPC 없음</v>
      </c>
      <c r="M473" s="474" t="str">
        <f>IF($J473="","SPC 없음",VLOOKUP($J473&amp;"설정일",개요!$A$3:$E$1932,3,0))</f>
        <v>SPC 없음</v>
      </c>
      <c r="N473" s="475" t="str">
        <f t="shared" si="131"/>
        <v>SPC 없음</v>
      </c>
      <c r="O473" s="471"/>
      <c r="P473" s="476"/>
      <c r="Q473" s="477"/>
      <c r="R473" s="478"/>
      <c r="S473" s="479" t="str">
        <f t="shared" si="132"/>
        <v>SPC 없음</v>
      </c>
      <c r="T473" s="471"/>
      <c r="U473" s="471" t="s">
        <v>94</v>
      </c>
      <c r="V473" s="480">
        <f>IF(U473="한국 원화(KRW)",1,IF(OR(U473=환율!$A$6,U473=환율!$A$7),VLOOKUP(NAV!U473,환율!$A$6:$B$7,2,),IF(RIGHT(U473,5)="(100)",(VLOOKUP(NAV!U473,환율!$A$11:$B$65,2,))/100,VLOOKUP(NAV!U473,환율!$A$11:$B$65,2,))))</f>
        <v>1</v>
      </c>
      <c r="W473" s="481"/>
      <c r="X473" s="482">
        <f t="shared" si="133"/>
        <v>0</v>
      </c>
      <c r="Y473" s="481"/>
      <c r="Z473" s="481"/>
      <c r="AA473" s="483">
        <f t="shared" si="134"/>
        <v>0</v>
      </c>
      <c r="AE473" s="484" t="str">
        <f t="shared" si="135"/>
        <v>SPC 없음</v>
      </c>
      <c r="AF473" s="484" t="str">
        <f t="shared" si="136"/>
        <v>SPC 없음</v>
      </c>
      <c r="AG473" s="485"/>
      <c r="AH473" s="485"/>
      <c r="AI473" s="404"/>
    </row>
    <row r="474" spans="1:35" ht="12.75" thickBot="1">
      <c r="A474" s="489" t="s">
        <v>389</v>
      </c>
      <c r="B474" s="490" t="b">
        <f>SUM(W471:W476,W479:W489)=D474</f>
        <v>1</v>
      </c>
      <c r="C474" s="468" t="s">
        <v>463</v>
      </c>
      <c r="D474" s="469">
        <f>SUMIF(FS!$AY$9:$AY$39,개요!$B$145&amp;RIGHT(NAV!C474,4),FS!$BB$9:$BB$39)</f>
        <v>0</v>
      </c>
      <c r="E474" s="469">
        <f>SUM(S471:S476)+SUM(S479:S489)</f>
        <v>0</v>
      </c>
      <c r="J474" s="476"/>
      <c r="K474" s="472"/>
      <c r="L474" s="473" t="str">
        <f>IF($J474="","SPC 없음",VLOOKUP($J474&amp;"SPC명",개요!$A$3:$E$1932,3,0))</f>
        <v>SPC 없음</v>
      </c>
      <c r="M474" s="474" t="str">
        <f>IF($J474="","SPC 없음",VLOOKUP($J474&amp;"설정일",개요!$A$3:$E$1932,3,0))</f>
        <v>SPC 없음</v>
      </c>
      <c r="N474" s="475" t="str">
        <f t="shared" si="131"/>
        <v>SPC 없음</v>
      </c>
      <c r="O474" s="471"/>
      <c r="P474" s="476"/>
      <c r="Q474" s="477"/>
      <c r="R474" s="478"/>
      <c r="S474" s="479" t="str">
        <f t="shared" si="132"/>
        <v>SPC 없음</v>
      </c>
      <c r="T474" s="471"/>
      <c r="U474" s="471" t="s">
        <v>94</v>
      </c>
      <c r="V474" s="480">
        <f>IF(U474="한국 원화(KRW)",1,IF(OR(U474=환율!$A$6,U474=환율!$A$7),VLOOKUP(NAV!U474,환율!$A$6:$B$7,2,),IF(RIGHT(U474,5)="(100)",(VLOOKUP(NAV!U474,환율!$A$11:$B$65,2,))/100,VLOOKUP(NAV!U474,환율!$A$11:$B$65,2,))))</f>
        <v>1</v>
      </c>
      <c r="W474" s="481"/>
      <c r="X474" s="482">
        <f t="shared" si="133"/>
        <v>0</v>
      </c>
      <c r="Y474" s="481"/>
      <c r="Z474" s="481"/>
      <c r="AA474" s="483">
        <f t="shared" si="134"/>
        <v>0</v>
      </c>
      <c r="AE474" s="484" t="str">
        <f t="shared" si="135"/>
        <v>SPC 없음</v>
      </c>
      <c r="AF474" s="484" t="str">
        <f t="shared" si="136"/>
        <v>SPC 없음</v>
      </c>
      <c r="AG474" s="485"/>
      <c r="AH474" s="485"/>
      <c r="AI474" s="404"/>
    </row>
    <row r="475" spans="1:35" ht="12.75" thickBot="1">
      <c r="A475" s="492" t="s">
        <v>391</v>
      </c>
      <c r="B475" s="415" t="b">
        <f>D472+D473+D474=D475</f>
        <v>1</v>
      </c>
      <c r="C475" s="493" t="s">
        <v>592</v>
      </c>
      <c r="D475" s="494">
        <f>D471+D474</f>
        <v>0</v>
      </c>
      <c r="E475" s="494">
        <f>E471+E474</f>
        <v>0</v>
      </c>
      <c r="J475" s="476"/>
      <c r="K475" s="472"/>
      <c r="L475" s="473" t="str">
        <f>IF($J475="","SPC 없음",VLOOKUP($J475&amp;"SPC명",개요!$A$3:$E$1932,3,0))</f>
        <v>SPC 없음</v>
      </c>
      <c r="M475" s="474" t="str">
        <f>IF($J475="","SPC 없음",VLOOKUP($J475&amp;"설정일",개요!$A$3:$E$1932,3,0))</f>
        <v>SPC 없음</v>
      </c>
      <c r="N475" s="475" t="str">
        <f t="shared" si="131"/>
        <v>SPC 없음</v>
      </c>
      <c r="O475" s="471"/>
      <c r="P475" s="476"/>
      <c r="Q475" s="477"/>
      <c r="R475" s="478"/>
      <c r="S475" s="479" t="str">
        <f t="shared" si="132"/>
        <v>SPC 없음</v>
      </c>
      <c r="T475" s="471"/>
      <c r="U475" s="471" t="s">
        <v>94</v>
      </c>
      <c r="V475" s="480">
        <f>IF(U475="한국 원화(KRW)",1,IF(OR(U475=환율!$A$6,U475=환율!$A$7),VLOOKUP(NAV!U475,환율!$A$6:$B$7,2,),IF(RIGHT(U475,5)="(100)",(VLOOKUP(NAV!U475,환율!$A$11:$B$65,2,))/100,VLOOKUP(NAV!U475,환율!$A$11:$B$65,2,))))</f>
        <v>1</v>
      </c>
      <c r="W475" s="481"/>
      <c r="X475" s="482">
        <f t="shared" si="133"/>
        <v>0</v>
      </c>
      <c r="Y475" s="481"/>
      <c r="Z475" s="481"/>
      <c r="AA475" s="483">
        <f t="shared" si="134"/>
        <v>0</v>
      </c>
      <c r="AE475" s="484" t="str">
        <f t="shared" si="135"/>
        <v>SPC 없음</v>
      </c>
      <c r="AF475" s="484" t="str">
        <f t="shared" si="136"/>
        <v>SPC 없음</v>
      </c>
      <c r="AG475" s="485"/>
      <c r="AH475" s="485"/>
      <c r="AI475" s="404"/>
    </row>
    <row r="476" spans="1:35" ht="12.75" thickBot="1">
      <c r="A476" s="492"/>
      <c r="B476" s="496"/>
      <c r="C476" s="468" t="s">
        <v>593</v>
      </c>
      <c r="D476" s="469">
        <f>SUM(D477:D480)</f>
        <v>0</v>
      </c>
      <c r="E476" s="469">
        <f>SUM(E477:E480)</f>
        <v>0</v>
      </c>
      <c r="J476" s="476"/>
      <c r="K476" s="472"/>
      <c r="L476" s="473" t="str">
        <f>IF($J476="","SPC 없음",VLOOKUP($J476&amp;"SPC명",개요!$A$3:$E$1932,3,0))</f>
        <v>SPC 없음</v>
      </c>
      <c r="M476" s="474" t="str">
        <f>IF($J476="","SPC 없음",VLOOKUP($J476&amp;"설정일",개요!$A$3:$E$1932,3,0))</f>
        <v>SPC 없음</v>
      </c>
      <c r="N476" s="475" t="str">
        <f t="shared" si="131"/>
        <v>SPC 없음</v>
      </c>
      <c r="O476" s="471"/>
      <c r="P476" s="476"/>
      <c r="Q476" s="477"/>
      <c r="R476" s="478"/>
      <c r="S476" s="479" t="str">
        <f t="shared" si="132"/>
        <v>SPC 없음</v>
      </c>
      <c r="T476" s="471"/>
      <c r="U476" s="471" t="s">
        <v>94</v>
      </c>
      <c r="V476" s="480">
        <f>IF(U476="한국 원화(KRW)",1,IF(OR(U476=환율!$A$6,U476=환율!$A$7),VLOOKUP(NAV!U476,환율!$A$6:$B$7,2,),IF(RIGHT(U476,5)="(100)",(VLOOKUP(NAV!U476,환율!$A$11:$B$65,2,))/100,VLOOKUP(NAV!U476,환율!$A$11:$B$65,2,))))</f>
        <v>1</v>
      </c>
      <c r="W476" s="481"/>
      <c r="X476" s="482">
        <f t="shared" si="133"/>
        <v>0</v>
      </c>
      <c r="Y476" s="481"/>
      <c r="Z476" s="481"/>
      <c r="AA476" s="483">
        <f t="shared" si="134"/>
        <v>0</v>
      </c>
      <c r="AE476" s="484" t="str">
        <f t="shared" si="135"/>
        <v>SPC 없음</v>
      </c>
      <c r="AF476" s="484" t="str">
        <f t="shared" si="136"/>
        <v>SPC 없음</v>
      </c>
      <c r="AG476" s="485"/>
      <c r="AH476" s="485"/>
      <c r="AI476" s="404"/>
    </row>
    <row r="477" spans="1:35">
      <c r="A477" s="492"/>
      <c r="B477" s="496"/>
      <c r="C477" s="486" t="s">
        <v>594</v>
      </c>
      <c r="D477" s="487">
        <f>SUMIF(FS!$AY$9:$AY$39,개요!$B$145&amp;RIGHT(NAV!C477,5),FS!$BB$9:$BB$39)</f>
        <v>0</v>
      </c>
      <c r="E477" s="487">
        <f>D477</f>
        <v>0</v>
      </c>
      <c r="J477" s="428" t="s">
        <v>539</v>
      </c>
      <c r="K477" s="415"/>
      <c r="L477" s="305"/>
      <c r="M477" s="415"/>
      <c r="N477" s="415"/>
      <c r="O477" s="415"/>
      <c r="P477" s="415"/>
      <c r="Q477" s="422"/>
      <c r="R477" s="415"/>
      <c r="S477" s="415"/>
      <c r="T477" s="415"/>
      <c r="U477" s="415"/>
      <c r="W477" s="517" t="b">
        <f>SUM(W479:W489)+SUM(W471:W476)=D474</f>
        <v>1</v>
      </c>
      <c r="X477" s="415"/>
      <c r="Y477" s="422"/>
      <c r="Z477" s="422"/>
      <c r="AA477" s="459" t="str">
        <f>IF(OR(MAX(AA471:AA476,AA479:AA489)&gt;0.2,MIN(AA471:AA476,AA479:AA489)&lt;-0.2),"특이사항 확인","특이사항 없음")</f>
        <v>특이사항 없음</v>
      </c>
      <c r="AB477" s="415"/>
      <c r="AF477" s="415"/>
      <c r="AG477" s="415"/>
      <c r="AI477" s="404"/>
    </row>
    <row r="478" spans="1:35" ht="12.75" thickBot="1">
      <c r="A478" s="492"/>
      <c r="B478" s="496"/>
      <c r="C478" s="486" t="s">
        <v>393</v>
      </c>
      <c r="D478" s="487">
        <f>SUMIF(FS!$AY$9:$AY$39,개요!$B$145&amp;RIGHT(NAV!C478,3),FS!$BB$9:$BB$39)</f>
        <v>0</v>
      </c>
      <c r="E478" s="487">
        <f t="shared" ref="E478:E479" si="137">D478</f>
        <v>0</v>
      </c>
      <c r="I478" s="518">
        <f>COUNTA(J479:J489)</f>
        <v>0</v>
      </c>
      <c r="J478" s="548" t="s">
        <v>595</v>
      </c>
      <c r="K478" s="548" t="s">
        <v>0</v>
      </c>
      <c r="L478" s="548" t="s">
        <v>596</v>
      </c>
      <c r="M478" s="548" t="s">
        <v>436</v>
      </c>
      <c r="N478" s="548" t="s">
        <v>597</v>
      </c>
      <c r="O478" s="548" t="s">
        <v>466</v>
      </c>
      <c r="P478" s="548" t="s">
        <v>380</v>
      </c>
      <c r="Q478" s="519" t="s">
        <v>14</v>
      </c>
      <c r="R478" s="466" t="s">
        <v>299</v>
      </c>
      <c r="S478" s="466" t="s">
        <v>3525</v>
      </c>
      <c r="T478" s="549" t="s">
        <v>598</v>
      </c>
      <c r="U478" s="548" t="s">
        <v>599</v>
      </c>
      <c r="V478" s="548" t="s">
        <v>400</v>
      </c>
      <c r="W478" s="550" t="s">
        <v>374</v>
      </c>
      <c r="X478" s="549" t="s">
        <v>600</v>
      </c>
      <c r="Y478" s="550" t="s">
        <v>3506</v>
      </c>
      <c r="Z478" s="550" t="s">
        <v>3523</v>
      </c>
      <c r="AA478" s="548" t="s">
        <v>13</v>
      </c>
      <c r="AB478" s="548" t="s">
        <v>601</v>
      </c>
      <c r="AC478" s="548" t="s">
        <v>473</v>
      </c>
      <c r="AE478" s="467" t="s">
        <v>3627</v>
      </c>
      <c r="AF478" s="467" t="s">
        <v>3628</v>
      </c>
      <c r="AG478" s="467" t="s">
        <v>3629</v>
      </c>
      <c r="AH478" s="467" t="s">
        <v>3630</v>
      </c>
      <c r="AI478" s="404"/>
    </row>
    <row r="479" spans="1:35" ht="12.75" thickBot="1">
      <c r="A479" s="492"/>
      <c r="B479" s="496"/>
      <c r="C479" s="486" t="s">
        <v>602</v>
      </c>
      <c r="D479" s="487">
        <f>SUMIF(FS!$AY$9:$AY$39,개요!$B$145&amp;RIGHT(NAV!C479,6),FS!$BB$9:$BB$39)</f>
        <v>0</v>
      </c>
      <c r="E479" s="487">
        <f t="shared" si="137"/>
        <v>0</v>
      </c>
      <c r="J479" s="551"/>
      <c r="K479" s="552"/>
      <c r="L479" s="551"/>
      <c r="M479" s="553"/>
      <c r="N479" s="553"/>
      <c r="O479" s="551"/>
      <c r="P479" s="553"/>
      <c r="Q479" s="524"/>
      <c r="R479" s="478">
        <f>IFERROR(INDEX(기초자산!M$6:M$408,MATCH(K479&amp;N479&amp;O479,기초자산!$A$6:$A$408,0),0),0)</f>
        <v>0</v>
      </c>
      <c r="S479" s="479">
        <f t="shared" ref="S479:S489" si="138">IFERROR(IF(T479="취득원가 준용",Y479,IF(T479="장부가액 준용",W479,IF(P479="주당",R479*Q479*V479,IF(RIGHT(U479,5)="(100)",Y479/1000*R479*V479,Y479/10000*R479*V479)))),0)</f>
        <v>0</v>
      </c>
      <c r="T479" s="553"/>
      <c r="U479" s="471" t="s">
        <v>94</v>
      </c>
      <c r="V479" s="480">
        <f>IF(U479="한국 원화(KRW)",1,IF(OR(U479=환율!$A$6,U479=환율!$A$7),VLOOKUP(NAV!U479,환율!$A$6:$B$7,2,),IF(RIGHT(U479,5)="(100)",(VLOOKUP(NAV!U479,환율!$A$11:$B$65,2,))/100,VLOOKUP(NAV!U479,환율!$A$11:$B$65,2,))))</f>
        <v>1</v>
      </c>
      <c r="W479" s="481"/>
      <c r="X479" s="482">
        <f t="shared" ref="X479:X489" si="139">IFERROR(IF(P479="만원당",10000,Y479/Q479),0)</f>
        <v>0</v>
      </c>
      <c r="Y479" s="481"/>
      <c r="Z479" s="481"/>
      <c r="AA479" s="483">
        <f t="shared" ref="AA479:AA489" si="140">IFERROR(IF(Z479="",S479/W479-1,S479/Z479-1),0)</f>
        <v>0</v>
      </c>
      <c r="AB479" s="554"/>
      <c r="AC479" s="526" t="str">
        <f t="shared" ref="AC479:AC489" si="141">IF(($C$7-AB479)/365&gt;2,"2년이상","2년미만")</f>
        <v>2년이상</v>
      </c>
      <c r="AD479" s="520" t="str">
        <f t="shared" ref="AD479:AD489" si="142">IF(OR(AA479&gt;20%,AA479&lt;-20%),"(1) Note 기재","")</f>
        <v/>
      </c>
      <c r="AE479" s="527">
        <f>IF(OR(T479="MTP",T479="과거거래 이용법",T479="취득원가 준용",T479="장부가액 준용",T479="상장종가 적용"),S479,IF(P479="주당",AG479*Q479*V479,Y479/10000*AG479*V479))</f>
        <v>0</v>
      </c>
      <c r="AF479" s="527">
        <f>IF(OR(T479="MTP",T479="과거거래 이용법",T479="취득원가 준용",T479="장부가액 준용",T479="상장종가 적용"),S479,IF(P479="주당",AH479*Q479*V479,Y479/10000*AH479*V479))</f>
        <v>0</v>
      </c>
      <c r="AG479" s="485"/>
      <c r="AH479" s="485"/>
      <c r="AI479" s="404"/>
    </row>
    <row r="480" spans="1:35" ht="12.75" thickBot="1">
      <c r="A480" s="492"/>
      <c r="B480" s="496"/>
      <c r="C480" s="486" t="s">
        <v>405</v>
      </c>
      <c r="D480" s="487">
        <f>SUMIF(FS!$AY$9:$AY$39,개요!$B$145&amp;RIGHT(NAV!C480,7),FS!$BB$9:$BB$39)</f>
        <v>0</v>
      </c>
      <c r="E480" s="487">
        <f>D480</f>
        <v>0</v>
      </c>
      <c r="J480" s="551"/>
      <c r="K480" s="552"/>
      <c r="L480" s="551"/>
      <c r="M480" s="553"/>
      <c r="N480" s="553"/>
      <c r="O480" s="551"/>
      <c r="P480" s="553"/>
      <c r="Q480" s="524"/>
      <c r="R480" s="478">
        <f>IFERROR(INDEX(기초자산!M$6:M$408,MATCH(K480&amp;N480&amp;O480,기초자산!$A$6:$A$408,0),0),0)</f>
        <v>0</v>
      </c>
      <c r="S480" s="479">
        <f t="shared" si="138"/>
        <v>0</v>
      </c>
      <c r="T480" s="553"/>
      <c r="U480" s="471" t="s">
        <v>94</v>
      </c>
      <c r="V480" s="480">
        <f>IF(U480="한국 원화(KRW)",1,IF(OR(U480=환율!$A$6,U480=환율!$A$7),VLOOKUP(NAV!U480,환율!$A$6:$B$7,2,),IF(RIGHT(U480,5)="(100)",(VLOOKUP(NAV!U480,환율!$A$11:$B$65,2,))/100,VLOOKUP(NAV!U480,환율!$A$11:$B$65,2,))))</f>
        <v>1</v>
      </c>
      <c r="W480" s="481"/>
      <c r="X480" s="482">
        <f t="shared" si="139"/>
        <v>0</v>
      </c>
      <c r="Y480" s="481"/>
      <c r="Z480" s="481"/>
      <c r="AA480" s="483">
        <f t="shared" si="140"/>
        <v>0</v>
      </c>
      <c r="AB480" s="554"/>
      <c r="AC480" s="526" t="str">
        <f t="shared" si="141"/>
        <v>2년이상</v>
      </c>
      <c r="AD480" s="520" t="str">
        <f t="shared" si="142"/>
        <v/>
      </c>
      <c r="AE480" s="527">
        <f t="shared" ref="AE480:AE489" si="143">IF(OR(T480="MTP",T480="과거거래 이용법",T480="취득원가 준용",T480="장부가액 준용",T480="상장종가 적용"),S480,IF(P480="주당",AG480*Q480*V480,Y480/10000*AG480*V480))</f>
        <v>0</v>
      </c>
      <c r="AF480" s="527">
        <f t="shared" ref="AF480:AF489" si="144">IF(OR(T480="MTP",T480="과거거래 이용법",T480="취득원가 준용",T480="장부가액 준용",T480="상장종가 적용"),S480,IF(P480="주당",AH480*Q480*V480,Y480/10000*AH480*V480))</f>
        <v>0</v>
      </c>
      <c r="AG480" s="485"/>
      <c r="AH480" s="485"/>
      <c r="AI480" s="404"/>
    </row>
    <row r="481" spans="1:35" ht="12.75" thickBot="1">
      <c r="A481" s="492"/>
      <c r="B481" s="496"/>
      <c r="C481" s="468" t="s">
        <v>21</v>
      </c>
      <c r="D481" s="469">
        <f>SUM(D482:D483)</f>
        <v>0</v>
      </c>
      <c r="E481" s="469">
        <f>SUM(E482:E483)</f>
        <v>0</v>
      </c>
      <c r="J481" s="551"/>
      <c r="K481" s="552"/>
      <c r="L481" s="551"/>
      <c r="M481" s="553"/>
      <c r="N481" s="553"/>
      <c r="O481" s="551"/>
      <c r="P481" s="553"/>
      <c r="Q481" s="524"/>
      <c r="R481" s="478">
        <f>IFERROR(INDEX(기초자산!M$6:M$408,MATCH(K481&amp;N481&amp;O481,기초자산!$A$6:$A$408,0),0),0)</f>
        <v>0</v>
      </c>
      <c r="S481" s="479">
        <f t="shared" si="138"/>
        <v>0</v>
      </c>
      <c r="T481" s="553"/>
      <c r="U481" s="471" t="s">
        <v>94</v>
      </c>
      <c r="V481" s="480">
        <f>IF(U481="한국 원화(KRW)",1,IF(OR(U481=환율!$A$6,U481=환율!$A$7),VLOOKUP(NAV!U481,환율!$A$6:$B$7,2,),IF(RIGHT(U481,5)="(100)",(VLOOKUP(NAV!U481,환율!$A$11:$B$65,2,))/100,VLOOKUP(NAV!U481,환율!$A$11:$B$65,2,))))</f>
        <v>1</v>
      </c>
      <c r="W481" s="481"/>
      <c r="X481" s="482">
        <f t="shared" si="139"/>
        <v>0</v>
      </c>
      <c r="Y481" s="481"/>
      <c r="Z481" s="481"/>
      <c r="AA481" s="483">
        <f t="shared" si="140"/>
        <v>0</v>
      </c>
      <c r="AB481" s="554"/>
      <c r="AC481" s="526" t="str">
        <f t="shared" si="141"/>
        <v>2년이상</v>
      </c>
      <c r="AD481" s="520" t="str">
        <f t="shared" si="142"/>
        <v/>
      </c>
      <c r="AE481" s="527">
        <f t="shared" si="143"/>
        <v>0</v>
      </c>
      <c r="AF481" s="527">
        <f t="shared" si="144"/>
        <v>0</v>
      </c>
      <c r="AG481" s="485"/>
      <c r="AH481" s="485"/>
      <c r="AI481" s="404"/>
    </row>
    <row r="482" spans="1:35" ht="12.75" thickBot="1">
      <c r="A482" s="492"/>
      <c r="B482" s="496"/>
      <c r="C482" s="486" t="s">
        <v>406</v>
      </c>
      <c r="D482" s="487">
        <f>SUMIF(FS!$AY$9:$AY$39,개요!$B$145&amp;RIGHT(NAV!C482,3),FS!$BB$9:$BB$39)</f>
        <v>0</v>
      </c>
      <c r="E482" s="487">
        <f>D482</f>
        <v>0</v>
      </c>
      <c r="J482" s="551"/>
      <c r="K482" s="552"/>
      <c r="L482" s="551"/>
      <c r="M482" s="553"/>
      <c r="N482" s="553"/>
      <c r="O482" s="551"/>
      <c r="P482" s="553"/>
      <c r="Q482" s="524"/>
      <c r="R482" s="478">
        <f>IFERROR(INDEX(기초자산!M$6:M$408,MATCH(K482&amp;N482&amp;O482,기초자산!$A$6:$A$408,0),0),0)</f>
        <v>0</v>
      </c>
      <c r="S482" s="479">
        <f t="shared" si="138"/>
        <v>0</v>
      </c>
      <c r="T482" s="553"/>
      <c r="U482" s="471" t="s">
        <v>94</v>
      </c>
      <c r="V482" s="480">
        <f>IF(U482="한국 원화(KRW)",1,IF(OR(U482=환율!$A$6,U482=환율!$A$7),VLOOKUP(NAV!U482,환율!$A$6:$B$7,2,),IF(RIGHT(U482,5)="(100)",(VLOOKUP(NAV!U482,환율!$A$11:$B$65,2,))/100,VLOOKUP(NAV!U482,환율!$A$11:$B$65,2,))))</f>
        <v>1</v>
      </c>
      <c r="W482" s="481"/>
      <c r="X482" s="482">
        <f t="shared" si="139"/>
        <v>0</v>
      </c>
      <c r="Y482" s="481"/>
      <c r="Z482" s="481"/>
      <c r="AA482" s="483">
        <f t="shared" si="140"/>
        <v>0</v>
      </c>
      <c r="AB482" s="554"/>
      <c r="AC482" s="526" t="str">
        <f t="shared" si="141"/>
        <v>2년이상</v>
      </c>
      <c r="AD482" s="520" t="str">
        <f t="shared" si="142"/>
        <v/>
      </c>
      <c r="AE482" s="527">
        <f t="shared" si="143"/>
        <v>0</v>
      </c>
      <c r="AF482" s="527">
        <f t="shared" si="144"/>
        <v>0</v>
      </c>
      <c r="AG482" s="485"/>
      <c r="AH482" s="485"/>
      <c r="AI482" s="404"/>
    </row>
    <row r="483" spans="1:35" ht="12.75" thickBot="1">
      <c r="A483" s="492"/>
      <c r="B483" s="496"/>
      <c r="C483" s="486" t="s">
        <v>603</v>
      </c>
      <c r="D483" s="487">
        <f>SUMIF(FS!$AY$9:$AY$39,개요!$B$145&amp;RIGHT(NAV!C483,4),FS!$BB$9:$BB$39)</f>
        <v>0</v>
      </c>
      <c r="E483" s="487">
        <f>D483</f>
        <v>0</v>
      </c>
      <c r="J483" s="551"/>
      <c r="K483" s="552"/>
      <c r="L483" s="551"/>
      <c r="M483" s="553"/>
      <c r="N483" s="553"/>
      <c r="O483" s="551"/>
      <c r="P483" s="553"/>
      <c r="Q483" s="524"/>
      <c r="R483" s="478">
        <f>IFERROR(INDEX(기초자산!M$6:M$408,MATCH(K483&amp;N483&amp;O483,기초자산!$A$6:$A$408,0),0),0)</f>
        <v>0</v>
      </c>
      <c r="S483" s="479">
        <f t="shared" si="138"/>
        <v>0</v>
      </c>
      <c r="T483" s="553"/>
      <c r="U483" s="471" t="s">
        <v>94</v>
      </c>
      <c r="V483" s="480">
        <f>IF(U483="한국 원화(KRW)",1,IF(OR(U483=환율!$A$6,U483=환율!$A$7),VLOOKUP(NAV!U483,환율!$A$6:$B$7,2,),IF(RIGHT(U483,5)="(100)",(VLOOKUP(NAV!U483,환율!$A$11:$B$65,2,))/100,VLOOKUP(NAV!U483,환율!$A$11:$B$65,2,))))</f>
        <v>1</v>
      </c>
      <c r="W483" s="481"/>
      <c r="X483" s="482">
        <f t="shared" si="139"/>
        <v>0</v>
      </c>
      <c r="Y483" s="481"/>
      <c r="Z483" s="481"/>
      <c r="AA483" s="483">
        <f t="shared" si="140"/>
        <v>0</v>
      </c>
      <c r="AB483" s="554"/>
      <c r="AC483" s="526" t="str">
        <f t="shared" si="141"/>
        <v>2년이상</v>
      </c>
      <c r="AD483" s="520" t="str">
        <f t="shared" si="142"/>
        <v/>
      </c>
      <c r="AE483" s="527">
        <f t="shared" si="143"/>
        <v>0</v>
      </c>
      <c r="AF483" s="527">
        <f t="shared" si="144"/>
        <v>0</v>
      </c>
      <c r="AG483" s="485"/>
      <c r="AH483" s="485"/>
      <c r="AI483" s="404"/>
    </row>
    <row r="484" spans="1:35" ht="12.75" thickBot="1">
      <c r="A484" s="489" t="s">
        <v>604</v>
      </c>
      <c r="B484" s="498" t="b">
        <f>D477+D478+D479+D480+D482+D483=D484</f>
        <v>1</v>
      </c>
      <c r="C484" s="493" t="s">
        <v>605</v>
      </c>
      <c r="D484" s="494">
        <f>D476+D481</f>
        <v>0</v>
      </c>
      <c r="E484" s="494">
        <f>E476+E481</f>
        <v>0</v>
      </c>
      <c r="J484" s="551"/>
      <c r="K484" s="552"/>
      <c r="L484" s="551"/>
      <c r="M484" s="553"/>
      <c r="N484" s="553"/>
      <c r="O484" s="551"/>
      <c r="P484" s="553"/>
      <c r="Q484" s="524"/>
      <c r="R484" s="478">
        <f>IFERROR(INDEX(기초자산!M$6:M$408,MATCH(K484&amp;N484&amp;O484,기초자산!$A$6:$A$408,0),0),0)</f>
        <v>0</v>
      </c>
      <c r="S484" s="479">
        <f t="shared" si="138"/>
        <v>0</v>
      </c>
      <c r="T484" s="553"/>
      <c r="U484" s="471" t="s">
        <v>94</v>
      </c>
      <c r="V484" s="480">
        <f>IF(U484="한국 원화(KRW)",1,IF(OR(U484=환율!$A$6,U484=환율!$A$7),VLOOKUP(NAV!U484,환율!$A$6:$B$7,2,),IF(RIGHT(U484,5)="(100)",(VLOOKUP(NAV!U484,환율!$A$11:$B$65,2,))/100,VLOOKUP(NAV!U484,환율!$A$11:$B$65,2,))))</f>
        <v>1</v>
      </c>
      <c r="W484" s="481"/>
      <c r="X484" s="482">
        <f t="shared" si="139"/>
        <v>0</v>
      </c>
      <c r="Y484" s="481"/>
      <c r="Z484" s="481"/>
      <c r="AA484" s="483">
        <f t="shared" si="140"/>
        <v>0</v>
      </c>
      <c r="AB484" s="554"/>
      <c r="AC484" s="526" t="str">
        <f t="shared" si="141"/>
        <v>2년이상</v>
      </c>
      <c r="AD484" s="520" t="str">
        <f t="shared" si="142"/>
        <v/>
      </c>
      <c r="AE484" s="527">
        <f t="shared" si="143"/>
        <v>0</v>
      </c>
      <c r="AF484" s="527">
        <f t="shared" si="144"/>
        <v>0</v>
      </c>
      <c r="AG484" s="485"/>
      <c r="AH484" s="485"/>
      <c r="AI484" s="404"/>
    </row>
    <row r="485" spans="1:35" ht="12.75" thickBot="1">
      <c r="A485" s="492"/>
      <c r="B485" s="555" t="str">
        <f>$B$465&amp;C485</f>
        <v>SPC없음자본금</v>
      </c>
      <c r="C485" s="486" t="s">
        <v>35</v>
      </c>
      <c r="D485" s="487">
        <f>SUMIF(FS!$AY$9:$AY$39,개요!$B$145&amp;RIGHT(NAV!C485,3),FS!$BB$9:$BB$39)</f>
        <v>0</v>
      </c>
      <c r="E485" s="487">
        <f>D485</f>
        <v>0</v>
      </c>
      <c r="J485" s="551"/>
      <c r="K485" s="552"/>
      <c r="L485" s="551"/>
      <c r="M485" s="553"/>
      <c r="N485" s="553"/>
      <c r="O485" s="551"/>
      <c r="P485" s="553"/>
      <c r="Q485" s="524"/>
      <c r="R485" s="478">
        <f>IFERROR(INDEX(기초자산!M$6:M$408,MATCH(K485&amp;N485&amp;O485,기초자산!$A$6:$A$408,0),0),0)</f>
        <v>0</v>
      </c>
      <c r="S485" s="479">
        <f t="shared" si="138"/>
        <v>0</v>
      </c>
      <c r="T485" s="553"/>
      <c r="U485" s="471" t="s">
        <v>94</v>
      </c>
      <c r="V485" s="480">
        <f>IF(U485="한국 원화(KRW)",1,IF(OR(U485=환율!$A$6,U485=환율!$A$7),VLOOKUP(NAV!U485,환율!$A$6:$B$7,2,),IF(RIGHT(U485,5)="(100)",(VLOOKUP(NAV!U485,환율!$A$11:$B$65,2,))/100,VLOOKUP(NAV!U485,환율!$A$11:$B$65,2,))))</f>
        <v>1</v>
      </c>
      <c r="W485" s="481"/>
      <c r="X485" s="482">
        <f t="shared" si="139"/>
        <v>0</v>
      </c>
      <c r="Y485" s="481"/>
      <c r="Z485" s="481"/>
      <c r="AA485" s="483">
        <f t="shared" si="140"/>
        <v>0</v>
      </c>
      <c r="AB485" s="554"/>
      <c r="AC485" s="526" t="str">
        <f t="shared" si="141"/>
        <v>2년이상</v>
      </c>
      <c r="AD485" s="520" t="str">
        <f t="shared" si="142"/>
        <v/>
      </c>
      <c r="AE485" s="527">
        <f t="shared" si="143"/>
        <v>0</v>
      </c>
      <c r="AF485" s="527">
        <f t="shared" si="144"/>
        <v>0</v>
      </c>
      <c r="AG485" s="485"/>
      <c r="AH485" s="485"/>
      <c r="AI485" s="404"/>
    </row>
    <row r="486" spans="1:35" ht="12.75" thickBot="1">
      <c r="C486" s="486" t="s">
        <v>606</v>
      </c>
      <c r="D486" s="487">
        <f>SUMIF(FS!$AY$9:$AY$39,개요!$B$145&amp;RIGHT(NAV!C486,10),FS!$BB$9:$BB$39)</f>
        <v>0</v>
      </c>
      <c r="E486" s="487">
        <f>D486</f>
        <v>0</v>
      </c>
      <c r="J486" s="551"/>
      <c r="K486" s="552"/>
      <c r="L486" s="551"/>
      <c r="M486" s="553"/>
      <c r="N486" s="553"/>
      <c r="O486" s="551"/>
      <c r="P486" s="553"/>
      <c r="Q486" s="524"/>
      <c r="R486" s="478">
        <f>IFERROR(INDEX(기초자산!M$6:M$408,MATCH(K486&amp;N486&amp;O486,기초자산!$A$6:$A$408,0),0),0)</f>
        <v>0</v>
      </c>
      <c r="S486" s="479">
        <f t="shared" si="138"/>
        <v>0</v>
      </c>
      <c r="T486" s="553"/>
      <c r="U486" s="471" t="s">
        <v>94</v>
      </c>
      <c r="V486" s="480">
        <f>IF(U486="한국 원화(KRW)",1,IF(OR(U486=환율!$A$6,U486=환율!$A$7),VLOOKUP(NAV!U486,환율!$A$6:$B$7,2,),IF(RIGHT(U486,5)="(100)",(VLOOKUP(NAV!U486,환율!$A$11:$B$65,2,))/100,VLOOKUP(NAV!U486,환율!$A$11:$B$65,2,))))</f>
        <v>1</v>
      </c>
      <c r="W486" s="481"/>
      <c r="X486" s="482">
        <f t="shared" si="139"/>
        <v>0</v>
      </c>
      <c r="Y486" s="481"/>
      <c r="Z486" s="481"/>
      <c r="AA486" s="483">
        <f t="shared" si="140"/>
        <v>0</v>
      </c>
      <c r="AB486" s="554"/>
      <c r="AC486" s="526" t="str">
        <f t="shared" si="141"/>
        <v>2년이상</v>
      </c>
      <c r="AD486" s="520" t="str">
        <f t="shared" si="142"/>
        <v/>
      </c>
      <c r="AE486" s="527">
        <f t="shared" si="143"/>
        <v>0</v>
      </c>
      <c r="AF486" s="527">
        <f t="shared" si="144"/>
        <v>0</v>
      </c>
      <c r="AG486" s="485"/>
      <c r="AH486" s="485"/>
      <c r="AI486" s="404"/>
    </row>
    <row r="487" spans="1:35" ht="12.75" thickBot="1">
      <c r="A487" s="489"/>
      <c r="B487" s="415"/>
      <c r="C487" s="486" t="s">
        <v>607</v>
      </c>
      <c r="D487" s="487">
        <f>SUMIF(FS!$AY$9:$AY$39,개요!$B$145&amp;RIGHT(NAV!C487,8),FS!$BB$9:$BB$39)</f>
        <v>0</v>
      </c>
      <c r="E487" s="487">
        <f>D487</f>
        <v>0</v>
      </c>
      <c r="J487" s="551"/>
      <c r="K487" s="552"/>
      <c r="L487" s="551"/>
      <c r="M487" s="553"/>
      <c r="N487" s="553"/>
      <c r="O487" s="551"/>
      <c r="P487" s="553"/>
      <c r="Q487" s="524"/>
      <c r="R487" s="478">
        <f>IFERROR(INDEX(기초자산!M$6:M$408,MATCH(K487&amp;N487&amp;O487,기초자산!$A$6:$A$408,0),0),0)</f>
        <v>0</v>
      </c>
      <c r="S487" s="479">
        <f t="shared" si="138"/>
        <v>0</v>
      </c>
      <c r="T487" s="553"/>
      <c r="U487" s="471" t="s">
        <v>94</v>
      </c>
      <c r="V487" s="480">
        <f>IF(U487="한국 원화(KRW)",1,IF(OR(U487=환율!$A$6,U487=환율!$A$7),VLOOKUP(NAV!U487,환율!$A$6:$B$7,2,),IF(RIGHT(U487,5)="(100)",(VLOOKUP(NAV!U487,환율!$A$11:$B$65,2,))/100,VLOOKUP(NAV!U487,환율!$A$11:$B$65,2,))))</f>
        <v>1</v>
      </c>
      <c r="W487" s="481"/>
      <c r="X487" s="482">
        <f t="shared" si="139"/>
        <v>0</v>
      </c>
      <c r="Y487" s="481"/>
      <c r="Z487" s="481"/>
      <c r="AA487" s="483">
        <f t="shared" si="140"/>
        <v>0</v>
      </c>
      <c r="AB487" s="554"/>
      <c r="AC487" s="526" t="str">
        <f t="shared" si="141"/>
        <v>2년이상</v>
      </c>
      <c r="AD487" s="520" t="str">
        <f t="shared" si="142"/>
        <v/>
      </c>
      <c r="AE487" s="527">
        <f t="shared" si="143"/>
        <v>0</v>
      </c>
      <c r="AF487" s="527">
        <f t="shared" si="144"/>
        <v>0</v>
      </c>
      <c r="AG487" s="485"/>
      <c r="AH487" s="485"/>
      <c r="AI487" s="404"/>
    </row>
    <row r="488" spans="1:35" ht="12.75" thickBot="1">
      <c r="A488" s="489" t="s">
        <v>608</v>
      </c>
      <c r="B488" s="415" t="b">
        <f>D488=SUM(D485:D487)</f>
        <v>1</v>
      </c>
      <c r="C488" s="493" t="s">
        <v>609</v>
      </c>
      <c r="D488" s="494">
        <f>D475-D484</f>
        <v>0</v>
      </c>
      <c r="E488" s="494">
        <f>E475-E484</f>
        <v>0</v>
      </c>
      <c r="J488" s="551"/>
      <c r="K488" s="552"/>
      <c r="L488" s="551"/>
      <c r="M488" s="553"/>
      <c r="N488" s="553"/>
      <c r="O488" s="551"/>
      <c r="P488" s="553"/>
      <c r="Q488" s="524"/>
      <c r="R488" s="478">
        <f>IFERROR(INDEX(기초자산!M$6:M$408,MATCH(K488&amp;N488&amp;O488,기초자산!$A$6:$A$408,0),0),0)</f>
        <v>0</v>
      </c>
      <c r="S488" s="479">
        <f t="shared" si="138"/>
        <v>0</v>
      </c>
      <c r="T488" s="553"/>
      <c r="U488" s="471" t="s">
        <v>94</v>
      </c>
      <c r="V488" s="480">
        <f>IF(U488="한국 원화(KRW)",1,IF(OR(U488=환율!$A$6,U488=환율!$A$7),VLOOKUP(NAV!U488,환율!$A$6:$B$7,2,),IF(RIGHT(U488,5)="(100)",(VLOOKUP(NAV!U488,환율!$A$11:$B$65,2,))/100,VLOOKUP(NAV!U488,환율!$A$11:$B$65,2,))))</f>
        <v>1</v>
      </c>
      <c r="W488" s="481"/>
      <c r="X488" s="482">
        <f t="shared" si="139"/>
        <v>0</v>
      </c>
      <c r="Y488" s="481"/>
      <c r="Z488" s="481"/>
      <c r="AA488" s="483">
        <f t="shared" si="140"/>
        <v>0</v>
      </c>
      <c r="AB488" s="554"/>
      <c r="AC488" s="526" t="str">
        <f t="shared" si="141"/>
        <v>2년이상</v>
      </c>
      <c r="AD488" s="520" t="str">
        <f t="shared" si="142"/>
        <v/>
      </c>
      <c r="AE488" s="527">
        <f t="shared" si="143"/>
        <v>0</v>
      </c>
      <c r="AF488" s="527">
        <f t="shared" si="144"/>
        <v>0</v>
      </c>
      <c r="AG488" s="485"/>
      <c r="AH488" s="485"/>
      <c r="AI488" s="404"/>
    </row>
    <row r="489" spans="1:35" ht="12.75" thickBot="1">
      <c r="A489" s="489"/>
      <c r="B489" s="415"/>
      <c r="C489" s="486" t="s">
        <v>610</v>
      </c>
      <c r="D489" s="487">
        <v>0</v>
      </c>
      <c r="E489" s="499">
        <v>0</v>
      </c>
      <c r="J489" s="551"/>
      <c r="K489" s="552"/>
      <c r="L489" s="551"/>
      <c r="M489" s="553"/>
      <c r="N489" s="553"/>
      <c r="O489" s="551"/>
      <c r="P489" s="553"/>
      <c r="Q489" s="524"/>
      <c r="R489" s="478">
        <f>IFERROR(INDEX(기초자산!M$6:M$408,MATCH(K489&amp;N489&amp;O489,기초자산!$A$6:$A$408,0),0),0)</f>
        <v>0</v>
      </c>
      <c r="S489" s="479">
        <f t="shared" si="138"/>
        <v>0</v>
      </c>
      <c r="T489" s="553"/>
      <c r="U489" s="471" t="s">
        <v>94</v>
      </c>
      <c r="V489" s="480">
        <f>IF(U489="한국 원화(KRW)",1,IF(OR(U489=환율!$A$6,U489=환율!$A$7),VLOOKUP(NAV!U489,환율!$A$6:$B$7,2,),IF(RIGHT(U489,5)="(100)",(VLOOKUP(NAV!U489,환율!$A$11:$B$65,2,))/100,VLOOKUP(NAV!U489,환율!$A$11:$B$65,2,))))</f>
        <v>1</v>
      </c>
      <c r="W489" s="481"/>
      <c r="X489" s="482">
        <f t="shared" si="139"/>
        <v>0</v>
      </c>
      <c r="Y489" s="481"/>
      <c r="Z489" s="481"/>
      <c r="AA489" s="483">
        <f t="shared" si="140"/>
        <v>0</v>
      </c>
      <c r="AB489" s="554"/>
      <c r="AC489" s="526" t="str">
        <f t="shared" si="141"/>
        <v>2년이상</v>
      </c>
      <c r="AD489" s="520" t="str">
        <f t="shared" si="142"/>
        <v/>
      </c>
      <c r="AE489" s="527">
        <f t="shared" si="143"/>
        <v>0</v>
      </c>
      <c r="AF489" s="527">
        <f t="shared" si="144"/>
        <v>0</v>
      </c>
      <c r="AG489" s="485"/>
      <c r="AH489" s="485"/>
      <c r="AI489" s="404"/>
    </row>
    <row r="490" spans="1:35">
      <c r="A490" s="489"/>
      <c r="B490" s="415"/>
      <c r="C490" s="486" t="s">
        <v>414</v>
      </c>
      <c r="D490" s="487">
        <v>0</v>
      </c>
      <c r="E490" s="499">
        <v>0</v>
      </c>
      <c r="J490" s="495"/>
      <c r="K490" s="415"/>
      <c r="L490" s="495"/>
      <c r="M490" s="415"/>
      <c r="N490" s="415"/>
      <c r="O490" s="415"/>
      <c r="P490" s="415"/>
      <c r="Q490" s="422"/>
      <c r="R490" s="415"/>
      <c r="S490" s="415"/>
      <c r="T490" s="415"/>
      <c r="U490" s="415"/>
      <c r="V490" s="415"/>
      <c r="W490" s="422"/>
      <c r="X490" s="415"/>
      <c r="Y490" s="458"/>
      <c r="Z490" s="422"/>
      <c r="AA490" s="556"/>
      <c r="AB490" s="556"/>
      <c r="AC490" s="415"/>
      <c r="AE490" s="415"/>
      <c r="AI490" s="404"/>
    </row>
    <row r="491" spans="1:35">
      <c r="A491" s="489"/>
      <c r="B491" s="415"/>
      <c r="C491" s="493" t="s">
        <v>611</v>
      </c>
      <c r="D491" s="494">
        <f>D488+D489-D490</f>
        <v>0</v>
      </c>
      <c r="E491" s="494">
        <f>IF(E488+E489-E490&gt;0,E488+E489-E490,0)</f>
        <v>0</v>
      </c>
      <c r="J491" s="305"/>
      <c r="K491" s="415"/>
      <c r="L491" s="305"/>
      <c r="M491" s="415"/>
      <c r="N491" s="415"/>
      <c r="O491" s="415"/>
      <c r="S491" s="415"/>
      <c r="T491" s="415"/>
      <c r="U491" s="415"/>
      <c r="V491" s="415"/>
      <c r="Y491" s="458"/>
      <c r="AD491" s="557" t="str">
        <f>B465&amp;"순자산가치"</f>
        <v>SPC없음순자산가치</v>
      </c>
      <c r="AE491" s="529">
        <f>IF(E471+SUM(AE471:AE476)+SUM(AE479:AE489)-E484&gt;0,E471+SUM(AE471:AE476)+SUM(AE479:AE489)-E484,0)</f>
        <v>0</v>
      </c>
      <c r="AF491" s="529">
        <f>IF(E471+SUM(AF471:AF476)+SUM(AF479:AF489)-E484&gt;0,E471+SUM(AF471:AF476)+SUM(AF479:AF489)-E484,0)</f>
        <v>0</v>
      </c>
      <c r="AI491" s="404"/>
    </row>
    <row r="492" spans="1:35">
      <c r="A492" s="489"/>
      <c r="B492" s="558" t="str">
        <f>$B$465&amp;C492</f>
        <v>SPC없음보유지분율(%)</v>
      </c>
      <c r="C492" s="493" t="s">
        <v>612</v>
      </c>
      <c r="D492" s="559">
        <f>개요!$C$154</f>
        <v>0</v>
      </c>
      <c r="E492" s="494">
        <f>E491*D492</f>
        <v>0</v>
      </c>
      <c r="F492" s="560" t="s">
        <v>613</v>
      </c>
      <c r="G492" s="560"/>
      <c r="J492" s="495"/>
      <c r="K492" s="415"/>
      <c r="L492" s="495"/>
      <c r="M492" s="415"/>
      <c r="N492" s="415"/>
      <c r="O492" s="415"/>
      <c r="S492" s="415"/>
      <c r="T492" s="415"/>
      <c r="U492" s="415"/>
      <c r="V492" s="415"/>
      <c r="Y492" s="458"/>
      <c r="AD492" s="557" t="s">
        <v>272</v>
      </c>
      <c r="AE492" s="561">
        <f>$D492</f>
        <v>0</v>
      </c>
      <c r="AF492" s="561">
        <f>$D492</f>
        <v>0</v>
      </c>
      <c r="AI492" s="404"/>
    </row>
    <row r="493" spans="1:35">
      <c r="A493" s="489"/>
      <c r="B493" s="415"/>
      <c r="G493" s="503" t="s">
        <v>614</v>
      </c>
      <c r="I493" s="562"/>
      <c r="J493" s="495"/>
      <c r="K493" s="415"/>
      <c r="L493" s="495"/>
      <c r="M493" s="415"/>
      <c r="N493" s="415"/>
      <c r="O493" s="415"/>
      <c r="S493" s="415"/>
      <c r="T493" s="415"/>
      <c r="U493" s="415"/>
      <c r="V493" s="415"/>
      <c r="Y493" s="458"/>
      <c r="AD493" s="557" t="str">
        <f>B465&amp;"지분율 반영 순자산가치"</f>
        <v>SPC없음지분율 반영 순자산가치</v>
      </c>
      <c r="AE493" s="529">
        <f>AE491*AE492</f>
        <v>0</v>
      </c>
      <c r="AF493" s="529">
        <f>AF491*AF492</f>
        <v>0</v>
      </c>
      <c r="AI493" s="404"/>
    </row>
    <row r="494" spans="1:35">
      <c r="A494" s="489"/>
      <c r="D494" s="504" t="s">
        <v>615</v>
      </c>
      <c r="E494" s="505">
        <f>$C$7</f>
        <v>45473</v>
      </c>
      <c r="F494" s="506"/>
      <c r="G494" s="505"/>
      <c r="I494" s="563"/>
      <c r="J494" s="495"/>
      <c r="K494" s="415"/>
      <c r="L494" s="495"/>
      <c r="M494" s="415"/>
      <c r="N494" s="415"/>
      <c r="O494" s="415"/>
      <c r="S494" s="415"/>
      <c r="T494" s="415"/>
      <c r="U494" s="415"/>
      <c r="V494" s="415"/>
      <c r="Y494" s="422"/>
      <c r="AI494" s="404"/>
    </row>
    <row r="495" spans="1:35">
      <c r="D495" s="486" t="s">
        <v>609</v>
      </c>
      <c r="E495" s="487">
        <f>E491</f>
        <v>0</v>
      </c>
      <c r="F495" s="507" t="e">
        <f>E495/G495-1</f>
        <v>#DIV/0!</v>
      </c>
      <c r="G495" s="487"/>
      <c r="I495" s="564"/>
      <c r="J495" s="495"/>
      <c r="K495" s="415"/>
      <c r="L495" s="495"/>
      <c r="M495" s="415"/>
      <c r="S495" s="415"/>
      <c r="T495" s="415"/>
      <c r="U495" s="415"/>
      <c r="V495" s="415"/>
      <c r="Y495" s="422"/>
      <c r="AI495" s="404"/>
    </row>
    <row r="496" spans="1:35">
      <c r="A496" s="489"/>
      <c r="B496" s="415"/>
      <c r="D496" s="486" t="s">
        <v>418</v>
      </c>
      <c r="E496" s="565">
        <f>$D$492</f>
        <v>0</v>
      </c>
      <c r="F496" s="507"/>
      <c r="G496" s="565"/>
      <c r="I496" s="566"/>
      <c r="J496" s="305"/>
      <c r="K496" s="415"/>
      <c r="L496" s="305"/>
      <c r="M496" s="415"/>
      <c r="S496" s="415"/>
      <c r="T496" s="415"/>
      <c r="U496" s="415"/>
      <c r="V496" s="415"/>
      <c r="Y496" s="422"/>
      <c r="AI496" s="404"/>
    </row>
    <row r="497" spans="1:35">
      <c r="A497" s="489"/>
      <c r="B497" s="415"/>
      <c r="D497" s="567" t="s">
        <v>420</v>
      </c>
      <c r="E497" s="568">
        <f>E495*E496</f>
        <v>0</v>
      </c>
      <c r="F497" s="507" t="e">
        <f>E497/G497-1</f>
        <v>#DIV/0!</v>
      </c>
      <c r="G497" s="568"/>
      <c r="I497" s="564"/>
      <c r="AI497" s="404"/>
    </row>
    <row r="498" spans="1:35">
      <c r="E498" s="304" t="b">
        <f>E497=E492</f>
        <v>1</v>
      </c>
      <c r="AI498" s="404"/>
    </row>
    <row r="499" spans="1:35">
      <c r="F499" s="507"/>
      <c r="G499" s="507"/>
      <c r="AI499" s="404"/>
    </row>
    <row r="500" spans="1:35" ht="12.75" thickBot="1">
      <c r="A500" s="536"/>
      <c r="B500" s="536"/>
      <c r="C500" s="536"/>
      <c r="D500" s="536"/>
      <c r="E500" s="536"/>
      <c r="F500" s="572"/>
      <c r="G500" s="572"/>
      <c r="H500" s="536"/>
      <c r="I500" s="537"/>
      <c r="J500" s="536"/>
      <c r="K500" s="536"/>
      <c r="L500" s="536"/>
      <c r="M500" s="536"/>
      <c r="N500" s="536"/>
      <c r="O500" s="536"/>
      <c r="P500" s="536"/>
      <c r="Q500" s="540"/>
      <c r="R500" s="536"/>
      <c r="S500" s="536"/>
      <c r="T500" s="536"/>
      <c r="U500" s="536"/>
      <c r="V500" s="536"/>
      <c r="W500" s="540"/>
      <c r="X500" s="536"/>
      <c r="Y500" s="540"/>
      <c r="Z500" s="540"/>
      <c r="AA500" s="536"/>
      <c r="AB500" s="536"/>
      <c r="AC500" s="536"/>
      <c r="AD500" s="541"/>
      <c r="AE500" s="536"/>
      <c r="AF500" s="536"/>
      <c r="AG500" s="536"/>
      <c r="AH500" s="536"/>
      <c r="AI500" s="404"/>
    </row>
    <row r="501" spans="1:35" ht="12.75" thickTop="1">
      <c r="F501" s="507"/>
      <c r="G501" s="507"/>
      <c r="AI501" s="404"/>
    </row>
    <row r="502" spans="1:35" ht="12.75" thickBot="1">
      <c r="A502" s="459"/>
      <c r="B502" s="415"/>
      <c r="J502" s="428" t="s">
        <v>273</v>
      </c>
      <c r="K502" s="489"/>
      <c r="L502" s="497"/>
      <c r="M502" s="489"/>
      <c r="N502" s="415"/>
      <c r="O502" s="415"/>
      <c r="AI502" s="404"/>
    </row>
    <row r="503" spans="1:35" ht="12.75" thickBot="1">
      <c r="A503" s="542" t="s">
        <v>498</v>
      </c>
      <c r="B503" s="543" t="str">
        <f>IF(개요!$B$157="","SPC없음",개요!$B$157)</f>
        <v>SPC없음</v>
      </c>
      <c r="C503" s="454"/>
      <c r="J503" s="433"/>
      <c r="K503" s="434"/>
      <c r="L503" s="434"/>
      <c r="M503" s="434"/>
      <c r="N503" s="434"/>
      <c r="O503" s="434"/>
      <c r="P503" s="434"/>
      <c r="Q503" s="435"/>
      <c r="R503" s="434"/>
      <c r="S503" s="434"/>
      <c r="T503" s="434"/>
      <c r="U503" s="434"/>
      <c r="V503" s="436"/>
      <c r="AI503" s="404"/>
    </row>
    <row r="504" spans="1:35">
      <c r="B504" s="543" t="s">
        <v>425</v>
      </c>
      <c r="C504" s="569" t="str">
        <f>IF(개요!$C$158="","SPC없음",개요!$C$158)</f>
        <v>SPC없음</v>
      </c>
      <c r="J504" s="442"/>
      <c r="K504" s="151"/>
      <c r="L504" s="151"/>
      <c r="M504" s="151"/>
      <c r="N504" s="151"/>
      <c r="O504" s="151"/>
      <c r="P504" s="151"/>
      <c r="Q504" s="443"/>
      <c r="R504" s="151"/>
      <c r="S504" s="151"/>
      <c r="T504" s="151"/>
      <c r="U504" s="151"/>
      <c r="V504" s="444"/>
      <c r="AI504" s="404"/>
    </row>
    <row r="505" spans="1:35">
      <c r="B505" s="437" t="s">
        <v>370</v>
      </c>
      <c r="C505" s="570">
        <f>$C$7</f>
        <v>45473</v>
      </c>
      <c r="D505" s="546" t="b">
        <f>C505&gt;=C506</f>
        <v>1</v>
      </c>
      <c r="J505" s="442"/>
      <c r="K505" s="151"/>
      <c r="L505" s="151"/>
      <c r="M505" s="151"/>
      <c r="N505" s="151"/>
      <c r="O505" s="151"/>
      <c r="P505" s="151"/>
      <c r="Q505" s="443"/>
      <c r="R505" s="151"/>
      <c r="S505" s="151"/>
      <c r="T505" s="151"/>
      <c r="U505" s="151"/>
      <c r="V505" s="444"/>
      <c r="AI505" s="404"/>
    </row>
    <row r="506" spans="1:35" ht="12.75" thickBot="1">
      <c r="B506" s="449" t="s">
        <v>371</v>
      </c>
      <c r="C506" s="571">
        <f>FS!$BH$8</f>
        <v>0</v>
      </c>
      <c r="J506" s="453"/>
      <c r="K506" s="454"/>
      <c r="L506" s="454"/>
      <c r="M506" s="454"/>
      <c r="N506" s="454"/>
      <c r="O506" s="454"/>
      <c r="P506" s="454"/>
      <c r="Q506" s="455"/>
      <c r="R506" s="454"/>
      <c r="S506" s="454"/>
      <c r="T506" s="454"/>
      <c r="U506" s="454"/>
      <c r="V506" s="456"/>
      <c r="AI506" s="404"/>
    </row>
    <row r="507" spans="1:35">
      <c r="A507" s="459" t="s">
        <v>93</v>
      </c>
      <c r="J507" s="428" t="s">
        <v>616</v>
      </c>
      <c r="K507" s="448"/>
      <c r="L507" s="420"/>
      <c r="M507" s="448"/>
      <c r="N507" s="448"/>
      <c r="O507" s="448"/>
      <c r="P507" s="415"/>
      <c r="Q507" s="422"/>
      <c r="R507" s="415"/>
      <c r="S507" s="415"/>
      <c r="T507" s="415"/>
      <c r="U507" s="415"/>
      <c r="V507" s="415"/>
      <c r="W507" s="422"/>
      <c r="Z507" s="458"/>
      <c r="AE507" s="803" t="s">
        <v>8</v>
      </c>
      <c r="AF507" s="803"/>
      <c r="AG507" s="460"/>
      <c r="AH507" s="460"/>
      <c r="AI507" s="404"/>
    </row>
    <row r="508" spans="1:35" ht="12.75" thickBot="1">
      <c r="A508" s="461" t="str">
        <f>IF(AND(B509:B535),"검증완료","검증필요")</f>
        <v>검증완료</v>
      </c>
      <c r="B508" s="462" t="s">
        <v>373</v>
      </c>
      <c r="C508" s="462" t="s">
        <v>617</v>
      </c>
      <c r="D508" s="462" t="s">
        <v>618</v>
      </c>
      <c r="E508" s="462" t="s">
        <v>11</v>
      </c>
      <c r="J508" s="462" t="s">
        <v>375</v>
      </c>
      <c r="K508" s="464" t="s">
        <v>619</v>
      </c>
      <c r="L508" s="462" t="s">
        <v>369</v>
      </c>
      <c r="M508" s="462" t="s">
        <v>620</v>
      </c>
      <c r="N508" s="462" t="s">
        <v>378</v>
      </c>
      <c r="O508" s="462" t="s">
        <v>621</v>
      </c>
      <c r="P508" s="464" t="s">
        <v>586</v>
      </c>
      <c r="Q508" s="465" t="s">
        <v>622</v>
      </c>
      <c r="R508" s="466" t="s">
        <v>623</v>
      </c>
      <c r="S508" s="466" t="s">
        <v>624</v>
      </c>
      <c r="T508" s="462" t="s">
        <v>12</v>
      </c>
      <c r="U508" s="462" t="s">
        <v>383</v>
      </c>
      <c r="V508" s="462" t="s">
        <v>625</v>
      </c>
      <c r="W508" s="465" t="s">
        <v>626</v>
      </c>
      <c r="X508" s="462" t="s">
        <v>385</v>
      </c>
      <c r="Y508" s="465" t="s">
        <v>430</v>
      </c>
      <c r="Z508" s="465" t="s">
        <v>3522</v>
      </c>
      <c r="AA508" s="464" t="s">
        <v>13</v>
      </c>
      <c r="AE508" s="467" t="s">
        <v>3627</v>
      </c>
      <c r="AF508" s="467" t="s">
        <v>3628</v>
      </c>
      <c r="AG508" s="467" t="s">
        <v>3629</v>
      </c>
      <c r="AH508" s="467" t="s">
        <v>3630</v>
      </c>
      <c r="AI508" s="404"/>
    </row>
    <row r="509" spans="1:35" ht="12.75" thickBot="1">
      <c r="A509" s="415"/>
      <c r="B509" s="415"/>
      <c r="C509" s="468" t="s">
        <v>627</v>
      </c>
      <c r="D509" s="469">
        <f>SUM(D510:D511)</f>
        <v>0</v>
      </c>
      <c r="E509" s="469">
        <f>SUM(E510:E511)</f>
        <v>0</v>
      </c>
      <c r="J509" s="476"/>
      <c r="K509" s="472"/>
      <c r="L509" s="473" t="str">
        <f>IF($J509="","SPC 없음",VLOOKUP($J509&amp;"SPC명",개요!$A$3:$E$1932,3,0))</f>
        <v>SPC 없음</v>
      </c>
      <c r="M509" s="474" t="str">
        <f>IF($J509="","SPC 없음",VLOOKUP($J509&amp;"설정일",개요!$A$3:$E$1932,3,0))</f>
        <v>SPC 없음</v>
      </c>
      <c r="N509" s="475" t="str">
        <f t="shared" ref="N509:N514" si="145">IF($J509="","SPC 없음",VLOOKUP($J509&amp;"자본금",$B$4:$E$2079,3,0)*VLOOKUP($J509&amp;"보유지분율(%)",$B$4:$E$2079,3,0))</f>
        <v>SPC 없음</v>
      </c>
      <c r="O509" s="471"/>
      <c r="P509" s="476"/>
      <c r="Q509" s="477"/>
      <c r="R509" s="478"/>
      <c r="S509" s="479" t="str">
        <f t="shared" ref="S509:S514" si="146">IF($J509="","SPC 없음",IF(P509="총액",IF(T509="장부가액 준용",W509,(VLOOKUP($J509&amp;"보유지분율(%)",$B$4:$E$2079,4,0))*V509),Q509*R509))</f>
        <v>SPC 없음</v>
      </c>
      <c r="T509" s="471"/>
      <c r="U509" s="471" t="s">
        <v>94</v>
      </c>
      <c r="V509" s="480">
        <f>IF(U509="한국 원화(KRW)",1,IF(OR(U509=환율!$A$6,U509=환율!$A$7),VLOOKUP(NAV!U509,환율!$A$6:$B$7,2,),IF(RIGHT(U509,5)="(100)",(VLOOKUP(NAV!U509,환율!$A$11:$B$65,2,))/100,VLOOKUP(NAV!U509,환율!$A$11:$B$65,2,))))</f>
        <v>1</v>
      </c>
      <c r="W509" s="481"/>
      <c r="X509" s="482">
        <f t="shared" ref="X509:X514" si="147">IFERROR(IF(P509="만원당",10000,Y509/Q509),0)</f>
        <v>0</v>
      </c>
      <c r="Y509" s="481"/>
      <c r="Z509" s="481"/>
      <c r="AA509" s="483">
        <f t="shared" ref="AA509:AA514" si="148">IFERROR(IF(Z509="",S509/W509-1,S509/Z509-1),0)</f>
        <v>0</v>
      </c>
      <c r="AE509" s="484" t="str">
        <f t="shared" ref="AE509:AE514" si="149">IF($J509="","SPC 없음",IF(P509="총액",(VLOOKUP($J509&amp;"지분율 반영 순자산가치",$AD$4:$AH$4973,2,0))*V509,AG509*$Q509))</f>
        <v>SPC 없음</v>
      </c>
      <c r="AF509" s="484" t="str">
        <f t="shared" ref="AF509:AF514" si="150">IF($J509="","SPC 없음",IF(P509="총액",(VLOOKUP($J509&amp;"지분율 반영 순자산가치",$AD$4:$AH$4973,3,0))*V509,AH509*$Q509))</f>
        <v>SPC 없음</v>
      </c>
      <c r="AG509" s="485"/>
      <c r="AH509" s="485"/>
      <c r="AI509" s="404"/>
    </row>
    <row r="510" spans="1:35" ht="12.75" thickBot="1">
      <c r="A510" s="415"/>
      <c r="B510" s="415"/>
      <c r="C510" s="486" t="s">
        <v>155</v>
      </c>
      <c r="D510" s="487">
        <f>SUMIF(FS!$BE$9:$BE$39,개요!$B$157&amp;RIGHT(NAV!C510,10),FS!$BH$9:$BH$39)</f>
        <v>0</v>
      </c>
      <c r="E510" s="487">
        <f>D510</f>
        <v>0</v>
      </c>
      <c r="J510" s="476"/>
      <c r="K510" s="472"/>
      <c r="L510" s="473" t="str">
        <f>IF($J510="","SPC 없음",VLOOKUP($J510&amp;"SPC명",개요!$A$3:$E$1932,3,0))</f>
        <v>SPC 없음</v>
      </c>
      <c r="M510" s="474" t="str">
        <f>IF($J510="","SPC 없음",VLOOKUP($J510&amp;"설정일",개요!$A$3:$E$1932,3,0))</f>
        <v>SPC 없음</v>
      </c>
      <c r="N510" s="475" t="str">
        <f t="shared" si="145"/>
        <v>SPC 없음</v>
      </c>
      <c r="O510" s="471"/>
      <c r="P510" s="476"/>
      <c r="Q510" s="477"/>
      <c r="R510" s="478"/>
      <c r="S510" s="479" t="str">
        <f t="shared" si="146"/>
        <v>SPC 없음</v>
      </c>
      <c r="T510" s="471"/>
      <c r="U510" s="471" t="s">
        <v>94</v>
      </c>
      <c r="V510" s="480">
        <f>IF(U510="한국 원화(KRW)",1,IF(OR(U510=환율!$A$6,U510=환율!$A$7),VLOOKUP(NAV!U510,환율!$A$6:$B$7,2,),IF(RIGHT(U510,5)="(100)",(VLOOKUP(NAV!U510,환율!$A$11:$B$65,2,))/100,VLOOKUP(NAV!U510,환율!$A$11:$B$65,2,))))</f>
        <v>1</v>
      </c>
      <c r="W510" s="481"/>
      <c r="X510" s="482">
        <f t="shared" si="147"/>
        <v>0</v>
      </c>
      <c r="Y510" s="481"/>
      <c r="Z510" s="481"/>
      <c r="AA510" s="483">
        <f t="shared" si="148"/>
        <v>0</v>
      </c>
      <c r="AE510" s="484" t="str">
        <f t="shared" si="149"/>
        <v>SPC 없음</v>
      </c>
      <c r="AF510" s="484" t="str">
        <f t="shared" si="150"/>
        <v>SPC 없음</v>
      </c>
      <c r="AG510" s="485"/>
      <c r="AH510" s="485"/>
      <c r="AI510" s="404"/>
    </row>
    <row r="511" spans="1:35" ht="12.75" thickBot="1">
      <c r="A511" s="415"/>
      <c r="B511" s="415"/>
      <c r="C511" s="486" t="s">
        <v>156</v>
      </c>
      <c r="D511" s="487">
        <f>SUMIF(FS!$BE$9:$BE$39,개요!$B$157&amp;RIGHT(NAV!C511,4),FS!$BH$9:$BH$39)</f>
        <v>0</v>
      </c>
      <c r="E511" s="487">
        <f>D511</f>
        <v>0</v>
      </c>
      <c r="J511" s="476"/>
      <c r="K511" s="472"/>
      <c r="L511" s="473" t="str">
        <f>IF($J511="","SPC 없음",VLOOKUP($J511&amp;"SPC명",개요!$A$3:$E$1932,3,0))</f>
        <v>SPC 없음</v>
      </c>
      <c r="M511" s="474" t="str">
        <f>IF($J511="","SPC 없음",VLOOKUP($J511&amp;"설정일",개요!$A$3:$E$1932,3,0))</f>
        <v>SPC 없음</v>
      </c>
      <c r="N511" s="475" t="str">
        <f t="shared" si="145"/>
        <v>SPC 없음</v>
      </c>
      <c r="O511" s="471"/>
      <c r="P511" s="476"/>
      <c r="Q511" s="477"/>
      <c r="R511" s="478"/>
      <c r="S511" s="479" t="str">
        <f t="shared" si="146"/>
        <v>SPC 없음</v>
      </c>
      <c r="T511" s="471"/>
      <c r="U511" s="471" t="s">
        <v>94</v>
      </c>
      <c r="V511" s="480">
        <f>IF(U511="한국 원화(KRW)",1,IF(OR(U511=환율!$A$6,U511=환율!$A$7),VLOOKUP(NAV!U511,환율!$A$6:$B$7,2,),IF(RIGHT(U511,5)="(100)",(VLOOKUP(NAV!U511,환율!$A$11:$B$65,2,))/100,VLOOKUP(NAV!U511,환율!$A$11:$B$65,2,))))</f>
        <v>1</v>
      </c>
      <c r="W511" s="481"/>
      <c r="X511" s="482">
        <f t="shared" si="147"/>
        <v>0</v>
      </c>
      <c r="Y511" s="481"/>
      <c r="Z511" s="481"/>
      <c r="AA511" s="483">
        <f t="shared" si="148"/>
        <v>0</v>
      </c>
      <c r="AE511" s="484" t="str">
        <f t="shared" si="149"/>
        <v>SPC 없음</v>
      </c>
      <c r="AF511" s="484" t="str">
        <f t="shared" si="150"/>
        <v>SPC 없음</v>
      </c>
      <c r="AG511" s="485"/>
      <c r="AH511" s="485"/>
      <c r="AI511" s="404"/>
    </row>
    <row r="512" spans="1:35" ht="12.75" thickBot="1">
      <c r="A512" s="489" t="s">
        <v>389</v>
      </c>
      <c r="B512" s="490" t="b">
        <f>SUM(W509:W514,W517:W527)=D512</f>
        <v>1</v>
      </c>
      <c r="C512" s="468" t="s">
        <v>390</v>
      </c>
      <c r="D512" s="469">
        <f>SUMIF(FS!$BE$9:$BE$39,개요!$B$157&amp;RIGHT(NAV!C512,4),FS!$BH$9:$BH$39)</f>
        <v>0</v>
      </c>
      <c r="E512" s="469">
        <f>SUM(S509:S514)+SUM(S517:S527)</f>
        <v>0</v>
      </c>
      <c r="J512" s="476"/>
      <c r="K512" s="472"/>
      <c r="L512" s="473" t="str">
        <f>IF($J512="","SPC 없음",VLOOKUP($J512&amp;"SPC명",개요!$A$3:$E$1932,3,0))</f>
        <v>SPC 없음</v>
      </c>
      <c r="M512" s="474" t="str">
        <f>IF($J512="","SPC 없음",VLOOKUP($J512&amp;"설정일",개요!$A$3:$E$1932,3,0))</f>
        <v>SPC 없음</v>
      </c>
      <c r="N512" s="475" t="str">
        <f t="shared" si="145"/>
        <v>SPC 없음</v>
      </c>
      <c r="O512" s="471"/>
      <c r="P512" s="476"/>
      <c r="Q512" s="477"/>
      <c r="R512" s="478"/>
      <c r="S512" s="479" t="str">
        <f t="shared" si="146"/>
        <v>SPC 없음</v>
      </c>
      <c r="T512" s="471"/>
      <c r="U512" s="471" t="s">
        <v>94</v>
      </c>
      <c r="V512" s="480">
        <f>IF(U512="한국 원화(KRW)",1,IF(OR(U512=환율!$A$6,U512=환율!$A$7),VLOOKUP(NAV!U512,환율!$A$6:$B$7,2,),IF(RIGHT(U512,5)="(100)",(VLOOKUP(NAV!U512,환율!$A$11:$B$65,2,))/100,VLOOKUP(NAV!U512,환율!$A$11:$B$65,2,))))</f>
        <v>1</v>
      </c>
      <c r="W512" s="481"/>
      <c r="X512" s="482">
        <f t="shared" si="147"/>
        <v>0</v>
      </c>
      <c r="Y512" s="481"/>
      <c r="Z512" s="481"/>
      <c r="AA512" s="483">
        <f t="shared" si="148"/>
        <v>0</v>
      </c>
      <c r="AE512" s="484" t="str">
        <f t="shared" si="149"/>
        <v>SPC 없음</v>
      </c>
      <c r="AF512" s="484" t="str">
        <f t="shared" si="150"/>
        <v>SPC 없음</v>
      </c>
      <c r="AG512" s="485"/>
      <c r="AH512" s="485"/>
      <c r="AI512" s="404"/>
    </row>
    <row r="513" spans="1:35" ht="12.75" thickBot="1">
      <c r="A513" s="492" t="s">
        <v>391</v>
      </c>
      <c r="B513" s="415" t="b">
        <f>D510+D511+D512=D513</f>
        <v>1</v>
      </c>
      <c r="C513" s="493" t="s">
        <v>479</v>
      </c>
      <c r="D513" s="494">
        <f>D509+D512</f>
        <v>0</v>
      </c>
      <c r="E513" s="494">
        <f>E509+E512</f>
        <v>0</v>
      </c>
      <c r="J513" s="476"/>
      <c r="K513" s="472"/>
      <c r="L513" s="473" t="str">
        <f>IF($J513="","SPC 없음",VLOOKUP($J513&amp;"SPC명",개요!$A$3:$E$1932,3,0))</f>
        <v>SPC 없음</v>
      </c>
      <c r="M513" s="474" t="str">
        <f>IF($J513="","SPC 없음",VLOOKUP($J513&amp;"설정일",개요!$A$3:$E$1932,3,0))</f>
        <v>SPC 없음</v>
      </c>
      <c r="N513" s="475" t="str">
        <f t="shared" si="145"/>
        <v>SPC 없음</v>
      </c>
      <c r="O513" s="471"/>
      <c r="P513" s="476"/>
      <c r="Q513" s="477"/>
      <c r="R513" s="478"/>
      <c r="S513" s="479" t="str">
        <f t="shared" si="146"/>
        <v>SPC 없음</v>
      </c>
      <c r="T513" s="471"/>
      <c r="U513" s="471" t="s">
        <v>94</v>
      </c>
      <c r="V513" s="480">
        <f>IF(U513="한국 원화(KRW)",1,IF(OR(U513=환율!$A$6,U513=환율!$A$7),VLOOKUP(NAV!U513,환율!$A$6:$B$7,2,),IF(RIGHT(U513,5)="(100)",(VLOOKUP(NAV!U513,환율!$A$11:$B$65,2,))/100,VLOOKUP(NAV!U513,환율!$A$11:$B$65,2,))))</f>
        <v>1</v>
      </c>
      <c r="W513" s="481"/>
      <c r="X513" s="482">
        <f t="shared" si="147"/>
        <v>0</v>
      </c>
      <c r="Y513" s="481"/>
      <c r="Z513" s="481"/>
      <c r="AA513" s="483">
        <f t="shared" si="148"/>
        <v>0</v>
      </c>
      <c r="AE513" s="484" t="str">
        <f t="shared" si="149"/>
        <v>SPC 없음</v>
      </c>
      <c r="AF513" s="484" t="str">
        <f t="shared" si="150"/>
        <v>SPC 없음</v>
      </c>
      <c r="AG513" s="485"/>
      <c r="AH513" s="485"/>
      <c r="AI513" s="404"/>
    </row>
    <row r="514" spans="1:35" ht="12.75" thickBot="1">
      <c r="A514" s="492"/>
      <c r="B514" s="496"/>
      <c r="C514" s="468" t="s">
        <v>18</v>
      </c>
      <c r="D514" s="469">
        <f>SUM(D515:D518)</f>
        <v>0</v>
      </c>
      <c r="E514" s="469">
        <f>SUM(E515:E518)</f>
        <v>0</v>
      </c>
      <c r="J514" s="476"/>
      <c r="K514" s="472"/>
      <c r="L514" s="473" t="str">
        <f>IF($J514="","SPC 없음",VLOOKUP($J514&amp;"SPC명",개요!$A$3:$E$1932,3,0))</f>
        <v>SPC 없음</v>
      </c>
      <c r="M514" s="474" t="str">
        <f>IF($J514="","SPC 없음",VLOOKUP($J514&amp;"설정일",개요!$A$3:$E$1932,3,0))</f>
        <v>SPC 없음</v>
      </c>
      <c r="N514" s="475" t="str">
        <f t="shared" si="145"/>
        <v>SPC 없음</v>
      </c>
      <c r="O514" s="471"/>
      <c r="P514" s="476"/>
      <c r="Q514" s="477"/>
      <c r="R514" s="478"/>
      <c r="S514" s="479" t="str">
        <f t="shared" si="146"/>
        <v>SPC 없음</v>
      </c>
      <c r="T514" s="471"/>
      <c r="U514" s="471" t="s">
        <v>94</v>
      </c>
      <c r="V514" s="480">
        <f>IF(U514="한국 원화(KRW)",1,IF(OR(U514=환율!$A$6,U514=환율!$A$7),VLOOKUP(NAV!U514,환율!$A$6:$B$7,2,),IF(RIGHT(U514,5)="(100)",(VLOOKUP(NAV!U514,환율!$A$11:$B$65,2,))/100,VLOOKUP(NAV!U514,환율!$A$11:$B$65,2,))))</f>
        <v>1</v>
      </c>
      <c r="W514" s="481"/>
      <c r="X514" s="482">
        <f t="shared" si="147"/>
        <v>0</v>
      </c>
      <c r="Y514" s="481"/>
      <c r="Z514" s="481"/>
      <c r="AA514" s="483">
        <f t="shared" si="148"/>
        <v>0</v>
      </c>
      <c r="AE514" s="484" t="str">
        <f t="shared" si="149"/>
        <v>SPC 없음</v>
      </c>
      <c r="AF514" s="484" t="str">
        <f t="shared" si="150"/>
        <v>SPC 없음</v>
      </c>
      <c r="AG514" s="485"/>
      <c r="AH514" s="485"/>
      <c r="AI514" s="404"/>
    </row>
    <row r="515" spans="1:35">
      <c r="A515" s="492"/>
      <c r="B515" s="496"/>
      <c r="C515" s="486" t="s">
        <v>152</v>
      </c>
      <c r="D515" s="487">
        <f>SUMIF(FS!$BE$9:$BE$39,개요!$B$157&amp;RIGHT(NAV!C515,5),FS!$BH$9:$BH$39)</f>
        <v>0</v>
      </c>
      <c r="E515" s="487">
        <f>D515</f>
        <v>0</v>
      </c>
      <c r="J515" s="428" t="s">
        <v>539</v>
      </c>
      <c r="K515" s="415"/>
      <c r="L515" s="305"/>
      <c r="M515" s="415"/>
      <c r="N515" s="415"/>
      <c r="O515" s="415"/>
      <c r="P515" s="415"/>
      <c r="Q515" s="422"/>
      <c r="R515" s="415"/>
      <c r="S515" s="415"/>
      <c r="T515" s="415"/>
      <c r="U515" s="415"/>
      <c r="W515" s="517" t="b">
        <f>SUM(W517:W527)+SUM(W509:W514)=D512</f>
        <v>1</v>
      </c>
      <c r="X515" s="415"/>
      <c r="Y515" s="422"/>
      <c r="Z515" s="422"/>
      <c r="AA515" s="459" t="str">
        <f>IF(OR(MAX(AA509:AA514,AA517:AA527)&gt;0.2,MIN(AA509:AA514,AA517:AA527)&lt;-0.2),"특이사항 확인","특이사항 없음")</f>
        <v>특이사항 없음</v>
      </c>
      <c r="AB515" s="415"/>
      <c r="AF515" s="415"/>
      <c r="AG515" s="415"/>
      <c r="AI515" s="404"/>
    </row>
    <row r="516" spans="1:35" ht="12.75" thickBot="1">
      <c r="A516" s="492"/>
      <c r="B516" s="496"/>
      <c r="C516" s="486" t="s">
        <v>157</v>
      </c>
      <c r="D516" s="487">
        <f>SUMIF(FS!$BE$9:$BE$39,개요!$B$157&amp;RIGHT(NAV!C516,3),FS!$BH$9:$BH$39)</f>
        <v>0</v>
      </c>
      <c r="E516" s="487">
        <f>D516</f>
        <v>0</v>
      </c>
      <c r="I516" s="518">
        <f>COUNTA(J517:J527)</f>
        <v>0</v>
      </c>
      <c r="J516" s="548" t="s">
        <v>394</v>
      </c>
      <c r="K516" s="548" t="s">
        <v>0</v>
      </c>
      <c r="L516" s="548" t="s">
        <v>435</v>
      </c>
      <c r="M516" s="548" t="s">
        <v>396</v>
      </c>
      <c r="N516" s="548" t="s">
        <v>397</v>
      </c>
      <c r="O516" s="548" t="s">
        <v>398</v>
      </c>
      <c r="P516" s="548" t="s">
        <v>380</v>
      </c>
      <c r="Q516" s="519" t="s">
        <v>14</v>
      </c>
      <c r="R516" s="466" t="s">
        <v>299</v>
      </c>
      <c r="S516" s="466" t="s">
        <v>3525</v>
      </c>
      <c r="T516" s="549" t="s">
        <v>12</v>
      </c>
      <c r="U516" s="548" t="s">
        <v>383</v>
      </c>
      <c r="V516" s="548" t="s">
        <v>384</v>
      </c>
      <c r="W516" s="550" t="s">
        <v>628</v>
      </c>
      <c r="X516" s="549" t="s">
        <v>401</v>
      </c>
      <c r="Y516" s="550" t="s">
        <v>402</v>
      </c>
      <c r="Z516" s="550" t="s">
        <v>3523</v>
      </c>
      <c r="AA516" s="548" t="s">
        <v>13</v>
      </c>
      <c r="AB516" s="548" t="s">
        <v>15</v>
      </c>
      <c r="AC516" s="548" t="s">
        <v>473</v>
      </c>
      <c r="AE516" s="467" t="s">
        <v>3627</v>
      </c>
      <c r="AF516" s="467" t="s">
        <v>3628</v>
      </c>
      <c r="AG516" s="467" t="s">
        <v>3629</v>
      </c>
      <c r="AH516" s="467" t="s">
        <v>3630</v>
      </c>
      <c r="AI516" s="404"/>
    </row>
    <row r="517" spans="1:35" ht="12.75" thickBot="1">
      <c r="A517" s="492"/>
      <c r="B517" s="496"/>
      <c r="C517" s="486" t="s">
        <v>158</v>
      </c>
      <c r="D517" s="487">
        <f>SUMIF(FS!$BE$9:$BE$39,개요!$B$157&amp;RIGHT(NAV!C517,6),FS!$BH$9:$BH$39)</f>
        <v>0</v>
      </c>
      <c r="E517" s="487">
        <f>D517</f>
        <v>0</v>
      </c>
      <c r="J517" s="551"/>
      <c r="K517" s="552"/>
      <c r="L517" s="551"/>
      <c r="M517" s="553"/>
      <c r="N517" s="553"/>
      <c r="O517" s="551"/>
      <c r="P517" s="553"/>
      <c r="Q517" s="524"/>
      <c r="R517" s="478">
        <f>IFERROR(INDEX(기초자산!M$6:M$408,MATCH(K517&amp;N517&amp;O517,기초자산!$A$6:$A$408,0),0),0)</f>
        <v>0</v>
      </c>
      <c r="S517" s="479">
        <f t="shared" ref="S517:S527" si="151">IFERROR(IF(T517="취득원가 준용",Y517,IF(T517="장부가액 준용",W517,IF(P517="주당",R517*Q517*V517,IF(RIGHT(U517,5)="(100)",Y517/1000*R517*V517,Y517/10000*R517*V517)))),0)</f>
        <v>0</v>
      </c>
      <c r="T517" s="553"/>
      <c r="U517" s="471" t="s">
        <v>94</v>
      </c>
      <c r="V517" s="480">
        <f>IF(U517="한국 원화(KRW)",1,IF(OR(U517=환율!$A$6,U517=환율!$A$7),VLOOKUP(NAV!U517,환율!$A$6:$B$7,2,),IF(RIGHT(U517,5)="(100)",(VLOOKUP(NAV!U517,환율!$A$11:$B$65,2,))/100,VLOOKUP(NAV!U517,환율!$A$11:$B$65,2,))))</f>
        <v>1</v>
      </c>
      <c r="W517" s="481"/>
      <c r="X517" s="482">
        <f t="shared" ref="X517:X527" si="152">IFERROR(IF(P517="만원당",10000,Y517/Q517),0)</f>
        <v>0</v>
      </c>
      <c r="Y517" s="481"/>
      <c r="Z517" s="481"/>
      <c r="AA517" s="483">
        <f t="shared" ref="AA517:AA527" si="153">IFERROR(IF(Z517="",S517/W517-1,S517/Z517-1),0)</f>
        <v>0</v>
      </c>
      <c r="AB517" s="554"/>
      <c r="AC517" s="526" t="str">
        <f t="shared" ref="AC517:AC527" si="154">IF(($C$7-AB517)/365&gt;2,"2년이상","2년미만")</f>
        <v>2년이상</v>
      </c>
      <c r="AD517" s="520" t="str">
        <f t="shared" ref="AD517:AD527" si="155">IF(OR(AA517&gt;20%,AA517&lt;-20%),"(1) Note 기재","")</f>
        <v/>
      </c>
      <c r="AE517" s="527">
        <f>IF(OR(T517="MTP",T517="과거거래 이용법",T517="취득원가 준용",T517="장부가액 준용",T517="상장종가 적용"),S517,IF(P517="주당",AG517*Q517*V517,Y517/10000*AG517*V517))</f>
        <v>0</v>
      </c>
      <c r="AF517" s="527">
        <f>IF(OR(T517="MTP",T517="과거거래 이용법",T517="취득원가 준용",T517="장부가액 준용",T517="상장종가 적용"),S517,IF(P517="주당",AH517*Q517*V517,Y517/10000*AH517*V517))</f>
        <v>0</v>
      </c>
      <c r="AG517" s="485"/>
      <c r="AH517" s="485"/>
      <c r="AI517" s="404"/>
    </row>
    <row r="518" spans="1:35" ht="12.75" thickBot="1">
      <c r="A518" s="492"/>
      <c r="B518" s="496"/>
      <c r="C518" s="486" t="s">
        <v>3385</v>
      </c>
      <c r="D518" s="487">
        <f>SUMIF(FS!$BE$9:$BE$39,개요!$B$157&amp;RIGHT(NAV!C518,7),FS!$BH$9:$BH$39)</f>
        <v>0</v>
      </c>
      <c r="E518" s="487">
        <f>D518</f>
        <v>0</v>
      </c>
      <c r="J518" s="551"/>
      <c r="K518" s="552"/>
      <c r="L518" s="551"/>
      <c r="M518" s="553"/>
      <c r="N518" s="553"/>
      <c r="O518" s="551"/>
      <c r="P518" s="553"/>
      <c r="Q518" s="524"/>
      <c r="R518" s="478">
        <f>IFERROR(INDEX(기초자산!M$6:M$408,MATCH(K518&amp;N518&amp;O518,기초자산!$A$6:$A$408,0),0),0)</f>
        <v>0</v>
      </c>
      <c r="S518" s="479">
        <f t="shared" si="151"/>
        <v>0</v>
      </c>
      <c r="T518" s="553"/>
      <c r="U518" s="471" t="s">
        <v>94</v>
      </c>
      <c r="V518" s="480">
        <f>IF(U518="한국 원화(KRW)",1,IF(OR(U518=환율!$A$6,U518=환율!$A$7),VLOOKUP(NAV!U518,환율!$A$6:$B$7,2,),IF(RIGHT(U518,5)="(100)",(VLOOKUP(NAV!U518,환율!$A$11:$B$65,2,))/100,VLOOKUP(NAV!U518,환율!$A$11:$B$65,2,))))</f>
        <v>1</v>
      </c>
      <c r="W518" s="481"/>
      <c r="X518" s="482">
        <f t="shared" si="152"/>
        <v>0</v>
      </c>
      <c r="Y518" s="481"/>
      <c r="Z518" s="481"/>
      <c r="AA518" s="483">
        <f t="shared" si="153"/>
        <v>0</v>
      </c>
      <c r="AB518" s="554"/>
      <c r="AC518" s="526" t="str">
        <f t="shared" si="154"/>
        <v>2년이상</v>
      </c>
      <c r="AD518" s="520" t="str">
        <f t="shared" si="155"/>
        <v/>
      </c>
      <c r="AE518" s="527">
        <f t="shared" ref="AE518:AE527" si="156">IF(OR(T518="MTP",T518="과거거래 이용법",T518="취득원가 준용",T518="장부가액 준용",T518="상장종가 적용"),S518,IF(P518="주당",AG518*Q518*V518,Y518/10000*AG518*V518))</f>
        <v>0</v>
      </c>
      <c r="AF518" s="527">
        <f t="shared" ref="AF518:AF527" si="157">IF(OR(T518="MTP",T518="과거거래 이용법",T518="취득원가 준용",T518="장부가액 준용",T518="상장종가 적용"),S518,IF(P518="주당",AH518*Q518*V518,Y518/10000*AH518*V518))</f>
        <v>0</v>
      </c>
      <c r="AG518" s="485"/>
      <c r="AH518" s="485"/>
      <c r="AI518" s="404"/>
    </row>
    <row r="519" spans="1:35" ht="12.75" thickBot="1">
      <c r="A519" s="492"/>
      <c r="B519" s="496"/>
      <c r="C519" s="468" t="s">
        <v>629</v>
      </c>
      <c r="D519" s="469">
        <f>SUM(D520:D521)</f>
        <v>0</v>
      </c>
      <c r="E519" s="469">
        <f>SUM(E520:E521)</f>
        <v>0</v>
      </c>
      <c r="J519" s="551"/>
      <c r="K519" s="552"/>
      <c r="L519" s="551"/>
      <c r="M519" s="553"/>
      <c r="N519" s="553"/>
      <c r="O519" s="551"/>
      <c r="P519" s="553"/>
      <c r="Q519" s="524"/>
      <c r="R519" s="478">
        <f>IFERROR(INDEX(기초자산!M$6:M$408,MATCH(K519&amp;N519&amp;O519,기초자산!$A$6:$A$408,0),0),0)</f>
        <v>0</v>
      </c>
      <c r="S519" s="479">
        <f t="shared" si="151"/>
        <v>0</v>
      </c>
      <c r="T519" s="553"/>
      <c r="U519" s="471" t="s">
        <v>94</v>
      </c>
      <c r="V519" s="480">
        <f>IF(U519="한국 원화(KRW)",1,IF(OR(U519=환율!$A$6,U519=환율!$A$7),VLOOKUP(NAV!U519,환율!$A$6:$B$7,2,),IF(RIGHT(U519,5)="(100)",(VLOOKUP(NAV!U519,환율!$A$11:$B$65,2,))/100,VLOOKUP(NAV!U519,환율!$A$11:$B$65,2,))))</f>
        <v>1</v>
      </c>
      <c r="W519" s="481"/>
      <c r="X519" s="482">
        <f t="shared" si="152"/>
        <v>0</v>
      </c>
      <c r="Y519" s="481"/>
      <c r="Z519" s="481"/>
      <c r="AA519" s="483">
        <f t="shared" si="153"/>
        <v>0</v>
      </c>
      <c r="AB519" s="554"/>
      <c r="AC519" s="526" t="str">
        <f t="shared" si="154"/>
        <v>2년이상</v>
      </c>
      <c r="AD519" s="520" t="str">
        <f t="shared" si="155"/>
        <v/>
      </c>
      <c r="AE519" s="527">
        <f t="shared" si="156"/>
        <v>0</v>
      </c>
      <c r="AF519" s="527">
        <f t="shared" si="157"/>
        <v>0</v>
      </c>
      <c r="AG519" s="485"/>
      <c r="AH519" s="485"/>
      <c r="AI519" s="404"/>
    </row>
    <row r="520" spans="1:35" ht="12.75" thickBot="1">
      <c r="A520" s="492"/>
      <c r="B520" s="496"/>
      <c r="C520" s="486" t="s">
        <v>3386</v>
      </c>
      <c r="D520" s="487">
        <f>SUMIF(FS!$BE$9:$BE$39,개요!$B$157&amp;RIGHT(NAV!C520,3),FS!$BH$9:$BH$39)</f>
        <v>0</v>
      </c>
      <c r="E520" s="487">
        <f>D520</f>
        <v>0</v>
      </c>
      <c r="J520" s="551"/>
      <c r="K520" s="552"/>
      <c r="L520" s="551"/>
      <c r="M520" s="553"/>
      <c r="N520" s="553"/>
      <c r="O520" s="551"/>
      <c r="P520" s="553"/>
      <c r="Q520" s="524"/>
      <c r="R520" s="478">
        <f>IFERROR(INDEX(기초자산!M$6:M$408,MATCH(K520&amp;N520&amp;O520,기초자산!$A$6:$A$408,0),0),0)</f>
        <v>0</v>
      </c>
      <c r="S520" s="479">
        <f t="shared" si="151"/>
        <v>0</v>
      </c>
      <c r="T520" s="553"/>
      <c r="U520" s="471" t="s">
        <v>94</v>
      </c>
      <c r="V520" s="480">
        <f>IF(U520="한국 원화(KRW)",1,IF(OR(U520=환율!$A$6,U520=환율!$A$7),VLOOKUP(NAV!U520,환율!$A$6:$B$7,2,),IF(RIGHT(U520,5)="(100)",(VLOOKUP(NAV!U520,환율!$A$11:$B$65,2,))/100,VLOOKUP(NAV!U520,환율!$A$11:$B$65,2,))))</f>
        <v>1</v>
      </c>
      <c r="W520" s="481"/>
      <c r="X520" s="482">
        <f t="shared" si="152"/>
        <v>0</v>
      </c>
      <c r="Y520" s="481"/>
      <c r="Z520" s="481"/>
      <c r="AA520" s="483">
        <f t="shared" si="153"/>
        <v>0</v>
      </c>
      <c r="AB520" s="554"/>
      <c r="AC520" s="526" t="str">
        <f t="shared" si="154"/>
        <v>2년이상</v>
      </c>
      <c r="AD520" s="520" t="str">
        <f t="shared" si="155"/>
        <v/>
      </c>
      <c r="AE520" s="527">
        <f t="shared" si="156"/>
        <v>0</v>
      </c>
      <c r="AF520" s="527">
        <f t="shared" si="157"/>
        <v>0</v>
      </c>
      <c r="AG520" s="485"/>
      <c r="AH520" s="485"/>
      <c r="AI520" s="404"/>
    </row>
    <row r="521" spans="1:35" ht="12.75" thickBot="1">
      <c r="A521" s="492"/>
      <c r="B521" s="496"/>
      <c r="C521" s="486" t="s">
        <v>3387</v>
      </c>
      <c r="D521" s="487">
        <f>SUMIF(FS!$BE$9:$BE$39,개요!$B$157&amp;RIGHT(NAV!C521,4),FS!$BH$9:$BH$39)</f>
        <v>0</v>
      </c>
      <c r="E521" s="487">
        <f>D521</f>
        <v>0</v>
      </c>
      <c r="J521" s="551"/>
      <c r="K521" s="552"/>
      <c r="L521" s="551"/>
      <c r="M521" s="553"/>
      <c r="N521" s="553"/>
      <c r="O521" s="551"/>
      <c r="P521" s="553"/>
      <c r="Q521" s="524"/>
      <c r="R521" s="478">
        <f>IFERROR(INDEX(기초자산!M$6:M$408,MATCH(K521&amp;N521&amp;O521,기초자산!$A$6:$A$408,0),0),0)</f>
        <v>0</v>
      </c>
      <c r="S521" s="479">
        <f t="shared" si="151"/>
        <v>0</v>
      </c>
      <c r="T521" s="553"/>
      <c r="U521" s="471" t="s">
        <v>94</v>
      </c>
      <c r="V521" s="480">
        <f>IF(U521="한국 원화(KRW)",1,IF(OR(U521=환율!$A$6,U521=환율!$A$7),VLOOKUP(NAV!U521,환율!$A$6:$B$7,2,),IF(RIGHT(U521,5)="(100)",(VLOOKUP(NAV!U521,환율!$A$11:$B$65,2,))/100,VLOOKUP(NAV!U521,환율!$A$11:$B$65,2,))))</f>
        <v>1</v>
      </c>
      <c r="W521" s="481"/>
      <c r="X521" s="482">
        <f t="shared" si="152"/>
        <v>0</v>
      </c>
      <c r="Y521" s="481"/>
      <c r="Z521" s="481"/>
      <c r="AA521" s="483">
        <f t="shared" si="153"/>
        <v>0</v>
      </c>
      <c r="AB521" s="554"/>
      <c r="AC521" s="526" t="str">
        <f t="shared" si="154"/>
        <v>2년이상</v>
      </c>
      <c r="AD521" s="520" t="str">
        <f t="shared" si="155"/>
        <v/>
      </c>
      <c r="AE521" s="527">
        <f t="shared" si="156"/>
        <v>0</v>
      </c>
      <c r="AF521" s="527">
        <f t="shared" si="157"/>
        <v>0</v>
      </c>
      <c r="AG521" s="485"/>
      <c r="AH521" s="485"/>
      <c r="AI521" s="404"/>
    </row>
    <row r="522" spans="1:35" ht="12.75" thickBot="1">
      <c r="A522" s="489" t="s">
        <v>630</v>
      </c>
      <c r="B522" s="498" t="b">
        <f>D515+D516+D517+D518+D520+D521=D522</f>
        <v>1</v>
      </c>
      <c r="C522" s="493" t="s">
        <v>477</v>
      </c>
      <c r="D522" s="494">
        <f>D514+D519</f>
        <v>0</v>
      </c>
      <c r="E522" s="494">
        <f>E514+E519</f>
        <v>0</v>
      </c>
      <c r="J522" s="551"/>
      <c r="K522" s="552"/>
      <c r="L522" s="551"/>
      <c r="M522" s="553"/>
      <c r="N522" s="553"/>
      <c r="O522" s="551"/>
      <c r="P522" s="553"/>
      <c r="Q522" s="524"/>
      <c r="R522" s="478">
        <f>IFERROR(INDEX(기초자산!M$6:M$408,MATCH(K522&amp;N522&amp;O522,기초자산!$A$6:$A$408,0),0),0)</f>
        <v>0</v>
      </c>
      <c r="S522" s="479">
        <f t="shared" si="151"/>
        <v>0</v>
      </c>
      <c r="T522" s="553"/>
      <c r="U522" s="471" t="s">
        <v>94</v>
      </c>
      <c r="V522" s="480">
        <f>IF(U522="한국 원화(KRW)",1,IF(OR(U522=환율!$A$6,U522=환율!$A$7),VLOOKUP(NAV!U522,환율!$A$6:$B$7,2,),IF(RIGHT(U522,5)="(100)",(VLOOKUP(NAV!U522,환율!$A$11:$B$65,2,))/100,VLOOKUP(NAV!U522,환율!$A$11:$B$65,2,))))</f>
        <v>1</v>
      </c>
      <c r="W522" s="481"/>
      <c r="X522" s="482">
        <f t="shared" si="152"/>
        <v>0</v>
      </c>
      <c r="Y522" s="481"/>
      <c r="Z522" s="481"/>
      <c r="AA522" s="483">
        <f t="shared" si="153"/>
        <v>0</v>
      </c>
      <c r="AB522" s="554"/>
      <c r="AC522" s="526" t="str">
        <f t="shared" si="154"/>
        <v>2년이상</v>
      </c>
      <c r="AD522" s="520" t="str">
        <f t="shared" si="155"/>
        <v/>
      </c>
      <c r="AE522" s="527">
        <f t="shared" si="156"/>
        <v>0</v>
      </c>
      <c r="AF522" s="527">
        <f t="shared" si="157"/>
        <v>0</v>
      </c>
      <c r="AG522" s="485"/>
      <c r="AH522" s="485"/>
      <c r="AI522" s="404"/>
    </row>
    <row r="523" spans="1:35" ht="12.75" thickBot="1">
      <c r="A523" s="492"/>
      <c r="B523" s="555" t="str">
        <f>B503&amp;C523</f>
        <v>SPC없음자본금</v>
      </c>
      <c r="C523" s="486" t="s">
        <v>118</v>
      </c>
      <c r="D523" s="487">
        <f>SUMIF(FS!$BE$9:$BE$39,개요!$B$157&amp;RIGHT(NAV!C523,3),FS!$BH$9:$BH$39)</f>
        <v>0</v>
      </c>
      <c r="E523" s="487">
        <f>D523</f>
        <v>0</v>
      </c>
      <c r="J523" s="551"/>
      <c r="K523" s="552"/>
      <c r="L523" s="551"/>
      <c r="M523" s="553"/>
      <c r="N523" s="553"/>
      <c r="O523" s="551"/>
      <c r="P523" s="553"/>
      <c r="Q523" s="524"/>
      <c r="R523" s="478">
        <f>IFERROR(INDEX(기초자산!M$6:M$408,MATCH(K523&amp;N523&amp;O523,기초자산!$A$6:$A$408,0),0),0)</f>
        <v>0</v>
      </c>
      <c r="S523" s="479">
        <f t="shared" si="151"/>
        <v>0</v>
      </c>
      <c r="T523" s="553"/>
      <c r="U523" s="471" t="s">
        <v>94</v>
      </c>
      <c r="V523" s="480">
        <f>IF(U523="한국 원화(KRW)",1,IF(OR(U523=환율!$A$6,U523=환율!$A$7),VLOOKUP(NAV!U523,환율!$A$6:$B$7,2,),IF(RIGHT(U523,5)="(100)",(VLOOKUP(NAV!U523,환율!$A$11:$B$65,2,))/100,VLOOKUP(NAV!U523,환율!$A$11:$B$65,2,))))</f>
        <v>1</v>
      </c>
      <c r="W523" s="481"/>
      <c r="X523" s="482">
        <f t="shared" si="152"/>
        <v>0</v>
      </c>
      <c r="Y523" s="481"/>
      <c r="Z523" s="481"/>
      <c r="AA523" s="483">
        <f t="shared" si="153"/>
        <v>0</v>
      </c>
      <c r="AB523" s="554"/>
      <c r="AC523" s="526" t="str">
        <f t="shared" si="154"/>
        <v>2년이상</v>
      </c>
      <c r="AD523" s="520" t="str">
        <f t="shared" si="155"/>
        <v/>
      </c>
      <c r="AE523" s="527">
        <f t="shared" si="156"/>
        <v>0</v>
      </c>
      <c r="AF523" s="527">
        <f t="shared" si="157"/>
        <v>0</v>
      </c>
      <c r="AG523" s="485"/>
      <c r="AH523" s="485"/>
      <c r="AI523" s="404"/>
    </row>
    <row r="524" spans="1:35" ht="12.75" thickBot="1">
      <c r="C524" s="486" t="s">
        <v>119</v>
      </c>
      <c r="D524" s="487">
        <f>SUMIF(FS!$BE$9:$BE$39,개요!$B$157&amp;RIGHT(NAV!C524,10),FS!$BH$9:$BH$39)</f>
        <v>0</v>
      </c>
      <c r="E524" s="487">
        <f>D524</f>
        <v>0</v>
      </c>
      <c r="J524" s="551"/>
      <c r="K524" s="552"/>
      <c r="L524" s="551"/>
      <c r="M524" s="553"/>
      <c r="N524" s="553"/>
      <c r="O524" s="551"/>
      <c r="P524" s="553"/>
      <c r="Q524" s="524"/>
      <c r="R524" s="478">
        <f>IFERROR(INDEX(기초자산!M$6:M$408,MATCH(K524&amp;N524&amp;O524,기초자산!$A$6:$A$408,0),0),0)</f>
        <v>0</v>
      </c>
      <c r="S524" s="479">
        <f t="shared" si="151"/>
        <v>0</v>
      </c>
      <c r="T524" s="553"/>
      <c r="U524" s="471" t="s">
        <v>94</v>
      </c>
      <c r="V524" s="480">
        <f>IF(U524="한국 원화(KRW)",1,IF(OR(U524=환율!$A$6,U524=환율!$A$7),VLOOKUP(NAV!U524,환율!$A$6:$B$7,2,),IF(RIGHT(U524,5)="(100)",(VLOOKUP(NAV!U524,환율!$A$11:$B$65,2,))/100,VLOOKUP(NAV!U524,환율!$A$11:$B$65,2,))))</f>
        <v>1</v>
      </c>
      <c r="W524" s="481"/>
      <c r="X524" s="482">
        <f t="shared" si="152"/>
        <v>0</v>
      </c>
      <c r="Y524" s="481"/>
      <c r="Z524" s="481"/>
      <c r="AA524" s="483">
        <f t="shared" si="153"/>
        <v>0</v>
      </c>
      <c r="AB524" s="554"/>
      <c r="AC524" s="526" t="str">
        <f t="shared" si="154"/>
        <v>2년이상</v>
      </c>
      <c r="AD524" s="520" t="str">
        <f t="shared" si="155"/>
        <v/>
      </c>
      <c r="AE524" s="527">
        <f t="shared" si="156"/>
        <v>0</v>
      </c>
      <c r="AF524" s="527">
        <f t="shared" si="157"/>
        <v>0</v>
      </c>
      <c r="AG524" s="485"/>
      <c r="AH524" s="485"/>
      <c r="AI524" s="404"/>
    </row>
    <row r="525" spans="1:35" ht="12.75" thickBot="1">
      <c r="A525" s="489"/>
      <c r="B525" s="415"/>
      <c r="C525" s="486" t="s">
        <v>121</v>
      </c>
      <c r="D525" s="487">
        <f>SUMIF(FS!$BE$9:$BE$39,개요!$B$157&amp;RIGHT(NAV!C525,8),FS!$BH$9:$BH$39)</f>
        <v>0</v>
      </c>
      <c r="E525" s="487">
        <f>D525</f>
        <v>0</v>
      </c>
      <c r="J525" s="551"/>
      <c r="K525" s="552"/>
      <c r="L525" s="551"/>
      <c r="M525" s="553"/>
      <c r="N525" s="553"/>
      <c r="O525" s="551"/>
      <c r="P525" s="553"/>
      <c r="Q525" s="524"/>
      <c r="R525" s="478">
        <f>IFERROR(INDEX(기초자산!M$6:M$408,MATCH(K525&amp;N525&amp;O525,기초자산!$A$6:$A$408,0),0),0)</f>
        <v>0</v>
      </c>
      <c r="S525" s="479">
        <f t="shared" si="151"/>
        <v>0</v>
      </c>
      <c r="T525" s="553"/>
      <c r="U525" s="471" t="s">
        <v>94</v>
      </c>
      <c r="V525" s="480">
        <f>IF(U525="한국 원화(KRW)",1,IF(OR(U525=환율!$A$6,U525=환율!$A$7),VLOOKUP(NAV!U525,환율!$A$6:$B$7,2,),IF(RIGHT(U525,5)="(100)",(VLOOKUP(NAV!U525,환율!$A$11:$B$65,2,))/100,VLOOKUP(NAV!U525,환율!$A$11:$B$65,2,))))</f>
        <v>1</v>
      </c>
      <c r="W525" s="481"/>
      <c r="X525" s="482">
        <f t="shared" si="152"/>
        <v>0</v>
      </c>
      <c r="Y525" s="481"/>
      <c r="Z525" s="481"/>
      <c r="AA525" s="483">
        <f t="shared" si="153"/>
        <v>0</v>
      </c>
      <c r="AB525" s="554"/>
      <c r="AC525" s="526" t="str">
        <f t="shared" si="154"/>
        <v>2년이상</v>
      </c>
      <c r="AD525" s="520" t="str">
        <f t="shared" si="155"/>
        <v/>
      </c>
      <c r="AE525" s="527">
        <f t="shared" si="156"/>
        <v>0</v>
      </c>
      <c r="AF525" s="527">
        <f t="shared" si="157"/>
        <v>0</v>
      </c>
      <c r="AG525" s="485"/>
      <c r="AH525" s="485"/>
      <c r="AI525" s="404"/>
    </row>
    <row r="526" spans="1:35" ht="12.75" thickBot="1">
      <c r="A526" s="489" t="s">
        <v>631</v>
      </c>
      <c r="B526" s="415" t="b">
        <f>D526=SUM(D523:D525)</f>
        <v>1</v>
      </c>
      <c r="C526" s="493" t="s">
        <v>632</v>
      </c>
      <c r="D526" s="494">
        <f>D513-D522</f>
        <v>0</v>
      </c>
      <c r="E526" s="494">
        <f>E513-E522</f>
        <v>0</v>
      </c>
      <c r="J526" s="551"/>
      <c r="K526" s="552"/>
      <c r="L526" s="551"/>
      <c r="M526" s="553"/>
      <c r="N526" s="553"/>
      <c r="O526" s="551"/>
      <c r="P526" s="553"/>
      <c r="Q526" s="524"/>
      <c r="R526" s="478">
        <f>IFERROR(INDEX(기초자산!M$6:M$408,MATCH(K526&amp;N526&amp;O526,기초자산!$A$6:$A$408,0),0),0)</f>
        <v>0</v>
      </c>
      <c r="S526" s="479">
        <f t="shared" si="151"/>
        <v>0</v>
      </c>
      <c r="T526" s="553"/>
      <c r="U526" s="471" t="s">
        <v>94</v>
      </c>
      <c r="V526" s="480">
        <f>IF(U526="한국 원화(KRW)",1,IF(OR(U526=환율!$A$6,U526=환율!$A$7),VLOOKUP(NAV!U526,환율!$A$6:$B$7,2,),IF(RIGHT(U526,5)="(100)",(VLOOKUP(NAV!U526,환율!$A$11:$B$65,2,))/100,VLOOKUP(NAV!U526,환율!$A$11:$B$65,2,))))</f>
        <v>1</v>
      </c>
      <c r="W526" s="481"/>
      <c r="X526" s="482">
        <f t="shared" si="152"/>
        <v>0</v>
      </c>
      <c r="Y526" s="481"/>
      <c r="Z526" s="481"/>
      <c r="AA526" s="483">
        <f t="shared" si="153"/>
        <v>0</v>
      </c>
      <c r="AB526" s="554"/>
      <c r="AC526" s="526" t="str">
        <f t="shared" si="154"/>
        <v>2년이상</v>
      </c>
      <c r="AD526" s="520" t="str">
        <f t="shared" si="155"/>
        <v/>
      </c>
      <c r="AE526" s="527">
        <f t="shared" si="156"/>
        <v>0</v>
      </c>
      <c r="AF526" s="527">
        <f t="shared" si="157"/>
        <v>0</v>
      </c>
      <c r="AG526" s="485"/>
      <c r="AH526" s="485"/>
      <c r="AI526" s="404"/>
    </row>
    <row r="527" spans="1:35" ht="12.75" thickBot="1">
      <c r="A527" s="489"/>
      <c r="B527" s="415"/>
      <c r="C527" s="486" t="s">
        <v>633</v>
      </c>
      <c r="D527" s="487">
        <v>0</v>
      </c>
      <c r="E527" s="499">
        <v>0</v>
      </c>
      <c r="J527" s="551"/>
      <c r="K527" s="552"/>
      <c r="L527" s="551"/>
      <c r="M527" s="553"/>
      <c r="N527" s="553"/>
      <c r="O527" s="551"/>
      <c r="P527" s="553"/>
      <c r="Q527" s="524"/>
      <c r="R527" s="478">
        <f>IFERROR(INDEX(기초자산!M$6:M$408,MATCH(K527&amp;N527&amp;O527,기초자산!$A$6:$A$408,0),0),0)</f>
        <v>0</v>
      </c>
      <c r="S527" s="479">
        <f t="shared" si="151"/>
        <v>0</v>
      </c>
      <c r="T527" s="553"/>
      <c r="U527" s="471" t="s">
        <v>94</v>
      </c>
      <c r="V527" s="480">
        <f>IF(U527="한국 원화(KRW)",1,IF(OR(U527=환율!$A$6,U527=환율!$A$7),VLOOKUP(NAV!U527,환율!$A$6:$B$7,2,),IF(RIGHT(U527,5)="(100)",(VLOOKUP(NAV!U527,환율!$A$11:$B$65,2,))/100,VLOOKUP(NAV!U527,환율!$A$11:$B$65,2,))))</f>
        <v>1</v>
      </c>
      <c r="W527" s="481"/>
      <c r="X527" s="482">
        <f t="shared" si="152"/>
        <v>0</v>
      </c>
      <c r="Y527" s="481"/>
      <c r="Z527" s="481"/>
      <c r="AA527" s="483">
        <f t="shared" si="153"/>
        <v>0</v>
      </c>
      <c r="AB527" s="554"/>
      <c r="AC527" s="526" t="str">
        <f t="shared" si="154"/>
        <v>2년이상</v>
      </c>
      <c r="AD527" s="520" t="str">
        <f t="shared" si="155"/>
        <v/>
      </c>
      <c r="AE527" s="527">
        <f t="shared" si="156"/>
        <v>0</v>
      </c>
      <c r="AF527" s="527">
        <f t="shared" si="157"/>
        <v>0</v>
      </c>
      <c r="AG527" s="485"/>
      <c r="AH527" s="485"/>
      <c r="AI527" s="404"/>
    </row>
    <row r="528" spans="1:35">
      <c r="A528" s="489"/>
      <c r="B528" s="415"/>
      <c r="C528" s="486" t="s">
        <v>414</v>
      </c>
      <c r="D528" s="487">
        <v>0</v>
      </c>
      <c r="E528" s="499">
        <v>0</v>
      </c>
      <c r="J528" s="495"/>
      <c r="K528" s="415"/>
      <c r="L528" s="495"/>
      <c r="M528" s="415"/>
      <c r="N528" s="415"/>
      <c r="O528" s="415"/>
      <c r="P528" s="415"/>
      <c r="Q528" s="422"/>
      <c r="R528" s="415"/>
      <c r="S528" s="415"/>
      <c r="T528" s="415"/>
      <c r="U528" s="415"/>
      <c r="V528" s="415"/>
      <c r="W528" s="422"/>
      <c r="X528" s="415"/>
      <c r="Y528" s="458"/>
      <c r="Z528" s="422"/>
      <c r="AA528" s="556"/>
      <c r="AB528" s="556"/>
      <c r="AC528" s="415"/>
      <c r="AE528" s="415"/>
      <c r="AI528" s="404"/>
    </row>
    <row r="529" spans="1:35">
      <c r="A529" s="489"/>
      <c r="B529" s="415"/>
      <c r="C529" s="493" t="s">
        <v>634</v>
      </c>
      <c r="D529" s="494">
        <f>D526+D527-D528</f>
        <v>0</v>
      </c>
      <c r="E529" s="494">
        <f>IF(E526+E527-E528&gt;0,E526+E527-E528,0)</f>
        <v>0</v>
      </c>
      <c r="J529" s="305"/>
      <c r="K529" s="415"/>
      <c r="L529" s="495"/>
      <c r="M529" s="415"/>
      <c r="N529" s="415"/>
      <c r="O529" s="415"/>
      <c r="S529" s="415"/>
      <c r="T529" s="415"/>
      <c r="U529" s="415"/>
      <c r="V529" s="415"/>
      <c r="Y529" s="458"/>
      <c r="AD529" s="557" t="str">
        <f>B503&amp;"순자산가치"</f>
        <v>SPC없음순자산가치</v>
      </c>
      <c r="AE529" s="529">
        <f>IF(E509+SUM(AE509:AE514)+SUM(AE517:AE527)-E522&gt;0,E509+SUM(AE509:AE514)+SUM(AE517:AE527)-E522,0)</f>
        <v>0</v>
      </c>
      <c r="AF529" s="529">
        <f>IF(E509+SUM(AF509:AF514)+SUM(AF517:AF527)-E522&gt;0,E509+SUM(AF509:AF514)+SUM(AF517:AF527)-E522,0)</f>
        <v>0</v>
      </c>
      <c r="AI529" s="404"/>
    </row>
    <row r="530" spans="1:35">
      <c r="A530" s="489"/>
      <c r="B530" s="558" t="str">
        <f>B503&amp;C530</f>
        <v>SPC없음보유지분율(%)</v>
      </c>
      <c r="C530" s="493" t="s">
        <v>416</v>
      </c>
      <c r="D530" s="559">
        <f>개요!$C$166</f>
        <v>0</v>
      </c>
      <c r="E530" s="494">
        <f>E529*D530</f>
        <v>0</v>
      </c>
      <c r="F530" s="560" t="s">
        <v>417</v>
      </c>
      <c r="G530" s="560"/>
      <c r="J530" s="495"/>
      <c r="K530" s="415"/>
      <c r="L530" s="495"/>
      <c r="M530" s="415"/>
      <c r="N530" s="415"/>
      <c r="O530" s="415"/>
      <c r="S530" s="415"/>
      <c r="T530" s="415"/>
      <c r="U530" s="415"/>
      <c r="V530" s="415"/>
      <c r="Y530" s="458"/>
      <c r="AD530" s="557" t="s">
        <v>272</v>
      </c>
      <c r="AE530" s="561">
        <f>$D530</f>
        <v>0</v>
      </c>
      <c r="AF530" s="561">
        <f>$D530</f>
        <v>0</v>
      </c>
      <c r="AI530" s="404"/>
    </row>
    <row r="531" spans="1:35">
      <c r="A531" s="489"/>
      <c r="B531" s="415"/>
      <c r="G531" s="503" t="s">
        <v>419</v>
      </c>
      <c r="I531" s="562"/>
      <c r="J531" s="495"/>
      <c r="K531" s="415"/>
      <c r="Y531" s="458"/>
      <c r="AD531" s="557" t="str">
        <f>B503&amp;"지분율 반영 순자산가치"</f>
        <v>SPC없음지분율 반영 순자산가치</v>
      </c>
      <c r="AE531" s="529">
        <f>AE529*AE530</f>
        <v>0</v>
      </c>
      <c r="AF531" s="529">
        <f>AF529*AF530</f>
        <v>0</v>
      </c>
      <c r="AI531" s="404"/>
    </row>
    <row r="532" spans="1:35">
      <c r="A532" s="489"/>
      <c r="D532" s="504" t="s">
        <v>635</v>
      </c>
      <c r="E532" s="505">
        <f>$C$7</f>
        <v>45473</v>
      </c>
      <c r="F532" s="506"/>
      <c r="G532" s="505"/>
      <c r="I532" s="563"/>
      <c r="J532" s="495"/>
      <c r="K532" s="415"/>
      <c r="L532" s="495"/>
      <c r="M532" s="415"/>
      <c r="N532" s="415"/>
      <c r="O532" s="415"/>
      <c r="S532" s="415"/>
      <c r="T532" s="415"/>
      <c r="U532" s="415"/>
      <c r="V532" s="415"/>
      <c r="Y532" s="422"/>
      <c r="AI532" s="404"/>
    </row>
    <row r="533" spans="1:35">
      <c r="D533" s="486" t="s">
        <v>412</v>
      </c>
      <c r="E533" s="487">
        <f>E529</f>
        <v>0</v>
      </c>
      <c r="F533" s="507" t="e">
        <f>E533/G533-1</f>
        <v>#DIV/0!</v>
      </c>
      <c r="G533" s="487"/>
      <c r="I533" s="564"/>
      <c r="J533" s="495"/>
      <c r="K533" s="415"/>
      <c r="L533" s="495"/>
      <c r="M533" s="415"/>
      <c r="S533" s="415"/>
      <c r="T533" s="415"/>
      <c r="U533" s="415"/>
      <c r="V533" s="415"/>
      <c r="Y533" s="422"/>
      <c r="AI533" s="404"/>
    </row>
    <row r="534" spans="1:35">
      <c r="A534" s="489"/>
      <c r="B534" s="415"/>
      <c r="D534" s="486" t="s">
        <v>418</v>
      </c>
      <c r="E534" s="565">
        <f>$D$530</f>
        <v>0</v>
      </c>
      <c r="F534" s="507"/>
      <c r="G534" s="565"/>
      <c r="I534" s="566"/>
      <c r="J534" s="305"/>
      <c r="K534" s="415"/>
      <c r="L534" s="305"/>
      <c r="M534" s="415"/>
      <c r="S534" s="415"/>
      <c r="T534" s="415"/>
      <c r="U534" s="415"/>
      <c r="V534" s="415"/>
      <c r="Y534" s="422"/>
      <c r="AI534" s="404"/>
    </row>
    <row r="535" spans="1:35">
      <c r="A535" s="489"/>
      <c r="B535" s="415"/>
      <c r="D535" s="567" t="s">
        <v>420</v>
      </c>
      <c r="E535" s="568">
        <f>E533*E534</f>
        <v>0</v>
      </c>
      <c r="F535" s="507" t="e">
        <f>E535/G535-1</f>
        <v>#DIV/0!</v>
      </c>
      <c r="G535" s="568"/>
      <c r="I535" s="564"/>
      <c r="AI535" s="404"/>
    </row>
    <row r="536" spans="1:35">
      <c r="E536" s="304" t="b">
        <f>E535=E530</f>
        <v>1</v>
      </c>
      <c r="AI536" s="404"/>
    </row>
    <row r="537" spans="1:35">
      <c r="F537" s="507"/>
      <c r="G537" s="507"/>
      <c r="AI537" s="404"/>
    </row>
    <row r="538" spans="1:35" ht="12.75" thickBot="1">
      <c r="A538" s="536"/>
      <c r="B538" s="536"/>
      <c r="C538" s="536"/>
      <c r="D538" s="536"/>
      <c r="E538" s="536"/>
      <c r="F538" s="572"/>
      <c r="G538" s="572"/>
      <c r="H538" s="536"/>
      <c r="I538" s="537"/>
      <c r="J538" s="536"/>
      <c r="K538" s="536"/>
      <c r="L538" s="536"/>
      <c r="M538" s="536"/>
      <c r="N538" s="536"/>
      <c r="O538" s="536"/>
      <c r="P538" s="536"/>
      <c r="Q538" s="540"/>
      <c r="R538" s="536"/>
      <c r="S538" s="536"/>
      <c r="T538" s="536"/>
      <c r="U538" s="536"/>
      <c r="V538" s="536"/>
      <c r="W538" s="540"/>
      <c r="X538" s="536"/>
      <c r="Y538" s="540"/>
      <c r="Z538" s="540"/>
      <c r="AA538" s="536"/>
      <c r="AB538" s="536"/>
      <c r="AC538" s="536"/>
      <c r="AD538" s="541"/>
      <c r="AE538" s="536"/>
      <c r="AF538" s="536"/>
      <c r="AG538" s="536"/>
      <c r="AH538" s="536"/>
      <c r="AI538" s="404"/>
    </row>
    <row r="539" spans="1:35" ht="12.75" thickTop="1">
      <c r="F539" s="507"/>
      <c r="G539" s="507"/>
      <c r="AI539" s="404"/>
    </row>
    <row r="540" spans="1:35" ht="12.75" thickBot="1">
      <c r="A540" s="459"/>
      <c r="B540" s="415"/>
      <c r="J540" s="428" t="s">
        <v>273</v>
      </c>
      <c r="K540" s="489"/>
      <c r="L540" s="497"/>
      <c r="M540" s="489"/>
      <c r="N540" s="415"/>
      <c r="O540" s="415"/>
      <c r="AI540" s="404"/>
    </row>
    <row r="541" spans="1:35" ht="12.75" thickBot="1">
      <c r="A541" s="542" t="s">
        <v>636</v>
      </c>
      <c r="B541" s="543" t="str">
        <f>IF(개요!$B$169="","SPC없음",개요!$B$169)</f>
        <v>SPC없음</v>
      </c>
      <c r="C541" s="454"/>
      <c r="J541" s="433"/>
      <c r="K541" s="434"/>
      <c r="L541" s="434"/>
      <c r="M541" s="434"/>
      <c r="N541" s="434"/>
      <c r="O541" s="434"/>
      <c r="P541" s="434"/>
      <c r="Q541" s="435"/>
      <c r="R541" s="434"/>
      <c r="S541" s="434"/>
      <c r="T541" s="434"/>
      <c r="U541" s="434"/>
      <c r="V541" s="436"/>
      <c r="AI541" s="404"/>
    </row>
    <row r="542" spans="1:35">
      <c r="B542" s="543" t="s">
        <v>369</v>
      </c>
      <c r="C542" s="569" t="str">
        <f>IF(개요!$C$170="","SPC없음",개요!$C$170)</f>
        <v>SPC없음</v>
      </c>
      <c r="J542" s="442"/>
      <c r="K542" s="151"/>
      <c r="L542" s="151"/>
      <c r="M542" s="151"/>
      <c r="N542" s="151"/>
      <c r="O542" s="151"/>
      <c r="P542" s="151"/>
      <c r="Q542" s="443"/>
      <c r="R542" s="151"/>
      <c r="S542" s="151"/>
      <c r="T542" s="151"/>
      <c r="U542" s="151"/>
      <c r="V542" s="444"/>
      <c r="AI542" s="404"/>
    </row>
    <row r="543" spans="1:35">
      <c r="B543" s="437" t="s">
        <v>370</v>
      </c>
      <c r="C543" s="570">
        <f>$C$7</f>
        <v>45473</v>
      </c>
      <c r="D543" s="546" t="b">
        <f>C543&gt;=C544</f>
        <v>1</v>
      </c>
      <c r="J543" s="442"/>
      <c r="K543" s="151"/>
      <c r="L543" s="151"/>
      <c r="M543" s="151"/>
      <c r="N543" s="151"/>
      <c r="O543" s="151"/>
      <c r="P543" s="151"/>
      <c r="Q543" s="443"/>
      <c r="R543" s="151"/>
      <c r="S543" s="151"/>
      <c r="T543" s="151"/>
      <c r="U543" s="151"/>
      <c r="V543" s="444"/>
      <c r="AI543" s="404"/>
    </row>
    <row r="544" spans="1:35" ht="12.75" thickBot="1">
      <c r="B544" s="449" t="s">
        <v>371</v>
      </c>
      <c r="C544" s="571">
        <f>FS!$F$48</f>
        <v>0</v>
      </c>
      <c r="J544" s="453"/>
      <c r="K544" s="454"/>
      <c r="L544" s="454"/>
      <c r="M544" s="454"/>
      <c r="N544" s="454"/>
      <c r="O544" s="454"/>
      <c r="P544" s="454"/>
      <c r="Q544" s="455"/>
      <c r="R544" s="454"/>
      <c r="S544" s="454"/>
      <c r="T544" s="454"/>
      <c r="U544" s="454"/>
      <c r="V544" s="456"/>
      <c r="AI544" s="404"/>
    </row>
    <row r="545" spans="1:35">
      <c r="A545" s="459" t="s">
        <v>637</v>
      </c>
      <c r="J545" s="428" t="s">
        <v>372</v>
      </c>
      <c r="K545" s="448"/>
      <c r="L545" s="420"/>
      <c r="M545" s="448"/>
      <c r="N545" s="448"/>
      <c r="O545" s="448"/>
      <c r="P545" s="415"/>
      <c r="Q545" s="422"/>
      <c r="R545" s="415"/>
      <c r="S545" s="415"/>
      <c r="T545" s="415"/>
      <c r="U545" s="415"/>
      <c r="V545" s="415"/>
      <c r="W545" s="422"/>
      <c r="Z545" s="458"/>
      <c r="AE545" s="803" t="s">
        <v>8</v>
      </c>
      <c r="AF545" s="803"/>
      <c r="AG545" s="460"/>
      <c r="AH545" s="460"/>
      <c r="AI545" s="404"/>
    </row>
    <row r="546" spans="1:35" ht="12.75" thickBot="1">
      <c r="A546" s="461" t="str">
        <f>IF(AND(B547:B573),"검증완료","검증필요")</f>
        <v>검증완료</v>
      </c>
      <c r="B546" s="462" t="s">
        <v>373</v>
      </c>
      <c r="C546" s="462" t="s">
        <v>9</v>
      </c>
      <c r="D546" s="462" t="s">
        <v>10</v>
      </c>
      <c r="E546" s="462" t="s">
        <v>11</v>
      </c>
      <c r="J546" s="462" t="s">
        <v>375</v>
      </c>
      <c r="K546" s="464" t="s">
        <v>0</v>
      </c>
      <c r="L546" s="462" t="s">
        <v>369</v>
      </c>
      <c r="M546" s="462" t="s">
        <v>456</v>
      </c>
      <c r="N546" s="462" t="s">
        <v>378</v>
      </c>
      <c r="O546" s="462" t="s">
        <v>1</v>
      </c>
      <c r="P546" s="464" t="s">
        <v>380</v>
      </c>
      <c r="Q546" s="465" t="s">
        <v>14</v>
      </c>
      <c r="R546" s="466" t="s">
        <v>381</v>
      </c>
      <c r="S546" s="466" t="s">
        <v>382</v>
      </c>
      <c r="T546" s="462" t="s">
        <v>12</v>
      </c>
      <c r="U546" s="462" t="s">
        <v>383</v>
      </c>
      <c r="V546" s="462" t="s">
        <v>400</v>
      </c>
      <c r="W546" s="465" t="s">
        <v>10</v>
      </c>
      <c r="X546" s="462" t="s">
        <v>385</v>
      </c>
      <c r="Y546" s="465" t="s">
        <v>430</v>
      </c>
      <c r="Z546" s="465" t="s">
        <v>3522</v>
      </c>
      <c r="AA546" s="464" t="s">
        <v>13</v>
      </c>
      <c r="AE546" s="467" t="s">
        <v>3627</v>
      </c>
      <c r="AF546" s="467" t="s">
        <v>3628</v>
      </c>
      <c r="AG546" s="467" t="s">
        <v>3629</v>
      </c>
      <c r="AH546" s="467" t="s">
        <v>3630</v>
      </c>
      <c r="AI546" s="404"/>
    </row>
    <row r="547" spans="1:35" ht="12.75" thickBot="1">
      <c r="A547" s="415"/>
      <c r="B547" s="415"/>
      <c r="C547" s="468" t="s">
        <v>480</v>
      </c>
      <c r="D547" s="469">
        <f>SUM(D548:D549)</f>
        <v>0</v>
      </c>
      <c r="E547" s="469">
        <f>SUM(E548:E549)</f>
        <v>0</v>
      </c>
      <c r="J547" s="476"/>
      <c r="K547" s="472"/>
      <c r="L547" s="473" t="str">
        <f>IF($J547="","SPC 없음",VLOOKUP($J547&amp;"SPC명",개요!$A$3:$E$1932,3,0))</f>
        <v>SPC 없음</v>
      </c>
      <c r="M547" s="474" t="str">
        <f>IF($J547="","SPC 없음",VLOOKUP($J547&amp;"설정일",개요!$A$3:$E$1932,3,0))</f>
        <v>SPC 없음</v>
      </c>
      <c r="N547" s="475" t="str">
        <f t="shared" ref="N547:N552" si="158">IF($J547="","SPC 없음",VLOOKUP($J547&amp;"자본금",$B$4:$E$2079,3,0)*VLOOKUP($J547&amp;"보유지분율(%)",$B$4:$E$2079,3,0))</f>
        <v>SPC 없음</v>
      </c>
      <c r="O547" s="471"/>
      <c r="P547" s="476"/>
      <c r="Q547" s="477"/>
      <c r="R547" s="478"/>
      <c r="S547" s="479" t="str">
        <f t="shared" ref="S547:S552" si="159">IF($J547="","SPC 없음",IF(P547="총액",IF(T547="장부가액 준용",W547,(VLOOKUP($J547&amp;"보유지분율(%)",$B$4:$E$2079,4,0))*V547),Q547*R547))</f>
        <v>SPC 없음</v>
      </c>
      <c r="T547" s="471"/>
      <c r="U547" s="471" t="s">
        <v>94</v>
      </c>
      <c r="V547" s="480">
        <f>IF(U547="한국 원화(KRW)",1,IF(OR(U547=환율!$A$6,U547=환율!$A$7),VLOOKUP(NAV!U547,환율!$A$6:$B$7,2,),IF(RIGHT(U547,5)="(100)",(VLOOKUP(NAV!U547,환율!$A$11:$B$65,2,))/100,VLOOKUP(NAV!U547,환율!$A$11:$B$65,2,))))</f>
        <v>1</v>
      </c>
      <c r="W547" s="481"/>
      <c r="X547" s="482">
        <f t="shared" ref="X547:X552" si="160">IFERROR(IF(P547="만원당",10000,Y547/Q547),0)</f>
        <v>0</v>
      </c>
      <c r="Y547" s="481"/>
      <c r="Z547" s="481"/>
      <c r="AA547" s="483">
        <f t="shared" ref="AA547:AA552" si="161">IFERROR(IF(Z547="",S547/W547-1,S547/Z547-1),0)</f>
        <v>0</v>
      </c>
      <c r="AE547" s="484" t="str">
        <f t="shared" ref="AE547:AE552" si="162">IF($J547="","SPC 없음",IF(P547="총액",(VLOOKUP($J547&amp;"지분율 반영 순자산가치",$AD$4:$AH$4973,2,0))*V547,AG547*$Q547))</f>
        <v>SPC 없음</v>
      </c>
      <c r="AF547" s="484" t="str">
        <f t="shared" ref="AF547:AF552" si="163">IF($J547="","SPC 없음",IF(P547="총액",(VLOOKUP($J547&amp;"지분율 반영 순자산가치",$AD$4:$AH$4973,3,0))*V547,AH547*$Q547))</f>
        <v>SPC 없음</v>
      </c>
      <c r="AG547" s="485"/>
      <c r="AH547" s="485"/>
      <c r="AI547" s="404"/>
    </row>
    <row r="548" spans="1:35" ht="12.75" thickBot="1">
      <c r="A548" s="415"/>
      <c r="B548" s="415"/>
      <c r="C548" s="486" t="s">
        <v>387</v>
      </c>
      <c r="D548" s="487">
        <f>SUMIF(FS!$C$49:$C$79,개요!$B$169&amp;RIGHT(NAV!C548,10),FS!$F$49:$F$79)</f>
        <v>0</v>
      </c>
      <c r="E548" s="487">
        <f>D548</f>
        <v>0</v>
      </c>
      <c r="J548" s="476"/>
      <c r="K548" s="472"/>
      <c r="L548" s="473" t="str">
        <f>IF($J548="","SPC 없음",VLOOKUP($J548&amp;"SPC명",개요!$A$3:$E$1932,3,0))</f>
        <v>SPC 없음</v>
      </c>
      <c r="M548" s="474" t="str">
        <f>IF($J548="","SPC 없음",VLOOKUP($J548&amp;"설정일",개요!$A$3:$E$1932,3,0))</f>
        <v>SPC 없음</v>
      </c>
      <c r="N548" s="475" t="str">
        <f t="shared" si="158"/>
        <v>SPC 없음</v>
      </c>
      <c r="O548" s="471"/>
      <c r="P548" s="476"/>
      <c r="Q548" s="477"/>
      <c r="R548" s="478"/>
      <c r="S548" s="479" t="str">
        <f t="shared" si="159"/>
        <v>SPC 없음</v>
      </c>
      <c r="T548" s="471"/>
      <c r="U548" s="471" t="s">
        <v>94</v>
      </c>
      <c r="V548" s="480">
        <f>IF(U548="한국 원화(KRW)",1,IF(OR(U548=환율!$A$6,U548=환율!$A$7),VLOOKUP(NAV!U548,환율!$A$6:$B$7,2,),IF(RIGHT(U548,5)="(100)",(VLOOKUP(NAV!U548,환율!$A$11:$B$65,2,))/100,VLOOKUP(NAV!U548,환율!$A$11:$B$65,2,))))</f>
        <v>1</v>
      </c>
      <c r="W548" s="481"/>
      <c r="X548" s="482">
        <f t="shared" si="160"/>
        <v>0</v>
      </c>
      <c r="Y548" s="481"/>
      <c r="Z548" s="481"/>
      <c r="AA548" s="483">
        <f t="shared" si="161"/>
        <v>0</v>
      </c>
      <c r="AE548" s="484" t="str">
        <f t="shared" si="162"/>
        <v>SPC 없음</v>
      </c>
      <c r="AF548" s="484" t="str">
        <f t="shared" si="163"/>
        <v>SPC 없음</v>
      </c>
      <c r="AG548" s="485"/>
      <c r="AH548" s="485"/>
      <c r="AI548" s="404"/>
    </row>
    <row r="549" spans="1:35" ht="12.75" thickBot="1">
      <c r="A549" s="415"/>
      <c r="B549" s="415"/>
      <c r="C549" s="486" t="s">
        <v>34</v>
      </c>
      <c r="D549" s="487">
        <f>SUMIF(FS!$C$49:$C$79,개요!$B$169&amp;RIGHT(NAV!C549,4),FS!$F$49:$F$79)</f>
        <v>0</v>
      </c>
      <c r="E549" s="487">
        <f>D549</f>
        <v>0</v>
      </c>
      <c r="J549" s="476"/>
      <c r="K549" s="472"/>
      <c r="L549" s="473" t="str">
        <f>IF($J549="","SPC 없음",VLOOKUP($J549&amp;"SPC명",개요!$A$3:$E$1932,3,0))</f>
        <v>SPC 없음</v>
      </c>
      <c r="M549" s="474" t="str">
        <f>IF($J549="","SPC 없음",VLOOKUP($J549&amp;"설정일",개요!$A$3:$E$1932,3,0))</f>
        <v>SPC 없음</v>
      </c>
      <c r="N549" s="475" t="str">
        <f t="shared" si="158"/>
        <v>SPC 없음</v>
      </c>
      <c r="O549" s="471"/>
      <c r="P549" s="476"/>
      <c r="Q549" s="477"/>
      <c r="R549" s="478"/>
      <c r="S549" s="479" t="str">
        <f t="shared" si="159"/>
        <v>SPC 없음</v>
      </c>
      <c r="T549" s="471"/>
      <c r="U549" s="471" t="s">
        <v>94</v>
      </c>
      <c r="V549" s="480">
        <f>IF(U549="한국 원화(KRW)",1,IF(OR(U549=환율!$A$6,U549=환율!$A$7),VLOOKUP(NAV!U549,환율!$A$6:$B$7,2,),IF(RIGHT(U549,5)="(100)",(VLOOKUP(NAV!U549,환율!$A$11:$B$65,2,))/100,VLOOKUP(NAV!U549,환율!$A$11:$B$65,2,))))</f>
        <v>1</v>
      </c>
      <c r="W549" s="481"/>
      <c r="X549" s="482">
        <f t="shared" si="160"/>
        <v>0</v>
      </c>
      <c r="Y549" s="481"/>
      <c r="Z549" s="481"/>
      <c r="AA549" s="483">
        <f t="shared" si="161"/>
        <v>0</v>
      </c>
      <c r="AE549" s="484" t="str">
        <f t="shared" si="162"/>
        <v>SPC 없음</v>
      </c>
      <c r="AF549" s="484" t="str">
        <f t="shared" si="163"/>
        <v>SPC 없음</v>
      </c>
      <c r="AG549" s="485"/>
      <c r="AH549" s="485"/>
      <c r="AI549" s="404"/>
    </row>
    <row r="550" spans="1:35" ht="12.75" thickBot="1">
      <c r="A550" s="489" t="s">
        <v>389</v>
      </c>
      <c r="B550" s="490" t="b">
        <f>SUM(W547:W552,W555:W565)=D550</f>
        <v>1</v>
      </c>
      <c r="C550" s="468" t="s">
        <v>17</v>
      </c>
      <c r="D550" s="469">
        <f>SUMIF(FS!$C$49:$C$79,개요!$B$169&amp;RIGHT(NAV!C550,4),FS!$F$49:$F$79)</f>
        <v>0</v>
      </c>
      <c r="E550" s="469">
        <f>SUM(S547:S552)+SUM(S555:S565)</f>
        <v>0</v>
      </c>
      <c r="J550" s="476"/>
      <c r="K550" s="472"/>
      <c r="L550" s="473" t="str">
        <f>IF($J550="","SPC 없음",VLOOKUP($J550&amp;"SPC명",개요!$A$3:$E$1932,3,0))</f>
        <v>SPC 없음</v>
      </c>
      <c r="M550" s="474" t="str">
        <f>IF($J550="","SPC 없음",VLOOKUP($J550&amp;"설정일",개요!$A$3:$E$1932,3,0))</f>
        <v>SPC 없음</v>
      </c>
      <c r="N550" s="475" t="str">
        <f t="shared" si="158"/>
        <v>SPC 없음</v>
      </c>
      <c r="O550" s="471"/>
      <c r="P550" s="476"/>
      <c r="Q550" s="477"/>
      <c r="R550" s="478"/>
      <c r="S550" s="479" t="str">
        <f t="shared" si="159"/>
        <v>SPC 없음</v>
      </c>
      <c r="T550" s="471"/>
      <c r="U550" s="471" t="s">
        <v>94</v>
      </c>
      <c r="V550" s="480">
        <f>IF(U550="한국 원화(KRW)",1,IF(OR(U550=환율!$A$6,U550=환율!$A$7),VLOOKUP(NAV!U550,환율!$A$6:$B$7,2,),IF(RIGHT(U550,5)="(100)",(VLOOKUP(NAV!U550,환율!$A$11:$B$65,2,))/100,VLOOKUP(NAV!U550,환율!$A$11:$B$65,2,))))</f>
        <v>1</v>
      </c>
      <c r="W550" s="481"/>
      <c r="X550" s="482">
        <f t="shared" si="160"/>
        <v>0</v>
      </c>
      <c r="Y550" s="481"/>
      <c r="Z550" s="481"/>
      <c r="AA550" s="483">
        <f t="shared" si="161"/>
        <v>0</v>
      </c>
      <c r="AE550" s="484" t="str">
        <f t="shared" si="162"/>
        <v>SPC 없음</v>
      </c>
      <c r="AF550" s="484" t="str">
        <f t="shared" si="163"/>
        <v>SPC 없음</v>
      </c>
      <c r="AG550" s="485"/>
      <c r="AH550" s="485"/>
      <c r="AI550" s="404"/>
    </row>
    <row r="551" spans="1:35" ht="12.75" thickBot="1">
      <c r="A551" s="492" t="s">
        <v>391</v>
      </c>
      <c r="B551" s="415" t="b">
        <f>D548+D549+D550=D551</f>
        <v>1</v>
      </c>
      <c r="C551" s="493" t="s">
        <v>479</v>
      </c>
      <c r="D551" s="494">
        <f>D547+D550</f>
        <v>0</v>
      </c>
      <c r="E551" s="494">
        <f>E547+E550</f>
        <v>0</v>
      </c>
      <c r="J551" s="476"/>
      <c r="K551" s="472"/>
      <c r="L551" s="473" t="str">
        <f>IF($J551="","SPC 없음",VLOOKUP($J551&amp;"SPC명",개요!$A$3:$E$1932,3,0))</f>
        <v>SPC 없음</v>
      </c>
      <c r="M551" s="474" t="str">
        <f>IF($J551="","SPC 없음",VLOOKUP($J551&amp;"설정일",개요!$A$3:$E$1932,3,0))</f>
        <v>SPC 없음</v>
      </c>
      <c r="N551" s="475" t="str">
        <f t="shared" si="158"/>
        <v>SPC 없음</v>
      </c>
      <c r="O551" s="471"/>
      <c r="P551" s="476"/>
      <c r="Q551" s="477"/>
      <c r="R551" s="478"/>
      <c r="S551" s="479" t="str">
        <f t="shared" si="159"/>
        <v>SPC 없음</v>
      </c>
      <c r="T551" s="471"/>
      <c r="U551" s="471" t="s">
        <v>94</v>
      </c>
      <c r="V551" s="480">
        <f>IF(U551="한국 원화(KRW)",1,IF(OR(U551=환율!$A$6,U551=환율!$A$7),VLOOKUP(NAV!U551,환율!$A$6:$B$7,2,),IF(RIGHT(U551,5)="(100)",(VLOOKUP(NAV!U551,환율!$A$11:$B$65,2,))/100,VLOOKUP(NAV!U551,환율!$A$11:$B$65,2,))))</f>
        <v>1</v>
      </c>
      <c r="W551" s="481"/>
      <c r="X551" s="482">
        <f t="shared" si="160"/>
        <v>0</v>
      </c>
      <c r="Y551" s="481"/>
      <c r="Z551" s="481"/>
      <c r="AA551" s="483">
        <f t="shared" si="161"/>
        <v>0</v>
      </c>
      <c r="AE551" s="484" t="str">
        <f t="shared" si="162"/>
        <v>SPC 없음</v>
      </c>
      <c r="AF551" s="484" t="str">
        <f t="shared" si="163"/>
        <v>SPC 없음</v>
      </c>
      <c r="AG551" s="485"/>
      <c r="AH551" s="485"/>
      <c r="AI551" s="404"/>
    </row>
    <row r="552" spans="1:35" ht="12.75" thickBot="1">
      <c r="A552" s="492"/>
      <c r="B552" s="496"/>
      <c r="C552" s="468" t="s">
        <v>18</v>
      </c>
      <c r="D552" s="469">
        <f>SUM(D553:D556)</f>
        <v>0</v>
      </c>
      <c r="E552" s="469">
        <f>SUM(E553:E556)</f>
        <v>0</v>
      </c>
      <c r="J552" s="476"/>
      <c r="K552" s="472"/>
      <c r="L552" s="473" t="str">
        <f>IF($J552="","SPC 없음",VLOOKUP($J552&amp;"SPC명",개요!$A$3:$E$1932,3,0))</f>
        <v>SPC 없음</v>
      </c>
      <c r="M552" s="474" t="str">
        <f>IF($J552="","SPC 없음",VLOOKUP($J552&amp;"설정일",개요!$A$3:$E$1932,3,0))</f>
        <v>SPC 없음</v>
      </c>
      <c r="N552" s="475" t="str">
        <f t="shared" si="158"/>
        <v>SPC 없음</v>
      </c>
      <c r="O552" s="471"/>
      <c r="P552" s="476"/>
      <c r="Q552" s="477"/>
      <c r="R552" s="478"/>
      <c r="S552" s="479" t="str">
        <f t="shared" si="159"/>
        <v>SPC 없음</v>
      </c>
      <c r="T552" s="471"/>
      <c r="U552" s="471" t="s">
        <v>94</v>
      </c>
      <c r="V552" s="480">
        <f>IF(U552="한국 원화(KRW)",1,IF(OR(U552=환율!$A$6,U552=환율!$A$7),VLOOKUP(NAV!U552,환율!$A$6:$B$7,2,),IF(RIGHT(U552,5)="(100)",(VLOOKUP(NAV!U552,환율!$A$11:$B$65,2,))/100,VLOOKUP(NAV!U552,환율!$A$11:$B$65,2,))))</f>
        <v>1</v>
      </c>
      <c r="W552" s="481"/>
      <c r="X552" s="482">
        <f t="shared" si="160"/>
        <v>0</v>
      </c>
      <c r="Y552" s="481"/>
      <c r="Z552" s="481"/>
      <c r="AA552" s="483">
        <f t="shared" si="161"/>
        <v>0</v>
      </c>
      <c r="AE552" s="484" t="str">
        <f t="shared" si="162"/>
        <v>SPC 없음</v>
      </c>
      <c r="AF552" s="484" t="str">
        <f t="shared" si="163"/>
        <v>SPC 없음</v>
      </c>
      <c r="AG552" s="485"/>
      <c r="AH552" s="485"/>
      <c r="AI552" s="404"/>
    </row>
    <row r="553" spans="1:35">
      <c r="A553" s="492"/>
      <c r="B553" s="496"/>
      <c r="C553" s="486" t="s">
        <v>638</v>
      </c>
      <c r="D553" s="487">
        <f>SUMIF(FS!$C$49:$C$79,개요!$B$169&amp;RIGHT(NAV!C553,5),FS!$F$49:$F$79)</f>
        <v>0</v>
      </c>
      <c r="E553" s="487">
        <f>D553</f>
        <v>0</v>
      </c>
      <c r="J553" s="428" t="s">
        <v>539</v>
      </c>
      <c r="K553" s="415"/>
      <c r="L553" s="305"/>
      <c r="M553" s="415"/>
      <c r="N553" s="415"/>
      <c r="O553" s="415"/>
      <c r="P553" s="415"/>
      <c r="Q553" s="422"/>
      <c r="R553" s="415"/>
      <c r="S553" s="415"/>
      <c r="T553" s="415"/>
      <c r="U553" s="415"/>
      <c r="W553" s="517" t="b">
        <f>SUM(W555:W565)+SUM(W547:W552)=D550</f>
        <v>1</v>
      </c>
      <c r="X553" s="415"/>
      <c r="Y553" s="422"/>
      <c r="Z553" s="422"/>
      <c r="AA553" s="459" t="str">
        <f>IF(OR(MAX(AA547:AA552,AA555:AA565)&gt;0.2,MIN(AA547:AA552,AA555:AA565)&lt;-0.2),"특이사항 확인","특이사항 없음")</f>
        <v>특이사항 없음</v>
      </c>
      <c r="AB553" s="415"/>
      <c r="AF553" s="415"/>
      <c r="AG553" s="415"/>
      <c r="AI553" s="404"/>
    </row>
    <row r="554" spans="1:35" ht="12.75" thickBot="1">
      <c r="A554" s="492"/>
      <c r="B554" s="496"/>
      <c r="C554" s="486" t="s">
        <v>393</v>
      </c>
      <c r="D554" s="487">
        <f>SUMIF(FS!$C$49:$C$79,개요!$B$169&amp;RIGHT(NAV!C554,3),FS!$F$49:$F$79)</f>
        <v>0</v>
      </c>
      <c r="E554" s="487">
        <f t="shared" ref="E554:E555" si="164">D554</f>
        <v>0</v>
      </c>
      <c r="I554" s="518">
        <f>COUNTA(J555:J565)</f>
        <v>0</v>
      </c>
      <c r="J554" s="548" t="s">
        <v>394</v>
      </c>
      <c r="K554" s="548" t="s">
        <v>0</v>
      </c>
      <c r="L554" s="548" t="s">
        <v>435</v>
      </c>
      <c r="M554" s="548" t="s">
        <v>396</v>
      </c>
      <c r="N554" s="548" t="s">
        <v>397</v>
      </c>
      <c r="O554" s="548" t="s">
        <v>398</v>
      </c>
      <c r="P554" s="548" t="s">
        <v>380</v>
      </c>
      <c r="Q554" s="519" t="s">
        <v>14</v>
      </c>
      <c r="R554" s="466" t="s">
        <v>299</v>
      </c>
      <c r="S554" s="466" t="s">
        <v>3525</v>
      </c>
      <c r="T554" s="549" t="s">
        <v>12</v>
      </c>
      <c r="U554" s="548" t="s">
        <v>383</v>
      </c>
      <c r="V554" s="548" t="s">
        <v>400</v>
      </c>
      <c r="W554" s="550" t="s">
        <v>10</v>
      </c>
      <c r="X554" s="549" t="s">
        <v>401</v>
      </c>
      <c r="Y554" s="550" t="s">
        <v>402</v>
      </c>
      <c r="Z554" s="550" t="s">
        <v>3523</v>
      </c>
      <c r="AA554" s="548" t="s">
        <v>13</v>
      </c>
      <c r="AB554" s="548" t="s">
        <v>15</v>
      </c>
      <c r="AC554" s="548" t="s">
        <v>473</v>
      </c>
      <c r="AE554" s="467" t="s">
        <v>3627</v>
      </c>
      <c r="AF554" s="467" t="s">
        <v>3628</v>
      </c>
      <c r="AG554" s="467" t="s">
        <v>3629</v>
      </c>
      <c r="AH554" s="467" t="s">
        <v>3630</v>
      </c>
      <c r="AI554" s="404"/>
    </row>
    <row r="555" spans="1:35" ht="12.75" thickBot="1">
      <c r="A555" s="492"/>
      <c r="B555" s="496"/>
      <c r="C555" s="486" t="s">
        <v>404</v>
      </c>
      <c r="D555" s="487">
        <f>SUMIF(FS!$C$49:$C$79,개요!$B$169&amp;RIGHT(NAV!C555,6),FS!$F$49:$F$79)</f>
        <v>0</v>
      </c>
      <c r="E555" s="487">
        <f t="shared" si="164"/>
        <v>0</v>
      </c>
      <c r="J555" s="551"/>
      <c r="K555" s="552"/>
      <c r="L555" s="551"/>
      <c r="M555" s="553"/>
      <c r="N555" s="553"/>
      <c r="O555" s="551"/>
      <c r="P555" s="553"/>
      <c r="Q555" s="524"/>
      <c r="R555" s="478">
        <f>IFERROR(INDEX(기초자산!M$6:M$408,MATCH(K555&amp;N555&amp;O555,기초자산!$A$6:$A$408,0),0),0)</f>
        <v>0</v>
      </c>
      <c r="S555" s="479">
        <f t="shared" ref="S555:S565" si="165">IFERROR(IF(T555="취득원가 준용",Y555,IF(T555="장부가액 준용",W555,IF(P555="주당",R555*Q555*V555,IF(RIGHT(U555,5)="(100)",Y555/1000*R555*V555,Y555/10000*R555*V555)))),0)</f>
        <v>0</v>
      </c>
      <c r="T555" s="553"/>
      <c r="U555" s="471" t="s">
        <v>94</v>
      </c>
      <c r="V555" s="480">
        <f>IF(U555="한국 원화(KRW)",1,IF(OR(U555=환율!$A$6,U555=환율!$A$7),VLOOKUP(NAV!U555,환율!$A$6:$B$7,2,),IF(RIGHT(U555,5)="(100)",(VLOOKUP(NAV!U555,환율!$A$11:$B$65,2,))/100,VLOOKUP(NAV!U555,환율!$A$11:$B$65,2,))))</f>
        <v>1</v>
      </c>
      <c r="W555" s="481"/>
      <c r="X555" s="482">
        <f t="shared" ref="X555:X565" si="166">IFERROR(IF(P555="만원당",10000,Y555/Q555),0)</f>
        <v>0</v>
      </c>
      <c r="Y555" s="481"/>
      <c r="Z555" s="481"/>
      <c r="AA555" s="483">
        <f t="shared" ref="AA555:AA565" si="167">IFERROR(IF(Z555="",S555/W555-1,S555/Z555-1),0)</f>
        <v>0</v>
      </c>
      <c r="AB555" s="554"/>
      <c r="AC555" s="526" t="str">
        <f t="shared" ref="AC555:AC565" si="168">IF(($C$7-AB555)/365&gt;2,"2년이상","2년미만")</f>
        <v>2년이상</v>
      </c>
      <c r="AD555" s="520" t="str">
        <f t="shared" ref="AD555:AD565" si="169">IF(OR(AA555&gt;20%,AA555&lt;-20%),"(1) Note 기재","")</f>
        <v/>
      </c>
      <c r="AE555" s="527">
        <f>IF(OR(T555="MTP",T555="과거거래 이용법",T555="취득원가 준용",T555="장부가액 준용",T555="상장종가 적용"),S555,IF(P555="주당",AG555*Q555*V555,Y555/10000*AG555*V555))</f>
        <v>0</v>
      </c>
      <c r="AF555" s="527">
        <f>IF(OR(T555="MTP",T555="과거거래 이용법",T555="취득원가 준용",T555="장부가액 준용",T555="상장종가 적용"),S555,IF(P555="주당",AH555*Q555*V555,Y555/10000*AH555*V555))</f>
        <v>0</v>
      </c>
      <c r="AG555" s="485"/>
      <c r="AH555" s="485"/>
      <c r="AI555" s="404"/>
    </row>
    <row r="556" spans="1:35" ht="12.75" thickBot="1">
      <c r="A556" s="492"/>
      <c r="B556" s="496"/>
      <c r="C556" s="486" t="s">
        <v>405</v>
      </c>
      <c r="D556" s="487">
        <f>SUMIF(FS!$C$49:$C$79,개요!$B$169&amp;RIGHT(NAV!C556,7),FS!$F$49:$F$79)</f>
        <v>0</v>
      </c>
      <c r="E556" s="487">
        <f>D556</f>
        <v>0</v>
      </c>
      <c r="J556" s="551"/>
      <c r="K556" s="552"/>
      <c r="L556" s="551"/>
      <c r="M556" s="553"/>
      <c r="N556" s="553"/>
      <c r="O556" s="551"/>
      <c r="P556" s="553"/>
      <c r="Q556" s="524"/>
      <c r="R556" s="478">
        <f>IFERROR(INDEX(기초자산!M$6:M$408,MATCH(K556&amp;N556&amp;O556,기초자산!$A$6:$A$408,0),0),0)</f>
        <v>0</v>
      </c>
      <c r="S556" s="479">
        <f t="shared" si="165"/>
        <v>0</v>
      </c>
      <c r="T556" s="553"/>
      <c r="U556" s="471" t="s">
        <v>94</v>
      </c>
      <c r="V556" s="480">
        <f>IF(U556="한국 원화(KRW)",1,IF(OR(U556=환율!$A$6,U556=환율!$A$7),VLOOKUP(NAV!U556,환율!$A$6:$B$7,2,),IF(RIGHT(U556,5)="(100)",(VLOOKUP(NAV!U556,환율!$A$11:$B$65,2,))/100,VLOOKUP(NAV!U556,환율!$A$11:$B$65,2,))))</f>
        <v>1</v>
      </c>
      <c r="W556" s="481"/>
      <c r="X556" s="482">
        <f t="shared" si="166"/>
        <v>0</v>
      </c>
      <c r="Y556" s="481"/>
      <c r="Z556" s="481"/>
      <c r="AA556" s="483">
        <f t="shared" si="167"/>
        <v>0</v>
      </c>
      <c r="AB556" s="554"/>
      <c r="AC556" s="526" t="str">
        <f t="shared" si="168"/>
        <v>2년이상</v>
      </c>
      <c r="AD556" s="520" t="str">
        <f t="shared" si="169"/>
        <v/>
      </c>
      <c r="AE556" s="527">
        <f t="shared" ref="AE556:AE565" si="170">IF(OR(T556="MTP",T556="과거거래 이용법",T556="취득원가 준용",T556="장부가액 준용",T556="상장종가 적용"),S556,IF(P556="주당",AG556*Q556*V556,Y556/10000*AG556*V556))</f>
        <v>0</v>
      </c>
      <c r="AF556" s="527">
        <f t="shared" ref="AF556:AF565" si="171">IF(OR(T556="MTP",T556="과거거래 이용법",T556="취득원가 준용",T556="장부가액 준용",T556="상장종가 적용"),S556,IF(P556="주당",AH556*Q556*V556,Y556/10000*AH556*V556))</f>
        <v>0</v>
      </c>
      <c r="AG556" s="485"/>
      <c r="AH556" s="485"/>
      <c r="AI556" s="404"/>
    </row>
    <row r="557" spans="1:35" ht="12.75" thickBot="1">
      <c r="A557" s="492"/>
      <c r="B557" s="496"/>
      <c r="C557" s="468" t="s">
        <v>21</v>
      </c>
      <c r="D557" s="469">
        <f>SUM(D558:D559)</f>
        <v>0</v>
      </c>
      <c r="E557" s="469">
        <f>SUM(E558:E559)</f>
        <v>0</v>
      </c>
      <c r="J557" s="551"/>
      <c r="K557" s="552"/>
      <c r="L557" s="551"/>
      <c r="M557" s="553"/>
      <c r="N557" s="553"/>
      <c r="O557" s="551"/>
      <c r="P557" s="553"/>
      <c r="Q557" s="524"/>
      <c r="R557" s="478">
        <f>IFERROR(INDEX(기초자산!M$6:M$408,MATCH(K557&amp;N557&amp;O557,기초자산!$A$6:$A$408,0),0),0)</f>
        <v>0</v>
      </c>
      <c r="S557" s="479">
        <f t="shared" si="165"/>
        <v>0</v>
      </c>
      <c r="T557" s="553"/>
      <c r="U557" s="471" t="s">
        <v>94</v>
      </c>
      <c r="V557" s="480">
        <f>IF(U557="한국 원화(KRW)",1,IF(OR(U557=환율!$A$6,U557=환율!$A$7),VLOOKUP(NAV!U557,환율!$A$6:$B$7,2,),IF(RIGHT(U557,5)="(100)",(VLOOKUP(NAV!U557,환율!$A$11:$B$65,2,))/100,VLOOKUP(NAV!U557,환율!$A$11:$B$65,2,))))</f>
        <v>1</v>
      </c>
      <c r="W557" s="481"/>
      <c r="X557" s="482">
        <f t="shared" si="166"/>
        <v>0</v>
      </c>
      <c r="Y557" s="481"/>
      <c r="Z557" s="481"/>
      <c r="AA557" s="483">
        <f t="shared" si="167"/>
        <v>0</v>
      </c>
      <c r="AB557" s="554"/>
      <c r="AC557" s="526" t="str">
        <f t="shared" si="168"/>
        <v>2년이상</v>
      </c>
      <c r="AD557" s="520" t="str">
        <f t="shared" si="169"/>
        <v/>
      </c>
      <c r="AE557" s="527">
        <f t="shared" si="170"/>
        <v>0</v>
      </c>
      <c r="AF557" s="527">
        <f t="shared" si="171"/>
        <v>0</v>
      </c>
      <c r="AG557" s="485"/>
      <c r="AH557" s="485"/>
      <c r="AI557" s="404"/>
    </row>
    <row r="558" spans="1:35" ht="12.75" thickBot="1">
      <c r="A558" s="492"/>
      <c r="B558" s="496"/>
      <c r="C558" s="486" t="s">
        <v>406</v>
      </c>
      <c r="D558" s="487">
        <f>SUMIF(FS!$C$49:$C$79,개요!$B$169&amp;RIGHT(NAV!C558,3),FS!$F$49:$F$79)</f>
        <v>0</v>
      </c>
      <c r="E558" s="487">
        <f>D558</f>
        <v>0</v>
      </c>
      <c r="J558" s="551"/>
      <c r="K558" s="552"/>
      <c r="L558" s="551"/>
      <c r="M558" s="553"/>
      <c r="N558" s="553"/>
      <c r="O558" s="551"/>
      <c r="P558" s="553"/>
      <c r="Q558" s="524"/>
      <c r="R558" s="478">
        <f>IFERROR(INDEX(기초자산!M$6:M$408,MATCH(K558&amp;N558&amp;O558,기초자산!$A$6:$A$408,0),0),0)</f>
        <v>0</v>
      </c>
      <c r="S558" s="479">
        <f t="shared" si="165"/>
        <v>0</v>
      </c>
      <c r="T558" s="553"/>
      <c r="U558" s="471" t="s">
        <v>94</v>
      </c>
      <c r="V558" s="480">
        <f>IF(U558="한국 원화(KRW)",1,IF(OR(U558=환율!$A$6,U558=환율!$A$7),VLOOKUP(NAV!U558,환율!$A$6:$B$7,2,),IF(RIGHT(U558,5)="(100)",(VLOOKUP(NAV!U558,환율!$A$11:$B$65,2,))/100,VLOOKUP(NAV!U558,환율!$A$11:$B$65,2,))))</f>
        <v>1</v>
      </c>
      <c r="W558" s="481"/>
      <c r="X558" s="482">
        <f t="shared" si="166"/>
        <v>0</v>
      </c>
      <c r="Y558" s="481"/>
      <c r="Z558" s="481"/>
      <c r="AA558" s="483">
        <f t="shared" si="167"/>
        <v>0</v>
      </c>
      <c r="AB558" s="554"/>
      <c r="AC558" s="526" t="str">
        <f t="shared" si="168"/>
        <v>2년이상</v>
      </c>
      <c r="AD558" s="520" t="str">
        <f t="shared" si="169"/>
        <v/>
      </c>
      <c r="AE558" s="527">
        <f t="shared" si="170"/>
        <v>0</v>
      </c>
      <c r="AF558" s="527">
        <f t="shared" si="171"/>
        <v>0</v>
      </c>
      <c r="AG558" s="485"/>
      <c r="AH558" s="485"/>
      <c r="AI558" s="404"/>
    </row>
    <row r="559" spans="1:35" ht="12.75" thickBot="1">
      <c r="A559" s="492"/>
      <c r="B559" s="496"/>
      <c r="C559" s="486" t="s">
        <v>407</v>
      </c>
      <c r="D559" s="487">
        <f>SUMIF(FS!$C$49:$C$79,개요!$B$169&amp;RIGHT(NAV!C559,4),FS!$F$49:$F$79)</f>
        <v>0</v>
      </c>
      <c r="E559" s="487">
        <f>D559</f>
        <v>0</v>
      </c>
      <c r="J559" s="551"/>
      <c r="K559" s="552"/>
      <c r="L559" s="551"/>
      <c r="M559" s="553"/>
      <c r="N559" s="553"/>
      <c r="O559" s="551"/>
      <c r="P559" s="553"/>
      <c r="Q559" s="524"/>
      <c r="R559" s="478">
        <f>IFERROR(INDEX(기초자산!M$6:M$408,MATCH(K559&amp;N559&amp;O559,기초자산!$A$6:$A$408,0),0),0)</f>
        <v>0</v>
      </c>
      <c r="S559" s="479">
        <f t="shared" si="165"/>
        <v>0</v>
      </c>
      <c r="T559" s="553"/>
      <c r="U559" s="471" t="s">
        <v>94</v>
      </c>
      <c r="V559" s="480">
        <f>IF(U559="한국 원화(KRW)",1,IF(OR(U559=환율!$A$6,U559=환율!$A$7),VLOOKUP(NAV!U559,환율!$A$6:$B$7,2,),IF(RIGHT(U559,5)="(100)",(VLOOKUP(NAV!U559,환율!$A$11:$B$65,2,))/100,VLOOKUP(NAV!U559,환율!$A$11:$B$65,2,))))</f>
        <v>1</v>
      </c>
      <c r="W559" s="481"/>
      <c r="X559" s="482">
        <f t="shared" si="166"/>
        <v>0</v>
      </c>
      <c r="Y559" s="481"/>
      <c r="Z559" s="481"/>
      <c r="AA559" s="483">
        <f t="shared" si="167"/>
        <v>0</v>
      </c>
      <c r="AB559" s="554"/>
      <c r="AC559" s="526" t="str">
        <f t="shared" si="168"/>
        <v>2년이상</v>
      </c>
      <c r="AD559" s="520" t="str">
        <f t="shared" si="169"/>
        <v/>
      </c>
      <c r="AE559" s="527">
        <f t="shared" si="170"/>
        <v>0</v>
      </c>
      <c r="AF559" s="527">
        <f t="shared" si="171"/>
        <v>0</v>
      </c>
      <c r="AG559" s="485"/>
      <c r="AH559" s="485"/>
      <c r="AI559" s="404"/>
    </row>
    <row r="560" spans="1:35" ht="12.75" thickBot="1">
      <c r="A560" s="489" t="s">
        <v>408</v>
      </c>
      <c r="B560" s="498" t="b">
        <f>D553+D554+D555+D556+D558+D559=D560</f>
        <v>1</v>
      </c>
      <c r="C560" s="493" t="s">
        <v>477</v>
      </c>
      <c r="D560" s="494">
        <f>D552+D557</f>
        <v>0</v>
      </c>
      <c r="E560" s="494">
        <f>E552+E557</f>
        <v>0</v>
      </c>
      <c r="J560" s="551"/>
      <c r="K560" s="552"/>
      <c r="L560" s="551"/>
      <c r="M560" s="553"/>
      <c r="N560" s="553"/>
      <c r="O560" s="551"/>
      <c r="P560" s="553"/>
      <c r="Q560" s="524"/>
      <c r="R560" s="478">
        <f>IFERROR(INDEX(기초자산!M$6:M$408,MATCH(K560&amp;N560&amp;O560,기초자산!$A$6:$A$408,0),0),0)</f>
        <v>0</v>
      </c>
      <c r="S560" s="479">
        <f t="shared" si="165"/>
        <v>0</v>
      </c>
      <c r="T560" s="553"/>
      <c r="U560" s="471" t="s">
        <v>94</v>
      </c>
      <c r="V560" s="480">
        <f>IF(U560="한국 원화(KRW)",1,IF(OR(U560=환율!$A$6,U560=환율!$A$7),VLOOKUP(NAV!U560,환율!$A$6:$B$7,2,),IF(RIGHT(U560,5)="(100)",(VLOOKUP(NAV!U560,환율!$A$11:$B$65,2,))/100,VLOOKUP(NAV!U560,환율!$A$11:$B$65,2,))))</f>
        <v>1</v>
      </c>
      <c r="W560" s="481"/>
      <c r="X560" s="482">
        <f t="shared" si="166"/>
        <v>0</v>
      </c>
      <c r="Y560" s="481"/>
      <c r="Z560" s="481"/>
      <c r="AA560" s="483">
        <f t="shared" si="167"/>
        <v>0</v>
      </c>
      <c r="AB560" s="554"/>
      <c r="AC560" s="526" t="str">
        <f t="shared" si="168"/>
        <v>2년이상</v>
      </c>
      <c r="AD560" s="520" t="str">
        <f t="shared" si="169"/>
        <v/>
      </c>
      <c r="AE560" s="527">
        <f t="shared" si="170"/>
        <v>0</v>
      </c>
      <c r="AF560" s="527">
        <f t="shared" si="171"/>
        <v>0</v>
      </c>
      <c r="AG560" s="485"/>
      <c r="AH560" s="485"/>
      <c r="AI560" s="404"/>
    </row>
    <row r="561" spans="1:35" ht="12.75" thickBot="1">
      <c r="A561" s="492"/>
      <c r="B561" s="555" t="str">
        <f>B541&amp;C561</f>
        <v>SPC없음자본금</v>
      </c>
      <c r="C561" s="486" t="s">
        <v>35</v>
      </c>
      <c r="D561" s="487">
        <f>SUMIF(FS!$C$49:$C$79,개요!$B$169&amp;RIGHT(NAV!C561,3),FS!$F$49:$F$79)</f>
        <v>0</v>
      </c>
      <c r="E561" s="487">
        <f>D561</f>
        <v>0</v>
      </c>
      <c r="J561" s="551"/>
      <c r="K561" s="552"/>
      <c r="L561" s="551"/>
      <c r="M561" s="553"/>
      <c r="N561" s="553"/>
      <c r="O561" s="551"/>
      <c r="P561" s="553"/>
      <c r="Q561" s="524"/>
      <c r="R561" s="478">
        <f>IFERROR(INDEX(기초자산!M$6:M$408,MATCH(K561&amp;N561&amp;O561,기초자산!$A$6:$A$408,0),0),0)</f>
        <v>0</v>
      </c>
      <c r="S561" s="479">
        <f t="shared" si="165"/>
        <v>0</v>
      </c>
      <c r="T561" s="553"/>
      <c r="U561" s="471" t="s">
        <v>94</v>
      </c>
      <c r="V561" s="480">
        <f>IF(U561="한국 원화(KRW)",1,IF(OR(U561=환율!$A$6,U561=환율!$A$7),VLOOKUP(NAV!U561,환율!$A$6:$B$7,2,),IF(RIGHT(U561,5)="(100)",(VLOOKUP(NAV!U561,환율!$A$11:$B$65,2,))/100,VLOOKUP(NAV!U561,환율!$A$11:$B$65,2,))))</f>
        <v>1</v>
      </c>
      <c r="W561" s="481"/>
      <c r="X561" s="482">
        <f t="shared" si="166"/>
        <v>0</v>
      </c>
      <c r="Y561" s="481"/>
      <c r="Z561" s="481"/>
      <c r="AA561" s="483">
        <f t="shared" si="167"/>
        <v>0</v>
      </c>
      <c r="AB561" s="554"/>
      <c r="AC561" s="526" t="str">
        <f t="shared" si="168"/>
        <v>2년이상</v>
      </c>
      <c r="AD561" s="520" t="str">
        <f t="shared" si="169"/>
        <v/>
      </c>
      <c r="AE561" s="527">
        <f t="shared" si="170"/>
        <v>0</v>
      </c>
      <c r="AF561" s="527">
        <f t="shared" si="171"/>
        <v>0</v>
      </c>
      <c r="AG561" s="485"/>
      <c r="AH561" s="485"/>
      <c r="AI561" s="404"/>
    </row>
    <row r="562" spans="1:35" ht="12.75" thickBot="1">
      <c r="C562" s="486" t="s">
        <v>409</v>
      </c>
      <c r="D562" s="487">
        <f>SUMIF(FS!$C$49:$C$79,개요!$B$169&amp;RIGHT(NAV!C562,10),FS!$F$49:$F$79)</f>
        <v>0</v>
      </c>
      <c r="E562" s="487">
        <f>D562</f>
        <v>0</v>
      </c>
      <c r="J562" s="551"/>
      <c r="K562" s="552"/>
      <c r="L562" s="551"/>
      <c r="M562" s="553"/>
      <c r="N562" s="553"/>
      <c r="O562" s="551"/>
      <c r="P562" s="553"/>
      <c r="Q562" s="524"/>
      <c r="R562" s="478">
        <f>IFERROR(INDEX(기초자산!M$6:M$408,MATCH(K562&amp;N562&amp;O562,기초자산!$A$6:$A$408,0),0),0)</f>
        <v>0</v>
      </c>
      <c r="S562" s="479">
        <f t="shared" si="165"/>
        <v>0</v>
      </c>
      <c r="T562" s="553"/>
      <c r="U562" s="471" t="s">
        <v>94</v>
      </c>
      <c r="V562" s="480">
        <f>IF(U562="한국 원화(KRW)",1,IF(OR(U562=환율!$A$6,U562=환율!$A$7),VLOOKUP(NAV!U562,환율!$A$6:$B$7,2,),IF(RIGHT(U562,5)="(100)",(VLOOKUP(NAV!U562,환율!$A$11:$B$65,2,))/100,VLOOKUP(NAV!U562,환율!$A$11:$B$65,2,))))</f>
        <v>1</v>
      </c>
      <c r="W562" s="481"/>
      <c r="X562" s="482">
        <f t="shared" si="166"/>
        <v>0</v>
      </c>
      <c r="Y562" s="481"/>
      <c r="Z562" s="481"/>
      <c r="AA562" s="483">
        <f t="shared" si="167"/>
        <v>0</v>
      </c>
      <c r="AB562" s="554"/>
      <c r="AC562" s="526" t="str">
        <f t="shared" si="168"/>
        <v>2년이상</v>
      </c>
      <c r="AD562" s="520" t="str">
        <f t="shared" si="169"/>
        <v/>
      </c>
      <c r="AE562" s="527">
        <f t="shared" si="170"/>
        <v>0</v>
      </c>
      <c r="AF562" s="527">
        <f t="shared" si="171"/>
        <v>0</v>
      </c>
      <c r="AG562" s="485"/>
      <c r="AH562" s="485"/>
      <c r="AI562" s="404"/>
    </row>
    <row r="563" spans="1:35" ht="12.75" thickBot="1">
      <c r="A563" s="489"/>
      <c r="B563" s="415"/>
      <c r="C563" s="486" t="s">
        <v>410</v>
      </c>
      <c r="D563" s="487">
        <f>SUMIF(FS!$C$49:$C$79,개요!$B$169&amp;RIGHT(NAV!C563,8),FS!$F$49:$F$79)</f>
        <v>0</v>
      </c>
      <c r="E563" s="487">
        <f>D563</f>
        <v>0</v>
      </c>
      <c r="J563" s="551"/>
      <c r="K563" s="552"/>
      <c r="L563" s="551"/>
      <c r="M563" s="553"/>
      <c r="N563" s="553"/>
      <c r="O563" s="551"/>
      <c r="P563" s="553"/>
      <c r="Q563" s="524"/>
      <c r="R563" s="478">
        <f>IFERROR(INDEX(기초자산!M$6:M$408,MATCH(K563&amp;N563&amp;O563,기초자산!$A$6:$A$408,0),0),0)</f>
        <v>0</v>
      </c>
      <c r="S563" s="479">
        <f t="shared" si="165"/>
        <v>0</v>
      </c>
      <c r="T563" s="553"/>
      <c r="U563" s="471" t="s">
        <v>94</v>
      </c>
      <c r="V563" s="480">
        <f>IF(U563="한국 원화(KRW)",1,IF(OR(U563=환율!$A$6,U563=환율!$A$7),VLOOKUP(NAV!U563,환율!$A$6:$B$7,2,),IF(RIGHT(U563,5)="(100)",(VLOOKUP(NAV!U563,환율!$A$11:$B$65,2,))/100,VLOOKUP(NAV!U563,환율!$A$11:$B$65,2,))))</f>
        <v>1</v>
      </c>
      <c r="W563" s="481"/>
      <c r="X563" s="482">
        <f t="shared" si="166"/>
        <v>0</v>
      </c>
      <c r="Y563" s="481"/>
      <c r="Z563" s="481"/>
      <c r="AA563" s="483">
        <f t="shared" si="167"/>
        <v>0</v>
      </c>
      <c r="AB563" s="554"/>
      <c r="AC563" s="526" t="str">
        <f t="shared" si="168"/>
        <v>2년이상</v>
      </c>
      <c r="AD563" s="520" t="str">
        <f t="shared" si="169"/>
        <v/>
      </c>
      <c r="AE563" s="527">
        <f t="shared" si="170"/>
        <v>0</v>
      </c>
      <c r="AF563" s="527">
        <f t="shared" si="171"/>
        <v>0</v>
      </c>
      <c r="AG563" s="485"/>
      <c r="AH563" s="485"/>
      <c r="AI563" s="404"/>
    </row>
    <row r="564" spans="1:35" ht="12.75" thickBot="1">
      <c r="A564" s="489" t="s">
        <v>411</v>
      </c>
      <c r="B564" s="415" t="b">
        <f>D564=SUM(D561:D563)</f>
        <v>1</v>
      </c>
      <c r="C564" s="493" t="s">
        <v>412</v>
      </c>
      <c r="D564" s="494">
        <f>D551-D560</f>
        <v>0</v>
      </c>
      <c r="E564" s="494">
        <f>E551-E560</f>
        <v>0</v>
      </c>
      <c r="J564" s="551"/>
      <c r="K564" s="552"/>
      <c r="L564" s="551"/>
      <c r="M564" s="553"/>
      <c r="N564" s="553"/>
      <c r="O564" s="551"/>
      <c r="P564" s="553"/>
      <c r="Q564" s="524"/>
      <c r="R564" s="478">
        <f>IFERROR(INDEX(기초자산!M$6:M$408,MATCH(K564&amp;N564&amp;O564,기초자산!$A$6:$A$408,0),0),0)</f>
        <v>0</v>
      </c>
      <c r="S564" s="479">
        <f t="shared" si="165"/>
        <v>0</v>
      </c>
      <c r="T564" s="553"/>
      <c r="U564" s="471" t="s">
        <v>94</v>
      </c>
      <c r="V564" s="480">
        <f>IF(U564="한국 원화(KRW)",1,IF(OR(U564=환율!$A$6,U564=환율!$A$7),VLOOKUP(NAV!U564,환율!$A$6:$B$7,2,),IF(RIGHT(U564,5)="(100)",(VLOOKUP(NAV!U564,환율!$A$11:$B$65,2,))/100,VLOOKUP(NAV!U564,환율!$A$11:$B$65,2,))))</f>
        <v>1</v>
      </c>
      <c r="W564" s="481"/>
      <c r="X564" s="482">
        <f t="shared" si="166"/>
        <v>0</v>
      </c>
      <c r="Y564" s="481"/>
      <c r="Z564" s="481"/>
      <c r="AA564" s="483">
        <f t="shared" si="167"/>
        <v>0</v>
      </c>
      <c r="AB564" s="554"/>
      <c r="AC564" s="526" t="str">
        <f t="shared" si="168"/>
        <v>2년이상</v>
      </c>
      <c r="AD564" s="520" t="str">
        <f t="shared" si="169"/>
        <v/>
      </c>
      <c r="AE564" s="527">
        <f t="shared" si="170"/>
        <v>0</v>
      </c>
      <c r="AF564" s="527">
        <f t="shared" si="171"/>
        <v>0</v>
      </c>
      <c r="AG564" s="485"/>
      <c r="AH564" s="485"/>
      <c r="AI564" s="404"/>
    </row>
    <row r="565" spans="1:35" ht="12.75" thickBot="1">
      <c r="A565" s="489"/>
      <c r="B565" s="415"/>
      <c r="C565" s="486" t="s">
        <v>478</v>
      </c>
      <c r="D565" s="487">
        <v>0</v>
      </c>
      <c r="E565" s="499">
        <v>0</v>
      </c>
      <c r="J565" s="551"/>
      <c r="K565" s="552"/>
      <c r="L565" s="551"/>
      <c r="M565" s="553"/>
      <c r="N565" s="553"/>
      <c r="O565" s="551"/>
      <c r="P565" s="553"/>
      <c r="Q565" s="524"/>
      <c r="R565" s="478">
        <f>IFERROR(INDEX(기초자산!M$6:M$408,MATCH(K565&amp;N565&amp;O565,기초자산!$A$6:$A$408,0),0),0)</f>
        <v>0</v>
      </c>
      <c r="S565" s="479">
        <f t="shared" si="165"/>
        <v>0</v>
      </c>
      <c r="T565" s="553"/>
      <c r="U565" s="471" t="s">
        <v>94</v>
      </c>
      <c r="V565" s="480">
        <f>IF(U565="한국 원화(KRW)",1,IF(OR(U565=환율!$A$6,U565=환율!$A$7),VLOOKUP(NAV!U565,환율!$A$6:$B$7,2,),IF(RIGHT(U565,5)="(100)",(VLOOKUP(NAV!U565,환율!$A$11:$B$65,2,))/100,VLOOKUP(NAV!U565,환율!$A$11:$B$65,2,))))</f>
        <v>1</v>
      </c>
      <c r="W565" s="481"/>
      <c r="X565" s="482">
        <f t="shared" si="166"/>
        <v>0</v>
      </c>
      <c r="Y565" s="481"/>
      <c r="Z565" s="481"/>
      <c r="AA565" s="483">
        <f t="shared" si="167"/>
        <v>0</v>
      </c>
      <c r="AB565" s="554"/>
      <c r="AC565" s="526" t="str">
        <f t="shared" si="168"/>
        <v>2년이상</v>
      </c>
      <c r="AD565" s="520" t="str">
        <f t="shared" si="169"/>
        <v/>
      </c>
      <c r="AE565" s="527">
        <f t="shared" si="170"/>
        <v>0</v>
      </c>
      <c r="AF565" s="527">
        <f t="shared" si="171"/>
        <v>0</v>
      </c>
      <c r="AG565" s="485"/>
      <c r="AH565" s="485"/>
      <c r="AI565" s="404"/>
    </row>
    <row r="566" spans="1:35">
      <c r="A566" s="489"/>
      <c r="B566" s="415"/>
      <c r="C566" s="486" t="s">
        <v>414</v>
      </c>
      <c r="D566" s="487">
        <v>0</v>
      </c>
      <c r="E566" s="499">
        <v>0</v>
      </c>
      <c r="J566" s="495"/>
      <c r="K566" s="415"/>
      <c r="L566" s="495"/>
      <c r="M566" s="415"/>
      <c r="N566" s="415"/>
      <c r="O566" s="415"/>
      <c r="P566" s="415"/>
      <c r="Q566" s="422"/>
      <c r="R566" s="415"/>
      <c r="S566" s="415"/>
      <c r="T566" s="415"/>
      <c r="U566" s="415"/>
      <c r="V566" s="415"/>
      <c r="W566" s="422"/>
      <c r="X566" s="415"/>
      <c r="Y566" s="458"/>
      <c r="Z566" s="422"/>
      <c r="AA566" s="556"/>
      <c r="AB566" s="556"/>
      <c r="AC566" s="415"/>
      <c r="AE566" s="415"/>
      <c r="AI566" s="404"/>
    </row>
    <row r="567" spans="1:35">
      <c r="A567" s="489"/>
      <c r="B567" s="415"/>
      <c r="C567" s="493" t="s">
        <v>415</v>
      </c>
      <c r="D567" s="494">
        <f>D564+D565-D566</f>
        <v>0</v>
      </c>
      <c r="E567" s="494">
        <f>IF(E564+E565-E566&gt;0,E564+E565-E566,0)</f>
        <v>0</v>
      </c>
      <c r="J567" s="305"/>
      <c r="K567" s="415"/>
      <c r="L567" s="305"/>
      <c r="M567" s="415"/>
      <c r="N567" s="415"/>
      <c r="O567" s="415"/>
      <c r="S567" s="415"/>
      <c r="T567" s="415"/>
      <c r="U567" s="415"/>
      <c r="V567" s="415"/>
      <c r="Y567" s="458"/>
      <c r="AD567" s="557" t="str">
        <f>B541&amp;"순자산가치"</f>
        <v>SPC없음순자산가치</v>
      </c>
      <c r="AE567" s="529">
        <f>IF(E547+SUM(AE547:AE552)+SUM(AE555:AE565)-E560&gt;0,E547+SUM(AE547:AE552)+SUM(AE555:AE565)-E560,0)</f>
        <v>0</v>
      </c>
      <c r="AF567" s="529">
        <f>IF(E547+SUM(AF547:AF552)+SUM(AF555:AF565)-E560&gt;0,E547+SUM(AF547:AF552)+SUM(AF555:AF565)-E560,0)</f>
        <v>0</v>
      </c>
      <c r="AI567" s="404"/>
    </row>
    <row r="568" spans="1:35">
      <c r="A568" s="489"/>
      <c r="B568" s="558" t="str">
        <f>B541&amp;C568</f>
        <v>SPC없음보유지분율(%)</v>
      </c>
      <c r="C568" s="493" t="s">
        <v>416</v>
      </c>
      <c r="D568" s="559">
        <f>개요!$C$178</f>
        <v>0</v>
      </c>
      <c r="E568" s="494">
        <f>E567*D568</f>
        <v>0</v>
      </c>
      <c r="F568" s="560" t="s">
        <v>417</v>
      </c>
      <c r="G568" s="560"/>
      <c r="J568" s="495"/>
      <c r="K568" s="415"/>
      <c r="L568" s="495"/>
      <c r="M568" s="415"/>
      <c r="N568" s="415"/>
      <c r="O568" s="415"/>
      <c r="S568" s="415"/>
      <c r="T568" s="415"/>
      <c r="U568" s="415"/>
      <c r="V568" s="415"/>
      <c r="Y568" s="458"/>
      <c r="AD568" s="557" t="s">
        <v>272</v>
      </c>
      <c r="AE568" s="561">
        <f>$D568</f>
        <v>0</v>
      </c>
      <c r="AF568" s="561">
        <f>$D568</f>
        <v>0</v>
      </c>
      <c r="AI568" s="404"/>
    </row>
    <row r="569" spans="1:35">
      <c r="A569" s="489"/>
      <c r="B569" s="415"/>
      <c r="G569" s="503" t="s">
        <v>419</v>
      </c>
      <c r="I569" s="562"/>
      <c r="J569" s="495"/>
      <c r="K569" s="415"/>
      <c r="L569" s="495"/>
      <c r="M569" s="415"/>
      <c r="N569" s="415"/>
      <c r="O569" s="415"/>
      <c r="S569" s="415"/>
      <c r="T569" s="415"/>
      <c r="U569" s="415"/>
      <c r="V569" s="415"/>
      <c r="Y569" s="458"/>
      <c r="AD569" s="557" t="str">
        <f>B541&amp;"지분율 반영 순자산가치"</f>
        <v>SPC없음지분율 반영 순자산가치</v>
      </c>
      <c r="AE569" s="529">
        <f>AE567*AE568</f>
        <v>0</v>
      </c>
      <c r="AF569" s="529">
        <f>AF567*AF568</f>
        <v>0</v>
      </c>
      <c r="AI569" s="404"/>
    </row>
    <row r="570" spans="1:35">
      <c r="A570" s="489"/>
      <c r="D570" s="504" t="s">
        <v>370</v>
      </c>
      <c r="E570" s="505">
        <f>$C$7</f>
        <v>45473</v>
      </c>
      <c r="F570" s="506"/>
      <c r="G570" s="505"/>
      <c r="I570" s="563"/>
      <c r="J570" s="495"/>
      <c r="K570" s="415"/>
      <c r="L570" s="495"/>
      <c r="M570" s="415"/>
      <c r="N570" s="415"/>
      <c r="O570" s="415"/>
      <c r="S570" s="415"/>
      <c r="T570" s="415"/>
      <c r="U570" s="415"/>
      <c r="V570" s="415"/>
      <c r="Y570" s="422"/>
      <c r="AI570" s="404"/>
    </row>
    <row r="571" spans="1:35">
      <c r="D571" s="486" t="s">
        <v>412</v>
      </c>
      <c r="E571" s="487">
        <f>E567</f>
        <v>0</v>
      </c>
      <c r="F571" s="507" t="e">
        <f>E571/G571-1</f>
        <v>#DIV/0!</v>
      </c>
      <c r="G571" s="487"/>
      <c r="I571" s="564"/>
      <c r="J571" s="495"/>
      <c r="K571" s="415"/>
      <c r="L571" s="495"/>
      <c r="M571" s="415"/>
      <c r="S571" s="415"/>
      <c r="T571" s="415"/>
      <c r="U571" s="415"/>
      <c r="V571" s="415"/>
      <c r="Y571" s="422"/>
      <c r="AI571" s="404"/>
    </row>
    <row r="572" spans="1:35">
      <c r="A572" s="489"/>
      <c r="B572" s="415"/>
      <c r="D572" s="486" t="s">
        <v>418</v>
      </c>
      <c r="E572" s="565">
        <f>$D$568</f>
        <v>0</v>
      </c>
      <c r="F572" s="507"/>
      <c r="G572" s="565"/>
      <c r="I572" s="566"/>
      <c r="J572" s="305"/>
      <c r="K572" s="415"/>
      <c r="L572" s="305"/>
      <c r="M572" s="415"/>
      <c r="S572" s="415"/>
      <c r="T572" s="415"/>
      <c r="U572" s="415"/>
      <c r="V572" s="415"/>
      <c r="Y572" s="422"/>
      <c r="AI572" s="404"/>
    </row>
    <row r="573" spans="1:35">
      <c r="A573" s="489"/>
      <c r="B573" s="415"/>
      <c r="D573" s="567" t="s">
        <v>420</v>
      </c>
      <c r="E573" s="568">
        <f>E571*E572</f>
        <v>0</v>
      </c>
      <c r="F573" s="507" t="e">
        <f>E573/G573-1</f>
        <v>#DIV/0!</v>
      </c>
      <c r="G573" s="568"/>
      <c r="I573" s="564"/>
      <c r="AI573" s="404"/>
    </row>
    <row r="574" spans="1:35">
      <c r="E574" s="304" t="b">
        <f>E573=E568</f>
        <v>1</v>
      </c>
      <c r="AI574" s="404"/>
    </row>
    <row r="575" spans="1:35">
      <c r="F575" s="507"/>
      <c r="G575" s="507"/>
      <c r="AI575" s="404"/>
    </row>
    <row r="576" spans="1:35" ht="12.75" thickBot="1">
      <c r="A576" s="536"/>
      <c r="B576" s="536"/>
      <c r="C576" s="536"/>
      <c r="D576" s="536"/>
      <c r="E576" s="536"/>
      <c r="F576" s="572"/>
      <c r="G576" s="572"/>
      <c r="H576" s="536"/>
      <c r="I576" s="537"/>
      <c r="J576" s="536"/>
      <c r="K576" s="536"/>
      <c r="L576" s="536"/>
      <c r="M576" s="536"/>
      <c r="N576" s="536"/>
      <c r="O576" s="536"/>
      <c r="P576" s="536"/>
      <c r="Q576" s="540"/>
      <c r="R576" s="536"/>
      <c r="S576" s="536"/>
      <c r="T576" s="536"/>
      <c r="U576" s="536"/>
      <c r="V576" s="536"/>
      <c r="W576" s="540"/>
      <c r="X576" s="536"/>
      <c r="Y576" s="540"/>
      <c r="Z576" s="540"/>
      <c r="AA576" s="536"/>
      <c r="AB576" s="536"/>
      <c r="AC576" s="536"/>
      <c r="AD576" s="541"/>
      <c r="AE576" s="536"/>
      <c r="AF576" s="536"/>
      <c r="AG576" s="536"/>
      <c r="AH576" s="536"/>
      <c r="AI576" s="404"/>
    </row>
    <row r="577" spans="1:35" ht="12.75" thickTop="1">
      <c r="F577" s="507"/>
      <c r="G577" s="507"/>
      <c r="AI577" s="404"/>
    </row>
    <row r="578" spans="1:35" ht="12.75" thickBot="1">
      <c r="A578" s="459"/>
      <c r="B578" s="415"/>
      <c r="J578" s="428" t="s">
        <v>273</v>
      </c>
      <c r="K578" s="489"/>
      <c r="L578" s="497"/>
      <c r="M578" s="489"/>
      <c r="N578" s="415"/>
      <c r="O578" s="415"/>
      <c r="AI578" s="404"/>
    </row>
    <row r="579" spans="1:35" ht="12.75" thickBot="1">
      <c r="A579" s="542" t="s">
        <v>665</v>
      </c>
      <c r="B579" s="543" t="str">
        <f>IF(개요!$B$181="","SPC없음",개요!$B$181)</f>
        <v>SPC없음</v>
      </c>
      <c r="C579" s="454"/>
      <c r="J579" s="433"/>
      <c r="K579" s="434"/>
      <c r="L579" s="434"/>
      <c r="M579" s="434"/>
      <c r="N579" s="434"/>
      <c r="O579" s="434"/>
      <c r="P579" s="434"/>
      <c r="Q579" s="435"/>
      <c r="R579" s="434"/>
      <c r="S579" s="434"/>
      <c r="T579" s="434"/>
      <c r="U579" s="434"/>
      <c r="V579" s="436"/>
      <c r="AI579" s="404"/>
    </row>
    <row r="580" spans="1:35">
      <c r="B580" s="543" t="s">
        <v>369</v>
      </c>
      <c r="C580" s="569" t="str">
        <f>IF(개요!$C$182="","SPC없음",개요!$C$182)</f>
        <v>SPC없음</v>
      </c>
      <c r="J580" s="442"/>
      <c r="K580" s="151"/>
      <c r="L580" s="151"/>
      <c r="M580" s="151"/>
      <c r="N580" s="151"/>
      <c r="O580" s="151"/>
      <c r="P580" s="151"/>
      <c r="Q580" s="443"/>
      <c r="R580" s="151"/>
      <c r="S580" s="151"/>
      <c r="T580" s="151"/>
      <c r="U580" s="151"/>
      <c r="V580" s="444"/>
      <c r="AI580" s="404"/>
    </row>
    <row r="581" spans="1:35">
      <c r="B581" s="437" t="s">
        <v>370</v>
      </c>
      <c r="C581" s="570">
        <f>$C$7</f>
        <v>45473</v>
      </c>
      <c r="D581" s="546" t="b">
        <f>C581&gt;=C582</f>
        <v>1</v>
      </c>
      <c r="J581" s="442"/>
      <c r="K581" s="151"/>
      <c r="L581" s="151"/>
      <c r="M581" s="151"/>
      <c r="N581" s="151"/>
      <c r="O581" s="151"/>
      <c r="P581" s="151"/>
      <c r="Q581" s="443"/>
      <c r="R581" s="151"/>
      <c r="S581" s="151"/>
      <c r="T581" s="151"/>
      <c r="U581" s="151"/>
      <c r="V581" s="444"/>
      <c r="AI581" s="404"/>
    </row>
    <row r="582" spans="1:35" ht="12.75" thickBot="1">
      <c r="B582" s="449" t="s">
        <v>371</v>
      </c>
      <c r="C582" s="571">
        <f>FS!$L$48</f>
        <v>0</v>
      </c>
      <c r="J582" s="453"/>
      <c r="K582" s="454"/>
      <c r="L582" s="454"/>
      <c r="M582" s="454"/>
      <c r="N582" s="454"/>
      <c r="O582" s="454"/>
      <c r="P582" s="454"/>
      <c r="Q582" s="455"/>
      <c r="R582" s="454"/>
      <c r="S582" s="454"/>
      <c r="T582" s="454"/>
      <c r="U582" s="454"/>
      <c r="V582" s="456"/>
      <c r="AI582" s="404"/>
    </row>
    <row r="583" spans="1:35">
      <c r="A583" s="459"/>
      <c r="J583" s="428" t="s">
        <v>372</v>
      </c>
      <c r="K583" s="448"/>
      <c r="L583" s="420"/>
      <c r="M583" s="448"/>
      <c r="N583" s="448"/>
      <c r="O583" s="448"/>
      <c r="P583" s="415"/>
      <c r="Q583" s="422"/>
      <c r="R583" s="415"/>
      <c r="S583" s="415"/>
      <c r="T583" s="415"/>
      <c r="U583" s="415"/>
      <c r="V583" s="415"/>
      <c r="W583" s="422"/>
      <c r="Z583" s="458"/>
      <c r="AE583" s="803" t="s">
        <v>8</v>
      </c>
      <c r="AF583" s="803"/>
      <c r="AG583" s="460"/>
      <c r="AH583" s="460"/>
      <c r="AI583" s="404"/>
    </row>
    <row r="584" spans="1:35" ht="12.75" thickBot="1">
      <c r="A584" s="461" t="str">
        <f>IF(AND(B585:B611),"검증완료","검증필요")</f>
        <v>검증완료</v>
      </c>
      <c r="B584" s="462" t="s">
        <v>666</v>
      </c>
      <c r="C584" s="462" t="s">
        <v>9</v>
      </c>
      <c r="D584" s="462" t="s">
        <v>10</v>
      </c>
      <c r="E584" s="462" t="s">
        <v>11</v>
      </c>
      <c r="J584" s="462" t="s">
        <v>375</v>
      </c>
      <c r="K584" s="464" t="s">
        <v>667</v>
      </c>
      <c r="L584" s="462" t="s">
        <v>369</v>
      </c>
      <c r="M584" s="462" t="s">
        <v>456</v>
      </c>
      <c r="N584" s="462" t="s">
        <v>668</v>
      </c>
      <c r="O584" s="462" t="s">
        <v>1</v>
      </c>
      <c r="P584" s="464" t="s">
        <v>380</v>
      </c>
      <c r="Q584" s="465" t="s">
        <v>14</v>
      </c>
      <c r="R584" s="466" t="s">
        <v>381</v>
      </c>
      <c r="S584" s="466" t="s">
        <v>669</v>
      </c>
      <c r="T584" s="462" t="s">
        <v>12</v>
      </c>
      <c r="U584" s="462" t="s">
        <v>383</v>
      </c>
      <c r="V584" s="462" t="s">
        <v>400</v>
      </c>
      <c r="W584" s="465" t="s">
        <v>10</v>
      </c>
      <c r="X584" s="462" t="s">
        <v>385</v>
      </c>
      <c r="Y584" s="465" t="s">
        <v>670</v>
      </c>
      <c r="Z584" s="465" t="s">
        <v>3522</v>
      </c>
      <c r="AA584" s="464" t="s">
        <v>13</v>
      </c>
      <c r="AE584" s="467" t="s">
        <v>3627</v>
      </c>
      <c r="AF584" s="467" t="s">
        <v>3628</v>
      </c>
      <c r="AG584" s="467" t="s">
        <v>3629</v>
      </c>
      <c r="AH584" s="467" t="s">
        <v>3630</v>
      </c>
      <c r="AI584" s="404"/>
    </row>
    <row r="585" spans="1:35" ht="12.75" thickBot="1">
      <c r="A585" s="415"/>
      <c r="B585" s="415"/>
      <c r="C585" s="468" t="s">
        <v>480</v>
      </c>
      <c r="D585" s="469">
        <f>SUM(D586:D587)</f>
        <v>0</v>
      </c>
      <c r="E585" s="469">
        <f>SUM(E586:E587)</f>
        <v>0</v>
      </c>
      <c r="J585" s="476"/>
      <c r="K585" s="472"/>
      <c r="L585" s="473" t="str">
        <f>IF($J585="","SPC 없음",VLOOKUP($J585&amp;"SPC명",개요!$A$3:$E$1932,3,0))</f>
        <v>SPC 없음</v>
      </c>
      <c r="M585" s="474" t="str">
        <f>IF($J585="","SPC 없음",VLOOKUP($J585&amp;"설정일",개요!$A$3:$E$1932,3,0))</f>
        <v>SPC 없음</v>
      </c>
      <c r="N585" s="475" t="str">
        <f t="shared" ref="N585:N590" si="172">IF($J585="","SPC 없음",VLOOKUP($J585&amp;"자본금",$B$4:$E$2079,3,0)*VLOOKUP($J585&amp;"보유지분율(%)",$B$4:$E$2079,3,0))</f>
        <v>SPC 없음</v>
      </c>
      <c r="O585" s="471"/>
      <c r="P585" s="476"/>
      <c r="Q585" s="477"/>
      <c r="R585" s="478"/>
      <c r="S585" s="479" t="str">
        <f t="shared" ref="S585:S590" si="173">IF($J585="","SPC 없음",IF(P585="총액",IF(T585="장부가액 준용",W585,(VLOOKUP($J585&amp;"보유지분율(%)",$B$4:$E$2079,4,0))*V585),Q585*R585))</f>
        <v>SPC 없음</v>
      </c>
      <c r="T585" s="471"/>
      <c r="U585" s="471" t="s">
        <v>94</v>
      </c>
      <c r="V585" s="480">
        <f>IF(U585="한국 원화(KRW)",1,IF(OR(U585=환율!$A$6,U585=환율!$A$7),VLOOKUP(NAV!U585,환율!$A$6:$B$7,2,),IF(RIGHT(U585,5)="(100)",(VLOOKUP(NAV!U585,환율!$A$11:$B$65,2,))/100,VLOOKUP(NAV!U585,환율!$A$11:$B$65,2,))))</f>
        <v>1</v>
      </c>
      <c r="W585" s="481"/>
      <c r="X585" s="482">
        <f t="shared" ref="X585:X590" si="174">IFERROR(IF(P585="만원당",10000,Y585/Q585),0)</f>
        <v>0</v>
      </c>
      <c r="Y585" s="481"/>
      <c r="Z585" s="481"/>
      <c r="AA585" s="483">
        <f t="shared" ref="AA585:AA590" si="175">IFERROR(IF(Z585="",S585/W585-1,S585/Z585-1),0)</f>
        <v>0</v>
      </c>
      <c r="AE585" s="484" t="str">
        <f t="shared" ref="AE585:AE590" si="176">IF($J585="","SPC 없음",IF(P585="총액",(VLOOKUP($J585&amp;"지분율 반영 순자산가치",$AD$4:$AH$4973,2,0))*V585,AG585*$Q585))</f>
        <v>SPC 없음</v>
      </c>
      <c r="AF585" s="484" t="str">
        <f t="shared" ref="AF585:AF590" si="177">IF($J585="","SPC 없음",IF(P585="총액",(VLOOKUP($J585&amp;"지분율 반영 순자산가치",$AD$4:$AH$4973,3,0))*V585,AH585*$Q585))</f>
        <v>SPC 없음</v>
      </c>
      <c r="AG585" s="485"/>
      <c r="AH585" s="485"/>
      <c r="AI585" s="404"/>
    </row>
    <row r="586" spans="1:35" ht="12.75" thickBot="1">
      <c r="A586" s="415"/>
      <c r="B586" s="415"/>
      <c r="C586" s="486" t="s">
        <v>671</v>
      </c>
      <c r="D586" s="487">
        <f>SUMIF(FS!$I$49:$I$79,개요!$B$181&amp;RIGHT(NAV!C586,10),FS!$L$49:$L$79)</f>
        <v>0</v>
      </c>
      <c r="E586" s="487">
        <f>D586</f>
        <v>0</v>
      </c>
      <c r="J586" s="476"/>
      <c r="K586" s="472"/>
      <c r="L586" s="473" t="str">
        <f>IF($J586="","SPC 없음",VLOOKUP($J586&amp;"SPC명",개요!$A$3:$E$1932,3,0))</f>
        <v>SPC 없음</v>
      </c>
      <c r="M586" s="474" t="str">
        <f>IF($J586="","SPC 없음",VLOOKUP($J586&amp;"설정일",개요!$A$3:$E$1932,3,0))</f>
        <v>SPC 없음</v>
      </c>
      <c r="N586" s="475" t="str">
        <f t="shared" si="172"/>
        <v>SPC 없음</v>
      </c>
      <c r="O586" s="471"/>
      <c r="P586" s="476"/>
      <c r="Q586" s="477"/>
      <c r="R586" s="478"/>
      <c r="S586" s="479" t="str">
        <f t="shared" si="173"/>
        <v>SPC 없음</v>
      </c>
      <c r="T586" s="471"/>
      <c r="U586" s="471" t="s">
        <v>94</v>
      </c>
      <c r="V586" s="480">
        <f>IF(U586="한국 원화(KRW)",1,IF(OR(U586=환율!$A$6,U586=환율!$A$7),VLOOKUP(NAV!U586,환율!$A$6:$B$7,2,),IF(RIGHT(U586,5)="(100)",(VLOOKUP(NAV!U586,환율!$A$11:$B$65,2,))/100,VLOOKUP(NAV!U586,환율!$A$11:$B$65,2,))))</f>
        <v>1</v>
      </c>
      <c r="W586" s="481"/>
      <c r="X586" s="482">
        <f t="shared" si="174"/>
        <v>0</v>
      </c>
      <c r="Y586" s="481"/>
      <c r="Z586" s="481"/>
      <c r="AA586" s="483">
        <f t="shared" si="175"/>
        <v>0</v>
      </c>
      <c r="AE586" s="484" t="str">
        <f t="shared" si="176"/>
        <v>SPC 없음</v>
      </c>
      <c r="AF586" s="484" t="str">
        <f t="shared" si="177"/>
        <v>SPC 없음</v>
      </c>
      <c r="AG586" s="485"/>
      <c r="AH586" s="485"/>
      <c r="AI586" s="404"/>
    </row>
    <row r="587" spans="1:35" ht="12.75" thickBot="1">
      <c r="A587" s="415"/>
      <c r="B587" s="415"/>
      <c r="C587" s="486" t="s">
        <v>34</v>
      </c>
      <c r="D587" s="487">
        <f>SUMIF(FS!$I$49:$I$79,개요!$B$181&amp;RIGHT(NAV!C587,4),FS!$L$49:$L$79)</f>
        <v>0</v>
      </c>
      <c r="E587" s="487">
        <f>D587</f>
        <v>0</v>
      </c>
      <c r="J587" s="476"/>
      <c r="K587" s="472"/>
      <c r="L587" s="473" t="str">
        <f>IF($J587="","SPC 없음",VLOOKUP($J587&amp;"SPC명",개요!$A$3:$E$1932,3,0))</f>
        <v>SPC 없음</v>
      </c>
      <c r="M587" s="474" t="str">
        <f>IF($J587="","SPC 없음",VLOOKUP($J587&amp;"설정일",개요!$A$3:$E$1932,3,0))</f>
        <v>SPC 없음</v>
      </c>
      <c r="N587" s="475" t="str">
        <f t="shared" si="172"/>
        <v>SPC 없음</v>
      </c>
      <c r="O587" s="471"/>
      <c r="P587" s="476"/>
      <c r="Q587" s="477"/>
      <c r="R587" s="478"/>
      <c r="S587" s="479" t="str">
        <f t="shared" si="173"/>
        <v>SPC 없음</v>
      </c>
      <c r="T587" s="471"/>
      <c r="U587" s="471" t="s">
        <v>94</v>
      </c>
      <c r="V587" s="480">
        <f>IF(U587="한국 원화(KRW)",1,IF(OR(U587=환율!$A$6,U587=환율!$A$7),VLOOKUP(NAV!U587,환율!$A$6:$B$7,2,),IF(RIGHT(U587,5)="(100)",(VLOOKUP(NAV!U587,환율!$A$11:$B$65,2,))/100,VLOOKUP(NAV!U587,환율!$A$11:$B$65,2,))))</f>
        <v>1</v>
      </c>
      <c r="W587" s="481"/>
      <c r="X587" s="482">
        <f t="shared" si="174"/>
        <v>0</v>
      </c>
      <c r="Y587" s="481"/>
      <c r="Z587" s="481"/>
      <c r="AA587" s="483">
        <f t="shared" si="175"/>
        <v>0</v>
      </c>
      <c r="AE587" s="484" t="str">
        <f t="shared" si="176"/>
        <v>SPC 없음</v>
      </c>
      <c r="AF587" s="484" t="str">
        <f t="shared" si="177"/>
        <v>SPC 없음</v>
      </c>
      <c r="AG587" s="485"/>
      <c r="AH587" s="485"/>
      <c r="AI587" s="404"/>
    </row>
    <row r="588" spans="1:35" ht="12.75" thickBot="1">
      <c r="A588" s="489" t="s">
        <v>389</v>
      </c>
      <c r="B588" s="490" t="b">
        <f>SUM(W585:W590,W593:W603)=D588</f>
        <v>1</v>
      </c>
      <c r="C588" s="468" t="s">
        <v>17</v>
      </c>
      <c r="D588" s="469">
        <f>SUMIF(FS!$I$49:$I$79,개요!$B$181&amp;RIGHT(NAV!C588,4),FS!$L$49:$L$79)</f>
        <v>0</v>
      </c>
      <c r="E588" s="469">
        <f>SUM(S585:S590)+SUM(S593:S603)</f>
        <v>0</v>
      </c>
      <c r="J588" s="476"/>
      <c r="K588" s="472"/>
      <c r="L588" s="473" t="str">
        <f>IF($J588="","SPC 없음",VLOOKUP($J588&amp;"SPC명",개요!$A$3:$E$1932,3,0))</f>
        <v>SPC 없음</v>
      </c>
      <c r="M588" s="474" t="str">
        <f>IF($J588="","SPC 없음",VLOOKUP($J588&amp;"설정일",개요!$A$3:$E$1932,3,0))</f>
        <v>SPC 없음</v>
      </c>
      <c r="N588" s="475" t="str">
        <f t="shared" si="172"/>
        <v>SPC 없음</v>
      </c>
      <c r="O588" s="471"/>
      <c r="P588" s="476"/>
      <c r="Q588" s="477"/>
      <c r="R588" s="478"/>
      <c r="S588" s="479" t="str">
        <f t="shared" si="173"/>
        <v>SPC 없음</v>
      </c>
      <c r="T588" s="471"/>
      <c r="U588" s="471" t="s">
        <v>94</v>
      </c>
      <c r="V588" s="480">
        <f>IF(U588="한국 원화(KRW)",1,IF(OR(U588=환율!$A$6,U588=환율!$A$7),VLOOKUP(NAV!U588,환율!$A$6:$B$7,2,),IF(RIGHT(U588,5)="(100)",(VLOOKUP(NAV!U588,환율!$A$11:$B$65,2,))/100,VLOOKUP(NAV!U588,환율!$A$11:$B$65,2,))))</f>
        <v>1</v>
      </c>
      <c r="W588" s="481"/>
      <c r="X588" s="482">
        <f t="shared" si="174"/>
        <v>0</v>
      </c>
      <c r="Y588" s="481"/>
      <c r="Z588" s="481"/>
      <c r="AA588" s="483">
        <f t="shared" si="175"/>
        <v>0</v>
      </c>
      <c r="AE588" s="484" t="str">
        <f t="shared" si="176"/>
        <v>SPC 없음</v>
      </c>
      <c r="AF588" s="484" t="str">
        <f t="shared" si="177"/>
        <v>SPC 없음</v>
      </c>
      <c r="AG588" s="485"/>
      <c r="AH588" s="485"/>
      <c r="AI588" s="404"/>
    </row>
    <row r="589" spans="1:35" ht="12.75" thickBot="1">
      <c r="A589" s="492" t="s">
        <v>391</v>
      </c>
      <c r="B589" s="415" t="b">
        <f>D586+D587+D588=D589</f>
        <v>1</v>
      </c>
      <c r="C589" s="493" t="s">
        <v>479</v>
      </c>
      <c r="D589" s="494">
        <f>D585+D588</f>
        <v>0</v>
      </c>
      <c r="E589" s="494">
        <f>E585+E588</f>
        <v>0</v>
      </c>
      <c r="J589" s="476"/>
      <c r="K589" s="472"/>
      <c r="L589" s="473" t="str">
        <f>IF($J589="","SPC 없음",VLOOKUP($J589&amp;"SPC명",개요!$A$3:$E$1932,3,0))</f>
        <v>SPC 없음</v>
      </c>
      <c r="M589" s="474" t="str">
        <f>IF($J589="","SPC 없음",VLOOKUP($J589&amp;"설정일",개요!$A$3:$E$1932,3,0))</f>
        <v>SPC 없음</v>
      </c>
      <c r="N589" s="475" t="str">
        <f t="shared" si="172"/>
        <v>SPC 없음</v>
      </c>
      <c r="O589" s="471"/>
      <c r="P589" s="476"/>
      <c r="Q589" s="477"/>
      <c r="R589" s="478"/>
      <c r="S589" s="479" t="str">
        <f t="shared" si="173"/>
        <v>SPC 없음</v>
      </c>
      <c r="T589" s="471"/>
      <c r="U589" s="471" t="s">
        <v>94</v>
      </c>
      <c r="V589" s="480">
        <f>IF(U589="한국 원화(KRW)",1,IF(OR(U589=환율!$A$6,U589=환율!$A$7),VLOOKUP(NAV!U589,환율!$A$6:$B$7,2,),IF(RIGHT(U589,5)="(100)",(VLOOKUP(NAV!U589,환율!$A$11:$B$65,2,))/100,VLOOKUP(NAV!U589,환율!$A$11:$B$65,2,))))</f>
        <v>1</v>
      </c>
      <c r="W589" s="481"/>
      <c r="X589" s="482">
        <f t="shared" si="174"/>
        <v>0</v>
      </c>
      <c r="Y589" s="481"/>
      <c r="Z589" s="481"/>
      <c r="AA589" s="483">
        <f t="shared" si="175"/>
        <v>0</v>
      </c>
      <c r="AE589" s="484" t="str">
        <f t="shared" si="176"/>
        <v>SPC 없음</v>
      </c>
      <c r="AF589" s="484" t="str">
        <f t="shared" si="177"/>
        <v>SPC 없음</v>
      </c>
      <c r="AG589" s="485"/>
      <c r="AH589" s="485"/>
      <c r="AI589" s="404"/>
    </row>
    <row r="590" spans="1:35" ht="12.75" thickBot="1">
      <c r="A590" s="492"/>
      <c r="B590" s="496"/>
      <c r="C590" s="468" t="s">
        <v>18</v>
      </c>
      <c r="D590" s="469">
        <f>SUM(D591:D594)</f>
        <v>0</v>
      </c>
      <c r="E590" s="469">
        <f>SUM(E591:E594)</f>
        <v>0</v>
      </c>
      <c r="J590" s="476"/>
      <c r="K590" s="472"/>
      <c r="L590" s="473" t="str">
        <f>IF($J590="","SPC 없음",VLOOKUP($J590&amp;"SPC명",개요!$A$3:$E$1932,3,0))</f>
        <v>SPC 없음</v>
      </c>
      <c r="M590" s="474" t="str">
        <f>IF($J590="","SPC 없음",VLOOKUP($J590&amp;"설정일",개요!$A$3:$E$1932,3,0))</f>
        <v>SPC 없음</v>
      </c>
      <c r="N590" s="475" t="str">
        <f t="shared" si="172"/>
        <v>SPC 없음</v>
      </c>
      <c r="O590" s="471"/>
      <c r="P590" s="476"/>
      <c r="Q590" s="477"/>
      <c r="R590" s="478"/>
      <c r="S590" s="479" t="str">
        <f t="shared" si="173"/>
        <v>SPC 없음</v>
      </c>
      <c r="T590" s="471"/>
      <c r="U590" s="471" t="s">
        <v>94</v>
      </c>
      <c r="V590" s="480">
        <f>IF(U590="한국 원화(KRW)",1,IF(OR(U590=환율!$A$6,U590=환율!$A$7),VLOOKUP(NAV!U590,환율!$A$6:$B$7,2,),IF(RIGHT(U590,5)="(100)",(VLOOKUP(NAV!U590,환율!$A$11:$B$65,2,))/100,VLOOKUP(NAV!U590,환율!$A$11:$B$65,2,))))</f>
        <v>1</v>
      </c>
      <c r="W590" s="481"/>
      <c r="X590" s="482">
        <f t="shared" si="174"/>
        <v>0</v>
      </c>
      <c r="Y590" s="481"/>
      <c r="Z590" s="481"/>
      <c r="AA590" s="483">
        <f t="shared" si="175"/>
        <v>0</v>
      </c>
      <c r="AE590" s="484" t="str">
        <f t="shared" si="176"/>
        <v>SPC 없음</v>
      </c>
      <c r="AF590" s="484" t="str">
        <f t="shared" si="177"/>
        <v>SPC 없음</v>
      </c>
      <c r="AG590" s="485"/>
      <c r="AH590" s="485"/>
      <c r="AI590" s="404"/>
    </row>
    <row r="591" spans="1:35">
      <c r="A591" s="492"/>
      <c r="B591" s="496"/>
      <c r="C591" s="486" t="s">
        <v>392</v>
      </c>
      <c r="D591" s="487">
        <f>SUMIF(FS!$I$49:$I$79,개요!$B$181&amp;RIGHT(NAV!C591,5),FS!$L$49:$L$79)</f>
        <v>0</v>
      </c>
      <c r="E591" s="487">
        <f>D591</f>
        <v>0</v>
      </c>
      <c r="J591" s="428" t="s">
        <v>539</v>
      </c>
      <c r="K591" s="415"/>
      <c r="L591" s="305"/>
      <c r="M591" s="415"/>
      <c r="N591" s="415"/>
      <c r="O591" s="415"/>
      <c r="P591" s="415"/>
      <c r="Q591" s="422"/>
      <c r="R591" s="415"/>
      <c r="S591" s="415"/>
      <c r="T591" s="415"/>
      <c r="U591" s="415"/>
      <c r="W591" s="517" t="b">
        <f>SUM(W593:W603)+SUM(W585:W590)=D588</f>
        <v>1</v>
      </c>
      <c r="X591" s="415"/>
      <c r="Y591" s="422"/>
      <c r="Z591" s="422"/>
      <c r="AA591" s="459" t="str">
        <f>IF(OR(MAX(AA585:AA590,AA593:AA603)&gt;0.2,MIN(AA585:AA590,AA593:AA603)&lt;-0.2),"특이사항 확인","특이사항 없음")</f>
        <v>특이사항 없음</v>
      </c>
      <c r="AB591" s="415"/>
      <c r="AF591" s="415"/>
      <c r="AG591" s="415"/>
      <c r="AI591" s="404"/>
    </row>
    <row r="592" spans="1:35" ht="12.75" thickBot="1">
      <c r="A592" s="492"/>
      <c r="B592" s="496"/>
      <c r="C592" s="486" t="s">
        <v>393</v>
      </c>
      <c r="D592" s="487">
        <f>SUMIF(FS!$I$49:$I$79,개요!$B$181&amp;RIGHT(NAV!C592,3),FS!$L$49:$L$79)</f>
        <v>0</v>
      </c>
      <c r="E592" s="487">
        <f t="shared" ref="E592:E593" si="178">D592</f>
        <v>0</v>
      </c>
      <c r="I592" s="518">
        <f>COUNTA(J593:J603)</f>
        <v>0</v>
      </c>
      <c r="J592" s="548" t="s">
        <v>394</v>
      </c>
      <c r="K592" s="548" t="s">
        <v>0</v>
      </c>
      <c r="L592" s="548" t="s">
        <v>672</v>
      </c>
      <c r="M592" s="548" t="s">
        <v>396</v>
      </c>
      <c r="N592" s="548" t="s">
        <v>397</v>
      </c>
      <c r="O592" s="548" t="s">
        <v>398</v>
      </c>
      <c r="P592" s="548" t="s">
        <v>673</v>
      </c>
      <c r="Q592" s="519" t="s">
        <v>14</v>
      </c>
      <c r="R592" s="466" t="s">
        <v>299</v>
      </c>
      <c r="S592" s="466" t="s">
        <v>3525</v>
      </c>
      <c r="T592" s="549" t="s">
        <v>12</v>
      </c>
      <c r="U592" s="548" t="s">
        <v>383</v>
      </c>
      <c r="V592" s="548" t="s">
        <v>674</v>
      </c>
      <c r="W592" s="550" t="s">
        <v>10</v>
      </c>
      <c r="X592" s="549" t="s">
        <v>675</v>
      </c>
      <c r="Y592" s="550" t="s">
        <v>402</v>
      </c>
      <c r="Z592" s="550" t="s">
        <v>3523</v>
      </c>
      <c r="AA592" s="548" t="s">
        <v>13</v>
      </c>
      <c r="AB592" s="548" t="s">
        <v>15</v>
      </c>
      <c r="AC592" s="548" t="s">
        <v>473</v>
      </c>
      <c r="AE592" s="467" t="s">
        <v>3627</v>
      </c>
      <c r="AF592" s="467" t="s">
        <v>3628</v>
      </c>
      <c r="AG592" s="467" t="s">
        <v>3629</v>
      </c>
      <c r="AH592" s="467" t="s">
        <v>3630</v>
      </c>
      <c r="AI592" s="404"/>
    </row>
    <row r="593" spans="1:35" ht="12.75" thickBot="1">
      <c r="A593" s="492"/>
      <c r="B593" s="496"/>
      <c r="C593" s="486" t="s">
        <v>676</v>
      </c>
      <c r="D593" s="487">
        <f>SUMIF(FS!$I$49:$I$79,개요!$B$181&amp;RIGHT(NAV!C593,6),FS!$L$49:$L$79)</f>
        <v>0</v>
      </c>
      <c r="E593" s="487">
        <f t="shared" si="178"/>
        <v>0</v>
      </c>
      <c r="J593" s="551"/>
      <c r="K593" s="552"/>
      <c r="L593" s="551"/>
      <c r="M593" s="553"/>
      <c r="N593" s="553"/>
      <c r="O593" s="551"/>
      <c r="P593" s="553"/>
      <c r="Q593" s="524"/>
      <c r="R593" s="478">
        <f>IFERROR(INDEX(기초자산!M$6:M$408,MATCH(K593&amp;N593&amp;O593,기초자산!$A$6:$A$408,0),0),0)</f>
        <v>0</v>
      </c>
      <c r="S593" s="479">
        <f t="shared" ref="S593:S603" si="179">IFERROR(IF(T593="취득원가 준용",Y593,IF(T593="장부가액 준용",W593,IF(P593="주당",R593*Q593*V593,IF(RIGHT(U593,5)="(100)",Y593/1000*R593*V593,Y593/10000*R593*V593)))),0)</f>
        <v>0</v>
      </c>
      <c r="T593" s="553"/>
      <c r="U593" s="471" t="s">
        <v>94</v>
      </c>
      <c r="V593" s="480">
        <f>IF(U593="한국 원화(KRW)",1,IF(OR(U593=환율!$A$6,U593=환율!$A$7),VLOOKUP(NAV!U593,환율!$A$6:$B$7,2,),IF(RIGHT(U593,5)="(100)",(VLOOKUP(NAV!U593,환율!$A$11:$B$65,2,))/100,VLOOKUP(NAV!U593,환율!$A$11:$B$65,2,))))</f>
        <v>1</v>
      </c>
      <c r="W593" s="481"/>
      <c r="X593" s="482">
        <f t="shared" ref="X593:X603" si="180">IFERROR(IF(P593="만원당",10000,Y593/Q593),0)</f>
        <v>0</v>
      </c>
      <c r="Y593" s="481"/>
      <c r="Z593" s="481"/>
      <c r="AA593" s="483">
        <f t="shared" ref="AA593:AA603" si="181">IFERROR(IF(Z593="",S593/W593-1,S593/Z593-1),0)</f>
        <v>0</v>
      </c>
      <c r="AB593" s="554"/>
      <c r="AC593" s="526" t="str">
        <f t="shared" ref="AC593:AC603" si="182">IF(($C$7-AB593)/365&gt;2,"2년이상","2년미만")</f>
        <v>2년이상</v>
      </c>
      <c r="AD593" s="520" t="str">
        <f t="shared" ref="AD593:AD603" si="183">IF(OR(AA593&gt;20%,AA593&lt;-20%),"(1) Note 기재","")</f>
        <v/>
      </c>
      <c r="AE593" s="527">
        <f>IF(OR(T593="MTP",T593="과거거래 이용법",T593="취득원가 준용",T593="장부가액 준용",T593="상장종가 적용"),S593,IF(P593="주당",AG593*Q593*V593,Y593/10000*AG593*V593))</f>
        <v>0</v>
      </c>
      <c r="AF593" s="527">
        <f>IF(OR(T593="MTP",T593="과거거래 이용법",T593="취득원가 준용",T593="장부가액 준용",T593="상장종가 적용"),S593,IF(P593="주당",AH593*Q593*V593,Y593/10000*AH593*V593))</f>
        <v>0</v>
      </c>
      <c r="AG593" s="485"/>
      <c r="AH593" s="485"/>
      <c r="AI593" s="404"/>
    </row>
    <row r="594" spans="1:35" ht="12.75" thickBot="1">
      <c r="A594" s="492"/>
      <c r="B594" s="496"/>
      <c r="C594" s="486" t="s">
        <v>405</v>
      </c>
      <c r="D594" s="487">
        <f>SUMIF(FS!$I$49:$I$79,개요!$B$181&amp;RIGHT(NAV!C594,7),FS!$L$49:$L$79)</f>
        <v>0</v>
      </c>
      <c r="E594" s="487">
        <f>D594</f>
        <v>0</v>
      </c>
      <c r="J594" s="551"/>
      <c r="K594" s="552"/>
      <c r="L594" s="551"/>
      <c r="M594" s="553"/>
      <c r="N594" s="553"/>
      <c r="O594" s="551"/>
      <c r="P594" s="553"/>
      <c r="Q594" s="524"/>
      <c r="R594" s="478">
        <f>IFERROR(INDEX(기초자산!M$6:M$408,MATCH(K594&amp;N594&amp;O594,기초자산!$A$6:$A$408,0),0),0)</f>
        <v>0</v>
      </c>
      <c r="S594" s="479">
        <f t="shared" si="179"/>
        <v>0</v>
      </c>
      <c r="T594" s="553"/>
      <c r="U594" s="471" t="s">
        <v>94</v>
      </c>
      <c r="V594" s="480">
        <f>IF(U594="한국 원화(KRW)",1,IF(OR(U594=환율!$A$6,U594=환율!$A$7),VLOOKUP(NAV!U594,환율!$A$6:$B$7,2,),IF(RIGHT(U594,5)="(100)",(VLOOKUP(NAV!U594,환율!$A$11:$B$65,2,))/100,VLOOKUP(NAV!U594,환율!$A$11:$B$65,2,))))</f>
        <v>1</v>
      </c>
      <c r="W594" s="481"/>
      <c r="X594" s="482">
        <f t="shared" si="180"/>
        <v>0</v>
      </c>
      <c r="Y594" s="481"/>
      <c r="Z594" s="481"/>
      <c r="AA594" s="483">
        <f t="shared" si="181"/>
        <v>0</v>
      </c>
      <c r="AB594" s="554"/>
      <c r="AC594" s="526" t="str">
        <f t="shared" si="182"/>
        <v>2년이상</v>
      </c>
      <c r="AD594" s="520" t="str">
        <f t="shared" si="183"/>
        <v/>
      </c>
      <c r="AE594" s="527">
        <f t="shared" ref="AE594:AE603" si="184">IF(OR(T594="MTP",T594="과거거래 이용법",T594="취득원가 준용",T594="장부가액 준용",T594="상장종가 적용"),S594,IF(P594="주당",AG594*Q594*V594,Y594/10000*AG594*V594))</f>
        <v>0</v>
      </c>
      <c r="AF594" s="527">
        <f t="shared" ref="AF594:AF603" si="185">IF(OR(T594="MTP",T594="과거거래 이용법",T594="취득원가 준용",T594="장부가액 준용",T594="상장종가 적용"),S594,IF(P594="주당",AH594*Q594*V594,Y594/10000*AH594*V594))</f>
        <v>0</v>
      </c>
      <c r="AG594" s="485"/>
      <c r="AH594" s="485"/>
      <c r="AI594" s="404"/>
    </row>
    <row r="595" spans="1:35" ht="12.75" thickBot="1">
      <c r="A595" s="492"/>
      <c r="B595" s="496"/>
      <c r="C595" s="468" t="s">
        <v>21</v>
      </c>
      <c r="D595" s="469">
        <f>SUM(D596:D597)</f>
        <v>0</v>
      </c>
      <c r="E595" s="469">
        <f>SUM(E596:E597)</f>
        <v>0</v>
      </c>
      <c r="J595" s="551"/>
      <c r="K595" s="552"/>
      <c r="L595" s="551"/>
      <c r="M595" s="553"/>
      <c r="N595" s="553"/>
      <c r="O595" s="551"/>
      <c r="P595" s="553"/>
      <c r="Q595" s="524"/>
      <c r="R595" s="478">
        <f>IFERROR(INDEX(기초자산!M$6:M$408,MATCH(K595&amp;N595&amp;O595,기초자산!$A$6:$A$408,0),0),0)</f>
        <v>0</v>
      </c>
      <c r="S595" s="479">
        <f t="shared" si="179"/>
        <v>0</v>
      </c>
      <c r="T595" s="553"/>
      <c r="U595" s="471" t="s">
        <v>94</v>
      </c>
      <c r="V595" s="480">
        <f>IF(U595="한국 원화(KRW)",1,IF(OR(U595=환율!$A$6,U595=환율!$A$7),VLOOKUP(NAV!U595,환율!$A$6:$B$7,2,),IF(RIGHT(U595,5)="(100)",(VLOOKUP(NAV!U595,환율!$A$11:$B$65,2,))/100,VLOOKUP(NAV!U595,환율!$A$11:$B$65,2,))))</f>
        <v>1</v>
      </c>
      <c r="W595" s="481"/>
      <c r="X595" s="482">
        <f t="shared" si="180"/>
        <v>0</v>
      </c>
      <c r="Y595" s="481"/>
      <c r="Z595" s="481"/>
      <c r="AA595" s="483">
        <f t="shared" si="181"/>
        <v>0</v>
      </c>
      <c r="AB595" s="554"/>
      <c r="AC595" s="526" t="str">
        <f t="shared" si="182"/>
        <v>2년이상</v>
      </c>
      <c r="AD595" s="520" t="str">
        <f t="shared" si="183"/>
        <v/>
      </c>
      <c r="AE595" s="527">
        <f t="shared" si="184"/>
        <v>0</v>
      </c>
      <c r="AF595" s="527">
        <f t="shared" si="185"/>
        <v>0</v>
      </c>
      <c r="AG595" s="485"/>
      <c r="AH595" s="485"/>
      <c r="AI595" s="404"/>
    </row>
    <row r="596" spans="1:35" ht="12.75" thickBot="1">
      <c r="A596" s="492"/>
      <c r="B596" s="496"/>
      <c r="C596" s="486" t="s">
        <v>406</v>
      </c>
      <c r="D596" s="487">
        <f>SUMIF(FS!$I$49:$I$79,개요!$B$181&amp;RIGHT(NAV!C596,3),FS!$L$49:$L$79)</f>
        <v>0</v>
      </c>
      <c r="E596" s="487">
        <f>D596</f>
        <v>0</v>
      </c>
      <c r="J596" s="551"/>
      <c r="K596" s="552"/>
      <c r="L596" s="551"/>
      <c r="M596" s="553"/>
      <c r="N596" s="553"/>
      <c r="O596" s="551"/>
      <c r="P596" s="553"/>
      <c r="Q596" s="524"/>
      <c r="R596" s="478">
        <f>IFERROR(INDEX(기초자산!M$6:M$408,MATCH(K596&amp;N596&amp;O596,기초자산!$A$6:$A$408,0),0),0)</f>
        <v>0</v>
      </c>
      <c r="S596" s="479">
        <f t="shared" si="179"/>
        <v>0</v>
      </c>
      <c r="T596" s="553"/>
      <c r="U596" s="471" t="s">
        <v>94</v>
      </c>
      <c r="V596" s="480">
        <f>IF(U596="한국 원화(KRW)",1,IF(OR(U596=환율!$A$6,U596=환율!$A$7),VLOOKUP(NAV!U596,환율!$A$6:$B$7,2,),IF(RIGHT(U596,5)="(100)",(VLOOKUP(NAV!U596,환율!$A$11:$B$65,2,))/100,VLOOKUP(NAV!U596,환율!$A$11:$B$65,2,))))</f>
        <v>1</v>
      </c>
      <c r="W596" s="481"/>
      <c r="X596" s="482">
        <f t="shared" si="180"/>
        <v>0</v>
      </c>
      <c r="Y596" s="481"/>
      <c r="Z596" s="481"/>
      <c r="AA596" s="483">
        <f t="shared" si="181"/>
        <v>0</v>
      </c>
      <c r="AB596" s="554"/>
      <c r="AC596" s="526" t="str">
        <f t="shared" si="182"/>
        <v>2년이상</v>
      </c>
      <c r="AD596" s="520" t="str">
        <f t="shared" si="183"/>
        <v/>
      </c>
      <c r="AE596" s="527">
        <f t="shared" si="184"/>
        <v>0</v>
      </c>
      <c r="AF596" s="527">
        <f t="shared" si="185"/>
        <v>0</v>
      </c>
      <c r="AG596" s="485"/>
      <c r="AH596" s="485"/>
      <c r="AI596" s="404"/>
    </row>
    <row r="597" spans="1:35" ht="12.75" thickBot="1">
      <c r="A597" s="492"/>
      <c r="B597" s="496"/>
      <c r="C597" s="486" t="s">
        <v>407</v>
      </c>
      <c r="D597" s="487">
        <f>SUMIF(FS!$I$49:$I$79,개요!$B$181&amp;RIGHT(NAV!C597,4),FS!$L$49:$L$79)</f>
        <v>0</v>
      </c>
      <c r="E597" s="487">
        <f>D597</f>
        <v>0</v>
      </c>
      <c r="J597" s="551"/>
      <c r="K597" s="552"/>
      <c r="L597" s="551"/>
      <c r="M597" s="553"/>
      <c r="N597" s="553"/>
      <c r="O597" s="551"/>
      <c r="P597" s="553"/>
      <c r="Q597" s="524"/>
      <c r="R597" s="478">
        <f>IFERROR(INDEX(기초자산!M$6:M$408,MATCH(K597&amp;N597&amp;O597,기초자산!$A$6:$A$408,0),0),0)</f>
        <v>0</v>
      </c>
      <c r="S597" s="479">
        <f t="shared" si="179"/>
        <v>0</v>
      </c>
      <c r="T597" s="553"/>
      <c r="U597" s="471" t="s">
        <v>94</v>
      </c>
      <c r="V597" s="480">
        <f>IF(U597="한국 원화(KRW)",1,IF(OR(U597=환율!$A$6,U597=환율!$A$7),VLOOKUP(NAV!U597,환율!$A$6:$B$7,2,),IF(RIGHT(U597,5)="(100)",(VLOOKUP(NAV!U597,환율!$A$11:$B$65,2,))/100,VLOOKUP(NAV!U597,환율!$A$11:$B$65,2,))))</f>
        <v>1</v>
      </c>
      <c r="W597" s="481"/>
      <c r="X597" s="482">
        <f t="shared" si="180"/>
        <v>0</v>
      </c>
      <c r="Y597" s="481"/>
      <c r="Z597" s="481"/>
      <c r="AA597" s="483">
        <f t="shared" si="181"/>
        <v>0</v>
      </c>
      <c r="AB597" s="554"/>
      <c r="AC597" s="526" t="str">
        <f t="shared" si="182"/>
        <v>2년이상</v>
      </c>
      <c r="AD597" s="520" t="str">
        <f t="shared" si="183"/>
        <v/>
      </c>
      <c r="AE597" s="527">
        <f t="shared" si="184"/>
        <v>0</v>
      </c>
      <c r="AF597" s="527">
        <f t="shared" si="185"/>
        <v>0</v>
      </c>
      <c r="AG597" s="485"/>
      <c r="AH597" s="485"/>
      <c r="AI597" s="404"/>
    </row>
    <row r="598" spans="1:35" ht="12.75" thickBot="1">
      <c r="A598" s="489" t="s">
        <v>408</v>
      </c>
      <c r="B598" s="498" t="b">
        <f>D591+D592+D593+D594+D596+D597=D598</f>
        <v>1</v>
      </c>
      <c r="C598" s="493" t="s">
        <v>677</v>
      </c>
      <c r="D598" s="494">
        <f>D590+D595</f>
        <v>0</v>
      </c>
      <c r="E598" s="494">
        <f>E590+E595</f>
        <v>0</v>
      </c>
      <c r="J598" s="551"/>
      <c r="K598" s="552"/>
      <c r="L598" s="551"/>
      <c r="M598" s="553"/>
      <c r="N598" s="553"/>
      <c r="O598" s="551"/>
      <c r="P598" s="553"/>
      <c r="Q598" s="524"/>
      <c r="R598" s="478">
        <f>IFERROR(INDEX(기초자산!M$6:M$408,MATCH(K598&amp;N598&amp;O598,기초자산!$A$6:$A$408,0),0),0)</f>
        <v>0</v>
      </c>
      <c r="S598" s="479">
        <f t="shared" si="179"/>
        <v>0</v>
      </c>
      <c r="T598" s="553"/>
      <c r="U598" s="471" t="s">
        <v>94</v>
      </c>
      <c r="V598" s="480">
        <f>IF(U598="한국 원화(KRW)",1,IF(OR(U598=환율!$A$6,U598=환율!$A$7),VLOOKUP(NAV!U598,환율!$A$6:$B$7,2,),IF(RIGHT(U598,5)="(100)",(VLOOKUP(NAV!U598,환율!$A$11:$B$65,2,))/100,VLOOKUP(NAV!U598,환율!$A$11:$B$65,2,))))</f>
        <v>1</v>
      </c>
      <c r="W598" s="481"/>
      <c r="X598" s="482">
        <f t="shared" si="180"/>
        <v>0</v>
      </c>
      <c r="Y598" s="481"/>
      <c r="Z598" s="481"/>
      <c r="AA598" s="483">
        <f t="shared" si="181"/>
        <v>0</v>
      </c>
      <c r="AB598" s="554"/>
      <c r="AC598" s="526" t="str">
        <f t="shared" si="182"/>
        <v>2년이상</v>
      </c>
      <c r="AD598" s="520" t="str">
        <f t="shared" si="183"/>
        <v/>
      </c>
      <c r="AE598" s="527">
        <f t="shared" si="184"/>
        <v>0</v>
      </c>
      <c r="AF598" s="527">
        <f t="shared" si="185"/>
        <v>0</v>
      </c>
      <c r="AG598" s="485"/>
      <c r="AH598" s="485"/>
      <c r="AI598" s="404"/>
    </row>
    <row r="599" spans="1:35" ht="12.75" thickBot="1">
      <c r="A599" s="492"/>
      <c r="B599" s="555" t="str">
        <f>B579&amp;C599</f>
        <v>SPC없음자본금</v>
      </c>
      <c r="C599" s="486" t="s">
        <v>678</v>
      </c>
      <c r="D599" s="487">
        <f>SUMIF(FS!$I$49:$I$79,개요!$B$181&amp;RIGHT(NAV!C599,3),FS!$L$49:$L$79)</f>
        <v>0</v>
      </c>
      <c r="E599" s="487">
        <f>D599</f>
        <v>0</v>
      </c>
      <c r="J599" s="551"/>
      <c r="K599" s="552"/>
      <c r="L599" s="551"/>
      <c r="M599" s="553"/>
      <c r="N599" s="553"/>
      <c r="O599" s="551"/>
      <c r="P599" s="553"/>
      <c r="Q599" s="524"/>
      <c r="R599" s="478">
        <f>IFERROR(INDEX(기초자산!M$6:M$408,MATCH(K599&amp;N599&amp;O599,기초자산!$A$6:$A$408,0),0),0)</f>
        <v>0</v>
      </c>
      <c r="S599" s="479">
        <f t="shared" si="179"/>
        <v>0</v>
      </c>
      <c r="T599" s="553"/>
      <c r="U599" s="471" t="s">
        <v>94</v>
      </c>
      <c r="V599" s="480">
        <f>IF(U599="한국 원화(KRW)",1,IF(OR(U599=환율!$A$6,U599=환율!$A$7),VLOOKUP(NAV!U599,환율!$A$6:$B$7,2,),IF(RIGHT(U599,5)="(100)",(VLOOKUP(NAV!U599,환율!$A$11:$B$65,2,))/100,VLOOKUP(NAV!U599,환율!$A$11:$B$65,2,))))</f>
        <v>1</v>
      </c>
      <c r="W599" s="481"/>
      <c r="X599" s="482">
        <f t="shared" si="180"/>
        <v>0</v>
      </c>
      <c r="Y599" s="481"/>
      <c r="Z599" s="481"/>
      <c r="AA599" s="483">
        <f t="shared" si="181"/>
        <v>0</v>
      </c>
      <c r="AB599" s="554"/>
      <c r="AC599" s="526" t="str">
        <f t="shared" si="182"/>
        <v>2년이상</v>
      </c>
      <c r="AD599" s="520" t="str">
        <f t="shared" si="183"/>
        <v/>
      </c>
      <c r="AE599" s="527">
        <f t="shared" si="184"/>
        <v>0</v>
      </c>
      <c r="AF599" s="527">
        <f t="shared" si="185"/>
        <v>0</v>
      </c>
      <c r="AG599" s="485"/>
      <c r="AH599" s="485"/>
      <c r="AI599" s="404"/>
    </row>
    <row r="600" spans="1:35" ht="12.75" thickBot="1">
      <c r="C600" s="486" t="s">
        <v>679</v>
      </c>
      <c r="D600" s="487">
        <f>SUMIF(FS!$I$49:$I$79,개요!$B$181&amp;RIGHT(NAV!C600,10),FS!$L$49:$L$79)</f>
        <v>0</v>
      </c>
      <c r="E600" s="487">
        <f>D600</f>
        <v>0</v>
      </c>
      <c r="J600" s="551"/>
      <c r="K600" s="552"/>
      <c r="L600" s="551"/>
      <c r="M600" s="553"/>
      <c r="N600" s="553"/>
      <c r="O600" s="551"/>
      <c r="P600" s="553"/>
      <c r="Q600" s="524"/>
      <c r="R600" s="478">
        <f>IFERROR(INDEX(기초자산!M$6:M$408,MATCH(K600&amp;N600&amp;O600,기초자산!$A$6:$A$408,0),0),0)</f>
        <v>0</v>
      </c>
      <c r="S600" s="479">
        <f t="shared" si="179"/>
        <v>0</v>
      </c>
      <c r="T600" s="553"/>
      <c r="U600" s="471" t="s">
        <v>94</v>
      </c>
      <c r="V600" s="480">
        <f>IF(U600="한국 원화(KRW)",1,IF(OR(U600=환율!$A$6,U600=환율!$A$7),VLOOKUP(NAV!U600,환율!$A$6:$B$7,2,),IF(RIGHT(U600,5)="(100)",(VLOOKUP(NAV!U600,환율!$A$11:$B$65,2,))/100,VLOOKUP(NAV!U600,환율!$A$11:$B$65,2,))))</f>
        <v>1</v>
      </c>
      <c r="W600" s="481"/>
      <c r="X600" s="482">
        <f t="shared" si="180"/>
        <v>0</v>
      </c>
      <c r="Y600" s="481"/>
      <c r="Z600" s="481"/>
      <c r="AA600" s="483">
        <f t="shared" si="181"/>
        <v>0</v>
      </c>
      <c r="AB600" s="554"/>
      <c r="AC600" s="526" t="str">
        <f t="shared" si="182"/>
        <v>2년이상</v>
      </c>
      <c r="AD600" s="520" t="str">
        <f t="shared" si="183"/>
        <v/>
      </c>
      <c r="AE600" s="527">
        <f t="shared" si="184"/>
        <v>0</v>
      </c>
      <c r="AF600" s="527">
        <f t="shared" si="185"/>
        <v>0</v>
      </c>
      <c r="AG600" s="485"/>
      <c r="AH600" s="485"/>
      <c r="AI600" s="404"/>
    </row>
    <row r="601" spans="1:35" ht="12.75" thickBot="1">
      <c r="A601" s="489"/>
      <c r="B601" s="415"/>
      <c r="C601" s="486" t="s">
        <v>410</v>
      </c>
      <c r="D601" s="487">
        <f>SUMIF(FS!$I$49:$I$79,개요!$B$181&amp;RIGHT(NAV!C601,8),FS!$L$49:$L$79)</f>
        <v>0</v>
      </c>
      <c r="E601" s="487">
        <f>D601</f>
        <v>0</v>
      </c>
      <c r="J601" s="551"/>
      <c r="K601" s="552"/>
      <c r="L601" s="551"/>
      <c r="M601" s="553"/>
      <c r="N601" s="553"/>
      <c r="O601" s="551"/>
      <c r="P601" s="553"/>
      <c r="Q601" s="524"/>
      <c r="R601" s="478">
        <f>IFERROR(INDEX(기초자산!M$6:M$408,MATCH(K601&amp;N601&amp;O601,기초자산!$A$6:$A$408,0),0),0)</f>
        <v>0</v>
      </c>
      <c r="S601" s="479">
        <f t="shared" si="179"/>
        <v>0</v>
      </c>
      <c r="T601" s="553"/>
      <c r="U601" s="471" t="s">
        <v>94</v>
      </c>
      <c r="V601" s="480">
        <f>IF(U601="한국 원화(KRW)",1,IF(OR(U601=환율!$A$6,U601=환율!$A$7),VLOOKUP(NAV!U601,환율!$A$6:$B$7,2,),IF(RIGHT(U601,5)="(100)",(VLOOKUP(NAV!U601,환율!$A$11:$B$65,2,))/100,VLOOKUP(NAV!U601,환율!$A$11:$B$65,2,))))</f>
        <v>1</v>
      </c>
      <c r="W601" s="481"/>
      <c r="X601" s="482">
        <f t="shared" si="180"/>
        <v>0</v>
      </c>
      <c r="Y601" s="481"/>
      <c r="Z601" s="481"/>
      <c r="AA601" s="483">
        <f t="shared" si="181"/>
        <v>0</v>
      </c>
      <c r="AB601" s="554"/>
      <c r="AC601" s="526" t="str">
        <f t="shared" si="182"/>
        <v>2년이상</v>
      </c>
      <c r="AD601" s="520" t="str">
        <f t="shared" si="183"/>
        <v/>
      </c>
      <c r="AE601" s="527">
        <f t="shared" si="184"/>
        <v>0</v>
      </c>
      <c r="AF601" s="527">
        <f t="shared" si="185"/>
        <v>0</v>
      </c>
      <c r="AG601" s="485"/>
      <c r="AH601" s="485"/>
      <c r="AI601" s="404"/>
    </row>
    <row r="602" spans="1:35" ht="12.75" thickBot="1">
      <c r="A602" s="489" t="s">
        <v>411</v>
      </c>
      <c r="B602" s="415" t="b">
        <f>D602=SUM(D599:D601)</f>
        <v>1</v>
      </c>
      <c r="C602" s="493" t="s">
        <v>412</v>
      </c>
      <c r="D602" s="494">
        <f>D589-D598</f>
        <v>0</v>
      </c>
      <c r="E602" s="494">
        <f>E589-E598</f>
        <v>0</v>
      </c>
      <c r="J602" s="551"/>
      <c r="K602" s="552"/>
      <c r="L602" s="551"/>
      <c r="M602" s="553"/>
      <c r="N602" s="553"/>
      <c r="O602" s="551"/>
      <c r="P602" s="553"/>
      <c r="Q602" s="524"/>
      <c r="R602" s="478">
        <f>IFERROR(INDEX(기초자산!M$6:M$408,MATCH(K602&amp;N602&amp;O602,기초자산!$A$6:$A$408,0),0),0)</f>
        <v>0</v>
      </c>
      <c r="S602" s="479">
        <f t="shared" si="179"/>
        <v>0</v>
      </c>
      <c r="T602" s="553"/>
      <c r="U602" s="471" t="s">
        <v>94</v>
      </c>
      <c r="V602" s="480">
        <f>IF(U602="한국 원화(KRW)",1,IF(OR(U602=환율!$A$6,U602=환율!$A$7),VLOOKUP(NAV!U602,환율!$A$6:$B$7,2,),IF(RIGHT(U602,5)="(100)",(VLOOKUP(NAV!U602,환율!$A$11:$B$65,2,))/100,VLOOKUP(NAV!U602,환율!$A$11:$B$65,2,))))</f>
        <v>1</v>
      </c>
      <c r="W602" s="481"/>
      <c r="X602" s="482">
        <f t="shared" si="180"/>
        <v>0</v>
      </c>
      <c r="Y602" s="481"/>
      <c r="Z602" s="481"/>
      <c r="AA602" s="483">
        <f t="shared" si="181"/>
        <v>0</v>
      </c>
      <c r="AB602" s="554"/>
      <c r="AC602" s="526" t="str">
        <f t="shared" si="182"/>
        <v>2년이상</v>
      </c>
      <c r="AD602" s="520" t="str">
        <f t="shared" si="183"/>
        <v/>
      </c>
      <c r="AE602" s="527">
        <f t="shared" si="184"/>
        <v>0</v>
      </c>
      <c r="AF602" s="527">
        <f t="shared" si="185"/>
        <v>0</v>
      </c>
      <c r="AG602" s="485"/>
      <c r="AH602" s="485"/>
      <c r="AI602" s="404"/>
    </row>
    <row r="603" spans="1:35" ht="12.75" thickBot="1">
      <c r="A603" s="489"/>
      <c r="B603" s="415"/>
      <c r="C603" s="486" t="s">
        <v>478</v>
      </c>
      <c r="D603" s="487">
        <v>0</v>
      </c>
      <c r="E603" s="499">
        <v>0</v>
      </c>
      <c r="J603" s="551"/>
      <c r="K603" s="552"/>
      <c r="L603" s="551"/>
      <c r="M603" s="553"/>
      <c r="N603" s="553"/>
      <c r="O603" s="551"/>
      <c r="P603" s="553"/>
      <c r="Q603" s="524"/>
      <c r="R603" s="478">
        <f>IFERROR(INDEX(기초자산!M$6:M$408,MATCH(K603&amp;N603&amp;O603,기초자산!$A$6:$A$408,0),0),0)</f>
        <v>0</v>
      </c>
      <c r="S603" s="479">
        <f t="shared" si="179"/>
        <v>0</v>
      </c>
      <c r="T603" s="553"/>
      <c r="U603" s="471" t="s">
        <v>94</v>
      </c>
      <c r="V603" s="480">
        <f>IF(U603="한국 원화(KRW)",1,IF(OR(U603=환율!$A$6,U603=환율!$A$7),VLOOKUP(NAV!U603,환율!$A$6:$B$7,2,),IF(RIGHT(U603,5)="(100)",(VLOOKUP(NAV!U603,환율!$A$11:$B$65,2,))/100,VLOOKUP(NAV!U603,환율!$A$11:$B$65,2,))))</f>
        <v>1</v>
      </c>
      <c r="W603" s="481"/>
      <c r="X603" s="482">
        <f t="shared" si="180"/>
        <v>0</v>
      </c>
      <c r="Y603" s="481"/>
      <c r="Z603" s="481"/>
      <c r="AA603" s="483">
        <f t="shared" si="181"/>
        <v>0</v>
      </c>
      <c r="AB603" s="554"/>
      <c r="AC603" s="526" t="str">
        <f t="shared" si="182"/>
        <v>2년이상</v>
      </c>
      <c r="AD603" s="520" t="str">
        <f t="shared" si="183"/>
        <v/>
      </c>
      <c r="AE603" s="527">
        <f t="shared" si="184"/>
        <v>0</v>
      </c>
      <c r="AF603" s="527">
        <f t="shared" si="185"/>
        <v>0</v>
      </c>
      <c r="AG603" s="485"/>
      <c r="AH603" s="485"/>
      <c r="AI603" s="404"/>
    </row>
    <row r="604" spans="1:35">
      <c r="A604" s="489"/>
      <c r="B604" s="415"/>
      <c r="C604" s="486" t="s">
        <v>414</v>
      </c>
      <c r="D604" s="487">
        <v>0</v>
      </c>
      <c r="E604" s="499">
        <v>0</v>
      </c>
      <c r="J604" s="495"/>
      <c r="K604" s="415"/>
      <c r="L604" s="495"/>
      <c r="M604" s="415"/>
      <c r="N604" s="415"/>
      <c r="O604" s="415"/>
      <c r="P604" s="415"/>
      <c r="Q604" s="422"/>
      <c r="R604" s="415"/>
      <c r="S604" s="415"/>
      <c r="T604" s="415"/>
      <c r="U604" s="415"/>
      <c r="V604" s="415"/>
      <c r="W604" s="422"/>
      <c r="X604" s="415"/>
      <c r="Y604" s="458"/>
      <c r="Z604" s="422"/>
      <c r="AA604" s="556"/>
      <c r="AB604" s="556"/>
      <c r="AC604" s="415"/>
      <c r="AE604" s="415"/>
      <c r="AI604" s="404"/>
    </row>
    <row r="605" spans="1:35">
      <c r="A605" s="489"/>
      <c r="B605" s="415"/>
      <c r="C605" s="493" t="s">
        <v>680</v>
      </c>
      <c r="D605" s="494">
        <f>D602+D603-D604</f>
        <v>0</v>
      </c>
      <c r="E605" s="494">
        <f>IF(E602+E603-E604&gt;0,E602+E603-E604,0)</f>
        <v>0</v>
      </c>
      <c r="J605" s="305"/>
      <c r="K605" s="415"/>
      <c r="L605" s="305"/>
      <c r="M605" s="415"/>
      <c r="N605" s="415"/>
      <c r="O605" s="415"/>
      <c r="S605" s="415"/>
      <c r="T605" s="415"/>
      <c r="U605" s="415"/>
      <c r="V605" s="415"/>
      <c r="Y605" s="458"/>
      <c r="AD605" s="557" t="str">
        <f>B579&amp;"순자산가치"</f>
        <v>SPC없음순자산가치</v>
      </c>
      <c r="AE605" s="529">
        <f>IF(E585+SUM(AE585:AE590)+SUM(AE593:AE603)-E598&gt;0,E585+SUM(AE585:AE590)+SUM(AE593:AE603)-E598,0)</f>
        <v>0</v>
      </c>
      <c r="AF605" s="529">
        <f>IF(E585+SUM(AF585:AF590)+SUM(AF593:AF603)-E598&gt;0,E585+SUM(AF585:AF590)+SUM(AF593:AF603)-E598,0)</f>
        <v>0</v>
      </c>
      <c r="AI605" s="404"/>
    </row>
    <row r="606" spans="1:35">
      <c r="A606" s="489"/>
      <c r="B606" s="558" t="str">
        <f>B579&amp;C606</f>
        <v>SPC없음보유지분율(%)</v>
      </c>
      <c r="C606" s="493" t="s">
        <v>681</v>
      </c>
      <c r="D606" s="559">
        <f>개요!$C$190</f>
        <v>0</v>
      </c>
      <c r="E606" s="494">
        <f>E605*D606</f>
        <v>0</v>
      </c>
      <c r="F606" s="560" t="s">
        <v>682</v>
      </c>
      <c r="G606" s="560"/>
      <c r="J606" s="495"/>
      <c r="K606" s="415"/>
      <c r="L606" s="495"/>
      <c r="M606" s="415"/>
      <c r="N606" s="415"/>
      <c r="O606" s="415"/>
      <c r="S606" s="415"/>
      <c r="T606" s="415"/>
      <c r="U606" s="415"/>
      <c r="V606" s="415"/>
      <c r="Y606" s="458"/>
      <c r="AD606" s="557" t="s">
        <v>272</v>
      </c>
      <c r="AE606" s="561">
        <f>$D606</f>
        <v>0</v>
      </c>
      <c r="AF606" s="561">
        <f>$D606</f>
        <v>0</v>
      </c>
      <c r="AI606" s="404"/>
    </row>
    <row r="607" spans="1:35">
      <c r="A607" s="489"/>
      <c r="B607" s="415"/>
      <c r="G607" s="503" t="s">
        <v>419</v>
      </c>
      <c r="I607" s="562"/>
      <c r="J607" s="495"/>
      <c r="K607" s="415"/>
      <c r="L607" s="495"/>
      <c r="M607" s="415"/>
      <c r="N607" s="415"/>
      <c r="O607" s="415"/>
      <c r="S607" s="415"/>
      <c r="T607" s="415"/>
      <c r="U607" s="415"/>
      <c r="V607" s="415"/>
      <c r="Y607" s="458"/>
      <c r="AD607" s="557" t="str">
        <f>B579&amp;"지분율 반영 순자산가치"</f>
        <v>SPC없음지분율 반영 순자산가치</v>
      </c>
      <c r="AE607" s="529">
        <f>AE605*AE606</f>
        <v>0</v>
      </c>
      <c r="AF607" s="529">
        <f>AF605*AF606</f>
        <v>0</v>
      </c>
      <c r="AI607" s="404"/>
    </row>
    <row r="608" spans="1:35">
      <c r="A608" s="489"/>
      <c r="D608" s="504" t="s">
        <v>370</v>
      </c>
      <c r="E608" s="505">
        <f>$C$7</f>
        <v>45473</v>
      </c>
      <c r="F608" s="506"/>
      <c r="G608" s="505"/>
      <c r="I608" s="563"/>
      <c r="J608" s="495"/>
      <c r="K608" s="415"/>
      <c r="L608" s="495"/>
      <c r="M608" s="415"/>
      <c r="N608" s="415"/>
      <c r="O608" s="415"/>
      <c r="S608" s="415"/>
      <c r="T608" s="415"/>
      <c r="U608" s="415"/>
      <c r="V608" s="415"/>
      <c r="Y608" s="422"/>
      <c r="AI608" s="404"/>
    </row>
    <row r="609" spans="1:35">
      <c r="D609" s="486" t="s">
        <v>412</v>
      </c>
      <c r="E609" s="487">
        <f>E605</f>
        <v>0</v>
      </c>
      <c r="F609" s="507" t="e">
        <f>E609/G609-1</f>
        <v>#DIV/0!</v>
      </c>
      <c r="G609" s="487"/>
      <c r="I609" s="564"/>
      <c r="J609" s="495"/>
      <c r="K609" s="415"/>
      <c r="L609" s="495"/>
      <c r="M609" s="415"/>
      <c r="S609" s="415"/>
      <c r="T609" s="415"/>
      <c r="U609" s="415"/>
      <c r="V609" s="415"/>
      <c r="Y609" s="422"/>
      <c r="AI609" s="404"/>
    </row>
    <row r="610" spans="1:35">
      <c r="A610" s="489"/>
      <c r="B610" s="415"/>
      <c r="D610" s="486" t="s">
        <v>418</v>
      </c>
      <c r="E610" s="565">
        <f>$D$606</f>
        <v>0</v>
      </c>
      <c r="F610" s="507"/>
      <c r="G610" s="565"/>
      <c r="I610" s="566"/>
      <c r="J610" s="305"/>
      <c r="K610" s="415"/>
      <c r="L610" s="305"/>
      <c r="M610" s="415"/>
      <c r="S610" s="415"/>
      <c r="T610" s="415"/>
      <c r="U610" s="415"/>
      <c r="V610" s="415"/>
      <c r="Y610" s="422"/>
      <c r="AI610" s="404"/>
    </row>
    <row r="611" spans="1:35">
      <c r="A611" s="489"/>
      <c r="B611" s="415"/>
      <c r="D611" s="567" t="s">
        <v>420</v>
      </c>
      <c r="E611" s="568">
        <f>E609*E610</f>
        <v>0</v>
      </c>
      <c r="F611" s="507" t="e">
        <f>E611/G611-1</f>
        <v>#DIV/0!</v>
      </c>
      <c r="G611" s="568"/>
      <c r="I611" s="564"/>
      <c r="AI611" s="404"/>
    </row>
    <row r="612" spans="1:35">
      <c r="E612" s="304" t="b">
        <f>E611=E606</f>
        <v>1</v>
      </c>
      <c r="AI612" s="404"/>
    </row>
    <row r="613" spans="1:35">
      <c r="F613" s="507"/>
      <c r="G613" s="507"/>
      <c r="AI613" s="404"/>
    </row>
    <row r="614" spans="1:35" ht="12.75" thickBot="1">
      <c r="A614" s="536"/>
      <c r="B614" s="536"/>
      <c r="C614" s="536"/>
      <c r="D614" s="536"/>
      <c r="E614" s="536"/>
      <c r="F614" s="572"/>
      <c r="G614" s="572"/>
      <c r="H614" s="536"/>
      <c r="I614" s="537"/>
      <c r="J614" s="536"/>
      <c r="K614" s="536"/>
      <c r="L614" s="536"/>
      <c r="M614" s="536"/>
      <c r="N614" s="536"/>
      <c r="O614" s="536"/>
      <c r="P614" s="536"/>
      <c r="Q614" s="540"/>
      <c r="R614" s="536"/>
      <c r="S614" s="536"/>
      <c r="T614" s="536"/>
      <c r="U614" s="536"/>
      <c r="V614" s="536"/>
      <c r="W614" s="540"/>
      <c r="X614" s="536"/>
      <c r="Y614" s="540"/>
      <c r="Z614" s="540"/>
      <c r="AA614" s="536"/>
      <c r="AB614" s="536"/>
      <c r="AC614" s="536"/>
      <c r="AD614" s="541"/>
      <c r="AE614" s="536"/>
      <c r="AF614" s="536"/>
      <c r="AG614" s="536"/>
      <c r="AH614" s="536"/>
      <c r="AI614" s="404"/>
    </row>
    <row r="615" spans="1:35" ht="12.75" thickTop="1">
      <c r="F615" s="507"/>
      <c r="G615" s="507"/>
      <c r="AI615" s="404"/>
    </row>
    <row r="616" spans="1:35" ht="12.75" thickBot="1">
      <c r="A616" s="459"/>
      <c r="B616" s="415"/>
      <c r="J616" s="428" t="s">
        <v>273</v>
      </c>
      <c r="K616" s="489"/>
      <c r="L616" s="497"/>
      <c r="M616" s="489"/>
      <c r="N616" s="415"/>
      <c r="O616" s="415"/>
      <c r="AI616" s="404"/>
    </row>
    <row r="617" spans="1:35" ht="12.75" thickBot="1">
      <c r="A617" s="542" t="s">
        <v>658</v>
      </c>
      <c r="B617" s="543" t="str">
        <f>IF(개요!$B$193="","SPC없음",개요!$B$193)</f>
        <v>SPC없음</v>
      </c>
      <c r="C617" s="454"/>
      <c r="J617" s="433"/>
      <c r="K617" s="434"/>
      <c r="L617" s="434"/>
      <c r="M617" s="434"/>
      <c r="N617" s="434"/>
      <c r="O617" s="434"/>
      <c r="P617" s="434"/>
      <c r="Q617" s="435"/>
      <c r="R617" s="434"/>
      <c r="S617" s="434"/>
      <c r="T617" s="434"/>
      <c r="U617" s="434"/>
      <c r="V617" s="436"/>
      <c r="AI617" s="404"/>
    </row>
    <row r="618" spans="1:35">
      <c r="B618" s="543" t="s">
        <v>369</v>
      </c>
      <c r="C618" s="569" t="str">
        <f>IF(개요!$C$194="","SPC없음",개요!$C$194)</f>
        <v>SPC없음</v>
      </c>
      <c r="J618" s="442"/>
      <c r="K618" s="151"/>
      <c r="L618" s="151"/>
      <c r="M618" s="151"/>
      <c r="N618" s="151"/>
      <c r="O618" s="151"/>
      <c r="P618" s="151"/>
      <c r="Q618" s="443"/>
      <c r="R618" s="151"/>
      <c r="S618" s="151"/>
      <c r="T618" s="151"/>
      <c r="U618" s="151"/>
      <c r="V618" s="444"/>
      <c r="AI618" s="404"/>
    </row>
    <row r="619" spans="1:35">
      <c r="B619" s="437" t="s">
        <v>370</v>
      </c>
      <c r="C619" s="570">
        <f>$C$7</f>
        <v>45473</v>
      </c>
      <c r="D619" s="546" t="b">
        <f>C619&gt;=C620</f>
        <v>1</v>
      </c>
      <c r="J619" s="442"/>
      <c r="K619" s="151"/>
      <c r="L619" s="151"/>
      <c r="M619" s="151"/>
      <c r="N619" s="151"/>
      <c r="O619" s="151"/>
      <c r="P619" s="151"/>
      <c r="Q619" s="443"/>
      <c r="R619" s="151"/>
      <c r="S619" s="151"/>
      <c r="T619" s="151"/>
      <c r="U619" s="151"/>
      <c r="V619" s="444"/>
      <c r="AI619" s="404"/>
    </row>
    <row r="620" spans="1:35" ht="12.75" thickBot="1">
      <c r="B620" s="449" t="s">
        <v>371</v>
      </c>
      <c r="C620" s="571">
        <f>FS!$R$48</f>
        <v>0</v>
      </c>
      <c r="J620" s="453"/>
      <c r="K620" s="454"/>
      <c r="L620" s="454"/>
      <c r="M620" s="454"/>
      <c r="N620" s="454"/>
      <c r="O620" s="454"/>
      <c r="P620" s="454"/>
      <c r="Q620" s="455"/>
      <c r="R620" s="454"/>
      <c r="S620" s="454"/>
      <c r="T620" s="454"/>
      <c r="U620" s="454"/>
      <c r="V620" s="456"/>
      <c r="AI620" s="404"/>
    </row>
    <row r="621" spans="1:35">
      <c r="A621" s="459"/>
      <c r="J621" s="428" t="s">
        <v>372</v>
      </c>
      <c r="K621" s="448"/>
      <c r="L621" s="420"/>
      <c r="M621" s="448"/>
      <c r="N621" s="448"/>
      <c r="O621" s="448"/>
      <c r="P621" s="415"/>
      <c r="Q621" s="422"/>
      <c r="R621" s="415"/>
      <c r="S621" s="415"/>
      <c r="T621" s="415"/>
      <c r="U621" s="415"/>
      <c r="V621" s="415"/>
      <c r="W621" s="422"/>
      <c r="Z621" s="458"/>
      <c r="AE621" s="803" t="s">
        <v>8</v>
      </c>
      <c r="AF621" s="803"/>
      <c r="AG621" s="460"/>
      <c r="AH621" s="460"/>
      <c r="AI621" s="404"/>
    </row>
    <row r="622" spans="1:35" ht="12.75" thickBot="1">
      <c r="A622" s="461" t="str">
        <f>IF(AND(B623:B649),"검증완료","검증필요")</f>
        <v>검증완료</v>
      </c>
      <c r="B622" s="462" t="s">
        <v>373</v>
      </c>
      <c r="C622" s="462" t="s">
        <v>9</v>
      </c>
      <c r="D622" s="462" t="s">
        <v>10</v>
      </c>
      <c r="E622" s="462" t="s">
        <v>11</v>
      </c>
      <c r="J622" s="462" t="s">
        <v>375</v>
      </c>
      <c r="K622" s="464" t="s">
        <v>0</v>
      </c>
      <c r="L622" s="462" t="s">
        <v>369</v>
      </c>
      <c r="M622" s="462" t="s">
        <v>456</v>
      </c>
      <c r="N622" s="462" t="s">
        <v>378</v>
      </c>
      <c r="O622" s="462" t="s">
        <v>1</v>
      </c>
      <c r="P622" s="464" t="s">
        <v>380</v>
      </c>
      <c r="Q622" s="465" t="s">
        <v>14</v>
      </c>
      <c r="R622" s="466" t="s">
        <v>381</v>
      </c>
      <c r="S622" s="466" t="s">
        <v>382</v>
      </c>
      <c r="T622" s="462" t="s">
        <v>12</v>
      </c>
      <c r="U622" s="462" t="s">
        <v>383</v>
      </c>
      <c r="V622" s="462" t="s">
        <v>400</v>
      </c>
      <c r="W622" s="465" t="s">
        <v>10</v>
      </c>
      <c r="X622" s="462" t="s">
        <v>385</v>
      </c>
      <c r="Y622" s="465" t="s">
        <v>430</v>
      </c>
      <c r="Z622" s="465" t="s">
        <v>3522</v>
      </c>
      <c r="AA622" s="464" t="s">
        <v>13</v>
      </c>
      <c r="AE622" s="467" t="s">
        <v>3627</v>
      </c>
      <c r="AF622" s="467" t="s">
        <v>3628</v>
      </c>
      <c r="AG622" s="467" t="s">
        <v>3629</v>
      </c>
      <c r="AH622" s="467" t="s">
        <v>3630</v>
      </c>
      <c r="AI622" s="404"/>
    </row>
    <row r="623" spans="1:35" ht="12.75" thickBot="1">
      <c r="A623" s="415"/>
      <c r="B623" s="415"/>
      <c r="C623" s="468" t="s">
        <v>480</v>
      </c>
      <c r="D623" s="469">
        <f>SUM(D624:D625)</f>
        <v>0</v>
      </c>
      <c r="E623" s="469">
        <f>SUM(E624:E625)</f>
        <v>0</v>
      </c>
      <c r="J623" s="476"/>
      <c r="K623" s="472"/>
      <c r="L623" s="473" t="str">
        <f>IF($J623="","SPC 없음",VLOOKUP($J623&amp;"SPC명",개요!$A$3:$E$1932,3,0))</f>
        <v>SPC 없음</v>
      </c>
      <c r="M623" s="474" t="str">
        <f>IF($J623="","SPC 없음",VLOOKUP($J623&amp;"설정일",개요!$A$3:$E$1932,3,0))</f>
        <v>SPC 없음</v>
      </c>
      <c r="N623" s="475" t="str">
        <f t="shared" ref="N623:N628" si="186">IF($J623="","SPC 없음",VLOOKUP($J623&amp;"자본금",$B$4:$E$2079,3,0)*VLOOKUP($J623&amp;"보유지분율(%)",$B$4:$E$2079,3,0))</f>
        <v>SPC 없음</v>
      </c>
      <c r="O623" s="471"/>
      <c r="P623" s="476"/>
      <c r="Q623" s="477"/>
      <c r="R623" s="478"/>
      <c r="S623" s="479" t="str">
        <f t="shared" ref="S623:S628" si="187">IF($J623="","SPC 없음",IF(P623="총액",IF(T623="장부가액 준용",W623,(VLOOKUP($J623&amp;"보유지분율(%)",$B$4:$E$2079,4,0))*V623),Q623*R623))</f>
        <v>SPC 없음</v>
      </c>
      <c r="T623" s="471"/>
      <c r="U623" s="471" t="s">
        <v>94</v>
      </c>
      <c r="V623" s="480">
        <f>IF(U623="한국 원화(KRW)",1,IF(OR(U623=환율!$A$6,U623=환율!$A$7),VLOOKUP(NAV!U623,환율!$A$6:$B$7,2,),IF(RIGHT(U623,5)="(100)",(VLOOKUP(NAV!U623,환율!$A$11:$B$65,2,))/100,VLOOKUP(NAV!U623,환율!$A$11:$B$65,2,))))</f>
        <v>1</v>
      </c>
      <c r="W623" s="481"/>
      <c r="X623" s="482">
        <f t="shared" ref="X623:X628" si="188">IFERROR(IF(P623="만원당",10000,Y623/Q623),0)</f>
        <v>0</v>
      </c>
      <c r="Y623" s="481"/>
      <c r="Z623" s="481"/>
      <c r="AA623" s="483">
        <f t="shared" ref="AA623:AA628" si="189">IFERROR(IF(Z623="",S623/W623-1,S623/Z623-1),0)</f>
        <v>0</v>
      </c>
      <c r="AE623" s="484" t="str">
        <f t="shared" ref="AE623:AE628" si="190">IF($J623="","SPC 없음",IF(P623="총액",(VLOOKUP($J623&amp;"지분율 반영 순자산가치",$AD$4:$AH$4973,2,0))*V623,AG623*$Q623))</f>
        <v>SPC 없음</v>
      </c>
      <c r="AF623" s="484" t="str">
        <f t="shared" ref="AF623:AF628" si="191">IF($J623="","SPC 없음",IF(P623="총액",(VLOOKUP($J623&amp;"지분율 반영 순자산가치",$AD$4:$AH$4973,3,0))*V623,AH623*$Q623))</f>
        <v>SPC 없음</v>
      </c>
      <c r="AG623" s="485"/>
      <c r="AH623" s="485"/>
      <c r="AI623" s="404"/>
    </row>
    <row r="624" spans="1:35" ht="12.75" thickBot="1">
      <c r="A624" s="415"/>
      <c r="B624" s="415"/>
      <c r="C624" s="486" t="s">
        <v>387</v>
      </c>
      <c r="D624" s="487">
        <f>SUMIF(FS!$O$49:$O$79,개요!$B$193&amp;RIGHT(NAV!C624,10),FS!$R$49:$R$79)</f>
        <v>0</v>
      </c>
      <c r="E624" s="487">
        <f>D624</f>
        <v>0</v>
      </c>
      <c r="J624" s="476"/>
      <c r="K624" s="472"/>
      <c r="L624" s="473" t="str">
        <f>IF($J624="","SPC 없음",VLOOKUP($J624&amp;"SPC명",개요!$A$3:$E$1932,3,0))</f>
        <v>SPC 없음</v>
      </c>
      <c r="M624" s="474" t="str">
        <f>IF($J624="","SPC 없음",VLOOKUP($J624&amp;"설정일",개요!$A$3:$E$1932,3,0))</f>
        <v>SPC 없음</v>
      </c>
      <c r="N624" s="475" t="str">
        <f t="shared" si="186"/>
        <v>SPC 없음</v>
      </c>
      <c r="O624" s="471"/>
      <c r="P624" s="476"/>
      <c r="Q624" s="477"/>
      <c r="R624" s="478"/>
      <c r="S624" s="479" t="str">
        <f t="shared" si="187"/>
        <v>SPC 없음</v>
      </c>
      <c r="T624" s="471"/>
      <c r="U624" s="471" t="s">
        <v>94</v>
      </c>
      <c r="V624" s="480">
        <f>IF(U624="한국 원화(KRW)",1,IF(OR(U624=환율!$A$6,U624=환율!$A$7),VLOOKUP(NAV!U624,환율!$A$6:$B$7,2,),IF(RIGHT(U624,5)="(100)",(VLOOKUP(NAV!U624,환율!$A$11:$B$65,2,))/100,VLOOKUP(NAV!U624,환율!$A$11:$B$65,2,))))</f>
        <v>1</v>
      </c>
      <c r="W624" s="481"/>
      <c r="X624" s="482">
        <f t="shared" si="188"/>
        <v>0</v>
      </c>
      <c r="Y624" s="481"/>
      <c r="Z624" s="481"/>
      <c r="AA624" s="483">
        <f t="shared" si="189"/>
        <v>0</v>
      </c>
      <c r="AE624" s="484" t="str">
        <f t="shared" si="190"/>
        <v>SPC 없음</v>
      </c>
      <c r="AF624" s="484" t="str">
        <f t="shared" si="191"/>
        <v>SPC 없음</v>
      </c>
      <c r="AG624" s="485"/>
      <c r="AH624" s="485"/>
      <c r="AI624" s="404"/>
    </row>
    <row r="625" spans="1:35" ht="12.75" thickBot="1">
      <c r="A625" s="415"/>
      <c r="B625" s="415"/>
      <c r="C625" s="486" t="s">
        <v>34</v>
      </c>
      <c r="D625" s="487">
        <f>SUMIF(FS!$O$49:$O$79,개요!$B$193&amp;RIGHT(NAV!C625,4),FS!$R$49:$R$79)</f>
        <v>0</v>
      </c>
      <c r="E625" s="487">
        <f>D625</f>
        <v>0</v>
      </c>
      <c r="J625" s="476"/>
      <c r="K625" s="472"/>
      <c r="L625" s="473" t="str">
        <f>IF($J625="","SPC 없음",VLOOKUP($J625&amp;"SPC명",개요!$A$3:$E$1932,3,0))</f>
        <v>SPC 없음</v>
      </c>
      <c r="M625" s="474" t="str">
        <f>IF($J625="","SPC 없음",VLOOKUP($J625&amp;"설정일",개요!$A$3:$E$1932,3,0))</f>
        <v>SPC 없음</v>
      </c>
      <c r="N625" s="475" t="str">
        <f t="shared" si="186"/>
        <v>SPC 없음</v>
      </c>
      <c r="O625" s="471"/>
      <c r="P625" s="476"/>
      <c r="Q625" s="477"/>
      <c r="R625" s="478"/>
      <c r="S625" s="479" t="str">
        <f t="shared" si="187"/>
        <v>SPC 없음</v>
      </c>
      <c r="T625" s="471"/>
      <c r="U625" s="471" t="s">
        <v>94</v>
      </c>
      <c r="V625" s="480">
        <f>IF(U625="한국 원화(KRW)",1,IF(OR(U625=환율!$A$6,U625=환율!$A$7),VLOOKUP(NAV!U625,환율!$A$6:$B$7,2,),IF(RIGHT(U625,5)="(100)",(VLOOKUP(NAV!U625,환율!$A$11:$B$65,2,))/100,VLOOKUP(NAV!U625,환율!$A$11:$B$65,2,))))</f>
        <v>1</v>
      </c>
      <c r="W625" s="481"/>
      <c r="X625" s="482">
        <f t="shared" si="188"/>
        <v>0</v>
      </c>
      <c r="Y625" s="481"/>
      <c r="Z625" s="481"/>
      <c r="AA625" s="483">
        <f t="shared" si="189"/>
        <v>0</v>
      </c>
      <c r="AE625" s="484" t="str">
        <f t="shared" si="190"/>
        <v>SPC 없음</v>
      </c>
      <c r="AF625" s="484" t="str">
        <f t="shared" si="191"/>
        <v>SPC 없음</v>
      </c>
      <c r="AG625" s="485"/>
      <c r="AH625" s="485"/>
      <c r="AI625" s="404"/>
    </row>
    <row r="626" spans="1:35" ht="12.75" thickBot="1">
      <c r="A626" s="489" t="s">
        <v>389</v>
      </c>
      <c r="B626" s="490" t="b">
        <f>SUM(W623:W628,W631:W641)=D626</f>
        <v>1</v>
      </c>
      <c r="C626" s="468" t="s">
        <v>17</v>
      </c>
      <c r="D626" s="469">
        <f>SUMIF(FS!$O$49:$O$79,개요!$B$193&amp;RIGHT(NAV!C626,4),FS!$R$49:$R$79)</f>
        <v>0</v>
      </c>
      <c r="E626" s="469">
        <f>SUM(S623:S628)+SUM(S631:S641)</f>
        <v>0</v>
      </c>
      <c r="J626" s="476"/>
      <c r="K626" s="472"/>
      <c r="L626" s="473" t="str">
        <f>IF($J626="","SPC 없음",VLOOKUP($J626&amp;"SPC명",개요!$A$3:$E$1932,3,0))</f>
        <v>SPC 없음</v>
      </c>
      <c r="M626" s="474" t="str">
        <f>IF($J626="","SPC 없음",VLOOKUP($J626&amp;"설정일",개요!$A$3:$E$1932,3,0))</f>
        <v>SPC 없음</v>
      </c>
      <c r="N626" s="475" t="str">
        <f t="shared" si="186"/>
        <v>SPC 없음</v>
      </c>
      <c r="O626" s="471"/>
      <c r="P626" s="476"/>
      <c r="Q626" s="477"/>
      <c r="R626" s="478"/>
      <c r="S626" s="479" t="str">
        <f t="shared" si="187"/>
        <v>SPC 없음</v>
      </c>
      <c r="T626" s="471"/>
      <c r="U626" s="471" t="s">
        <v>94</v>
      </c>
      <c r="V626" s="480">
        <f>IF(U626="한국 원화(KRW)",1,IF(OR(U626=환율!$A$6,U626=환율!$A$7),VLOOKUP(NAV!U626,환율!$A$6:$B$7,2,),IF(RIGHT(U626,5)="(100)",(VLOOKUP(NAV!U626,환율!$A$11:$B$65,2,))/100,VLOOKUP(NAV!U626,환율!$A$11:$B$65,2,))))</f>
        <v>1</v>
      </c>
      <c r="W626" s="481"/>
      <c r="X626" s="482">
        <f t="shared" si="188"/>
        <v>0</v>
      </c>
      <c r="Y626" s="481"/>
      <c r="Z626" s="481"/>
      <c r="AA626" s="483">
        <f t="shared" si="189"/>
        <v>0</v>
      </c>
      <c r="AE626" s="484" t="str">
        <f t="shared" si="190"/>
        <v>SPC 없음</v>
      </c>
      <c r="AF626" s="484" t="str">
        <f t="shared" si="191"/>
        <v>SPC 없음</v>
      </c>
      <c r="AG626" s="485"/>
      <c r="AH626" s="485"/>
      <c r="AI626" s="404"/>
    </row>
    <row r="627" spans="1:35" ht="12.75" thickBot="1">
      <c r="A627" s="492" t="s">
        <v>391</v>
      </c>
      <c r="B627" s="415" t="b">
        <f>D624+D625+D626=D627</f>
        <v>1</v>
      </c>
      <c r="C627" s="493" t="s">
        <v>479</v>
      </c>
      <c r="D627" s="494">
        <f>D623+D626</f>
        <v>0</v>
      </c>
      <c r="E627" s="494">
        <f>E623+E626</f>
        <v>0</v>
      </c>
      <c r="J627" s="476"/>
      <c r="K627" s="472"/>
      <c r="L627" s="473" t="str">
        <f>IF($J627="","SPC 없음",VLOOKUP($J627&amp;"SPC명",개요!$A$3:$E$1932,3,0))</f>
        <v>SPC 없음</v>
      </c>
      <c r="M627" s="474" t="str">
        <f>IF($J627="","SPC 없음",VLOOKUP($J627&amp;"설정일",개요!$A$3:$E$1932,3,0))</f>
        <v>SPC 없음</v>
      </c>
      <c r="N627" s="475" t="str">
        <f t="shared" si="186"/>
        <v>SPC 없음</v>
      </c>
      <c r="O627" s="471"/>
      <c r="P627" s="476"/>
      <c r="Q627" s="477"/>
      <c r="R627" s="478"/>
      <c r="S627" s="479" t="str">
        <f t="shared" si="187"/>
        <v>SPC 없음</v>
      </c>
      <c r="T627" s="471"/>
      <c r="U627" s="471" t="s">
        <v>94</v>
      </c>
      <c r="V627" s="480">
        <f>IF(U627="한국 원화(KRW)",1,IF(OR(U627=환율!$A$6,U627=환율!$A$7),VLOOKUP(NAV!U627,환율!$A$6:$B$7,2,),IF(RIGHT(U627,5)="(100)",(VLOOKUP(NAV!U627,환율!$A$11:$B$65,2,))/100,VLOOKUP(NAV!U627,환율!$A$11:$B$65,2,))))</f>
        <v>1</v>
      </c>
      <c r="W627" s="481"/>
      <c r="X627" s="482">
        <f t="shared" si="188"/>
        <v>0</v>
      </c>
      <c r="Y627" s="481"/>
      <c r="Z627" s="481"/>
      <c r="AA627" s="483">
        <f t="shared" si="189"/>
        <v>0</v>
      </c>
      <c r="AE627" s="484" t="str">
        <f t="shared" si="190"/>
        <v>SPC 없음</v>
      </c>
      <c r="AF627" s="484" t="str">
        <f t="shared" si="191"/>
        <v>SPC 없음</v>
      </c>
      <c r="AG627" s="485"/>
      <c r="AH627" s="485"/>
      <c r="AI627" s="404"/>
    </row>
    <row r="628" spans="1:35" ht="12.75" thickBot="1">
      <c r="A628" s="492"/>
      <c r="B628" s="496"/>
      <c r="C628" s="468" t="s">
        <v>18</v>
      </c>
      <c r="D628" s="469">
        <f>SUM(D629:D632)</f>
        <v>0</v>
      </c>
      <c r="E628" s="469">
        <f>SUM(E629:E632)</f>
        <v>0</v>
      </c>
      <c r="J628" s="476"/>
      <c r="K628" s="472"/>
      <c r="L628" s="473" t="str">
        <f>IF($J628="","SPC 없음",VLOOKUP($J628&amp;"SPC명",개요!$A$3:$E$1932,3,0))</f>
        <v>SPC 없음</v>
      </c>
      <c r="M628" s="474" t="str">
        <f>IF($J628="","SPC 없음",VLOOKUP($J628&amp;"설정일",개요!$A$3:$E$1932,3,0))</f>
        <v>SPC 없음</v>
      </c>
      <c r="N628" s="475" t="str">
        <f t="shared" si="186"/>
        <v>SPC 없음</v>
      </c>
      <c r="O628" s="471"/>
      <c r="P628" s="476"/>
      <c r="Q628" s="477"/>
      <c r="R628" s="478"/>
      <c r="S628" s="479" t="str">
        <f t="shared" si="187"/>
        <v>SPC 없음</v>
      </c>
      <c r="T628" s="471"/>
      <c r="U628" s="471" t="s">
        <v>94</v>
      </c>
      <c r="V628" s="480">
        <f>IF(U628="한국 원화(KRW)",1,IF(OR(U628=환율!$A$6,U628=환율!$A$7),VLOOKUP(NAV!U628,환율!$A$6:$B$7,2,),IF(RIGHT(U628,5)="(100)",(VLOOKUP(NAV!U628,환율!$A$11:$B$65,2,))/100,VLOOKUP(NAV!U628,환율!$A$11:$B$65,2,))))</f>
        <v>1</v>
      </c>
      <c r="W628" s="481"/>
      <c r="X628" s="482">
        <f t="shared" si="188"/>
        <v>0</v>
      </c>
      <c r="Y628" s="481"/>
      <c r="Z628" s="481"/>
      <c r="AA628" s="483">
        <f t="shared" si="189"/>
        <v>0</v>
      </c>
      <c r="AE628" s="484" t="str">
        <f t="shared" si="190"/>
        <v>SPC 없음</v>
      </c>
      <c r="AF628" s="484" t="str">
        <f t="shared" si="191"/>
        <v>SPC 없음</v>
      </c>
      <c r="AG628" s="485"/>
      <c r="AH628" s="485"/>
      <c r="AI628" s="404"/>
    </row>
    <row r="629" spans="1:35">
      <c r="A629" s="492"/>
      <c r="B629" s="496"/>
      <c r="C629" s="486" t="s">
        <v>392</v>
      </c>
      <c r="D629" s="487">
        <f>SUMIF(FS!$O$49:$O$79,개요!$B$193&amp;RIGHT(NAV!C629,5),FS!$R$49:$R$79)</f>
        <v>0</v>
      </c>
      <c r="E629" s="487">
        <f>D629</f>
        <v>0</v>
      </c>
      <c r="J629" s="428" t="s">
        <v>539</v>
      </c>
      <c r="K629" s="415"/>
      <c r="L629" s="305"/>
      <c r="M629" s="415"/>
      <c r="N629" s="415"/>
      <c r="O629" s="415"/>
      <c r="P629" s="415"/>
      <c r="Q629" s="422"/>
      <c r="R629" s="415"/>
      <c r="S629" s="415"/>
      <c r="T629" s="415"/>
      <c r="U629" s="415"/>
      <c r="W629" s="517" t="b">
        <f>SUM(W631:W641)+SUM(W623:W628)=D626</f>
        <v>1</v>
      </c>
      <c r="X629" s="415"/>
      <c r="Y629" s="422"/>
      <c r="Z629" s="422"/>
      <c r="AA629" s="459" t="str">
        <f>IF(OR(MAX(AA623:AA628,AA631:AA641)&gt;0.2,MIN(AA623:AA628,AA631:AA641)&lt;-0.2),"특이사항 확인","특이사항 없음")</f>
        <v>특이사항 없음</v>
      </c>
      <c r="AB629" s="415"/>
      <c r="AF629" s="415"/>
      <c r="AG629" s="415"/>
      <c r="AI629" s="404"/>
    </row>
    <row r="630" spans="1:35" ht="12.75" thickBot="1">
      <c r="A630" s="492"/>
      <c r="B630" s="496"/>
      <c r="C630" s="486" t="s">
        <v>393</v>
      </c>
      <c r="D630" s="487">
        <f>SUMIF(FS!$O$49:$O$79,개요!$B$193&amp;RIGHT(NAV!C630,3),FS!$R$49:$R$79)</f>
        <v>0</v>
      </c>
      <c r="E630" s="487">
        <f t="shared" ref="E630:E631" si="192">D630</f>
        <v>0</v>
      </c>
      <c r="I630" s="518">
        <f>COUNTA(J631:J641)</f>
        <v>0</v>
      </c>
      <c r="J630" s="548" t="s">
        <v>394</v>
      </c>
      <c r="K630" s="548" t="s">
        <v>0</v>
      </c>
      <c r="L630" s="548" t="s">
        <v>435</v>
      </c>
      <c r="M630" s="548" t="s">
        <v>396</v>
      </c>
      <c r="N630" s="548" t="s">
        <v>397</v>
      </c>
      <c r="O630" s="548" t="s">
        <v>398</v>
      </c>
      <c r="P630" s="548" t="s">
        <v>380</v>
      </c>
      <c r="Q630" s="519" t="s">
        <v>14</v>
      </c>
      <c r="R630" s="466" t="s">
        <v>299</v>
      </c>
      <c r="S630" s="466" t="s">
        <v>3525</v>
      </c>
      <c r="T630" s="549" t="s">
        <v>12</v>
      </c>
      <c r="U630" s="548" t="s">
        <v>383</v>
      </c>
      <c r="V630" s="548" t="s">
        <v>400</v>
      </c>
      <c r="W630" s="550" t="s">
        <v>10</v>
      </c>
      <c r="X630" s="549" t="s">
        <v>401</v>
      </c>
      <c r="Y630" s="550" t="s">
        <v>402</v>
      </c>
      <c r="Z630" s="550" t="s">
        <v>3523</v>
      </c>
      <c r="AA630" s="548" t="s">
        <v>13</v>
      </c>
      <c r="AB630" s="548" t="s">
        <v>15</v>
      </c>
      <c r="AC630" s="548" t="s">
        <v>473</v>
      </c>
      <c r="AE630" s="467" t="s">
        <v>3627</v>
      </c>
      <c r="AF630" s="467" t="s">
        <v>3628</v>
      </c>
      <c r="AG630" s="467" t="s">
        <v>3629</v>
      </c>
      <c r="AH630" s="467" t="s">
        <v>3630</v>
      </c>
      <c r="AI630" s="404"/>
    </row>
    <row r="631" spans="1:35" ht="12.75" thickBot="1">
      <c r="A631" s="492"/>
      <c r="B631" s="496"/>
      <c r="C631" s="486" t="s">
        <v>404</v>
      </c>
      <c r="D631" s="487">
        <f>SUMIF(FS!$O$49:$O$79,개요!$B$193&amp;RIGHT(NAV!C631,6),FS!$R$49:$R$79)</f>
        <v>0</v>
      </c>
      <c r="E631" s="487">
        <f t="shared" si="192"/>
        <v>0</v>
      </c>
      <c r="J631" s="551"/>
      <c r="K631" s="552"/>
      <c r="L631" s="551"/>
      <c r="M631" s="553"/>
      <c r="N631" s="553"/>
      <c r="O631" s="551"/>
      <c r="P631" s="553"/>
      <c r="Q631" s="524"/>
      <c r="R631" s="478">
        <f>IFERROR(INDEX(기초자산!M$6:M$408,MATCH(K631&amp;N631&amp;O631,기초자산!$A$6:$A$408,0),0),0)</f>
        <v>0</v>
      </c>
      <c r="S631" s="479">
        <f t="shared" ref="S631:S641" si="193">IFERROR(IF(T631="취득원가 준용",Y631,IF(T631="장부가액 준용",W631,IF(P631="주당",R631*Q631*V631,IF(RIGHT(U631,5)="(100)",Y631/1000*R631*V631,Y631/10000*R631*V631)))),0)</f>
        <v>0</v>
      </c>
      <c r="T631" s="553"/>
      <c r="U631" s="471" t="s">
        <v>94</v>
      </c>
      <c r="V631" s="480">
        <f>IF(U631="한국 원화(KRW)",1,IF(OR(U631=환율!$A$6,U631=환율!$A$7),VLOOKUP(NAV!U631,환율!$A$6:$B$7,2,),IF(RIGHT(U631,5)="(100)",(VLOOKUP(NAV!U631,환율!$A$11:$B$65,2,))/100,VLOOKUP(NAV!U631,환율!$A$11:$B$65,2,))))</f>
        <v>1</v>
      </c>
      <c r="W631" s="481"/>
      <c r="X631" s="482">
        <f t="shared" ref="X631:X641" si="194">IFERROR(IF(P631="만원당",10000,Y631/Q631),0)</f>
        <v>0</v>
      </c>
      <c r="Y631" s="481"/>
      <c r="Z631" s="481"/>
      <c r="AA631" s="483">
        <f t="shared" ref="AA631:AA641" si="195">IFERROR(IF(Z631="",S631/W631-1,S631/Z631-1),0)</f>
        <v>0</v>
      </c>
      <c r="AB631" s="554"/>
      <c r="AC631" s="526" t="str">
        <f t="shared" ref="AC631:AC641" si="196">IF(($C$7-AB631)/365&gt;2,"2년이상","2년미만")</f>
        <v>2년이상</v>
      </c>
      <c r="AD631" s="520" t="str">
        <f t="shared" ref="AD631:AD641" si="197">IF(OR(AA631&gt;20%,AA631&lt;-20%),"(1) Note 기재","")</f>
        <v/>
      </c>
      <c r="AE631" s="527">
        <f>IF(OR(T631="MTP",T631="과거거래 이용법",T631="취득원가 준용",T631="장부가액 준용",T631="상장종가 적용"),S631,IF(P631="주당",AG631*Q631*V631,Y631/10000*AG631*V631))</f>
        <v>0</v>
      </c>
      <c r="AF631" s="527">
        <f>IF(OR(T631="MTP",T631="과거거래 이용법",T631="취득원가 준용",T631="장부가액 준용",T631="상장종가 적용"),S631,IF(P631="주당",AH631*Q631*V631,Y631/10000*AH631*V631))</f>
        <v>0</v>
      </c>
      <c r="AG631" s="485"/>
      <c r="AH631" s="485"/>
      <c r="AI631" s="404"/>
    </row>
    <row r="632" spans="1:35" ht="12.75" thickBot="1">
      <c r="A632" s="492"/>
      <c r="B632" s="496"/>
      <c r="C632" s="486" t="s">
        <v>405</v>
      </c>
      <c r="D632" s="487">
        <f>SUMIF(FS!$O$49:$O$79,개요!$B$193&amp;RIGHT(NAV!C632,7),FS!$R$49:$R$79)</f>
        <v>0</v>
      </c>
      <c r="E632" s="487">
        <f>D632</f>
        <v>0</v>
      </c>
      <c r="J632" s="551"/>
      <c r="K632" s="552"/>
      <c r="L632" s="551"/>
      <c r="M632" s="553"/>
      <c r="N632" s="553"/>
      <c r="O632" s="551"/>
      <c r="P632" s="553"/>
      <c r="Q632" s="524"/>
      <c r="R632" s="478">
        <f>IFERROR(INDEX(기초자산!M$6:M$408,MATCH(K632&amp;N632&amp;O632,기초자산!$A$6:$A$408,0),0),0)</f>
        <v>0</v>
      </c>
      <c r="S632" s="479">
        <f t="shared" si="193"/>
        <v>0</v>
      </c>
      <c r="T632" s="553"/>
      <c r="U632" s="471" t="s">
        <v>94</v>
      </c>
      <c r="V632" s="480">
        <f>IF(U632="한국 원화(KRW)",1,IF(OR(U632=환율!$A$6,U632=환율!$A$7),VLOOKUP(NAV!U632,환율!$A$6:$B$7,2,),IF(RIGHT(U632,5)="(100)",(VLOOKUP(NAV!U632,환율!$A$11:$B$65,2,))/100,VLOOKUP(NAV!U632,환율!$A$11:$B$65,2,))))</f>
        <v>1</v>
      </c>
      <c r="W632" s="481"/>
      <c r="X632" s="482">
        <f t="shared" si="194"/>
        <v>0</v>
      </c>
      <c r="Y632" s="481"/>
      <c r="Z632" s="481"/>
      <c r="AA632" s="483">
        <f t="shared" si="195"/>
        <v>0</v>
      </c>
      <c r="AB632" s="554"/>
      <c r="AC632" s="526" t="str">
        <f t="shared" si="196"/>
        <v>2년이상</v>
      </c>
      <c r="AD632" s="520" t="str">
        <f t="shared" si="197"/>
        <v/>
      </c>
      <c r="AE632" s="527">
        <f t="shared" ref="AE632:AE641" si="198">IF(OR(T632="MTP",T632="과거거래 이용법",T632="취득원가 준용",T632="장부가액 준용",T632="상장종가 적용"),S632,IF(P632="주당",AG632*Q632*V632,Y632/10000*AG632*V632))</f>
        <v>0</v>
      </c>
      <c r="AF632" s="527">
        <f t="shared" ref="AF632:AF641" si="199">IF(OR(T632="MTP",T632="과거거래 이용법",T632="취득원가 준용",T632="장부가액 준용",T632="상장종가 적용"),S632,IF(P632="주당",AH632*Q632*V632,Y632/10000*AH632*V632))</f>
        <v>0</v>
      </c>
      <c r="AG632" s="485"/>
      <c r="AH632" s="485"/>
      <c r="AI632" s="404"/>
    </row>
    <row r="633" spans="1:35" ht="12.75" thickBot="1">
      <c r="A633" s="492"/>
      <c r="B633" s="496"/>
      <c r="C633" s="468" t="s">
        <v>21</v>
      </c>
      <c r="D633" s="469">
        <f>SUM(D634:D635)</f>
        <v>0</v>
      </c>
      <c r="E633" s="469">
        <f>SUM(E634:E635)</f>
        <v>0</v>
      </c>
      <c r="J633" s="551"/>
      <c r="K633" s="552"/>
      <c r="L633" s="551"/>
      <c r="M633" s="553"/>
      <c r="N633" s="553"/>
      <c r="O633" s="551"/>
      <c r="P633" s="553"/>
      <c r="Q633" s="524"/>
      <c r="R633" s="478">
        <f>IFERROR(INDEX(기초자산!M$6:M$408,MATCH(K633&amp;N633&amp;O633,기초자산!$A$6:$A$408,0),0),0)</f>
        <v>0</v>
      </c>
      <c r="S633" s="479">
        <f t="shared" si="193"/>
        <v>0</v>
      </c>
      <c r="T633" s="553"/>
      <c r="U633" s="471" t="s">
        <v>94</v>
      </c>
      <c r="V633" s="480">
        <f>IF(U633="한국 원화(KRW)",1,IF(OR(U633=환율!$A$6,U633=환율!$A$7),VLOOKUP(NAV!U633,환율!$A$6:$B$7,2,),IF(RIGHT(U633,5)="(100)",(VLOOKUP(NAV!U633,환율!$A$11:$B$65,2,))/100,VLOOKUP(NAV!U633,환율!$A$11:$B$65,2,))))</f>
        <v>1</v>
      </c>
      <c r="W633" s="481"/>
      <c r="X633" s="482">
        <f t="shared" si="194"/>
        <v>0</v>
      </c>
      <c r="Y633" s="481"/>
      <c r="Z633" s="481"/>
      <c r="AA633" s="483">
        <f t="shared" si="195"/>
        <v>0</v>
      </c>
      <c r="AB633" s="554"/>
      <c r="AC633" s="526" t="str">
        <f t="shared" si="196"/>
        <v>2년이상</v>
      </c>
      <c r="AD633" s="520" t="str">
        <f t="shared" si="197"/>
        <v/>
      </c>
      <c r="AE633" s="527">
        <f t="shared" si="198"/>
        <v>0</v>
      </c>
      <c r="AF633" s="527">
        <f t="shared" si="199"/>
        <v>0</v>
      </c>
      <c r="AG633" s="485"/>
      <c r="AH633" s="485"/>
      <c r="AI633" s="404"/>
    </row>
    <row r="634" spans="1:35" ht="12.75" thickBot="1">
      <c r="A634" s="492"/>
      <c r="B634" s="496"/>
      <c r="C634" s="486" t="s">
        <v>406</v>
      </c>
      <c r="D634" s="487">
        <f>SUMIF(FS!$O$49:$O$79,개요!$B$193&amp;RIGHT(NAV!C634,3),FS!$R$49:$R$79)</f>
        <v>0</v>
      </c>
      <c r="E634" s="487">
        <f>D634</f>
        <v>0</v>
      </c>
      <c r="J634" s="551"/>
      <c r="K634" s="552"/>
      <c r="L634" s="551"/>
      <c r="M634" s="553"/>
      <c r="N634" s="553"/>
      <c r="O634" s="551"/>
      <c r="P634" s="553"/>
      <c r="Q634" s="524"/>
      <c r="R634" s="478">
        <f>IFERROR(INDEX(기초자산!M$6:M$408,MATCH(K634&amp;N634&amp;O634,기초자산!$A$6:$A$408,0),0),0)</f>
        <v>0</v>
      </c>
      <c r="S634" s="479">
        <f t="shared" si="193"/>
        <v>0</v>
      </c>
      <c r="T634" s="553"/>
      <c r="U634" s="471" t="s">
        <v>94</v>
      </c>
      <c r="V634" s="480">
        <f>IF(U634="한국 원화(KRW)",1,IF(OR(U634=환율!$A$6,U634=환율!$A$7),VLOOKUP(NAV!U634,환율!$A$6:$B$7,2,),IF(RIGHT(U634,5)="(100)",(VLOOKUP(NAV!U634,환율!$A$11:$B$65,2,))/100,VLOOKUP(NAV!U634,환율!$A$11:$B$65,2,))))</f>
        <v>1</v>
      </c>
      <c r="W634" s="481"/>
      <c r="X634" s="482">
        <f t="shared" si="194"/>
        <v>0</v>
      </c>
      <c r="Y634" s="481"/>
      <c r="Z634" s="481"/>
      <c r="AA634" s="483">
        <f t="shared" si="195"/>
        <v>0</v>
      </c>
      <c r="AB634" s="554"/>
      <c r="AC634" s="526" t="str">
        <f t="shared" si="196"/>
        <v>2년이상</v>
      </c>
      <c r="AD634" s="520" t="str">
        <f t="shared" si="197"/>
        <v/>
      </c>
      <c r="AE634" s="527">
        <f t="shared" si="198"/>
        <v>0</v>
      </c>
      <c r="AF634" s="527">
        <f t="shared" si="199"/>
        <v>0</v>
      </c>
      <c r="AG634" s="485"/>
      <c r="AH634" s="485"/>
      <c r="AI634" s="404"/>
    </row>
    <row r="635" spans="1:35" ht="12.75" thickBot="1">
      <c r="A635" s="492"/>
      <c r="B635" s="496"/>
      <c r="C635" s="486" t="s">
        <v>407</v>
      </c>
      <c r="D635" s="487">
        <f>SUMIF(FS!$O$49:$O$79,개요!$B$193&amp;RIGHT(NAV!C635,4),FS!$R$49:$R$79)</f>
        <v>0</v>
      </c>
      <c r="E635" s="487">
        <f>D635</f>
        <v>0</v>
      </c>
      <c r="J635" s="551"/>
      <c r="K635" s="552"/>
      <c r="L635" s="551"/>
      <c r="M635" s="553"/>
      <c r="N635" s="553"/>
      <c r="O635" s="551"/>
      <c r="P635" s="553"/>
      <c r="Q635" s="524"/>
      <c r="R635" s="478">
        <f>IFERROR(INDEX(기초자산!M$6:M$408,MATCH(K635&amp;N635&amp;O635,기초자산!$A$6:$A$408,0),0),0)</f>
        <v>0</v>
      </c>
      <c r="S635" s="479">
        <f t="shared" si="193"/>
        <v>0</v>
      </c>
      <c r="T635" s="553"/>
      <c r="U635" s="471" t="s">
        <v>94</v>
      </c>
      <c r="V635" s="480">
        <f>IF(U635="한국 원화(KRW)",1,IF(OR(U635=환율!$A$6,U635=환율!$A$7),VLOOKUP(NAV!U635,환율!$A$6:$B$7,2,),IF(RIGHT(U635,5)="(100)",(VLOOKUP(NAV!U635,환율!$A$11:$B$65,2,))/100,VLOOKUP(NAV!U635,환율!$A$11:$B$65,2,))))</f>
        <v>1</v>
      </c>
      <c r="W635" s="481"/>
      <c r="X635" s="482">
        <f t="shared" si="194"/>
        <v>0</v>
      </c>
      <c r="Y635" s="481"/>
      <c r="Z635" s="481"/>
      <c r="AA635" s="483">
        <f t="shared" si="195"/>
        <v>0</v>
      </c>
      <c r="AB635" s="554"/>
      <c r="AC635" s="526" t="str">
        <f t="shared" si="196"/>
        <v>2년이상</v>
      </c>
      <c r="AD635" s="520" t="str">
        <f t="shared" si="197"/>
        <v/>
      </c>
      <c r="AE635" s="527">
        <f t="shared" si="198"/>
        <v>0</v>
      </c>
      <c r="AF635" s="527">
        <f t="shared" si="199"/>
        <v>0</v>
      </c>
      <c r="AG635" s="485"/>
      <c r="AH635" s="485"/>
      <c r="AI635" s="404"/>
    </row>
    <row r="636" spans="1:35" ht="12.75" thickBot="1">
      <c r="A636" s="489" t="s">
        <v>408</v>
      </c>
      <c r="B636" s="498" t="b">
        <f>D629+D630+D631+D632+D634+D635=D636</f>
        <v>1</v>
      </c>
      <c r="C636" s="493" t="s">
        <v>477</v>
      </c>
      <c r="D636" s="494">
        <f>D628+D633</f>
        <v>0</v>
      </c>
      <c r="E636" s="494">
        <f>E628+E633</f>
        <v>0</v>
      </c>
      <c r="J636" s="551"/>
      <c r="K636" s="552"/>
      <c r="L636" s="551"/>
      <c r="M636" s="553"/>
      <c r="N636" s="553"/>
      <c r="O636" s="551"/>
      <c r="P636" s="553"/>
      <c r="Q636" s="524"/>
      <c r="R636" s="478">
        <f>IFERROR(INDEX(기초자산!M$6:M$408,MATCH(K636&amp;N636&amp;O636,기초자산!$A$6:$A$408,0),0),0)</f>
        <v>0</v>
      </c>
      <c r="S636" s="479">
        <f t="shared" si="193"/>
        <v>0</v>
      </c>
      <c r="T636" s="553"/>
      <c r="U636" s="471" t="s">
        <v>94</v>
      </c>
      <c r="V636" s="480">
        <f>IF(U636="한국 원화(KRW)",1,IF(OR(U636=환율!$A$6,U636=환율!$A$7),VLOOKUP(NAV!U636,환율!$A$6:$B$7,2,),IF(RIGHT(U636,5)="(100)",(VLOOKUP(NAV!U636,환율!$A$11:$B$65,2,))/100,VLOOKUP(NAV!U636,환율!$A$11:$B$65,2,))))</f>
        <v>1</v>
      </c>
      <c r="W636" s="481"/>
      <c r="X636" s="482">
        <f t="shared" si="194"/>
        <v>0</v>
      </c>
      <c r="Y636" s="481"/>
      <c r="Z636" s="481"/>
      <c r="AA636" s="483">
        <f t="shared" si="195"/>
        <v>0</v>
      </c>
      <c r="AB636" s="554"/>
      <c r="AC636" s="526" t="str">
        <f t="shared" si="196"/>
        <v>2년이상</v>
      </c>
      <c r="AD636" s="520" t="str">
        <f t="shared" si="197"/>
        <v/>
      </c>
      <c r="AE636" s="527">
        <f t="shared" si="198"/>
        <v>0</v>
      </c>
      <c r="AF636" s="527">
        <f t="shared" si="199"/>
        <v>0</v>
      </c>
      <c r="AG636" s="485"/>
      <c r="AH636" s="485"/>
      <c r="AI636" s="404"/>
    </row>
    <row r="637" spans="1:35" ht="12.75" thickBot="1">
      <c r="A637" s="492"/>
      <c r="B637" s="555" t="str">
        <f>B617&amp;C637</f>
        <v>SPC없음자본금</v>
      </c>
      <c r="C637" s="486" t="s">
        <v>35</v>
      </c>
      <c r="D637" s="487">
        <f>SUMIF(FS!$O$49:$O$79,개요!$B$193&amp;RIGHT(NAV!C637,3),FS!$R$49:$R$79)</f>
        <v>0</v>
      </c>
      <c r="E637" s="487">
        <f>D637</f>
        <v>0</v>
      </c>
      <c r="J637" s="551"/>
      <c r="K637" s="552"/>
      <c r="L637" s="551"/>
      <c r="M637" s="553"/>
      <c r="N637" s="553"/>
      <c r="O637" s="551"/>
      <c r="P637" s="553"/>
      <c r="Q637" s="524"/>
      <c r="R637" s="478">
        <f>IFERROR(INDEX(기초자산!M$6:M$408,MATCH(K637&amp;N637&amp;O637,기초자산!$A$6:$A$408,0),0),0)</f>
        <v>0</v>
      </c>
      <c r="S637" s="479">
        <f t="shared" si="193"/>
        <v>0</v>
      </c>
      <c r="T637" s="553"/>
      <c r="U637" s="471" t="s">
        <v>94</v>
      </c>
      <c r="V637" s="480">
        <f>IF(U637="한국 원화(KRW)",1,IF(OR(U637=환율!$A$6,U637=환율!$A$7),VLOOKUP(NAV!U637,환율!$A$6:$B$7,2,),IF(RIGHT(U637,5)="(100)",(VLOOKUP(NAV!U637,환율!$A$11:$B$65,2,))/100,VLOOKUP(NAV!U637,환율!$A$11:$B$65,2,))))</f>
        <v>1</v>
      </c>
      <c r="W637" s="481"/>
      <c r="X637" s="482">
        <f t="shared" si="194"/>
        <v>0</v>
      </c>
      <c r="Y637" s="481"/>
      <c r="Z637" s="481"/>
      <c r="AA637" s="483">
        <f t="shared" si="195"/>
        <v>0</v>
      </c>
      <c r="AB637" s="554"/>
      <c r="AC637" s="526" t="str">
        <f t="shared" si="196"/>
        <v>2년이상</v>
      </c>
      <c r="AD637" s="520" t="str">
        <f t="shared" si="197"/>
        <v/>
      </c>
      <c r="AE637" s="527">
        <f t="shared" si="198"/>
        <v>0</v>
      </c>
      <c r="AF637" s="527">
        <f t="shared" si="199"/>
        <v>0</v>
      </c>
      <c r="AG637" s="485"/>
      <c r="AH637" s="485"/>
      <c r="AI637" s="404"/>
    </row>
    <row r="638" spans="1:35" ht="12.75" thickBot="1">
      <c r="C638" s="486" t="s">
        <v>409</v>
      </c>
      <c r="D638" s="487">
        <f>SUMIF(FS!$O$49:$O$79,개요!$B$193&amp;RIGHT(NAV!C638,10),FS!$R$49:$R$79)</f>
        <v>0</v>
      </c>
      <c r="E638" s="487">
        <f>D638</f>
        <v>0</v>
      </c>
      <c r="J638" s="551"/>
      <c r="K638" s="552"/>
      <c r="L638" s="551"/>
      <c r="M638" s="553"/>
      <c r="N638" s="553"/>
      <c r="O638" s="551"/>
      <c r="P638" s="553"/>
      <c r="Q638" s="524"/>
      <c r="R638" s="478">
        <f>IFERROR(INDEX(기초자산!M$6:M$408,MATCH(K638&amp;N638&amp;O638,기초자산!$A$6:$A$408,0),0),0)</f>
        <v>0</v>
      </c>
      <c r="S638" s="479">
        <f t="shared" si="193"/>
        <v>0</v>
      </c>
      <c r="T638" s="553"/>
      <c r="U638" s="471" t="s">
        <v>94</v>
      </c>
      <c r="V638" s="480">
        <f>IF(U638="한국 원화(KRW)",1,IF(OR(U638=환율!$A$6,U638=환율!$A$7),VLOOKUP(NAV!U638,환율!$A$6:$B$7,2,),IF(RIGHT(U638,5)="(100)",(VLOOKUP(NAV!U638,환율!$A$11:$B$65,2,))/100,VLOOKUP(NAV!U638,환율!$A$11:$B$65,2,))))</f>
        <v>1</v>
      </c>
      <c r="W638" s="481"/>
      <c r="X638" s="482">
        <f t="shared" si="194"/>
        <v>0</v>
      </c>
      <c r="Y638" s="481"/>
      <c r="Z638" s="481"/>
      <c r="AA638" s="483">
        <f t="shared" si="195"/>
        <v>0</v>
      </c>
      <c r="AB638" s="554"/>
      <c r="AC638" s="526" t="str">
        <f t="shared" si="196"/>
        <v>2년이상</v>
      </c>
      <c r="AD638" s="520" t="str">
        <f t="shared" si="197"/>
        <v/>
      </c>
      <c r="AE638" s="527">
        <f t="shared" si="198"/>
        <v>0</v>
      </c>
      <c r="AF638" s="527">
        <f t="shared" si="199"/>
        <v>0</v>
      </c>
      <c r="AG638" s="485"/>
      <c r="AH638" s="485"/>
      <c r="AI638" s="404"/>
    </row>
    <row r="639" spans="1:35" ht="12.75" thickBot="1">
      <c r="A639" s="489"/>
      <c r="B639" s="415"/>
      <c r="C639" s="486" t="s">
        <v>410</v>
      </c>
      <c r="D639" s="487">
        <f>SUMIF(FS!$O$49:$O$79,개요!$B$193&amp;RIGHT(NAV!C639,8),FS!$R$49:$R$79)</f>
        <v>0</v>
      </c>
      <c r="E639" s="487">
        <f>D639</f>
        <v>0</v>
      </c>
      <c r="J639" s="551"/>
      <c r="K639" s="552"/>
      <c r="L639" s="551"/>
      <c r="M639" s="553"/>
      <c r="N639" s="553"/>
      <c r="O639" s="551"/>
      <c r="P639" s="553"/>
      <c r="Q639" s="524"/>
      <c r="R639" s="478">
        <f>IFERROR(INDEX(기초자산!M$6:M$408,MATCH(K639&amp;N639&amp;O639,기초자산!$A$6:$A$408,0),0),0)</f>
        <v>0</v>
      </c>
      <c r="S639" s="479">
        <f t="shared" si="193"/>
        <v>0</v>
      </c>
      <c r="T639" s="553"/>
      <c r="U639" s="471" t="s">
        <v>94</v>
      </c>
      <c r="V639" s="480">
        <f>IF(U639="한국 원화(KRW)",1,IF(OR(U639=환율!$A$6,U639=환율!$A$7),VLOOKUP(NAV!U639,환율!$A$6:$B$7,2,),IF(RIGHT(U639,5)="(100)",(VLOOKUP(NAV!U639,환율!$A$11:$B$65,2,))/100,VLOOKUP(NAV!U639,환율!$A$11:$B$65,2,))))</f>
        <v>1</v>
      </c>
      <c r="W639" s="481"/>
      <c r="X639" s="482">
        <f t="shared" si="194"/>
        <v>0</v>
      </c>
      <c r="Y639" s="481"/>
      <c r="Z639" s="481"/>
      <c r="AA639" s="483">
        <f t="shared" si="195"/>
        <v>0</v>
      </c>
      <c r="AB639" s="554"/>
      <c r="AC639" s="526" t="str">
        <f t="shared" si="196"/>
        <v>2년이상</v>
      </c>
      <c r="AD639" s="520" t="str">
        <f t="shared" si="197"/>
        <v/>
      </c>
      <c r="AE639" s="527">
        <f t="shared" si="198"/>
        <v>0</v>
      </c>
      <c r="AF639" s="527">
        <f t="shared" si="199"/>
        <v>0</v>
      </c>
      <c r="AG639" s="485"/>
      <c r="AH639" s="485"/>
      <c r="AI639" s="404"/>
    </row>
    <row r="640" spans="1:35" ht="12.75" thickBot="1">
      <c r="A640" s="489" t="s">
        <v>411</v>
      </c>
      <c r="B640" s="415" t="b">
        <f>D640=SUM(D637:D639)</f>
        <v>1</v>
      </c>
      <c r="C640" s="493" t="s">
        <v>412</v>
      </c>
      <c r="D640" s="494">
        <f>D627-D636</f>
        <v>0</v>
      </c>
      <c r="E640" s="494">
        <f>E627-E636</f>
        <v>0</v>
      </c>
      <c r="J640" s="551"/>
      <c r="K640" s="552"/>
      <c r="L640" s="551"/>
      <c r="M640" s="553"/>
      <c r="N640" s="553"/>
      <c r="O640" s="551"/>
      <c r="P640" s="553"/>
      <c r="Q640" s="524"/>
      <c r="R640" s="478">
        <f>IFERROR(INDEX(기초자산!M$6:M$408,MATCH(K640&amp;N640&amp;O640,기초자산!$A$6:$A$408,0),0),0)</f>
        <v>0</v>
      </c>
      <c r="S640" s="479">
        <f t="shared" si="193"/>
        <v>0</v>
      </c>
      <c r="T640" s="553"/>
      <c r="U640" s="471" t="s">
        <v>94</v>
      </c>
      <c r="V640" s="480">
        <f>IF(U640="한국 원화(KRW)",1,IF(OR(U640=환율!$A$6,U640=환율!$A$7),VLOOKUP(NAV!U640,환율!$A$6:$B$7,2,),IF(RIGHT(U640,5)="(100)",(VLOOKUP(NAV!U640,환율!$A$11:$B$65,2,))/100,VLOOKUP(NAV!U640,환율!$A$11:$B$65,2,))))</f>
        <v>1</v>
      </c>
      <c r="W640" s="481"/>
      <c r="X640" s="482">
        <f t="shared" si="194"/>
        <v>0</v>
      </c>
      <c r="Y640" s="481"/>
      <c r="Z640" s="481"/>
      <c r="AA640" s="483">
        <f t="shared" si="195"/>
        <v>0</v>
      </c>
      <c r="AB640" s="554"/>
      <c r="AC640" s="526" t="str">
        <f t="shared" si="196"/>
        <v>2년이상</v>
      </c>
      <c r="AD640" s="520" t="str">
        <f t="shared" si="197"/>
        <v/>
      </c>
      <c r="AE640" s="527">
        <f t="shared" si="198"/>
        <v>0</v>
      </c>
      <c r="AF640" s="527">
        <f t="shared" si="199"/>
        <v>0</v>
      </c>
      <c r="AG640" s="485"/>
      <c r="AH640" s="485"/>
      <c r="AI640" s="404"/>
    </row>
    <row r="641" spans="1:35" ht="12.75" thickBot="1">
      <c r="A641" s="489"/>
      <c r="B641" s="415"/>
      <c r="C641" s="486" t="s">
        <v>478</v>
      </c>
      <c r="D641" s="487">
        <v>0</v>
      </c>
      <c r="E641" s="499">
        <v>0</v>
      </c>
      <c r="J641" s="551"/>
      <c r="K641" s="552"/>
      <c r="L641" s="551"/>
      <c r="M641" s="553"/>
      <c r="N641" s="553"/>
      <c r="O641" s="551"/>
      <c r="P641" s="553"/>
      <c r="Q641" s="524"/>
      <c r="R641" s="478">
        <f>IFERROR(INDEX(기초자산!M$6:M$408,MATCH(K641&amp;N641&amp;O641,기초자산!$A$6:$A$408,0),0),0)</f>
        <v>0</v>
      </c>
      <c r="S641" s="479">
        <f t="shared" si="193"/>
        <v>0</v>
      </c>
      <c r="T641" s="553"/>
      <c r="U641" s="471" t="s">
        <v>94</v>
      </c>
      <c r="V641" s="480">
        <f>IF(U641="한국 원화(KRW)",1,IF(OR(U641=환율!$A$6,U641=환율!$A$7),VLOOKUP(NAV!U641,환율!$A$6:$B$7,2,),IF(RIGHT(U641,5)="(100)",(VLOOKUP(NAV!U641,환율!$A$11:$B$65,2,))/100,VLOOKUP(NAV!U641,환율!$A$11:$B$65,2,))))</f>
        <v>1</v>
      </c>
      <c r="W641" s="481"/>
      <c r="X641" s="482">
        <f t="shared" si="194"/>
        <v>0</v>
      </c>
      <c r="Y641" s="481"/>
      <c r="Z641" s="481"/>
      <c r="AA641" s="483">
        <f t="shared" si="195"/>
        <v>0</v>
      </c>
      <c r="AB641" s="554"/>
      <c r="AC641" s="526" t="str">
        <f t="shared" si="196"/>
        <v>2년이상</v>
      </c>
      <c r="AD641" s="520" t="str">
        <f t="shared" si="197"/>
        <v/>
      </c>
      <c r="AE641" s="527">
        <f t="shared" si="198"/>
        <v>0</v>
      </c>
      <c r="AF641" s="527">
        <f t="shared" si="199"/>
        <v>0</v>
      </c>
      <c r="AG641" s="485"/>
      <c r="AH641" s="485"/>
      <c r="AI641" s="404"/>
    </row>
    <row r="642" spans="1:35">
      <c r="A642" s="489"/>
      <c r="B642" s="415"/>
      <c r="C642" s="486" t="s">
        <v>414</v>
      </c>
      <c r="D642" s="487">
        <v>0</v>
      </c>
      <c r="E642" s="499">
        <v>0</v>
      </c>
      <c r="J642" s="495"/>
      <c r="K642" s="415"/>
      <c r="L642" s="495"/>
      <c r="M642" s="415"/>
      <c r="N642" s="415"/>
      <c r="O642" s="415"/>
      <c r="P642" s="415"/>
      <c r="Q642" s="422"/>
      <c r="R642" s="415"/>
      <c r="S642" s="415"/>
      <c r="T642" s="415"/>
      <c r="U642" s="415"/>
      <c r="V642" s="415"/>
      <c r="W642" s="422"/>
      <c r="X642" s="415"/>
      <c r="Y642" s="458"/>
      <c r="Z642" s="422"/>
      <c r="AA642" s="556"/>
      <c r="AB642" s="556"/>
      <c r="AC642" s="415"/>
      <c r="AE642" s="415"/>
      <c r="AI642" s="404"/>
    </row>
    <row r="643" spans="1:35">
      <c r="A643" s="489"/>
      <c r="B643" s="415"/>
      <c r="C643" s="493" t="s">
        <v>415</v>
      </c>
      <c r="D643" s="494">
        <f>D640+D641-D642</f>
        <v>0</v>
      </c>
      <c r="E643" s="494">
        <f>IF(E640+E641-E642&gt;0,E640+E641-E642,0)</f>
        <v>0</v>
      </c>
      <c r="J643" s="305"/>
      <c r="K643" s="415"/>
      <c r="L643" s="305"/>
      <c r="M643" s="415"/>
      <c r="N643" s="415"/>
      <c r="O643" s="415"/>
      <c r="S643" s="415"/>
      <c r="T643" s="415"/>
      <c r="U643" s="415"/>
      <c r="V643" s="415"/>
      <c r="Y643" s="458"/>
      <c r="AD643" s="557" t="str">
        <f>B617&amp;"순자산가치"</f>
        <v>SPC없음순자산가치</v>
      </c>
      <c r="AE643" s="529">
        <f>IF(E623+SUM(AE623:AE628)+SUM(AE631:AE641)-E636&gt;0,E623+SUM(AE623:AE628)+SUM(AE631:AE641)-E636,0)</f>
        <v>0</v>
      </c>
      <c r="AF643" s="529">
        <f>IF(E623+SUM(AF623:AF628)+SUM(AF631:AF641)-E636&gt;0,E623+SUM(AF623:AF628)+SUM(AF631:AF641)-E636,0)</f>
        <v>0</v>
      </c>
      <c r="AI643" s="404"/>
    </row>
    <row r="644" spans="1:35">
      <c r="A644" s="489"/>
      <c r="B644" s="558" t="str">
        <f>B617&amp;C644</f>
        <v>SPC없음보유지분율(%)</v>
      </c>
      <c r="C644" s="493" t="s">
        <v>416</v>
      </c>
      <c r="D644" s="559">
        <f>개요!$C$202</f>
        <v>0</v>
      </c>
      <c r="E644" s="494">
        <f>E643*D644</f>
        <v>0</v>
      </c>
      <c r="F644" s="560" t="s">
        <v>417</v>
      </c>
      <c r="G644" s="560"/>
      <c r="J644" s="495"/>
      <c r="K644" s="415"/>
      <c r="L644" s="495"/>
      <c r="M644" s="415"/>
      <c r="N644" s="415"/>
      <c r="O644" s="415"/>
      <c r="S644" s="415"/>
      <c r="T644" s="415"/>
      <c r="U644" s="415"/>
      <c r="V644" s="415"/>
      <c r="Y644" s="458"/>
      <c r="AD644" s="557" t="s">
        <v>272</v>
      </c>
      <c r="AE644" s="561">
        <f>$D644</f>
        <v>0</v>
      </c>
      <c r="AF644" s="561">
        <f>$D644</f>
        <v>0</v>
      </c>
      <c r="AI644" s="404"/>
    </row>
    <row r="645" spans="1:35">
      <c r="A645" s="489"/>
      <c r="B645" s="415"/>
      <c r="G645" s="503" t="s">
        <v>419</v>
      </c>
      <c r="I645" s="562"/>
      <c r="J645" s="495"/>
      <c r="K645" s="415"/>
      <c r="L645" s="495"/>
      <c r="M645" s="415"/>
      <c r="N645" s="415"/>
      <c r="O645" s="415"/>
      <c r="S645" s="415"/>
      <c r="T645" s="415"/>
      <c r="U645" s="415"/>
      <c r="V645" s="415"/>
      <c r="Y645" s="458"/>
      <c r="AD645" s="557" t="str">
        <f>B617&amp;"지분율 반영 순자산가치"</f>
        <v>SPC없음지분율 반영 순자산가치</v>
      </c>
      <c r="AE645" s="529">
        <f>AE643*AE644</f>
        <v>0</v>
      </c>
      <c r="AF645" s="529">
        <f>AF643*AF644</f>
        <v>0</v>
      </c>
      <c r="AI645" s="404"/>
    </row>
    <row r="646" spans="1:35">
      <c r="A646" s="489"/>
      <c r="D646" s="504" t="s">
        <v>370</v>
      </c>
      <c r="E646" s="505">
        <f>$C$7</f>
        <v>45473</v>
      </c>
      <c r="F646" s="506"/>
      <c r="G646" s="505"/>
      <c r="I646" s="563"/>
      <c r="J646" s="495"/>
      <c r="K646" s="415"/>
      <c r="L646" s="495"/>
      <c r="M646" s="415"/>
      <c r="N646" s="415"/>
      <c r="O646" s="415"/>
      <c r="S646" s="415"/>
      <c r="T646" s="415"/>
      <c r="U646" s="415"/>
      <c r="V646" s="415"/>
      <c r="Y646" s="422"/>
      <c r="AI646" s="404"/>
    </row>
    <row r="647" spans="1:35">
      <c r="D647" s="486" t="s">
        <v>412</v>
      </c>
      <c r="E647" s="487">
        <f>E643</f>
        <v>0</v>
      </c>
      <c r="F647" s="507" t="e">
        <f>E647/G647-1</f>
        <v>#DIV/0!</v>
      </c>
      <c r="G647" s="487"/>
      <c r="I647" s="564"/>
      <c r="J647" s="495"/>
      <c r="K647" s="415"/>
      <c r="L647" s="495"/>
      <c r="M647" s="415"/>
      <c r="S647" s="415"/>
      <c r="T647" s="415"/>
      <c r="U647" s="415"/>
      <c r="V647" s="415"/>
      <c r="Y647" s="422"/>
      <c r="AI647" s="404"/>
    </row>
    <row r="648" spans="1:35">
      <c r="A648" s="489"/>
      <c r="B648" s="415"/>
      <c r="D648" s="486" t="s">
        <v>418</v>
      </c>
      <c r="E648" s="565">
        <f>$D$644</f>
        <v>0</v>
      </c>
      <c r="F648" s="507"/>
      <c r="G648" s="565"/>
      <c r="I648" s="566"/>
      <c r="J648" s="305"/>
      <c r="K648" s="415"/>
      <c r="L648" s="305"/>
      <c r="M648" s="415"/>
      <c r="S648" s="415"/>
      <c r="T648" s="415"/>
      <c r="U648" s="415"/>
      <c r="V648" s="415"/>
      <c r="Y648" s="422"/>
      <c r="AI648" s="404"/>
    </row>
    <row r="649" spans="1:35">
      <c r="A649" s="489"/>
      <c r="B649" s="415"/>
      <c r="D649" s="567" t="s">
        <v>420</v>
      </c>
      <c r="E649" s="568">
        <f>E647*E648</f>
        <v>0</v>
      </c>
      <c r="F649" s="507" t="e">
        <f>E649/G649-1</f>
        <v>#DIV/0!</v>
      </c>
      <c r="G649" s="568"/>
      <c r="I649" s="564"/>
      <c r="AI649" s="404"/>
    </row>
    <row r="650" spans="1:35">
      <c r="E650" s="304" t="b">
        <f>E649=E644</f>
        <v>1</v>
      </c>
      <c r="AI650" s="404"/>
    </row>
    <row r="651" spans="1:35">
      <c r="F651" s="507"/>
      <c r="G651" s="507"/>
      <c r="AI651" s="404"/>
    </row>
    <row r="652" spans="1:35" ht="12.75" thickBot="1">
      <c r="A652" s="536"/>
      <c r="B652" s="536"/>
      <c r="C652" s="536"/>
      <c r="D652" s="536"/>
      <c r="E652" s="536"/>
      <c r="F652" s="572"/>
      <c r="G652" s="572"/>
      <c r="H652" s="536"/>
      <c r="I652" s="537"/>
      <c r="J652" s="536"/>
      <c r="K652" s="536"/>
      <c r="L652" s="536"/>
      <c r="M652" s="536"/>
      <c r="N652" s="536"/>
      <c r="O652" s="536"/>
      <c r="P652" s="536"/>
      <c r="Q652" s="540"/>
      <c r="R652" s="536"/>
      <c r="S652" s="536"/>
      <c r="T652" s="536"/>
      <c r="U652" s="536"/>
      <c r="V652" s="536"/>
      <c r="W652" s="540"/>
      <c r="X652" s="536"/>
      <c r="Y652" s="540"/>
      <c r="Z652" s="540"/>
      <c r="AA652" s="536"/>
      <c r="AB652" s="536"/>
      <c r="AC652" s="536"/>
      <c r="AD652" s="541"/>
      <c r="AE652" s="536"/>
      <c r="AF652" s="536"/>
      <c r="AG652" s="536"/>
      <c r="AH652" s="536"/>
      <c r="AI652" s="404"/>
    </row>
    <row r="653" spans="1:35" ht="12.75" thickTop="1">
      <c r="F653" s="507"/>
      <c r="G653" s="507"/>
      <c r="AI653" s="404"/>
    </row>
    <row r="654" spans="1:35" ht="12.75" thickBot="1">
      <c r="A654" s="459"/>
      <c r="B654" s="415"/>
      <c r="J654" s="428" t="s">
        <v>273</v>
      </c>
      <c r="K654" s="489"/>
      <c r="L654" s="497"/>
      <c r="M654" s="489"/>
      <c r="N654" s="415"/>
      <c r="O654" s="415"/>
      <c r="AI654" s="404"/>
    </row>
    <row r="655" spans="1:35" ht="12.75" thickBot="1">
      <c r="A655" s="542" t="s">
        <v>662</v>
      </c>
      <c r="B655" s="543" t="str">
        <f>IF(개요!$B$205="","SPC없음",개요!$B$205)</f>
        <v>SPC없음</v>
      </c>
      <c r="C655" s="454"/>
      <c r="J655" s="433"/>
      <c r="K655" s="434"/>
      <c r="L655" s="434"/>
      <c r="M655" s="434"/>
      <c r="N655" s="434"/>
      <c r="O655" s="434"/>
      <c r="P655" s="434"/>
      <c r="Q655" s="435"/>
      <c r="R655" s="434"/>
      <c r="S655" s="434"/>
      <c r="T655" s="434"/>
      <c r="U655" s="434"/>
      <c r="V655" s="436"/>
      <c r="AI655" s="404"/>
    </row>
    <row r="656" spans="1:35">
      <c r="B656" s="543" t="s">
        <v>522</v>
      </c>
      <c r="C656" s="569" t="str">
        <f>IF(개요!$C$206="","SPC없음",개요!$C$206)</f>
        <v>SPC없음</v>
      </c>
      <c r="J656" s="442"/>
      <c r="K656" s="151"/>
      <c r="L656" s="151"/>
      <c r="M656" s="151"/>
      <c r="N656" s="151"/>
      <c r="O656" s="151"/>
      <c r="P656" s="151"/>
      <c r="Q656" s="443"/>
      <c r="R656" s="151"/>
      <c r="S656" s="151"/>
      <c r="T656" s="151"/>
      <c r="U656" s="151"/>
      <c r="V656" s="444"/>
      <c r="AI656" s="404"/>
    </row>
    <row r="657" spans="1:35">
      <c r="B657" s="437" t="s">
        <v>519</v>
      </c>
      <c r="C657" s="570">
        <f>$C$7</f>
        <v>45473</v>
      </c>
      <c r="D657" s="546" t="b">
        <f>C657&gt;=C658</f>
        <v>1</v>
      </c>
      <c r="J657" s="442"/>
      <c r="K657" s="151"/>
      <c r="L657" s="151"/>
      <c r="M657" s="151"/>
      <c r="N657" s="151"/>
      <c r="O657" s="151"/>
      <c r="P657" s="151"/>
      <c r="Q657" s="443"/>
      <c r="R657" s="151"/>
      <c r="S657" s="151"/>
      <c r="T657" s="151"/>
      <c r="U657" s="151"/>
      <c r="V657" s="444"/>
      <c r="AI657" s="404"/>
    </row>
    <row r="658" spans="1:35" ht="12.75" thickBot="1">
      <c r="B658" s="449" t="s">
        <v>486</v>
      </c>
      <c r="C658" s="571">
        <f>FS!$X$48</f>
        <v>0</v>
      </c>
      <c r="J658" s="453"/>
      <c r="K658" s="454"/>
      <c r="L658" s="454"/>
      <c r="M658" s="454"/>
      <c r="N658" s="454"/>
      <c r="O658" s="454"/>
      <c r="P658" s="454"/>
      <c r="Q658" s="455"/>
      <c r="R658" s="454"/>
      <c r="S658" s="454"/>
      <c r="T658" s="454"/>
      <c r="U658" s="454"/>
      <c r="V658" s="456"/>
      <c r="AI658" s="404"/>
    </row>
    <row r="659" spans="1:35">
      <c r="A659" s="459"/>
      <c r="J659" s="428" t="s">
        <v>639</v>
      </c>
      <c r="K659" s="448"/>
      <c r="L659" s="420"/>
      <c r="M659" s="448"/>
      <c r="N659" s="448"/>
      <c r="O659" s="448"/>
      <c r="P659" s="415"/>
      <c r="Q659" s="422"/>
      <c r="R659" s="415"/>
      <c r="S659" s="415"/>
      <c r="T659" s="415"/>
      <c r="U659" s="415"/>
      <c r="V659" s="415"/>
      <c r="W659" s="422"/>
      <c r="Z659" s="458"/>
      <c r="AE659" s="803" t="s">
        <v>640</v>
      </c>
      <c r="AF659" s="803"/>
      <c r="AG659" s="460"/>
      <c r="AH659" s="460"/>
      <c r="AI659" s="404"/>
    </row>
    <row r="660" spans="1:35" ht="12.75" thickBot="1">
      <c r="A660" s="461" t="str">
        <f>IF(AND(B661:B687),"검증완료","검증필요")</f>
        <v>검증완료</v>
      </c>
      <c r="B660" s="462" t="s">
        <v>641</v>
      </c>
      <c r="C660" s="462" t="s">
        <v>642</v>
      </c>
      <c r="D660" s="462" t="s">
        <v>532</v>
      </c>
      <c r="E660" s="462" t="s">
        <v>520</v>
      </c>
      <c r="J660" s="462" t="s">
        <v>375</v>
      </c>
      <c r="K660" s="464" t="s">
        <v>521</v>
      </c>
      <c r="L660" s="462" t="s">
        <v>522</v>
      </c>
      <c r="M660" s="462" t="s">
        <v>643</v>
      </c>
      <c r="N660" s="462" t="s">
        <v>523</v>
      </c>
      <c r="O660" s="462" t="s">
        <v>472</v>
      </c>
      <c r="P660" s="464" t="s">
        <v>530</v>
      </c>
      <c r="Q660" s="465" t="s">
        <v>524</v>
      </c>
      <c r="R660" s="466" t="s">
        <v>644</v>
      </c>
      <c r="S660" s="466" t="s">
        <v>382</v>
      </c>
      <c r="T660" s="462" t="s">
        <v>525</v>
      </c>
      <c r="U660" s="462" t="s">
        <v>475</v>
      </c>
      <c r="V660" s="462" t="s">
        <v>531</v>
      </c>
      <c r="W660" s="465" t="s">
        <v>532</v>
      </c>
      <c r="X660" s="462" t="s">
        <v>645</v>
      </c>
      <c r="Y660" s="465" t="s">
        <v>646</v>
      </c>
      <c r="Z660" s="465" t="s">
        <v>3522</v>
      </c>
      <c r="AA660" s="464" t="s">
        <v>13</v>
      </c>
      <c r="AE660" s="467" t="s">
        <v>3627</v>
      </c>
      <c r="AF660" s="467" t="s">
        <v>3628</v>
      </c>
      <c r="AG660" s="467" t="s">
        <v>3629</v>
      </c>
      <c r="AH660" s="467" t="s">
        <v>3630</v>
      </c>
      <c r="AI660" s="404"/>
    </row>
    <row r="661" spans="1:35" ht="12.75" thickBot="1">
      <c r="A661" s="415"/>
      <c r="B661" s="415"/>
      <c r="C661" s="468" t="s">
        <v>647</v>
      </c>
      <c r="D661" s="469">
        <f>SUM(D662:D663)</f>
        <v>0</v>
      </c>
      <c r="E661" s="469">
        <f>SUM(E662:E663)</f>
        <v>0</v>
      </c>
      <c r="J661" s="476"/>
      <c r="K661" s="472"/>
      <c r="L661" s="473" t="str">
        <f>IF($J661="","SPC 없음",VLOOKUP($J661&amp;"SPC명",개요!$A$3:$E$1932,3,0))</f>
        <v>SPC 없음</v>
      </c>
      <c r="M661" s="474" t="str">
        <f>IF($J661="","SPC 없음",VLOOKUP($J661&amp;"설정일",개요!$A$3:$E$1932,3,0))</f>
        <v>SPC 없음</v>
      </c>
      <c r="N661" s="475" t="str">
        <f t="shared" ref="N661:N666" si="200">IF($J661="","SPC 없음",VLOOKUP($J661&amp;"자본금",$B$4:$E$2079,3,0)*VLOOKUP($J661&amp;"보유지분율(%)",$B$4:$E$2079,3,0))</f>
        <v>SPC 없음</v>
      </c>
      <c r="O661" s="471"/>
      <c r="P661" s="476"/>
      <c r="Q661" s="477"/>
      <c r="R661" s="478"/>
      <c r="S661" s="479" t="str">
        <f t="shared" ref="S661:S666" si="201">IF($J661="","SPC 없음",IF(P661="총액",IF(T661="장부가액 준용",W661,(VLOOKUP($J661&amp;"보유지분율(%)",$B$4:$E$2079,4,0))*V661),Q661*R661))</f>
        <v>SPC 없음</v>
      </c>
      <c r="T661" s="471"/>
      <c r="U661" s="471" t="s">
        <v>94</v>
      </c>
      <c r="V661" s="480">
        <f>IF(U661="한국 원화(KRW)",1,IF(OR(U661=환율!$A$6,U661=환율!$A$7),VLOOKUP(NAV!U661,환율!$A$6:$B$7,2,),IF(RIGHT(U661,5)="(100)",(VLOOKUP(NAV!U661,환율!$A$11:$B$65,2,))/100,VLOOKUP(NAV!U661,환율!$A$11:$B$65,2,))))</f>
        <v>1</v>
      </c>
      <c r="W661" s="481"/>
      <c r="X661" s="482">
        <f t="shared" ref="X661:X666" si="202">IFERROR(IF(P661="만원당",10000,Y661/Q661),0)</f>
        <v>0</v>
      </c>
      <c r="Y661" s="481"/>
      <c r="Z661" s="481"/>
      <c r="AA661" s="483">
        <f t="shared" ref="AA661:AA666" si="203">IFERROR(IF(Z661="",S661/W661-1,S661/Z661-1),0)</f>
        <v>0</v>
      </c>
      <c r="AE661" s="484" t="str">
        <f t="shared" ref="AE661:AE666" si="204">IF($J661="","SPC 없음",IF(P661="총액",(VLOOKUP($J661&amp;"지분율 반영 순자산가치",$AD$4:$AH$4973,2,0))*V661,AG661*$Q661))</f>
        <v>SPC 없음</v>
      </c>
      <c r="AF661" s="484" t="str">
        <f t="shared" ref="AF661:AF666" si="205">IF($J661="","SPC 없음",IF(P661="총액",(VLOOKUP($J661&amp;"지분율 반영 순자산가치",$AD$4:$AH$4973,3,0))*V661,AH661*$Q661))</f>
        <v>SPC 없음</v>
      </c>
      <c r="AG661" s="485"/>
      <c r="AH661" s="485"/>
      <c r="AI661" s="404"/>
    </row>
    <row r="662" spans="1:35" ht="12.75" thickBot="1">
      <c r="A662" s="415"/>
      <c r="B662" s="415"/>
      <c r="C662" s="486" t="s">
        <v>526</v>
      </c>
      <c r="D662" s="487">
        <f>SUMIF(FS!$U$49:$U$79,개요!$B$205&amp;RIGHT(NAV!C662,10),FS!$X$49:$X$79)</f>
        <v>0</v>
      </c>
      <c r="E662" s="487">
        <f>D662</f>
        <v>0</v>
      </c>
      <c r="J662" s="476"/>
      <c r="K662" s="472"/>
      <c r="L662" s="473" t="str">
        <f>IF($J662="","SPC 없음",VLOOKUP($J662&amp;"SPC명",개요!$A$3:$E$1932,3,0))</f>
        <v>SPC 없음</v>
      </c>
      <c r="M662" s="474" t="str">
        <f>IF($J662="","SPC 없음",VLOOKUP($J662&amp;"설정일",개요!$A$3:$E$1932,3,0))</f>
        <v>SPC 없음</v>
      </c>
      <c r="N662" s="475" t="str">
        <f t="shared" si="200"/>
        <v>SPC 없음</v>
      </c>
      <c r="O662" s="471"/>
      <c r="P662" s="476"/>
      <c r="Q662" s="477"/>
      <c r="R662" s="478"/>
      <c r="S662" s="479" t="str">
        <f t="shared" si="201"/>
        <v>SPC 없음</v>
      </c>
      <c r="T662" s="471"/>
      <c r="U662" s="471" t="s">
        <v>94</v>
      </c>
      <c r="V662" s="480">
        <f>IF(U662="한국 원화(KRW)",1,IF(OR(U662=환율!$A$6,U662=환율!$A$7),VLOOKUP(NAV!U662,환율!$A$6:$B$7,2,),IF(RIGHT(U662,5)="(100)",(VLOOKUP(NAV!U662,환율!$A$11:$B$65,2,))/100,VLOOKUP(NAV!U662,환율!$A$11:$B$65,2,))))</f>
        <v>1</v>
      </c>
      <c r="W662" s="481"/>
      <c r="X662" s="482">
        <f t="shared" si="202"/>
        <v>0</v>
      </c>
      <c r="Y662" s="481"/>
      <c r="Z662" s="481"/>
      <c r="AA662" s="483">
        <f t="shared" si="203"/>
        <v>0</v>
      </c>
      <c r="AE662" s="484" t="str">
        <f t="shared" si="204"/>
        <v>SPC 없음</v>
      </c>
      <c r="AF662" s="484" t="str">
        <f t="shared" si="205"/>
        <v>SPC 없음</v>
      </c>
      <c r="AG662" s="485"/>
      <c r="AH662" s="485"/>
      <c r="AI662" s="404"/>
    </row>
    <row r="663" spans="1:35" ht="12.75" thickBot="1">
      <c r="A663" s="415"/>
      <c r="B663" s="415"/>
      <c r="C663" s="486" t="s">
        <v>648</v>
      </c>
      <c r="D663" s="487">
        <f>SUMIF(FS!$U$49:$U$79,개요!$B$205&amp;RIGHT(NAV!C663,4),FS!$X$49:$X$79)</f>
        <v>0</v>
      </c>
      <c r="E663" s="487">
        <f>D663</f>
        <v>0</v>
      </c>
      <c r="J663" s="476"/>
      <c r="K663" s="472"/>
      <c r="L663" s="473" t="str">
        <f>IF($J663="","SPC 없음",VLOOKUP($J663&amp;"SPC명",개요!$A$3:$E$1932,3,0))</f>
        <v>SPC 없음</v>
      </c>
      <c r="M663" s="474" t="str">
        <f>IF($J663="","SPC 없음",VLOOKUP($J663&amp;"설정일",개요!$A$3:$E$1932,3,0))</f>
        <v>SPC 없음</v>
      </c>
      <c r="N663" s="475" t="str">
        <f t="shared" si="200"/>
        <v>SPC 없음</v>
      </c>
      <c r="O663" s="471"/>
      <c r="P663" s="476"/>
      <c r="Q663" s="477"/>
      <c r="R663" s="478"/>
      <c r="S663" s="479" t="str">
        <f t="shared" si="201"/>
        <v>SPC 없음</v>
      </c>
      <c r="T663" s="471"/>
      <c r="U663" s="471" t="s">
        <v>94</v>
      </c>
      <c r="V663" s="480">
        <f>IF(U663="한국 원화(KRW)",1,IF(OR(U663=환율!$A$6,U663=환율!$A$7),VLOOKUP(NAV!U663,환율!$A$6:$B$7,2,),IF(RIGHT(U663,5)="(100)",(VLOOKUP(NAV!U663,환율!$A$11:$B$65,2,))/100,VLOOKUP(NAV!U663,환율!$A$11:$B$65,2,))))</f>
        <v>1</v>
      </c>
      <c r="W663" s="481"/>
      <c r="X663" s="482">
        <f t="shared" si="202"/>
        <v>0</v>
      </c>
      <c r="Y663" s="481"/>
      <c r="Z663" s="481"/>
      <c r="AA663" s="483">
        <f t="shared" si="203"/>
        <v>0</v>
      </c>
      <c r="AE663" s="484" t="str">
        <f t="shared" si="204"/>
        <v>SPC 없음</v>
      </c>
      <c r="AF663" s="484" t="str">
        <f t="shared" si="205"/>
        <v>SPC 없음</v>
      </c>
      <c r="AG663" s="485"/>
      <c r="AH663" s="485"/>
      <c r="AI663" s="404"/>
    </row>
    <row r="664" spans="1:35" ht="12.75" thickBot="1">
      <c r="A664" s="489" t="s">
        <v>649</v>
      </c>
      <c r="B664" s="490" t="b">
        <f>SUM(W661:W666,W669:W679)=D664</f>
        <v>1</v>
      </c>
      <c r="C664" s="468" t="s">
        <v>489</v>
      </c>
      <c r="D664" s="469">
        <f>SUMIF(FS!$U$49:$U$79,개요!$B$205&amp;RIGHT(NAV!C664,4),FS!$X$49:$X$79)</f>
        <v>0</v>
      </c>
      <c r="E664" s="469">
        <f>SUM(S661:S666)+SUM(S669:S679)</f>
        <v>0</v>
      </c>
      <c r="J664" s="476"/>
      <c r="K664" s="472"/>
      <c r="L664" s="473" t="str">
        <f>IF($J664="","SPC 없음",VLOOKUP($J664&amp;"SPC명",개요!$A$3:$E$1932,3,0))</f>
        <v>SPC 없음</v>
      </c>
      <c r="M664" s="474" t="str">
        <f>IF($J664="","SPC 없음",VLOOKUP($J664&amp;"설정일",개요!$A$3:$E$1932,3,0))</f>
        <v>SPC 없음</v>
      </c>
      <c r="N664" s="475" t="str">
        <f t="shared" si="200"/>
        <v>SPC 없음</v>
      </c>
      <c r="O664" s="471"/>
      <c r="P664" s="476"/>
      <c r="Q664" s="477"/>
      <c r="R664" s="478"/>
      <c r="S664" s="479" t="str">
        <f t="shared" si="201"/>
        <v>SPC 없음</v>
      </c>
      <c r="T664" s="471"/>
      <c r="U664" s="471" t="s">
        <v>94</v>
      </c>
      <c r="V664" s="480">
        <f>IF(U664="한국 원화(KRW)",1,IF(OR(U664=환율!$A$6,U664=환율!$A$7),VLOOKUP(NAV!U664,환율!$A$6:$B$7,2,),IF(RIGHT(U664,5)="(100)",(VLOOKUP(NAV!U664,환율!$A$11:$B$65,2,))/100,VLOOKUP(NAV!U664,환율!$A$11:$B$65,2,))))</f>
        <v>1</v>
      </c>
      <c r="W664" s="481"/>
      <c r="X664" s="482">
        <f t="shared" si="202"/>
        <v>0</v>
      </c>
      <c r="Y664" s="481"/>
      <c r="Z664" s="481"/>
      <c r="AA664" s="483">
        <f t="shared" si="203"/>
        <v>0</v>
      </c>
      <c r="AE664" s="484" t="str">
        <f t="shared" si="204"/>
        <v>SPC 없음</v>
      </c>
      <c r="AF664" s="484" t="str">
        <f t="shared" si="205"/>
        <v>SPC 없음</v>
      </c>
      <c r="AG664" s="485"/>
      <c r="AH664" s="485"/>
      <c r="AI664" s="404"/>
    </row>
    <row r="665" spans="1:35" ht="12.75" thickBot="1">
      <c r="A665" s="492" t="s">
        <v>391</v>
      </c>
      <c r="B665" s="415" t="b">
        <f>D662+D663+D664=D665</f>
        <v>1</v>
      </c>
      <c r="C665" s="493" t="s">
        <v>487</v>
      </c>
      <c r="D665" s="494">
        <f>D661+D664</f>
        <v>0</v>
      </c>
      <c r="E665" s="494">
        <f>E661+E664</f>
        <v>0</v>
      </c>
      <c r="J665" s="476"/>
      <c r="K665" s="472"/>
      <c r="L665" s="473" t="str">
        <f>IF($J665="","SPC 없음",VLOOKUP($J665&amp;"SPC명",개요!$A$3:$E$1932,3,0))</f>
        <v>SPC 없음</v>
      </c>
      <c r="M665" s="474" t="str">
        <f>IF($J665="","SPC 없음",VLOOKUP($J665&amp;"설정일",개요!$A$3:$E$1932,3,0))</f>
        <v>SPC 없음</v>
      </c>
      <c r="N665" s="475" t="str">
        <f t="shared" si="200"/>
        <v>SPC 없음</v>
      </c>
      <c r="O665" s="471"/>
      <c r="P665" s="476"/>
      <c r="Q665" s="477"/>
      <c r="R665" s="478"/>
      <c r="S665" s="479" t="str">
        <f t="shared" si="201"/>
        <v>SPC 없음</v>
      </c>
      <c r="T665" s="471"/>
      <c r="U665" s="471" t="s">
        <v>94</v>
      </c>
      <c r="V665" s="480">
        <f>IF(U665="한국 원화(KRW)",1,IF(OR(U665=환율!$A$6,U665=환율!$A$7),VLOOKUP(NAV!U665,환율!$A$6:$B$7,2,),IF(RIGHT(U665,5)="(100)",(VLOOKUP(NAV!U665,환율!$A$11:$B$65,2,))/100,VLOOKUP(NAV!U665,환율!$A$11:$B$65,2,))))</f>
        <v>1</v>
      </c>
      <c r="W665" s="481"/>
      <c r="X665" s="482">
        <f t="shared" si="202"/>
        <v>0</v>
      </c>
      <c r="Y665" s="481"/>
      <c r="Z665" s="481"/>
      <c r="AA665" s="483">
        <f t="shared" si="203"/>
        <v>0</v>
      </c>
      <c r="AE665" s="484" t="str">
        <f t="shared" si="204"/>
        <v>SPC 없음</v>
      </c>
      <c r="AF665" s="484" t="str">
        <f t="shared" si="205"/>
        <v>SPC 없음</v>
      </c>
      <c r="AG665" s="485"/>
      <c r="AH665" s="485"/>
      <c r="AI665" s="404"/>
    </row>
    <row r="666" spans="1:35" ht="12.75" thickBot="1">
      <c r="A666" s="492"/>
      <c r="B666" s="496"/>
      <c r="C666" s="468" t="s">
        <v>659</v>
      </c>
      <c r="D666" s="469">
        <f>SUM(D667:D670)</f>
        <v>0</v>
      </c>
      <c r="E666" s="469">
        <f>SUM(E667:E670)</f>
        <v>0</v>
      </c>
      <c r="J666" s="476"/>
      <c r="K666" s="472"/>
      <c r="L666" s="473" t="str">
        <f>IF($J666="","SPC 없음",VLOOKUP($J666&amp;"SPC명",개요!$A$3:$E$1932,3,0))</f>
        <v>SPC 없음</v>
      </c>
      <c r="M666" s="474" t="str">
        <f>IF($J666="","SPC 없음",VLOOKUP($J666&amp;"설정일",개요!$A$3:$E$1932,3,0))</f>
        <v>SPC 없음</v>
      </c>
      <c r="N666" s="475" t="str">
        <f t="shared" si="200"/>
        <v>SPC 없음</v>
      </c>
      <c r="O666" s="471"/>
      <c r="P666" s="476"/>
      <c r="Q666" s="477"/>
      <c r="R666" s="478"/>
      <c r="S666" s="479" t="str">
        <f t="shared" si="201"/>
        <v>SPC 없음</v>
      </c>
      <c r="T666" s="471"/>
      <c r="U666" s="471" t="s">
        <v>94</v>
      </c>
      <c r="V666" s="480">
        <f>IF(U666="한국 원화(KRW)",1,IF(OR(U666=환율!$A$6,U666=환율!$A$7),VLOOKUP(NAV!U666,환율!$A$6:$B$7,2,),IF(RIGHT(U666,5)="(100)",(VLOOKUP(NAV!U666,환율!$A$11:$B$65,2,))/100,VLOOKUP(NAV!U666,환율!$A$11:$B$65,2,))))</f>
        <v>1</v>
      </c>
      <c r="W666" s="481"/>
      <c r="X666" s="482">
        <f t="shared" si="202"/>
        <v>0</v>
      </c>
      <c r="Y666" s="481"/>
      <c r="Z666" s="481"/>
      <c r="AA666" s="483">
        <f t="shared" si="203"/>
        <v>0</v>
      </c>
      <c r="AE666" s="484" t="str">
        <f t="shared" si="204"/>
        <v>SPC 없음</v>
      </c>
      <c r="AF666" s="484" t="str">
        <f t="shared" si="205"/>
        <v>SPC 없음</v>
      </c>
      <c r="AG666" s="485"/>
      <c r="AH666" s="485"/>
      <c r="AI666" s="404"/>
    </row>
    <row r="667" spans="1:35">
      <c r="A667" s="492"/>
      <c r="B667" s="496"/>
      <c r="C667" s="486" t="s">
        <v>650</v>
      </c>
      <c r="D667" s="487">
        <f>SUMIF(FS!$U$49:$U$79,개요!$B$205&amp;RIGHT(NAV!C667,5),FS!$X$49:$X$79)</f>
        <v>0</v>
      </c>
      <c r="E667" s="487">
        <f>D667</f>
        <v>0</v>
      </c>
      <c r="J667" s="428" t="s">
        <v>663</v>
      </c>
      <c r="K667" s="415"/>
      <c r="L667" s="305"/>
      <c r="M667" s="415"/>
      <c r="N667" s="415"/>
      <c r="O667" s="415"/>
      <c r="P667" s="415"/>
      <c r="Q667" s="422"/>
      <c r="R667" s="415"/>
      <c r="S667" s="415"/>
      <c r="T667" s="415"/>
      <c r="U667" s="415"/>
      <c r="W667" s="517" t="b">
        <f>SUM(W669:W679)+SUM(W661:W666)=D664</f>
        <v>1</v>
      </c>
      <c r="X667" s="415"/>
      <c r="Y667" s="422"/>
      <c r="Z667" s="422"/>
      <c r="AA667" s="459" t="str">
        <f>IF(OR(MAX(AA661:AA666,AA669:AA679)&gt;0.2,MIN(AA661:AA666,AA669:AA679)&lt;-0.2),"특이사항 확인","특이사항 없음")</f>
        <v>특이사항 없음</v>
      </c>
      <c r="AB667" s="415"/>
      <c r="AF667" s="415"/>
      <c r="AG667" s="415"/>
      <c r="AI667" s="404"/>
    </row>
    <row r="668" spans="1:35" ht="12.75" thickBot="1">
      <c r="A668" s="492"/>
      <c r="B668" s="496"/>
      <c r="C668" s="486" t="s">
        <v>490</v>
      </c>
      <c r="D668" s="487">
        <f>SUMIF(FS!$U$49:$U$79,개요!$B$205&amp;RIGHT(NAV!C668,3),FS!$X$49:$X$79)</f>
        <v>0</v>
      </c>
      <c r="E668" s="487">
        <f t="shared" ref="E668:E669" si="206">D668</f>
        <v>0</v>
      </c>
      <c r="I668" s="518">
        <f>COUNTA(J669:J679)</f>
        <v>0</v>
      </c>
      <c r="J668" s="548" t="s">
        <v>527</v>
      </c>
      <c r="K668" s="548" t="s">
        <v>521</v>
      </c>
      <c r="L668" s="548" t="s">
        <v>528</v>
      </c>
      <c r="M668" s="548" t="s">
        <v>529</v>
      </c>
      <c r="N668" s="548" t="s">
        <v>660</v>
      </c>
      <c r="O668" s="548" t="s">
        <v>661</v>
      </c>
      <c r="P668" s="548" t="s">
        <v>530</v>
      </c>
      <c r="Q668" s="519" t="s">
        <v>14</v>
      </c>
      <c r="R668" s="466" t="s">
        <v>299</v>
      </c>
      <c r="S668" s="466" t="s">
        <v>3525</v>
      </c>
      <c r="T668" s="549" t="s">
        <v>12</v>
      </c>
      <c r="U668" s="548" t="s">
        <v>475</v>
      </c>
      <c r="V668" s="548" t="s">
        <v>683</v>
      </c>
      <c r="W668" s="550" t="s">
        <v>532</v>
      </c>
      <c r="X668" s="549" t="s">
        <v>651</v>
      </c>
      <c r="Y668" s="550" t="s">
        <v>652</v>
      </c>
      <c r="Z668" s="550" t="s">
        <v>3523</v>
      </c>
      <c r="AA668" s="548" t="s">
        <v>13</v>
      </c>
      <c r="AB668" s="548" t="s">
        <v>533</v>
      </c>
      <c r="AC668" s="548" t="s">
        <v>653</v>
      </c>
      <c r="AE668" s="467" t="s">
        <v>3627</v>
      </c>
      <c r="AF668" s="467" t="s">
        <v>3628</v>
      </c>
      <c r="AG668" s="467" t="s">
        <v>3629</v>
      </c>
      <c r="AH668" s="467" t="s">
        <v>3630</v>
      </c>
      <c r="AI668" s="404"/>
    </row>
    <row r="669" spans="1:35" ht="12.75" thickBot="1">
      <c r="A669" s="492"/>
      <c r="B669" s="496"/>
      <c r="C669" s="486" t="s">
        <v>488</v>
      </c>
      <c r="D669" s="487">
        <f>SUMIF(FS!$U$49:$U$79,개요!$B$205&amp;RIGHT(NAV!C669,6),FS!$X$49:$X$79)</f>
        <v>0</v>
      </c>
      <c r="E669" s="487">
        <f t="shared" si="206"/>
        <v>0</v>
      </c>
      <c r="J669" s="551"/>
      <c r="K669" s="552"/>
      <c r="L669" s="551"/>
      <c r="M669" s="553"/>
      <c r="N669" s="553"/>
      <c r="O669" s="551"/>
      <c r="P669" s="553"/>
      <c r="Q669" s="524"/>
      <c r="R669" s="478">
        <f>IFERROR(INDEX(기초자산!M$6:M$408,MATCH(K669&amp;N669&amp;O669,기초자산!$A$6:$A$408,0),0),0)</f>
        <v>0</v>
      </c>
      <c r="S669" s="479">
        <f t="shared" ref="S669:S679" si="207">IFERROR(IF(T669="취득원가 준용",Y669,IF(T669="장부가액 준용",W669,IF(P669="주당",R669*Q669*V669,IF(RIGHT(U669,5)="(100)",Y669/1000*R669*V669,Y669/10000*R669*V669)))),0)</f>
        <v>0</v>
      </c>
      <c r="T669" s="553"/>
      <c r="U669" s="471" t="s">
        <v>94</v>
      </c>
      <c r="V669" s="480">
        <f>IF(U669="한국 원화(KRW)",1,IF(OR(U669=환율!$A$6,U669=환율!$A$7),VLOOKUP(NAV!U669,환율!$A$6:$B$7,2,),IF(RIGHT(U669,5)="(100)",(VLOOKUP(NAV!U669,환율!$A$11:$B$65,2,))/100,VLOOKUP(NAV!U669,환율!$A$11:$B$65,2,))))</f>
        <v>1</v>
      </c>
      <c r="W669" s="481"/>
      <c r="X669" s="482">
        <f t="shared" ref="X669:X679" si="208">IFERROR(IF(P669="만원당",10000,Y669/Q669),0)</f>
        <v>0</v>
      </c>
      <c r="Y669" s="481"/>
      <c r="Z669" s="481"/>
      <c r="AA669" s="483">
        <f t="shared" ref="AA669:AA679" si="209">IFERROR(IF(Z669="",S669/W669-1,S669/Z669-1),0)</f>
        <v>0</v>
      </c>
      <c r="AB669" s="554"/>
      <c r="AC669" s="526" t="str">
        <f t="shared" ref="AC669:AC679" si="210">IF(($C$7-AB669)/365&gt;2,"2년이상","2년미만")</f>
        <v>2년이상</v>
      </c>
      <c r="AD669" s="520" t="str">
        <f t="shared" ref="AD669:AD679" si="211">IF(OR(AA669&gt;20%,AA669&lt;-20%),"(1) Note 기재","")</f>
        <v/>
      </c>
      <c r="AE669" s="527">
        <f>IF(OR(T669="MTP",T669="과거거래 이용법",T669="취득원가 준용",T669="장부가액 준용",T669="상장종가 적용"),S669,IF(P669="주당",AG669*Q669*V669,Y669/10000*AG669*V669))</f>
        <v>0</v>
      </c>
      <c r="AF669" s="527">
        <f>IF(OR(T669="MTP",T669="과거거래 이용법",T669="취득원가 준용",T669="장부가액 준용",T669="상장종가 적용"),S669,IF(P669="주당",AH669*Q669*V669,Y669/10000*AH669*V669))</f>
        <v>0</v>
      </c>
      <c r="AG669" s="485"/>
      <c r="AH669" s="485"/>
      <c r="AI669" s="404"/>
    </row>
    <row r="670" spans="1:35" ht="12.75" thickBot="1">
      <c r="A670" s="492"/>
      <c r="B670" s="496"/>
      <c r="C670" s="486" t="s">
        <v>654</v>
      </c>
      <c r="D670" s="487">
        <f>SUMIF(FS!$U$49:$U$79,개요!$B$205&amp;RIGHT(NAV!C670,7),FS!$X$49:$X$79)</f>
        <v>0</v>
      </c>
      <c r="E670" s="487">
        <f>D670</f>
        <v>0</v>
      </c>
      <c r="J670" s="551"/>
      <c r="K670" s="552"/>
      <c r="L670" s="551"/>
      <c r="M670" s="553"/>
      <c r="N670" s="553"/>
      <c r="O670" s="551"/>
      <c r="P670" s="553"/>
      <c r="Q670" s="524"/>
      <c r="R670" s="478">
        <f>IFERROR(INDEX(기초자산!M$6:M$408,MATCH(K670&amp;N670&amp;O670,기초자산!$A$6:$A$408,0),0),0)</f>
        <v>0</v>
      </c>
      <c r="S670" s="479">
        <f t="shared" si="207"/>
        <v>0</v>
      </c>
      <c r="T670" s="553"/>
      <c r="U670" s="471" t="s">
        <v>94</v>
      </c>
      <c r="V670" s="480">
        <f>IF(U670="한국 원화(KRW)",1,IF(OR(U670=환율!$A$6,U670=환율!$A$7),VLOOKUP(NAV!U670,환율!$A$6:$B$7,2,),IF(RIGHT(U670,5)="(100)",(VLOOKUP(NAV!U670,환율!$A$11:$B$65,2,))/100,VLOOKUP(NAV!U670,환율!$A$11:$B$65,2,))))</f>
        <v>1</v>
      </c>
      <c r="W670" s="481"/>
      <c r="X670" s="482">
        <f t="shared" si="208"/>
        <v>0</v>
      </c>
      <c r="Y670" s="481"/>
      <c r="Z670" s="481"/>
      <c r="AA670" s="483">
        <f t="shared" si="209"/>
        <v>0</v>
      </c>
      <c r="AB670" s="554"/>
      <c r="AC670" s="526" t="str">
        <f t="shared" si="210"/>
        <v>2년이상</v>
      </c>
      <c r="AD670" s="520" t="str">
        <f t="shared" si="211"/>
        <v/>
      </c>
      <c r="AE670" s="527">
        <f t="shared" ref="AE670:AE679" si="212">IF(OR(T670="MTP",T670="과거거래 이용법",T670="취득원가 준용",T670="장부가액 준용",T670="상장종가 적용"),S670,IF(P670="주당",AG670*Q670*V670,Y670/10000*AG670*V670))</f>
        <v>0</v>
      </c>
      <c r="AF670" s="527">
        <f t="shared" ref="AF670:AF679" si="213">IF(OR(T670="MTP",T670="과거거래 이용법",T670="취득원가 준용",T670="장부가액 준용",T670="상장종가 적용"),S670,IF(P670="주당",AH670*Q670*V670,Y670/10000*AH670*V670))</f>
        <v>0</v>
      </c>
      <c r="AG670" s="485"/>
      <c r="AH670" s="485"/>
      <c r="AI670" s="404"/>
    </row>
    <row r="671" spans="1:35" ht="12.75" thickBot="1">
      <c r="A671" s="492"/>
      <c r="B671" s="496"/>
      <c r="C671" s="468" t="s">
        <v>655</v>
      </c>
      <c r="D671" s="469">
        <f>SUM(D672:D673)</f>
        <v>0</v>
      </c>
      <c r="E671" s="469">
        <f>SUM(E672:E673)</f>
        <v>0</v>
      </c>
      <c r="J671" s="551"/>
      <c r="K671" s="552"/>
      <c r="L671" s="551"/>
      <c r="M671" s="553"/>
      <c r="N671" s="553"/>
      <c r="O671" s="551"/>
      <c r="P671" s="553"/>
      <c r="Q671" s="524"/>
      <c r="R671" s="478">
        <f>IFERROR(INDEX(기초자산!M$6:M$408,MATCH(K671&amp;N671&amp;O671,기초자산!$A$6:$A$408,0),0),0)</f>
        <v>0</v>
      </c>
      <c r="S671" s="479">
        <f t="shared" si="207"/>
        <v>0</v>
      </c>
      <c r="T671" s="553"/>
      <c r="U671" s="471" t="s">
        <v>94</v>
      </c>
      <c r="V671" s="480">
        <f>IF(U671="한국 원화(KRW)",1,IF(OR(U671=환율!$A$6,U671=환율!$A$7),VLOOKUP(NAV!U671,환율!$A$6:$B$7,2,),IF(RIGHT(U671,5)="(100)",(VLOOKUP(NAV!U671,환율!$A$11:$B$65,2,))/100,VLOOKUP(NAV!U671,환율!$A$11:$B$65,2,))))</f>
        <v>1</v>
      </c>
      <c r="W671" s="481"/>
      <c r="X671" s="482">
        <f t="shared" si="208"/>
        <v>0</v>
      </c>
      <c r="Y671" s="481"/>
      <c r="Z671" s="481"/>
      <c r="AA671" s="483">
        <f t="shared" si="209"/>
        <v>0</v>
      </c>
      <c r="AB671" s="554"/>
      <c r="AC671" s="526" t="str">
        <f t="shared" si="210"/>
        <v>2년이상</v>
      </c>
      <c r="AD671" s="520" t="str">
        <f t="shared" si="211"/>
        <v/>
      </c>
      <c r="AE671" s="527">
        <f t="shared" si="212"/>
        <v>0</v>
      </c>
      <c r="AF671" s="527">
        <f t="shared" si="213"/>
        <v>0</v>
      </c>
      <c r="AG671" s="485"/>
      <c r="AH671" s="485"/>
      <c r="AI671" s="404"/>
    </row>
    <row r="672" spans="1:35" ht="12.75" thickBot="1">
      <c r="A672" s="492"/>
      <c r="B672" s="496"/>
      <c r="C672" s="486" t="s">
        <v>492</v>
      </c>
      <c r="D672" s="487">
        <f>SUMIF(FS!$U$49:$U$79,개요!$B$205&amp;RIGHT(NAV!C672,3),FS!$X$49:$X$79)</f>
        <v>0</v>
      </c>
      <c r="E672" s="487">
        <f>D672</f>
        <v>0</v>
      </c>
      <c r="J672" s="551"/>
      <c r="K672" s="552"/>
      <c r="L672" s="551"/>
      <c r="M672" s="553"/>
      <c r="N672" s="553"/>
      <c r="O672" s="551"/>
      <c r="P672" s="553"/>
      <c r="Q672" s="524"/>
      <c r="R672" s="478">
        <f>IFERROR(INDEX(기초자산!M$6:M$408,MATCH(K672&amp;N672&amp;O672,기초자산!$A$6:$A$408,0),0),0)</f>
        <v>0</v>
      </c>
      <c r="S672" s="479">
        <f t="shared" si="207"/>
        <v>0</v>
      </c>
      <c r="T672" s="553"/>
      <c r="U672" s="471" t="s">
        <v>94</v>
      </c>
      <c r="V672" s="480">
        <f>IF(U672="한국 원화(KRW)",1,IF(OR(U672=환율!$A$6,U672=환율!$A$7),VLOOKUP(NAV!U672,환율!$A$6:$B$7,2,),IF(RIGHT(U672,5)="(100)",(VLOOKUP(NAV!U672,환율!$A$11:$B$65,2,))/100,VLOOKUP(NAV!U672,환율!$A$11:$B$65,2,))))</f>
        <v>1</v>
      </c>
      <c r="W672" s="481"/>
      <c r="X672" s="482">
        <f t="shared" si="208"/>
        <v>0</v>
      </c>
      <c r="Y672" s="481"/>
      <c r="Z672" s="481"/>
      <c r="AA672" s="483">
        <f t="shared" si="209"/>
        <v>0</v>
      </c>
      <c r="AB672" s="554"/>
      <c r="AC672" s="526" t="str">
        <f t="shared" si="210"/>
        <v>2년이상</v>
      </c>
      <c r="AD672" s="520" t="str">
        <f t="shared" si="211"/>
        <v/>
      </c>
      <c r="AE672" s="527">
        <f t="shared" si="212"/>
        <v>0</v>
      </c>
      <c r="AF672" s="527">
        <f t="shared" si="213"/>
        <v>0</v>
      </c>
      <c r="AG672" s="485"/>
      <c r="AH672" s="485"/>
      <c r="AI672" s="404"/>
    </row>
    <row r="673" spans="1:35" ht="12.75" thickBot="1">
      <c r="A673" s="492"/>
      <c r="B673" s="496"/>
      <c r="C673" s="486" t="s">
        <v>656</v>
      </c>
      <c r="D673" s="487">
        <f>SUMIF(FS!$U$49:$U$79,개요!$B$205&amp;RIGHT(NAV!C673,4),FS!$X$49:$X$79)</f>
        <v>0</v>
      </c>
      <c r="E673" s="487">
        <f>D673</f>
        <v>0</v>
      </c>
      <c r="J673" s="551"/>
      <c r="K673" s="552"/>
      <c r="L673" s="551"/>
      <c r="M673" s="553"/>
      <c r="N673" s="553"/>
      <c r="O673" s="551"/>
      <c r="P673" s="553"/>
      <c r="Q673" s="524"/>
      <c r="R673" s="478">
        <f>IFERROR(INDEX(기초자산!M$6:M$408,MATCH(K673&amp;N673&amp;O673,기초자산!$A$6:$A$408,0),0),0)</f>
        <v>0</v>
      </c>
      <c r="S673" s="479">
        <f t="shared" si="207"/>
        <v>0</v>
      </c>
      <c r="T673" s="553"/>
      <c r="U673" s="471" t="s">
        <v>94</v>
      </c>
      <c r="V673" s="480">
        <f>IF(U673="한국 원화(KRW)",1,IF(OR(U673=환율!$A$6,U673=환율!$A$7),VLOOKUP(NAV!U673,환율!$A$6:$B$7,2,),IF(RIGHT(U673,5)="(100)",(VLOOKUP(NAV!U673,환율!$A$11:$B$65,2,))/100,VLOOKUP(NAV!U673,환율!$A$11:$B$65,2,))))</f>
        <v>1</v>
      </c>
      <c r="W673" s="481"/>
      <c r="X673" s="482">
        <f t="shared" si="208"/>
        <v>0</v>
      </c>
      <c r="Y673" s="481"/>
      <c r="Z673" s="481"/>
      <c r="AA673" s="483">
        <f t="shared" si="209"/>
        <v>0</v>
      </c>
      <c r="AB673" s="554"/>
      <c r="AC673" s="526" t="str">
        <f t="shared" si="210"/>
        <v>2년이상</v>
      </c>
      <c r="AD673" s="520" t="str">
        <f t="shared" si="211"/>
        <v/>
      </c>
      <c r="AE673" s="527">
        <f t="shared" si="212"/>
        <v>0</v>
      </c>
      <c r="AF673" s="527">
        <f t="shared" si="213"/>
        <v>0</v>
      </c>
      <c r="AG673" s="485"/>
      <c r="AH673" s="485"/>
      <c r="AI673" s="404"/>
    </row>
    <row r="674" spans="1:35" ht="12.75" thickBot="1">
      <c r="A674" s="489" t="s">
        <v>534</v>
      </c>
      <c r="B674" s="498" t="b">
        <f>D667+D668+D669+D670+D672+D673=D674</f>
        <v>1</v>
      </c>
      <c r="C674" s="493" t="s">
        <v>491</v>
      </c>
      <c r="D674" s="494">
        <f>D666+D671</f>
        <v>0</v>
      </c>
      <c r="E674" s="494">
        <f>E666+E671</f>
        <v>0</v>
      </c>
      <c r="J674" s="551"/>
      <c r="K674" s="552"/>
      <c r="L674" s="551"/>
      <c r="M674" s="553"/>
      <c r="N674" s="553"/>
      <c r="O674" s="551"/>
      <c r="P674" s="553"/>
      <c r="Q674" s="524"/>
      <c r="R674" s="478">
        <f>IFERROR(INDEX(기초자산!M$6:M$408,MATCH(K674&amp;N674&amp;O674,기초자산!$A$6:$A$408,0),0),0)</f>
        <v>0</v>
      </c>
      <c r="S674" s="479">
        <f t="shared" si="207"/>
        <v>0</v>
      </c>
      <c r="T674" s="553"/>
      <c r="U674" s="471" t="s">
        <v>94</v>
      </c>
      <c r="V674" s="480">
        <f>IF(U674="한국 원화(KRW)",1,IF(OR(U674=환율!$A$6,U674=환율!$A$7),VLOOKUP(NAV!U674,환율!$A$6:$B$7,2,),IF(RIGHT(U674,5)="(100)",(VLOOKUP(NAV!U674,환율!$A$11:$B$65,2,))/100,VLOOKUP(NAV!U674,환율!$A$11:$B$65,2,))))</f>
        <v>1</v>
      </c>
      <c r="W674" s="481"/>
      <c r="X674" s="482">
        <f t="shared" si="208"/>
        <v>0</v>
      </c>
      <c r="Y674" s="481"/>
      <c r="Z674" s="481"/>
      <c r="AA674" s="483">
        <f t="shared" si="209"/>
        <v>0</v>
      </c>
      <c r="AB674" s="554"/>
      <c r="AC674" s="526" t="str">
        <f t="shared" si="210"/>
        <v>2년이상</v>
      </c>
      <c r="AD674" s="520" t="str">
        <f t="shared" si="211"/>
        <v/>
      </c>
      <c r="AE674" s="527">
        <f t="shared" si="212"/>
        <v>0</v>
      </c>
      <c r="AF674" s="527">
        <f t="shared" si="213"/>
        <v>0</v>
      </c>
      <c r="AG674" s="485"/>
      <c r="AH674" s="485"/>
      <c r="AI674" s="404"/>
    </row>
    <row r="675" spans="1:35" ht="12.75" thickBot="1">
      <c r="A675" s="492"/>
      <c r="B675" s="555" t="str">
        <f>B655&amp;C675</f>
        <v>SPC없음자본금</v>
      </c>
      <c r="C675" s="486" t="s">
        <v>535</v>
      </c>
      <c r="D675" s="487">
        <f>SUMIF(FS!$U$49:$U$79,개요!$B$205&amp;RIGHT(NAV!C675,3),FS!$X$49:$X$79)</f>
        <v>0</v>
      </c>
      <c r="E675" s="487">
        <f>D675</f>
        <v>0</v>
      </c>
      <c r="J675" s="551"/>
      <c r="K675" s="552"/>
      <c r="L675" s="551"/>
      <c r="M675" s="553"/>
      <c r="N675" s="553"/>
      <c r="O675" s="551"/>
      <c r="P675" s="553"/>
      <c r="Q675" s="524"/>
      <c r="R675" s="478">
        <f>IFERROR(INDEX(기초자산!M$6:M$408,MATCH(K675&amp;N675&amp;O675,기초자산!$A$6:$A$408,0),0),0)</f>
        <v>0</v>
      </c>
      <c r="S675" s="479">
        <f t="shared" si="207"/>
        <v>0</v>
      </c>
      <c r="T675" s="553"/>
      <c r="U675" s="471" t="s">
        <v>94</v>
      </c>
      <c r="V675" s="480">
        <f>IF(U675="한국 원화(KRW)",1,IF(OR(U675=환율!$A$6,U675=환율!$A$7),VLOOKUP(NAV!U675,환율!$A$6:$B$7,2,),IF(RIGHT(U675,5)="(100)",(VLOOKUP(NAV!U675,환율!$A$11:$B$65,2,))/100,VLOOKUP(NAV!U675,환율!$A$11:$B$65,2,))))</f>
        <v>1</v>
      </c>
      <c r="W675" s="481"/>
      <c r="X675" s="482">
        <f t="shared" si="208"/>
        <v>0</v>
      </c>
      <c r="Y675" s="481"/>
      <c r="Z675" s="481"/>
      <c r="AA675" s="483">
        <f t="shared" si="209"/>
        <v>0</v>
      </c>
      <c r="AB675" s="554"/>
      <c r="AC675" s="526" t="str">
        <f t="shared" si="210"/>
        <v>2년이상</v>
      </c>
      <c r="AD675" s="520" t="str">
        <f t="shared" si="211"/>
        <v/>
      </c>
      <c r="AE675" s="527">
        <f t="shared" si="212"/>
        <v>0</v>
      </c>
      <c r="AF675" s="527">
        <f t="shared" si="213"/>
        <v>0</v>
      </c>
      <c r="AG675" s="485"/>
      <c r="AH675" s="485"/>
      <c r="AI675" s="404"/>
    </row>
    <row r="676" spans="1:35" ht="12.75" thickBot="1">
      <c r="C676" s="486" t="s">
        <v>536</v>
      </c>
      <c r="D676" s="487">
        <f>SUMIF(FS!$U$49:$U$79,개요!$B$205&amp;RIGHT(NAV!C676,10),FS!$X$49:$X$79)</f>
        <v>0</v>
      </c>
      <c r="E676" s="487">
        <f>D676</f>
        <v>0</v>
      </c>
      <c r="J676" s="551"/>
      <c r="K676" s="552"/>
      <c r="L676" s="551"/>
      <c r="M676" s="553"/>
      <c r="N676" s="553"/>
      <c r="O676" s="551"/>
      <c r="P676" s="553"/>
      <c r="Q676" s="524"/>
      <c r="R676" s="478">
        <f>IFERROR(INDEX(기초자산!M$6:M$408,MATCH(K676&amp;N676&amp;O676,기초자산!$A$6:$A$408,0),0),0)</f>
        <v>0</v>
      </c>
      <c r="S676" s="479">
        <f t="shared" si="207"/>
        <v>0</v>
      </c>
      <c r="T676" s="553"/>
      <c r="U676" s="471" t="s">
        <v>94</v>
      </c>
      <c r="V676" s="480">
        <f>IF(U676="한국 원화(KRW)",1,IF(OR(U676=환율!$A$6,U676=환율!$A$7),VLOOKUP(NAV!U676,환율!$A$6:$B$7,2,),IF(RIGHT(U676,5)="(100)",(VLOOKUP(NAV!U676,환율!$A$11:$B$65,2,))/100,VLOOKUP(NAV!U676,환율!$A$11:$B$65,2,))))</f>
        <v>1</v>
      </c>
      <c r="W676" s="481"/>
      <c r="X676" s="482">
        <f t="shared" si="208"/>
        <v>0</v>
      </c>
      <c r="Y676" s="481"/>
      <c r="Z676" s="481"/>
      <c r="AA676" s="483">
        <f t="shared" si="209"/>
        <v>0</v>
      </c>
      <c r="AB676" s="554"/>
      <c r="AC676" s="526" t="str">
        <f t="shared" si="210"/>
        <v>2년이상</v>
      </c>
      <c r="AD676" s="520" t="str">
        <f t="shared" si="211"/>
        <v/>
      </c>
      <c r="AE676" s="527">
        <f t="shared" si="212"/>
        <v>0</v>
      </c>
      <c r="AF676" s="527">
        <f t="shared" si="213"/>
        <v>0</v>
      </c>
      <c r="AG676" s="485"/>
      <c r="AH676" s="485"/>
      <c r="AI676" s="404"/>
    </row>
    <row r="677" spans="1:35" ht="12.75" thickBot="1">
      <c r="A677" s="489"/>
      <c r="B677" s="415"/>
      <c r="C677" s="486" t="s">
        <v>482</v>
      </c>
      <c r="D677" s="487">
        <f>SUMIF(FS!$U$49:$U$79,개요!$B$205&amp;RIGHT(NAV!C677,8),FS!$X$49:$X$79)</f>
        <v>0</v>
      </c>
      <c r="E677" s="487">
        <f>D677</f>
        <v>0</v>
      </c>
      <c r="J677" s="551"/>
      <c r="K677" s="552"/>
      <c r="L677" s="551"/>
      <c r="M677" s="553"/>
      <c r="N677" s="553"/>
      <c r="O677" s="551"/>
      <c r="P677" s="553"/>
      <c r="Q677" s="524"/>
      <c r="R677" s="478">
        <f>IFERROR(INDEX(기초자산!M$6:M$408,MATCH(K677&amp;N677&amp;O677,기초자산!$A$6:$A$408,0),0),0)</f>
        <v>0</v>
      </c>
      <c r="S677" s="479">
        <f t="shared" si="207"/>
        <v>0</v>
      </c>
      <c r="T677" s="553"/>
      <c r="U677" s="471" t="s">
        <v>94</v>
      </c>
      <c r="V677" s="480">
        <f>IF(U677="한국 원화(KRW)",1,IF(OR(U677=환율!$A$6,U677=환율!$A$7),VLOOKUP(NAV!U677,환율!$A$6:$B$7,2,),IF(RIGHT(U677,5)="(100)",(VLOOKUP(NAV!U677,환율!$A$11:$B$65,2,))/100,VLOOKUP(NAV!U677,환율!$A$11:$B$65,2,))))</f>
        <v>1</v>
      </c>
      <c r="W677" s="481"/>
      <c r="X677" s="482">
        <f t="shared" si="208"/>
        <v>0</v>
      </c>
      <c r="Y677" s="481"/>
      <c r="Z677" s="481"/>
      <c r="AA677" s="483">
        <f t="shared" si="209"/>
        <v>0</v>
      </c>
      <c r="AB677" s="554"/>
      <c r="AC677" s="526" t="str">
        <f t="shared" si="210"/>
        <v>2년이상</v>
      </c>
      <c r="AD677" s="520" t="str">
        <f t="shared" si="211"/>
        <v/>
      </c>
      <c r="AE677" s="527">
        <f t="shared" si="212"/>
        <v>0</v>
      </c>
      <c r="AF677" s="527">
        <f t="shared" si="213"/>
        <v>0</v>
      </c>
      <c r="AG677" s="485"/>
      <c r="AH677" s="485"/>
      <c r="AI677" s="404"/>
    </row>
    <row r="678" spans="1:35" ht="12.75" thickBot="1">
      <c r="A678" s="489" t="s">
        <v>664</v>
      </c>
      <c r="B678" s="415" t="b">
        <f>D678=SUM(D675:D677)</f>
        <v>1</v>
      </c>
      <c r="C678" s="493" t="s">
        <v>484</v>
      </c>
      <c r="D678" s="494">
        <f>D665-D674</f>
        <v>0</v>
      </c>
      <c r="E678" s="494">
        <f>E665-E674</f>
        <v>0</v>
      </c>
      <c r="J678" s="551"/>
      <c r="K678" s="552"/>
      <c r="L678" s="551"/>
      <c r="M678" s="553"/>
      <c r="N678" s="553"/>
      <c r="O678" s="551"/>
      <c r="P678" s="553"/>
      <c r="Q678" s="524"/>
      <c r="R678" s="478">
        <f>IFERROR(INDEX(기초자산!M$6:M$408,MATCH(K678&amp;N678&amp;O678,기초자산!$A$6:$A$408,0),0),0)</f>
        <v>0</v>
      </c>
      <c r="S678" s="479">
        <f t="shared" si="207"/>
        <v>0</v>
      </c>
      <c r="T678" s="553"/>
      <c r="U678" s="471" t="s">
        <v>94</v>
      </c>
      <c r="V678" s="480">
        <f>IF(U678="한국 원화(KRW)",1,IF(OR(U678=환율!$A$6,U678=환율!$A$7),VLOOKUP(NAV!U678,환율!$A$6:$B$7,2,),IF(RIGHT(U678,5)="(100)",(VLOOKUP(NAV!U678,환율!$A$11:$B$65,2,))/100,VLOOKUP(NAV!U678,환율!$A$11:$B$65,2,))))</f>
        <v>1</v>
      </c>
      <c r="W678" s="481"/>
      <c r="X678" s="482">
        <f t="shared" si="208"/>
        <v>0</v>
      </c>
      <c r="Y678" s="481"/>
      <c r="Z678" s="481"/>
      <c r="AA678" s="483">
        <f t="shared" si="209"/>
        <v>0</v>
      </c>
      <c r="AB678" s="554"/>
      <c r="AC678" s="526" t="str">
        <f t="shared" si="210"/>
        <v>2년이상</v>
      </c>
      <c r="AD678" s="520" t="str">
        <f t="shared" si="211"/>
        <v/>
      </c>
      <c r="AE678" s="527">
        <f t="shared" si="212"/>
        <v>0</v>
      </c>
      <c r="AF678" s="527">
        <f t="shared" si="213"/>
        <v>0</v>
      </c>
      <c r="AG678" s="485"/>
      <c r="AH678" s="485"/>
      <c r="AI678" s="404"/>
    </row>
    <row r="679" spans="1:35" ht="12.75" thickBot="1">
      <c r="A679" s="489"/>
      <c r="B679" s="415"/>
      <c r="C679" s="486" t="s">
        <v>537</v>
      </c>
      <c r="D679" s="487">
        <v>0</v>
      </c>
      <c r="E679" s="499">
        <v>0</v>
      </c>
      <c r="J679" s="551"/>
      <c r="K679" s="552"/>
      <c r="L679" s="551"/>
      <c r="M679" s="553"/>
      <c r="N679" s="553"/>
      <c r="O679" s="551"/>
      <c r="P679" s="553"/>
      <c r="Q679" s="524"/>
      <c r="R679" s="478">
        <f>IFERROR(INDEX(기초자산!M$6:M$408,MATCH(K679&amp;N679&amp;O679,기초자산!$A$6:$A$408,0),0),0)</f>
        <v>0</v>
      </c>
      <c r="S679" s="479">
        <f t="shared" si="207"/>
        <v>0</v>
      </c>
      <c r="T679" s="553"/>
      <c r="U679" s="471" t="s">
        <v>94</v>
      </c>
      <c r="V679" s="480">
        <f>IF(U679="한국 원화(KRW)",1,IF(OR(U679=환율!$A$6,U679=환율!$A$7),VLOOKUP(NAV!U679,환율!$A$6:$B$7,2,),IF(RIGHT(U679,5)="(100)",(VLOOKUP(NAV!U679,환율!$A$11:$B$65,2,))/100,VLOOKUP(NAV!U679,환율!$A$11:$B$65,2,))))</f>
        <v>1</v>
      </c>
      <c r="W679" s="481"/>
      <c r="X679" s="482">
        <f t="shared" si="208"/>
        <v>0</v>
      </c>
      <c r="Y679" s="481"/>
      <c r="Z679" s="481"/>
      <c r="AA679" s="483">
        <f t="shared" si="209"/>
        <v>0</v>
      </c>
      <c r="AB679" s="554"/>
      <c r="AC679" s="526" t="str">
        <f t="shared" si="210"/>
        <v>2년이상</v>
      </c>
      <c r="AD679" s="520" t="str">
        <f t="shared" si="211"/>
        <v/>
      </c>
      <c r="AE679" s="527">
        <f t="shared" si="212"/>
        <v>0</v>
      </c>
      <c r="AF679" s="527">
        <f t="shared" si="213"/>
        <v>0</v>
      </c>
      <c r="AG679" s="485"/>
      <c r="AH679" s="485"/>
      <c r="AI679" s="404"/>
    </row>
    <row r="680" spans="1:35">
      <c r="A680" s="489"/>
      <c r="B680" s="415"/>
      <c r="C680" s="486" t="s">
        <v>481</v>
      </c>
      <c r="D680" s="487">
        <v>0</v>
      </c>
      <c r="E680" s="499">
        <v>0</v>
      </c>
      <c r="J680" s="495"/>
      <c r="K680" s="415"/>
      <c r="L680" s="495"/>
      <c r="M680" s="415"/>
      <c r="N680" s="415"/>
      <c r="O680" s="415"/>
      <c r="P680" s="415"/>
      <c r="Q680" s="422"/>
      <c r="R680" s="415"/>
      <c r="S680" s="415"/>
      <c r="T680" s="415"/>
      <c r="U680" s="415"/>
      <c r="V680" s="415"/>
      <c r="W680" s="422"/>
      <c r="X680" s="415"/>
      <c r="Y680" s="458"/>
      <c r="Z680" s="422"/>
      <c r="AA680" s="556"/>
      <c r="AB680" s="556"/>
      <c r="AC680" s="415"/>
      <c r="AE680" s="415"/>
      <c r="AI680" s="404"/>
    </row>
    <row r="681" spans="1:35">
      <c r="A681" s="489"/>
      <c r="B681" s="415"/>
      <c r="C681" s="493" t="s">
        <v>474</v>
      </c>
      <c r="D681" s="494">
        <f>D678+D679-D680</f>
        <v>0</v>
      </c>
      <c r="E681" s="494">
        <f>IF(E678+E679-E680&gt;0,E678+E679-E680,0)</f>
        <v>0</v>
      </c>
      <c r="J681" s="305"/>
      <c r="K681" s="415"/>
      <c r="L681" s="305"/>
      <c r="M681" s="415"/>
      <c r="N681" s="415"/>
      <c r="O681" s="415"/>
      <c r="S681" s="415"/>
      <c r="T681" s="415"/>
      <c r="U681" s="415"/>
      <c r="V681" s="415"/>
      <c r="Y681" s="458"/>
      <c r="AD681" s="557" t="str">
        <f>B655&amp;"순자산가치"</f>
        <v>SPC없음순자산가치</v>
      </c>
      <c r="AE681" s="529">
        <f>IF(E661+SUM(AE661:AE666)+SUM(AE669:AE679)-E674&gt;0,E661+SUM(AE661:AE666)+SUM(AE669:AE679)-E674,0)</f>
        <v>0</v>
      </c>
      <c r="AF681" s="529">
        <f>IF(E661+SUM(AF661:AF666)+SUM(AF669:AF679)-E674&gt;0,E661+SUM(AF661:AF666)+SUM(AF669:AF679)-E674,0)</f>
        <v>0</v>
      </c>
      <c r="AI681" s="404"/>
    </row>
    <row r="682" spans="1:35">
      <c r="A682" s="489"/>
      <c r="B682" s="558" t="str">
        <f>B655&amp;C682</f>
        <v>SPC없음보유지분율(%)</v>
      </c>
      <c r="C682" s="493" t="s">
        <v>485</v>
      </c>
      <c r="D682" s="559">
        <f>개요!$C$214</f>
        <v>0</v>
      </c>
      <c r="E682" s="494">
        <f>E681*D682</f>
        <v>0</v>
      </c>
      <c r="F682" s="560" t="s">
        <v>476</v>
      </c>
      <c r="G682" s="560"/>
      <c r="J682" s="495"/>
      <c r="K682" s="415"/>
      <c r="L682" s="495"/>
      <c r="M682" s="415"/>
      <c r="N682" s="415"/>
      <c r="O682" s="415"/>
      <c r="S682" s="415"/>
      <c r="T682" s="415"/>
      <c r="U682" s="415"/>
      <c r="V682" s="415"/>
      <c r="Y682" s="458"/>
      <c r="AD682" s="557" t="s">
        <v>272</v>
      </c>
      <c r="AE682" s="561">
        <f>$D682</f>
        <v>0</v>
      </c>
      <c r="AF682" s="561">
        <f>$D682</f>
        <v>0</v>
      </c>
      <c r="AI682" s="404"/>
    </row>
    <row r="683" spans="1:35">
      <c r="A683" s="489"/>
      <c r="B683" s="415"/>
      <c r="G683" s="503" t="s">
        <v>657</v>
      </c>
      <c r="I683" s="562"/>
      <c r="J683" s="495"/>
      <c r="K683" s="415"/>
      <c r="L683" s="495"/>
      <c r="M683" s="415"/>
      <c r="N683" s="415"/>
      <c r="O683" s="415"/>
      <c r="S683" s="415"/>
      <c r="T683" s="415"/>
      <c r="U683" s="415"/>
      <c r="V683" s="415"/>
      <c r="Y683" s="458"/>
      <c r="AD683" s="557" t="str">
        <f>B655&amp;"지분율 반영 순자산가치"</f>
        <v>SPC없음지분율 반영 순자산가치</v>
      </c>
      <c r="AE683" s="529">
        <f>AE681*AE682</f>
        <v>0</v>
      </c>
      <c r="AF683" s="529">
        <f>AF681*AF682</f>
        <v>0</v>
      </c>
      <c r="AI683" s="404"/>
    </row>
    <row r="684" spans="1:35">
      <c r="A684" s="489"/>
      <c r="D684" s="504" t="s">
        <v>684</v>
      </c>
      <c r="E684" s="505">
        <f>$C$7</f>
        <v>45473</v>
      </c>
      <c r="F684" s="506"/>
      <c r="G684" s="505"/>
      <c r="I684" s="563"/>
      <c r="J684" s="495"/>
      <c r="K684" s="415"/>
      <c r="L684" s="495"/>
      <c r="M684" s="415"/>
      <c r="N684" s="415"/>
      <c r="O684" s="415"/>
      <c r="S684" s="415"/>
      <c r="T684" s="415"/>
      <c r="U684" s="415"/>
      <c r="V684" s="415"/>
      <c r="Y684" s="422"/>
      <c r="AI684" s="404"/>
    </row>
    <row r="685" spans="1:35">
      <c r="D685" s="486" t="s">
        <v>484</v>
      </c>
      <c r="E685" s="487">
        <f>E681</f>
        <v>0</v>
      </c>
      <c r="F685" s="507" t="e">
        <f>E685/G685-1</f>
        <v>#DIV/0!</v>
      </c>
      <c r="G685" s="487"/>
      <c r="I685" s="564"/>
      <c r="J685" s="495"/>
      <c r="K685" s="415"/>
      <c r="L685" s="495"/>
      <c r="M685" s="415"/>
      <c r="S685" s="415"/>
      <c r="T685" s="415"/>
      <c r="U685" s="415"/>
      <c r="V685" s="415"/>
      <c r="Y685" s="422"/>
      <c r="AI685" s="404"/>
    </row>
    <row r="686" spans="1:35">
      <c r="A686" s="489"/>
      <c r="B686" s="415"/>
      <c r="D686" s="486" t="s">
        <v>483</v>
      </c>
      <c r="E686" s="565">
        <f>$D$682</f>
        <v>0</v>
      </c>
      <c r="F686" s="507"/>
      <c r="G686" s="565"/>
      <c r="I686" s="566"/>
      <c r="J686" s="305"/>
      <c r="K686" s="415"/>
      <c r="L686" s="305"/>
      <c r="M686" s="415"/>
      <c r="S686" s="415"/>
      <c r="T686" s="415"/>
      <c r="U686" s="415"/>
      <c r="V686" s="415"/>
      <c r="Y686" s="422"/>
      <c r="AI686" s="404"/>
    </row>
    <row r="687" spans="1:35">
      <c r="A687" s="489"/>
      <c r="B687" s="415"/>
      <c r="D687" s="567" t="s">
        <v>538</v>
      </c>
      <c r="E687" s="568">
        <f>E685*E686</f>
        <v>0</v>
      </c>
      <c r="F687" s="507" t="e">
        <f>E687/G687-1</f>
        <v>#DIV/0!</v>
      </c>
      <c r="G687" s="568"/>
      <c r="I687" s="564"/>
      <c r="AI687" s="404"/>
    </row>
    <row r="688" spans="1:35">
      <c r="E688" s="304" t="b">
        <f>E687=E682</f>
        <v>1</v>
      </c>
      <c r="AI688" s="404"/>
    </row>
    <row r="689" spans="1:35">
      <c r="F689" s="507"/>
      <c r="G689" s="507"/>
      <c r="AI689" s="404"/>
    </row>
    <row r="690" spans="1:35" ht="12.75" thickBot="1">
      <c r="A690" s="536"/>
      <c r="B690" s="536"/>
      <c r="C690" s="536"/>
      <c r="D690" s="536"/>
      <c r="E690" s="536"/>
      <c r="F690" s="572"/>
      <c r="G690" s="572"/>
      <c r="H690" s="536"/>
      <c r="I690" s="537"/>
      <c r="J690" s="536"/>
      <c r="K690" s="536"/>
      <c r="L690" s="536"/>
      <c r="M690" s="536"/>
      <c r="N690" s="536"/>
      <c r="O690" s="536"/>
      <c r="P690" s="536"/>
      <c r="Q690" s="540"/>
      <c r="R690" s="536"/>
      <c r="S690" s="536"/>
      <c r="T690" s="536"/>
      <c r="U690" s="536"/>
      <c r="V690" s="536"/>
      <c r="W690" s="540"/>
      <c r="X690" s="536"/>
      <c r="Y690" s="540"/>
      <c r="Z690" s="540"/>
      <c r="AA690" s="536"/>
      <c r="AB690" s="536"/>
      <c r="AC690" s="536"/>
      <c r="AD690" s="541"/>
      <c r="AE690" s="536"/>
      <c r="AF690" s="536"/>
      <c r="AG690" s="536"/>
      <c r="AH690" s="536"/>
      <c r="AI690" s="404"/>
    </row>
    <row r="691" spans="1:35" ht="12.75" thickTop="1">
      <c r="F691" s="507"/>
      <c r="G691" s="507"/>
      <c r="AI691" s="404"/>
    </row>
    <row r="692" spans="1:35" ht="12.75" thickBot="1">
      <c r="A692" s="459"/>
      <c r="B692" s="415"/>
      <c r="J692" s="428" t="s">
        <v>273</v>
      </c>
      <c r="K692" s="489"/>
      <c r="L692" s="497"/>
      <c r="M692" s="489"/>
      <c r="N692" s="415"/>
      <c r="O692" s="415"/>
      <c r="AI692" s="404"/>
    </row>
    <row r="693" spans="1:35" ht="12.75" thickBot="1">
      <c r="A693" s="542" t="s">
        <v>717</v>
      </c>
      <c r="B693" s="543" t="str">
        <f>IF(개요!$B$217="","SPC없음",개요!$B$217)</f>
        <v>SPC없음</v>
      </c>
      <c r="C693" s="454"/>
      <c r="J693" s="433"/>
      <c r="K693" s="434"/>
      <c r="L693" s="434"/>
      <c r="M693" s="434"/>
      <c r="N693" s="434"/>
      <c r="O693" s="434"/>
      <c r="P693" s="434"/>
      <c r="Q693" s="435"/>
      <c r="R693" s="434"/>
      <c r="S693" s="434"/>
      <c r="T693" s="434"/>
      <c r="U693" s="434"/>
      <c r="V693" s="436"/>
      <c r="AI693" s="404"/>
    </row>
    <row r="694" spans="1:35">
      <c r="B694" s="543" t="s">
        <v>425</v>
      </c>
      <c r="C694" s="569" t="str">
        <f>IF(개요!$C$218="","SPC없음",개요!$C$218)</f>
        <v>SPC없음</v>
      </c>
      <c r="J694" s="442"/>
      <c r="K694" s="151"/>
      <c r="L694" s="151"/>
      <c r="M694" s="151"/>
      <c r="N694" s="151"/>
      <c r="O694" s="151"/>
      <c r="P694" s="151"/>
      <c r="Q694" s="443"/>
      <c r="R694" s="151"/>
      <c r="S694" s="151"/>
      <c r="T694" s="151"/>
      <c r="U694" s="151"/>
      <c r="V694" s="444"/>
      <c r="AI694" s="404"/>
    </row>
    <row r="695" spans="1:35">
      <c r="B695" s="437" t="s">
        <v>370</v>
      </c>
      <c r="C695" s="570">
        <f>$C$7</f>
        <v>45473</v>
      </c>
      <c r="D695" s="546" t="b">
        <f>C695&gt;=C696</f>
        <v>1</v>
      </c>
      <c r="J695" s="442"/>
      <c r="K695" s="151"/>
      <c r="L695" s="151"/>
      <c r="M695" s="151"/>
      <c r="N695" s="151"/>
      <c r="O695" s="151"/>
      <c r="P695" s="151"/>
      <c r="Q695" s="443"/>
      <c r="R695" s="151"/>
      <c r="S695" s="151"/>
      <c r="T695" s="151"/>
      <c r="U695" s="151"/>
      <c r="V695" s="444"/>
      <c r="AI695" s="404"/>
    </row>
    <row r="696" spans="1:35" ht="12.75" thickBot="1">
      <c r="B696" s="449" t="s">
        <v>371</v>
      </c>
      <c r="C696" s="571">
        <f>FS!$AD$48</f>
        <v>0</v>
      </c>
      <c r="J696" s="453"/>
      <c r="K696" s="454"/>
      <c r="L696" s="454"/>
      <c r="M696" s="454"/>
      <c r="N696" s="454"/>
      <c r="O696" s="454"/>
      <c r="P696" s="454"/>
      <c r="Q696" s="455"/>
      <c r="R696" s="454"/>
      <c r="S696" s="454"/>
      <c r="T696" s="454"/>
      <c r="U696" s="454"/>
      <c r="V696" s="456"/>
      <c r="AI696" s="404"/>
    </row>
    <row r="697" spans="1:35">
      <c r="A697" s="459"/>
      <c r="J697" s="428" t="s">
        <v>685</v>
      </c>
      <c r="K697" s="448"/>
      <c r="L697" s="420"/>
      <c r="M697" s="448"/>
      <c r="N697" s="448"/>
      <c r="O697" s="448"/>
      <c r="P697" s="415"/>
      <c r="Q697" s="422"/>
      <c r="R697" s="415"/>
      <c r="S697" s="415"/>
      <c r="T697" s="415"/>
      <c r="U697" s="415"/>
      <c r="V697" s="415"/>
      <c r="W697" s="422"/>
      <c r="Z697" s="458"/>
      <c r="AE697" s="803" t="s">
        <v>8</v>
      </c>
      <c r="AF697" s="803"/>
      <c r="AG697" s="460"/>
      <c r="AH697" s="460"/>
      <c r="AI697" s="404"/>
    </row>
    <row r="698" spans="1:35" ht="12.75" thickBot="1">
      <c r="A698" s="461" t="str">
        <f>IF(AND(B699:B725),"검증완료","검증필요")</f>
        <v>검증완료</v>
      </c>
      <c r="B698" s="462" t="s">
        <v>686</v>
      </c>
      <c r="C698" s="462" t="s">
        <v>9</v>
      </c>
      <c r="D698" s="462" t="s">
        <v>374</v>
      </c>
      <c r="E698" s="462" t="s">
        <v>687</v>
      </c>
      <c r="J698" s="462" t="s">
        <v>688</v>
      </c>
      <c r="K698" s="464" t="s">
        <v>689</v>
      </c>
      <c r="L698" s="462" t="s">
        <v>425</v>
      </c>
      <c r="M698" s="462" t="s">
        <v>377</v>
      </c>
      <c r="N698" s="462" t="s">
        <v>427</v>
      </c>
      <c r="O698" s="462" t="s">
        <v>1</v>
      </c>
      <c r="P698" s="464" t="s">
        <v>586</v>
      </c>
      <c r="Q698" s="465" t="s">
        <v>14</v>
      </c>
      <c r="R698" s="466" t="s">
        <v>438</v>
      </c>
      <c r="S698" s="466" t="s">
        <v>690</v>
      </c>
      <c r="T698" s="462" t="s">
        <v>691</v>
      </c>
      <c r="U698" s="462" t="s">
        <v>692</v>
      </c>
      <c r="V698" s="462" t="s">
        <v>693</v>
      </c>
      <c r="W698" s="465" t="s">
        <v>10</v>
      </c>
      <c r="X698" s="462" t="s">
        <v>385</v>
      </c>
      <c r="Y698" s="465" t="s">
        <v>694</v>
      </c>
      <c r="Z698" s="465" t="s">
        <v>3522</v>
      </c>
      <c r="AA698" s="464" t="s">
        <v>13</v>
      </c>
      <c r="AE698" s="467" t="s">
        <v>3627</v>
      </c>
      <c r="AF698" s="467" t="s">
        <v>3628</v>
      </c>
      <c r="AG698" s="467" t="s">
        <v>3629</v>
      </c>
      <c r="AH698" s="467" t="s">
        <v>3630</v>
      </c>
      <c r="AI698" s="404"/>
    </row>
    <row r="699" spans="1:35" ht="12.75" thickBot="1">
      <c r="A699" s="415"/>
      <c r="B699" s="415"/>
      <c r="C699" s="468" t="s">
        <v>695</v>
      </c>
      <c r="D699" s="469">
        <f>SUM(D700:D701)</f>
        <v>0</v>
      </c>
      <c r="E699" s="469">
        <f>SUM(E700:E701)</f>
        <v>0</v>
      </c>
      <c r="J699" s="476"/>
      <c r="K699" s="472"/>
      <c r="L699" s="473" t="str">
        <f>IF($J699="","SPC 없음",VLOOKUP($J699&amp;"SPC명",개요!$A$3:$E$1932,3,0))</f>
        <v>SPC 없음</v>
      </c>
      <c r="M699" s="474" t="str">
        <f>IF($J699="","SPC 없음",VLOOKUP($J699&amp;"설정일",개요!$A$3:$E$1932,3,0))</f>
        <v>SPC 없음</v>
      </c>
      <c r="N699" s="475" t="str">
        <f t="shared" ref="N699:N704" si="214">IF($J699="","SPC 없음",VLOOKUP($J699&amp;"자본금",$B$4:$E$2079,3,0)*VLOOKUP($J699&amp;"보유지분율(%)",$B$4:$E$2079,3,0))</f>
        <v>SPC 없음</v>
      </c>
      <c r="O699" s="471"/>
      <c r="P699" s="476"/>
      <c r="Q699" s="477"/>
      <c r="R699" s="478"/>
      <c r="S699" s="479" t="str">
        <f t="shared" ref="S699:S704" si="215">IF($J699="","SPC 없음",IF(P699="총액",IF(T699="장부가액 준용",W699,(VLOOKUP($J699&amp;"보유지분율(%)",$B$4:$E$2079,4,0))*V699),Q699*R699))</f>
        <v>SPC 없음</v>
      </c>
      <c r="T699" s="471"/>
      <c r="U699" s="471" t="s">
        <v>94</v>
      </c>
      <c r="V699" s="480">
        <f>IF(U699="한국 원화(KRW)",1,IF(OR(U699=환율!$A$6,U699=환율!$A$7),VLOOKUP(NAV!U699,환율!$A$6:$B$7,2,),IF(RIGHT(U699,5)="(100)",(VLOOKUP(NAV!U699,환율!$A$11:$B$65,2,))/100,VLOOKUP(NAV!U699,환율!$A$11:$B$65,2,))))</f>
        <v>1</v>
      </c>
      <c r="W699" s="481"/>
      <c r="X699" s="482">
        <f t="shared" ref="X699:X704" si="216">IFERROR(IF(P699="만원당",10000,Y699/Q699),0)</f>
        <v>0</v>
      </c>
      <c r="Y699" s="481"/>
      <c r="Z699" s="481"/>
      <c r="AA699" s="483">
        <f t="shared" ref="AA699:AA704" si="217">IFERROR(IF(Z699="",S699/W699-1,S699/Z699-1),0)</f>
        <v>0</v>
      </c>
      <c r="AE699" s="484" t="str">
        <f t="shared" ref="AE699:AE704" si="218">IF($J699="","SPC 없음",IF(P699="총액",(VLOOKUP($J699&amp;"지분율 반영 순자산가치",$AD$4:$AH$4973,2,0))*V699,AG699*$Q699))</f>
        <v>SPC 없음</v>
      </c>
      <c r="AF699" s="484" t="str">
        <f t="shared" ref="AF699:AF704" si="219">IF($J699="","SPC 없음",IF(P699="총액",(VLOOKUP($J699&amp;"지분율 반영 순자산가치",$AD$4:$AH$4973,3,0))*V699,AH699*$Q699))</f>
        <v>SPC 없음</v>
      </c>
      <c r="AG699" s="485"/>
      <c r="AH699" s="485"/>
      <c r="AI699" s="404"/>
    </row>
    <row r="700" spans="1:35" ht="12.75" thickBot="1">
      <c r="A700" s="415"/>
      <c r="B700" s="415"/>
      <c r="C700" s="486" t="s">
        <v>387</v>
      </c>
      <c r="D700" s="487">
        <f>SUMIF(FS!$AA$49:$AA$79,개요!$B$217&amp;RIGHT(NAV!C700,10),FS!$AD$49:$AD$79)</f>
        <v>0</v>
      </c>
      <c r="E700" s="487">
        <f>D700</f>
        <v>0</v>
      </c>
      <c r="J700" s="476"/>
      <c r="K700" s="472"/>
      <c r="L700" s="473" t="str">
        <f>IF($J700="","SPC 없음",VLOOKUP($J700&amp;"SPC명",개요!$A$3:$E$1932,3,0))</f>
        <v>SPC 없음</v>
      </c>
      <c r="M700" s="474" t="str">
        <f>IF($J700="","SPC 없음",VLOOKUP($J700&amp;"설정일",개요!$A$3:$E$1932,3,0))</f>
        <v>SPC 없음</v>
      </c>
      <c r="N700" s="475" t="str">
        <f t="shared" si="214"/>
        <v>SPC 없음</v>
      </c>
      <c r="O700" s="471"/>
      <c r="P700" s="476"/>
      <c r="Q700" s="477"/>
      <c r="R700" s="478"/>
      <c r="S700" s="479" t="str">
        <f t="shared" si="215"/>
        <v>SPC 없음</v>
      </c>
      <c r="T700" s="471"/>
      <c r="U700" s="471" t="s">
        <v>94</v>
      </c>
      <c r="V700" s="480">
        <f>IF(U700="한국 원화(KRW)",1,IF(OR(U700=환율!$A$6,U700=환율!$A$7),VLOOKUP(NAV!U700,환율!$A$6:$B$7,2,),IF(RIGHT(U700,5)="(100)",(VLOOKUP(NAV!U700,환율!$A$11:$B$65,2,))/100,VLOOKUP(NAV!U700,환율!$A$11:$B$65,2,))))</f>
        <v>1</v>
      </c>
      <c r="W700" s="481"/>
      <c r="X700" s="482">
        <f t="shared" si="216"/>
        <v>0</v>
      </c>
      <c r="Y700" s="481"/>
      <c r="Z700" s="481"/>
      <c r="AA700" s="483">
        <f t="shared" si="217"/>
        <v>0</v>
      </c>
      <c r="AE700" s="484" t="str">
        <f t="shared" si="218"/>
        <v>SPC 없음</v>
      </c>
      <c r="AF700" s="484" t="str">
        <f t="shared" si="219"/>
        <v>SPC 없음</v>
      </c>
      <c r="AG700" s="485"/>
      <c r="AH700" s="485"/>
      <c r="AI700" s="404"/>
    </row>
    <row r="701" spans="1:35" ht="12.75" thickBot="1">
      <c r="A701" s="415"/>
      <c r="B701" s="415"/>
      <c r="C701" s="486" t="s">
        <v>431</v>
      </c>
      <c r="D701" s="487">
        <f>SUMIF(FS!$AA$49:$AA$79,개요!$B$217&amp;RIGHT(NAV!C701,4),FS!$AD$49:$AD$79)</f>
        <v>0</v>
      </c>
      <c r="E701" s="487">
        <f>D701</f>
        <v>0</v>
      </c>
      <c r="J701" s="476"/>
      <c r="K701" s="472"/>
      <c r="L701" s="473" t="str">
        <f>IF($J701="","SPC 없음",VLOOKUP($J701&amp;"SPC명",개요!$A$3:$E$1932,3,0))</f>
        <v>SPC 없음</v>
      </c>
      <c r="M701" s="474" t="str">
        <f>IF($J701="","SPC 없음",VLOOKUP($J701&amp;"설정일",개요!$A$3:$E$1932,3,0))</f>
        <v>SPC 없음</v>
      </c>
      <c r="N701" s="475" t="str">
        <f t="shared" si="214"/>
        <v>SPC 없음</v>
      </c>
      <c r="O701" s="471"/>
      <c r="P701" s="476"/>
      <c r="Q701" s="477"/>
      <c r="R701" s="478"/>
      <c r="S701" s="479" t="str">
        <f t="shared" si="215"/>
        <v>SPC 없음</v>
      </c>
      <c r="T701" s="471"/>
      <c r="U701" s="471" t="s">
        <v>94</v>
      </c>
      <c r="V701" s="480">
        <f>IF(U701="한국 원화(KRW)",1,IF(OR(U701=환율!$A$6,U701=환율!$A$7),VLOOKUP(NAV!U701,환율!$A$6:$B$7,2,),IF(RIGHT(U701,5)="(100)",(VLOOKUP(NAV!U701,환율!$A$11:$B$65,2,))/100,VLOOKUP(NAV!U701,환율!$A$11:$B$65,2,))))</f>
        <v>1</v>
      </c>
      <c r="W701" s="481"/>
      <c r="X701" s="482">
        <f t="shared" si="216"/>
        <v>0</v>
      </c>
      <c r="Y701" s="481"/>
      <c r="Z701" s="481"/>
      <c r="AA701" s="483">
        <f t="shared" si="217"/>
        <v>0</v>
      </c>
      <c r="AE701" s="484" t="str">
        <f t="shared" si="218"/>
        <v>SPC 없음</v>
      </c>
      <c r="AF701" s="484" t="str">
        <f t="shared" si="219"/>
        <v>SPC 없음</v>
      </c>
      <c r="AG701" s="485"/>
      <c r="AH701" s="485"/>
      <c r="AI701" s="404"/>
    </row>
    <row r="702" spans="1:35" ht="12.75" thickBot="1">
      <c r="A702" s="489" t="s">
        <v>389</v>
      </c>
      <c r="B702" s="490" t="b">
        <f>SUM(W699:W704,W707:W717)=D702</f>
        <v>1</v>
      </c>
      <c r="C702" s="468" t="s">
        <v>696</v>
      </c>
      <c r="D702" s="469">
        <f>SUMIF(FS!$AA$49:$AA$79,개요!$B$217&amp;RIGHT(NAV!C702,4),FS!$AD$49:$AD$79)</f>
        <v>0</v>
      </c>
      <c r="E702" s="469">
        <f>SUM(S699:S704)+SUM(S707:S717)</f>
        <v>0</v>
      </c>
      <c r="J702" s="476"/>
      <c r="K702" s="472"/>
      <c r="L702" s="473" t="str">
        <f>IF($J702="","SPC 없음",VLOOKUP($J702&amp;"SPC명",개요!$A$3:$E$1932,3,0))</f>
        <v>SPC 없음</v>
      </c>
      <c r="M702" s="474" t="str">
        <f>IF($J702="","SPC 없음",VLOOKUP($J702&amp;"설정일",개요!$A$3:$E$1932,3,0))</f>
        <v>SPC 없음</v>
      </c>
      <c r="N702" s="475" t="str">
        <f t="shared" si="214"/>
        <v>SPC 없음</v>
      </c>
      <c r="O702" s="471"/>
      <c r="P702" s="476"/>
      <c r="Q702" s="477"/>
      <c r="R702" s="478"/>
      <c r="S702" s="479" t="str">
        <f t="shared" si="215"/>
        <v>SPC 없음</v>
      </c>
      <c r="T702" s="471"/>
      <c r="U702" s="471" t="s">
        <v>94</v>
      </c>
      <c r="V702" s="480">
        <f>IF(U702="한국 원화(KRW)",1,IF(OR(U702=환율!$A$6,U702=환율!$A$7),VLOOKUP(NAV!U702,환율!$A$6:$B$7,2,),IF(RIGHT(U702,5)="(100)",(VLOOKUP(NAV!U702,환율!$A$11:$B$65,2,))/100,VLOOKUP(NAV!U702,환율!$A$11:$B$65,2,))))</f>
        <v>1</v>
      </c>
      <c r="W702" s="481"/>
      <c r="X702" s="482">
        <f t="shared" si="216"/>
        <v>0</v>
      </c>
      <c r="Y702" s="481"/>
      <c r="Z702" s="481"/>
      <c r="AA702" s="483">
        <f t="shared" si="217"/>
        <v>0</v>
      </c>
      <c r="AE702" s="484" t="str">
        <f t="shared" si="218"/>
        <v>SPC 없음</v>
      </c>
      <c r="AF702" s="484" t="str">
        <f t="shared" si="219"/>
        <v>SPC 없음</v>
      </c>
      <c r="AG702" s="485"/>
      <c r="AH702" s="485"/>
      <c r="AI702" s="404"/>
    </row>
    <row r="703" spans="1:35" ht="12.75" thickBot="1">
      <c r="A703" s="492" t="s">
        <v>391</v>
      </c>
      <c r="B703" s="415" t="b">
        <f>D700+D701+D702=D703</f>
        <v>1</v>
      </c>
      <c r="C703" s="493" t="s">
        <v>479</v>
      </c>
      <c r="D703" s="494">
        <f>D699+D702</f>
        <v>0</v>
      </c>
      <c r="E703" s="494">
        <f>E699+E702</f>
        <v>0</v>
      </c>
      <c r="J703" s="476"/>
      <c r="K703" s="472"/>
      <c r="L703" s="473" t="str">
        <f>IF($J703="","SPC 없음",VLOOKUP($J703&amp;"SPC명",개요!$A$3:$E$1932,3,0))</f>
        <v>SPC 없음</v>
      </c>
      <c r="M703" s="474" t="str">
        <f>IF($J703="","SPC 없음",VLOOKUP($J703&amp;"설정일",개요!$A$3:$E$1932,3,0))</f>
        <v>SPC 없음</v>
      </c>
      <c r="N703" s="475" t="str">
        <f t="shared" si="214"/>
        <v>SPC 없음</v>
      </c>
      <c r="O703" s="471"/>
      <c r="P703" s="476"/>
      <c r="Q703" s="477"/>
      <c r="R703" s="478"/>
      <c r="S703" s="479" t="str">
        <f t="shared" si="215"/>
        <v>SPC 없음</v>
      </c>
      <c r="T703" s="471"/>
      <c r="U703" s="471" t="s">
        <v>94</v>
      </c>
      <c r="V703" s="480">
        <f>IF(U703="한국 원화(KRW)",1,IF(OR(U703=환율!$A$6,U703=환율!$A$7),VLOOKUP(NAV!U703,환율!$A$6:$B$7,2,),IF(RIGHT(U703,5)="(100)",(VLOOKUP(NAV!U703,환율!$A$11:$B$65,2,))/100,VLOOKUP(NAV!U703,환율!$A$11:$B$65,2,))))</f>
        <v>1</v>
      </c>
      <c r="W703" s="481"/>
      <c r="X703" s="482">
        <f t="shared" si="216"/>
        <v>0</v>
      </c>
      <c r="Y703" s="481"/>
      <c r="Z703" s="481"/>
      <c r="AA703" s="483">
        <f t="shared" si="217"/>
        <v>0</v>
      </c>
      <c r="AE703" s="484" t="str">
        <f t="shared" si="218"/>
        <v>SPC 없음</v>
      </c>
      <c r="AF703" s="484" t="str">
        <f t="shared" si="219"/>
        <v>SPC 없음</v>
      </c>
      <c r="AG703" s="485"/>
      <c r="AH703" s="485"/>
      <c r="AI703" s="404"/>
    </row>
    <row r="704" spans="1:35" ht="12.75" thickBot="1">
      <c r="A704" s="492"/>
      <c r="B704" s="496"/>
      <c r="C704" s="468" t="s">
        <v>18</v>
      </c>
      <c r="D704" s="469">
        <f>SUM(D705:D708)</f>
        <v>0</v>
      </c>
      <c r="E704" s="469">
        <f>SUM(E705:E708)</f>
        <v>0</v>
      </c>
      <c r="J704" s="476"/>
      <c r="K704" s="472"/>
      <c r="L704" s="473" t="str">
        <f>IF($J704="","SPC 없음",VLOOKUP($J704&amp;"SPC명",개요!$A$3:$E$1932,3,0))</f>
        <v>SPC 없음</v>
      </c>
      <c r="M704" s="474" t="str">
        <f>IF($J704="","SPC 없음",VLOOKUP($J704&amp;"설정일",개요!$A$3:$E$1932,3,0))</f>
        <v>SPC 없음</v>
      </c>
      <c r="N704" s="475" t="str">
        <f t="shared" si="214"/>
        <v>SPC 없음</v>
      </c>
      <c r="O704" s="471"/>
      <c r="P704" s="476"/>
      <c r="Q704" s="477"/>
      <c r="R704" s="478"/>
      <c r="S704" s="479" t="str">
        <f t="shared" si="215"/>
        <v>SPC 없음</v>
      </c>
      <c r="T704" s="471"/>
      <c r="U704" s="471" t="s">
        <v>94</v>
      </c>
      <c r="V704" s="480">
        <f>IF(U704="한국 원화(KRW)",1,IF(OR(U704=환율!$A$6,U704=환율!$A$7),VLOOKUP(NAV!U704,환율!$A$6:$B$7,2,),IF(RIGHT(U704,5)="(100)",(VLOOKUP(NAV!U704,환율!$A$11:$B$65,2,))/100,VLOOKUP(NAV!U704,환율!$A$11:$B$65,2,))))</f>
        <v>1</v>
      </c>
      <c r="W704" s="481"/>
      <c r="X704" s="482">
        <f t="shared" si="216"/>
        <v>0</v>
      </c>
      <c r="Y704" s="481"/>
      <c r="Z704" s="481"/>
      <c r="AA704" s="483">
        <f t="shared" si="217"/>
        <v>0</v>
      </c>
      <c r="AE704" s="484" t="str">
        <f t="shared" si="218"/>
        <v>SPC 없음</v>
      </c>
      <c r="AF704" s="484" t="str">
        <f t="shared" si="219"/>
        <v>SPC 없음</v>
      </c>
      <c r="AG704" s="485"/>
      <c r="AH704" s="485"/>
      <c r="AI704" s="404"/>
    </row>
    <row r="705" spans="1:35">
      <c r="A705" s="492"/>
      <c r="B705" s="496"/>
      <c r="C705" s="486" t="s">
        <v>392</v>
      </c>
      <c r="D705" s="487">
        <f>SUMIF(FS!$AA$49:$AA$79,개요!$B$217&amp;RIGHT(NAV!C705,5),FS!$AD$49:$AD$79)</f>
        <v>0</v>
      </c>
      <c r="E705" s="487">
        <f>D705</f>
        <v>0</v>
      </c>
      <c r="J705" s="428" t="s">
        <v>539</v>
      </c>
      <c r="K705" s="415"/>
      <c r="L705" s="305"/>
      <c r="M705" s="415"/>
      <c r="N705" s="415"/>
      <c r="O705" s="415"/>
      <c r="P705" s="415"/>
      <c r="Q705" s="422"/>
      <c r="R705" s="415"/>
      <c r="S705" s="415"/>
      <c r="T705" s="415"/>
      <c r="U705" s="415"/>
      <c r="W705" s="517" t="b">
        <f>SUM(W707:W717)+SUM(W699:W704)=D702</f>
        <v>1</v>
      </c>
      <c r="X705" s="415"/>
      <c r="Y705" s="422"/>
      <c r="Z705" s="422"/>
      <c r="AA705" s="459" t="str">
        <f>IF(OR(MAX(AA699:AA704,AA707:AA717)&gt;0.2,MIN(AA699:AA704,AA707:AA717)&lt;-0.2),"특이사항 확인","특이사항 없음")</f>
        <v>특이사항 없음</v>
      </c>
      <c r="AB705" s="415"/>
      <c r="AF705" s="415"/>
      <c r="AG705" s="415"/>
      <c r="AI705" s="404"/>
    </row>
    <row r="706" spans="1:35" ht="12.75" thickBot="1">
      <c r="A706" s="492"/>
      <c r="B706" s="496"/>
      <c r="C706" s="486" t="s">
        <v>393</v>
      </c>
      <c r="D706" s="487">
        <f>SUMIF(FS!$AA$49:$AA$79,개요!$B$217&amp;RIGHT(NAV!C706,3),FS!$AD$49:$AD$79)</f>
        <v>0</v>
      </c>
      <c r="E706" s="487">
        <f t="shared" ref="E706:E707" si="220">D706</f>
        <v>0</v>
      </c>
      <c r="I706" s="518">
        <f>COUNTA(J707:J717)</f>
        <v>0</v>
      </c>
      <c r="J706" s="548" t="s">
        <v>394</v>
      </c>
      <c r="K706" s="548" t="s">
        <v>689</v>
      </c>
      <c r="L706" s="548" t="s">
        <v>435</v>
      </c>
      <c r="M706" s="548" t="s">
        <v>697</v>
      </c>
      <c r="N706" s="548" t="s">
        <v>397</v>
      </c>
      <c r="O706" s="548" t="s">
        <v>698</v>
      </c>
      <c r="P706" s="548" t="s">
        <v>586</v>
      </c>
      <c r="Q706" s="519" t="s">
        <v>14</v>
      </c>
      <c r="R706" s="466" t="s">
        <v>299</v>
      </c>
      <c r="S706" s="466" t="s">
        <v>3525</v>
      </c>
      <c r="T706" s="549" t="s">
        <v>699</v>
      </c>
      <c r="U706" s="548" t="s">
        <v>692</v>
      </c>
      <c r="V706" s="548" t="s">
        <v>384</v>
      </c>
      <c r="W706" s="550" t="s">
        <v>700</v>
      </c>
      <c r="X706" s="549" t="s">
        <v>439</v>
      </c>
      <c r="Y706" s="550" t="s">
        <v>402</v>
      </c>
      <c r="Z706" s="550" t="s">
        <v>3523</v>
      </c>
      <c r="AA706" s="548" t="s">
        <v>13</v>
      </c>
      <c r="AB706" s="548" t="s">
        <v>15</v>
      </c>
      <c r="AC706" s="548" t="s">
        <v>473</v>
      </c>
      <c r="AE706" s="467" t="s">
        <v>3627</v>
      </c>
      <c r="AF706" s="467" t="s">
        <v>3628</v>
      </c>
      <c r="AG706" s="467" t="s">
        <v>3629</v>
      </c>
      <c r="AH706" s="467" t="s">
        <v>3630</v>
      </c>
      <c r="AI706" s="404"/>
    </row>
    <row r="707" spans="1:35" ht="12.75" thickBot="1">
      <c r="A707" s="492"/>
      <c r="B707" s="496"/>
      <c r="C707" s="486" t="s">
        <v>404</v>
      </c>
      <c r="D707" s="487">
        <f>SUMIF(FS!$AA$49:$AA$79,개요!$B$217&amp;RIGHT(NAV!C707,6),FS!$AD$49:$AD$79)</f>
        <v>0</v>
      </c>
      <c r="E707" s="487">
        <f t="shared" si="220"/>
        <v>0</v>
      </c>
      <c r="J707" s="551"/>
      <c r="K707" s="552"/>
      <c r="L707" s="551"/>
      <c r="M707" s="553"/>
      <c r="N707" s="553"/>
      <c r="O707" s="551"/>
      <c r="P707" s="553"/>
      <c r="Q707" s="524"/>
      <c r="R707" s="478">
        <f>IFERROR(INDEX(기초자산!M$6:M$408,MATCH(K707&amp;N707&amp;O707,기초자산!$A$6:$A$408,0),0),0)</f>
        <v>0</v>
      </c>
      <c r="S707" s="479">
        <f t="shared" ref="S707:S717" si="221">IFERROR(IF(T707="취득원가 준용",Y707,IF(T707="장부가액 준용",W707,IF(P707="주당",R707*Q707*V707,IF(RIGHT(U707,5)="(100)",Y707/1000*R707*V707,Y707/10000*R707*V707)))),0)</f>
        <v>0</v>
      </c>
      <c r="T707" s="553"/>
      <c r="U707" s="471" t="s">
        <v>94</v>
      </c>
      <c r="V707" s="480">
        <f>IF(U707="한국 원화(KRW)",1,IF(OR(U707=환율!$A$6,U707=환율!$A$7),VLOOKUP(NAV!U707,환율!$A$6:$B$7,2,),IF(RIGHT(U707,5)="(100)",(VLOOKUP(NAV!U707,환율!$A$11:$B$65,2,))/100,VLOOKUP(NAV!U707,환율!$A$11:$B$65,2,))))</f>
        <v>1</v>
      </c>
      <c r="W707" s="481"/>
      <c r="X707" s="482">
        <f t="shared" ref="X707:X717" si="222">IFERROR(IF(P707="만원당",10000,Y707/Q707),0)</f>
        <v>0</v>
      </c>
      <c r="Y707" s="481"/>
      <c r="Z707" s="481"/>
      <c r="AA707" s="483">
        <f t="shared" ref="AA707:AA717" si="223">IFERROR(IF(Z707="",S707/W707-1,S707/Z707-1),0)</f>
        <v>0</v>
      </c>
      <c r="AB707" s="554"/>
      <c r="AC707" s="526" t="str">
        <f t="shared" ref="AC707:AC717" si="224">IF(($C$7-AB707)/365&gt;2,"2년이상","2년미만")</f>
        <v>2년이상</v>
      </c>
      <c r="AD707" s="520" t="str">
        <f t="shared" ref="AD707:AD717" si="225">IF(OR(AA707&gt;20%,AA707&lt;-20%),"(1) Note 기재","")</f>
        <v/>
      </c>
      <c r="AE707" s="527">
        <f>IF(OR(T707="MTP",T707="과거거래 이용법",T707="취득원가 준용",T707="장부가액 준용",T707="상장종가 적용"),S707,IF(P707="주당",AG707*Q707*V707,Y707/10000*AG707*V707))</f>
        <v>0</v>
      </c>
      <c r="AF707" s="527">
        <f>IF(OR(T707="MTP",T707="과거거래 이용법",T707="취득원가 준용",T707="장부가액 준용",T707="상장종가 적용"),S707,IF(P707="주당",AH707*Q707*V707,Y707/10000*AH707*V707))</f>
        <v>0</v>
      </c>
      <c r="AG707" s="485"/>
      <c r="AH707" s="485"/>
      <c r="AI707" s="404"/>
    </row>
    <row r="708" spans="1:35" ht="12.75" thickBot="1">
      <c r="A708" s="492"/>
      <c r="B708" s="496"/>
      <c r="C708" s="486" t="s">
        <v>701</v>
      </c>
      <c r="D708" s="487">
        <f>SUMIF(FS!$AA$49:$AA$79,개요!$B$217&amp;RIGHT(NAV!C708,7),FS!$AD$49:$AD$79)</f>
        <v>0</v>
      </c>
      <c r="E708" s="487">
        <f>D708</f>
        <v>0</v>
      </c>
      <c r="J708" s="551"/>
      <c r="K708" s="552"/>
      <c r="L708" s="551"/>
      <c r="M708" s="553"/>
      <c r="N708" s="553"/>
      <c r="O708" s="551"/>
      <c r="P708" s="553"/>
      <c r="Q708" s="524"/>
      <c r="R708" s="478">
        <f>IFERROR(INDEX(기초자산!M$6:M$408,MATCH(K708&amp;N708&amp;O708,기초자산!$A$6:$A$408,0),0),0)</f>
        <v>0</v>
      </c>
      <c r="S708" s="479">
        <f t="shared" si="221"/>
        <v>0</v>
      </c>
      <c r="T708" s="553"/>
      <c r="U708" s="471" t="s">
        <v>94</v>
      </c>
      <c r="V708" s="480">
        <f>IF(U708="한국 원화(KRW)",1,IF(OR(U708=환율!$A$6,U708=환율!$A$7),VLOOKUP(NAV!U708,환율!$A$6:$B$7,2,),IF(RIGHT(U708,5)="(100)",(VLOOKUP(NAV!U708,환율!$A$11:$B$65,2,))/100,VLOOKUP(NAV!U708,환율!$A$11:$B$65,2,))))</f>
        <v>1</v>
      </c>
      <c r="W708" s="481"/>
      <c r="X708" s="482">
        <f t="shared" si="222"/>
        <v>0</v>
      </c>
      <c r="Y708" s="481"/>
      <c r="Z708" s="481"/>
      <c r="AA708" s="483">
        <f t="shared" si="223"/>
        <v>0</v>
      </c>
      <c r="AB708" s="554"/>
      <c r="AC708" s="526" t="str">
        <f t="shared" si="224"/>
        <v>2년이상</v>
      </c>
      <c r="AD708" s="520" t="str">
        <f t="shared" si="225"/>
        <v/>
      </c>
      <c r="AE708" s="527">
        <f t="shared" ref="AE708:AE717" si="226">IF(OR(T708="MTP",T708="과거거래 이용법",T708="취득원가 준용",T708="장부가액 준용",T708="상장종가 적용"),S708,IF(P708="주당",AG708*Q708*V708,Y708/10000*AG708*V708))</f>
        <v>0</v>
      </c>
      <c r="AF708" s="527">
        <f t="shared" ref="AF708:AF717" si="227">IF(OR(T708="MTP",T708="과거거래 이용법",T708="취득원가 준용",T708="장부가액 준용",T708="상장종가 적용"),S708,IF(P708="주당",AH708*Q708*V708,Y708/10000*AH708*V708))</f>
        <v>0</v>
      </c>
      <c r="AG708" s="485"/>
      <c r="AH708" s="485"/>
      <c r="AI708" s="404"/>
    </row>
    <row r="709" spans="1:35" ht="12.75" thickBot="1">
      <c r="A709" s="492"/>
      <c r="B709" s="496"/>
      <c r="C709" s="468" t="s">
        <v>702</v>
      </c>
      <c r="D709" s="469">
        <f>SUM(D710:D711)</f>
        <v>0</v>
      </c>
      <c r="E709" s="469">
        <f>SUM(E710:E711)</f>
        <v>0</v>
      </c>
      <c r="J709" s="551"/>
      <c r="K709" s="552"/>
      <c r="L709" s="551"/>
      <c r="M709" s="553"/>
      <c r="N709" s="553"/>
      <c r="O709" s="551"/>
      <c r="P709" s="553"/>
      <c r="Q709" s="524"/>
      <c r="R709" s="478">
        <f>IFERROR(INDEX(기초자산!M$6:M$408,MATCH(K709&amp;N709&amp;O709,기초자산!$A$6:$A$408,0),0),0)</f>
        <v>0</v>
      </c>
      <c r="S709" s="479">
        <f t="shared" si="221"/>
        <v>0</v>
      </c>
      <c r="T709" s="553"/>
      <c r="U709" s="471" t="s">
        <v>94</v>
      </c>
      <c r="V709" s="480">
        <f>IF(U709="한국 원화(KRW)",1,IF(OR(U709=환율!$A$6,U709=환율!$A$7),VLOOKUP(NAV!U709,환율!$A$6:$B$7,2,),IF(RIGHT(U709,5)="(100)",(VLOOKUP(NAV!U709,환율!$A$11:$B$65,2,))/100,VLOOKUP(NAV!U709,환율!$A$11:$B$65,2,))))</f>
        <v>1</v>
      </c>
      <c r="W709" s="481"/>
      <c r="X709" s="482">
        <f t="shared" si="222"/>
        <v>0</v>
      </c>
      <c r="Y709" s="481"/>
      <c r="Z709" s="481"/>
      <c r="AA709" s="483">
        <f t="shared" si="223"/>
        <v>0</v>
      </c>
      <c r="AB709" s="554"/>
      <c r="AC709" s="526" t="str">
        <f t="shared" si="224"/>
        <v>2년이상</v>
      </c>
      <c r="AD709" s="520" t="str">
        <f t="shared" si="225"/>
        <v/>
      </c>
      <c r="AE709" s="527">
        <f t="shared" si="226"/>
        <v>0</v>
      </c>
      <c r="AF709" s="527">
        <f t="shared" si="227"/>
        <v>0</v>
      </c>
      <c r="AG709" s="485"/>
      <c r="AH709" s="485"/>
      <c r="AI709" s="404"/>
    </row>
    <row r="710" spans="1:35" ht="12.75" thickBot="1">
      <c r="A710" s="492"/>
      <c r="B710" s="496"/>
      <c r="C710" s="486" t="s">
        <v>703</v>
      </c>
      <c r="D710" s="487">
        <f>SUMIF(FS!$AA$49:$AA$79,개요!$B$217&amp;RIGHT(NAV!C710,3),FS!$AD$49:$AD$79)</f>
        <v>0</v>
      </c>
      <c r="E710" s="487">
        <f>D710</f>
        <v>0</v>
      </c>
      <c r="J710" s="551"/>
      <c r="K710" s="552"/>
      <c r="L710" s="551"/>
      <c r="M710" s="553"/>
      <c r="N710" s="553"/>
      <c r="O710" s="551"/>
      <c r="P710" s="553"/>
      <c r="Q710" s="524"/>
      <c r="R710" s="478">
        <f>IFERROR(INDEX(기초자산!M$6:M$408,MATCH(K710&amp;N710&amp;O710,기초자산!$A$6:$A$408,0),0),0)</f>
        <v>0</v>
      </c>
      <c r="S710" s="479">
        <f t="shared" si="221"/>
        <v>0</v>
      </c>
      <c r="T710" s="553"/>
      <c r="U710" s="471" t="s">
        <v>94</v>
      </c>
      <c r="V710" s="480">
        <f>IF(U710="한국 원화(KRW)",1,IF(OR(U710=환율!$A$6,U710=환율!$A$7),VLOOKUP(NAV!U710,환율!$A$6:$B$7,2,),IF(RIGHT(U710,5)="(100)",(VLOOKUP(NAV!U710,환율!$A$11:$B$65,2,))/100,VLOOKUP(NAV!U710,환율!$A$11:$B$65,2,))))</f>
        <v>1</v>
      </c>
      <c r="W710" s="481"/>
      <c r="X710" s="482">
        <f t="shared" si="222"/>
        <v>0</v>
      </c>
      <c r="Y710" s="481"/>
      <c r="Z710" s="481"/>
      <c r="AA710" s="483">
        <f t="shared" si="223"/>
        <v>0</v>
      </c>
      <c r="AB710" s="554"/>
      <c r="AC710" s="526" t="str">
        <f t="shared" si="224"/>
        <v>2년이상</v>
      </c>
      <c r="AD710" s="520" t="str">
        <f t="shared" si="225"/>
        <v/>
      </c>
      <c r="AE710" s="527">
        <f t="shared" si="226"/>
        <v>0</v>
      </c>
      <c r="AF710" s="527">
        <f t="shared" si="227"/>
        <v>0</v>
      </c>
      <c r="AG710" s="485"/>
      <c r="AH710" s="485"/>
      <c r="AI710" s="404"/>
    </row>
    <row r="711" spans="1:35" ht="12.75" thickBot="1">
      <c r="A711" s="492"/>
      <c r="B711" s="496"/>
      <c r="C711" s="486" t="s">
        <v>704</v>
      </c>
      <c r="D711" s="487">
        <f>SUMIF(FS!$AA$49:$AA$79,개요!$B$217&amp;RIGHT(NAV!C711,3),FS!$AD$49:$AD$79)</f>
        <v>0</v>
      </c>
      <c r="E711" s="487">
        <f>D711</f>
        <v>0</v>
      </c>
      <c r="J711" s="551"/>
      <c r="K711" s="552"/>
      <c r="L711" s="551"/>
      <c r="M711" s="553"/>
      <c r="N711" s="553"/>
      <c r="O711" s="551"/>
      <c r="P711" s="553"/>
      <c r="Q711" s="524"/>
      <c r="R711" s="478">
        <f>IFERROR(INDEX(기초자산!M$6:M$408,MATCH(K711&amp;N711&amp;O711,기초자산!$A$6:$A$408,0),0),0)</f>
        <v>0</v>
      </c>
      <c r="S711" s="479">
        <f t="shared" si="221"/>
        <v>0</v>
      </c>
      <c r="T711" s="553"/>
      <c r="U711" s="471" t="s">
        <v>94</v>
      </c>
      <c r="V711" s="480">
        <f>IF(U711="한국 원화(KRW)",1,IF(OR(U711=환율!$A$6,U711=환율!$A$7),VLOOKUP(NAV!U711,환율!$A$6:$B$7,2,),IF(RIGHT(U711,5)="(100)",(VLOOKUP(NAV!U711,환율!$A$11:$B$65,2,))/100,VLOOKUP(NAV!U711,환율!$A$11:$B$65,2,))))</f>
        <v>1</v>
      </c>
      <c r="W711" s="481"/>
      <c r="X711" s="482">
        <f t="shared" si="222"/>
        <v>0</v>
      </c>
      <c r="Y711" s="481"/>
      <c r="Z711" s="481"/>
      <c r="AA711" s="483">
        <f t="shared" si="223"/>
        <v>0</v>
      </c>
      <c r="AB711" s="554"/>
      <c r="AC711" s="526" t="str">
        <f t="shared" si="224"/>
        <v>2년이상</v>
      </c>
      <c r="AD711" s="520" t="str">
        <f t="shared" si="225"/>
        <v/>
      </c>
      <c r="AE711" s="527">
        <f t="shared" si="226"/>
        <v>0</v>
      </c>
      <c r="AF711" s="527">
        <f t="shared" si="227"/>
        <v>0</v>
      </c>
      <c r="AG711" s="485"/>
      <c r="AH711" s="485"/>
      <c r="AI711" s="404"/>
    </row>
    <row r="712" spans="1:35" ht="12.75" thickBot="1">
      <c r="A712" s="489" t="s">
        <v>705</v>
      </c>
      <c r="B712" s="498" t="b">
        <f>D705+D706+D707+D708+D710+D711=D712</f>
        <v>1</v>
      </c>
      <c r="C712" s="493" t="s">
        <v>706</v>
      </c>
      <c r="D712" s="494">
        <f>D704+D709</f>
        <v>0</v>
      </c>
      <c r="E712" s="494">
        <f>E704+E709</f>
        <v>0</v>
      </c>
      <c r="J712" s="551"/>
      <c r="K712" s="552"/>
      <c r="L712" s="551"/>
      <c r="M712" s="553"/>
      <c r="N712" s="553"/>
      <c r="O712" s="551"/>
      <c r="P712" s="553"/>
      <c r="Q712" s="524"/>
      <c r="R712" s="478">
        <f>IFERROR(INDEX(기초자산!M$6:M$408,MATCH(K712&amp;N712&amp;O712,기초자산!$A$6:$A$408,0),0),0)</f>
        <v>0</v>
      </c>
      <c r="S712" s="479">
        <f t="shared" si="221"/>
        <v>0</v>
      </c>
      <c r="T712" s="553"/>
      <c r="U712" s="471" t="s">
        <v>94</v>
      </c>
      <c r="V712" s="480">
        <f>IF(U712="한국 원화(KRW)",1,IF(OR(U712=환율!$A$6,U712=환율!$A$7),VLOOKUP(NAV!U712,환율!$A$6:$B$7,2,),IF(RIGHT(U712,5)="(100)",(VLOOKUP(NAV!U712,환율!$A$11:$B$65,2,))/100,VLOOKUP(NAV!U712,환율!$A$11:$B$65,2,))))</f>
        <v>1</v>
      </c>
      <c r="W712" s="481"/>
      <c r="X712" s="482">
        <f t="shared" si="222"/>
        <v>0</v>
      </c>
      <c r="Y712" s="481"/>
      <c r="Z712" s="481"/>
      <c r="AA712" s="483">
        <f t="shared" si="223"/>
        <v>0</v>
      </c>
      <c r="AB712" s="554"/>
      <c r="AC712" s="526" t="str">
        <f t="shared" si="224"/>
        <v>2년이상</v>
      </c>
      <c r="AD712" s="520" t="str">
        <f t="shared" si="225"/>
        <v/>
      </c>
      <c r="AE712" s="527">
        <f t="shared" si="226"/>
        <v>0</v>
      </c>
      <c r="AF712" s="527">
        <f t="shared" si="227"/>
        <v>0</v>
      </c>
      <c r="AG712" s="485"/>
      <c r="AH712" s="485"/>
      <c r="AI712" s="404"/>
    </row>
    <row r="713" spans="1:35" ht="12.75" thickBot="1">
      <c r="A713" s="492"/>
      <c r="B713" s="555" t="str">
        <f>B693&amp;C713</f>
        <v>SPC없음자본금</v>
      </c>
      <c r="C713" s="486" t="s">
        <v>35</v>
      </c>
      <c r="D713" s="487">
        <f>SUMIF(FS!$AA$49:$AA$79,개요!$B$217&amp;RIGHT(NAV!C713,3),FS!$AD$49:$AD$79)</f>
        <v>0</v>
      </c>
      <c r="E713" s="487">
        <f>D713</f>
        <v>0</v>
      </c>
      <c r="J713" s="551"/>
      <c r="K713" s="552"/>
      <c r="L713" s="551"/>
      <c r="M713" s="553"/>
      <c r="N713" s="553"/>
      <c r="O713" s="551"/>
      <c r="P713" s="553"/>
      <c r="Q713" s="524"/>
      <c r="R713" s="478">
        <f>IFERROR(INDEX(기초자산!M$6:M$408,MATCH(K713&amp;N713&amp;O713,기초자산!$A$6:$A$408,0),0),0)</f>
        <v>0</v>
      </c>
      <c r="S713" s="479">
        <f t="shared" si="221"/>
        <v>0</v>
      </c>
      <c r="T713" s="553"/>
      <c r="U713" s="471" t="s">
        <v>94</v>
      </c>
      <c r="V713" s="480">
        <f>IF(U713="한국 원화(KRW)",1,IF(OR(U713=환율!$A$6,U713=환율!$A$7),VLOOKUP(NAV!U713,환율!$A$6:$B$7,2,),IF(RIGHT(U713,5)="(100)",(VLOOKUP(NAV!U713,환율!$A$11:$B$65,2,))/100,VLOOKUP(NAV!U713,환율!$A$11:$B$65,2,))))</f>
        <v>1</v>
      </c>
      <c r="W713" s="481"/>
      <c r="X713" s="482">
        <f t="shared" si="222"/>
        <v>0</v>
      </c>
      <c r="Y713" s="481"/>
      <c r="Z713" s="481"/>
      <c r="AA713" s="483">
        <f t="shared" si="223"/>
        <v>0</v>
      </c>
      <c r="AB713" s="554"/>
      <c r="AC713" s="526" t="str">
        <f t="shared" si="224"/>
        <v>2년이상</v>
      </c>
      <c r="AD713" s="520" t="str">
        <f t="shared" si="225"/>
        <v/>
      </c>
      <c r="AE713" s="527">
        <f t="shared" si="226"/>
        <v>0</v>
      </c>
      <c r="AF713" s="527">
        <f t="shared" si="227"/>
        <v>0</v>
      </c>
      <c r="AG713" s="485"/>
      <c r="AH713" s="485"/>
      <c r="AI713" s="404"/>
    </row>
    <row r="714" spans="1:35" ht="12.75" thickBot="1">
      <c r="C714" s="486" t="s">
        <v>707</v>
      </c>
      <c r="D714" s="487">
        <f>SUMIF(FS!$AA$49:$AA$79,개요!$B$217&amp;RIGHT(NAV!C714,10),FS!$AD$49:$AD$79)</f>
        <v>0</v>
      </c>
      <c r="E714" s="487">
        <f>D714</f>
        <v>0</v>
      </c>
      <c r="J714" s="551"/>
      <c r="K714" s="552"/>
      <c r="L714" s="551"/>
      <c r="M714" s="553"/>
      <c r="N714" s="553"/>
      <c r="O714" s="551"/>
      <c r="P714" s="553"/>
      <c r="Q714" s="524"/>
      <c r="R714" s="478">
        <f>IFERROR(INDEX(기초자산!M$6:M$408,MATCH(K714&amp;N714&amp;O714,기초자산!$A$6:$A$408,0),0),0)</f>
        <v>0</v>
      </c>
      <c r="S714" s="479">
        <f t="shared" si="221"/>
        <v>0</v>
      </c>
      <c r="T714" s="553"/>
      <c r="U714" s="471" t="s">
        <v>94</v>
      </c>
      <c r="V714" s="480">
        <f>IF(U714="한국 원화(KRW)",1,IF(OR(U714=환율!$A$6,U714=환율!$A$7),VLOOKUP(NAV!U714,환율!$A$6:$B$7,2,),IF(RIGHT(U714,5)="(100)",(VLOOKUP(NAV!U714,환율!$A$11:$B$65,2,))/100,VLOOKUP(NAV!U714,환율!$A$11:$B$65,2,))))</f>
        <v>1</v>
      </c>
      <c r="W714" s="481"/>
      <c r="X714" s="482">
        <f t="shared" si="222"/>
        <v>0</v>
      </c>
      <c r="Y714" s="481"/>
      <c r="Z714" s="481"/>
      <c r="AA714" s="483">
        <f t="shared" si="223"/>
        <v>0</v>
      </c>
      <c r="AB714" s="554"/>
      <c r="AC714" s="526" t="str">
        <f t="shared" si="224"/>
        <v>2년이상</v>
      </c>
      <c r="AD714" s="520" t="str">
        <f t="shared" si="225"/>
        <v/>
      </c>
      <c r="AE714" s="527">
        <f t="shared" si="226"/>
        <v>0</v>
      </c>
      <c r="AF714" s="527">
        <f t="shared" si="227"/>
        <v>0</v>
      </c>
      <c r="AG714" s="485"/>
      <c r="AH714" s="485"/>
      <c r="AI714" s="404"/>
    </row>
    <row r="715" spans="1:35" ht="12.75" thickBot="1">
      <c r="A715" s="489"/>
      <c r="B715" s="415"/>
      <c r="C715" s="486" t="s">
        <v>708</v>
      </c>
      <c r="D715" s="487">
        <f>SUMIF(FS!$AA$49:$AA$79,개요!$B$217&amp;RIGHT(NAV!C715,8),FS!$AD$49:$AD$79)</f>
        <v>0</v>
      </c>
      <c r="E715" s="487">
        <f>D715</f>
        <v>0</v>
      </c>
      <c r="J715" s="551"/>
      <c r="K715" s="552"/>
      <c r="L715" s="551"/>
      <c r="M715" s="553"/>
      <c r="N715" s="553"/>
      <c r="O715" s="551"/>
      <c r="P715" s="553"/>
      <c r="Q715" s="524"/>
      <c r="R715" s="478">
        <f>IFERROR(INDEX(기초자산!M$6:M$408,MATCH(K715&amp;N715&amp;O715,기초자산!$A$6:$A$408,0),0),0)</f>
        <v>0</v>
      </c>
      <c r="S715" s="479">
        <f t="shared" si="221"/>
        <v>0</v>
      </c>
      <c r="T715" s="553"/>
      <c r="U715" s="471" t="s">
        <v>94</v>
      </c>
      <c r="V715" s="480">
        <f>IF(U715="한국 원화(KRW)",1,IF(OR(U715=환율!$A$6,U715=환율!$A$7),VLOOKUP(NAV!U715,환율!$A$6:$B$7,2,),IF(RIGHT(U715,5)="(100)",(VLOOKUP(NAV!U715,환율!$A$11:$B$65,2,))/100,VLOOKUP(NAV!U715,환율!$A$11:$B$65,2,))))</f>
        <v>1</v>
      </c>
      <c r="W715" s="481"/>
      <c r="X715" s="482">
        <f t="shared" si="222"/>
        <v>0</v>
      </c>
      <c r="Y715" s="481"/>
      <c r="Z715" s="481"/>
      <c r="AA715" s="483">
        <f t="shared" si="223"/>
        <v>0</v>
      </c>
      <c r="AB715" s="554"/>
      <c r="AC715" s="526" t="str">
        <f t="shared" si="224"/>
        <v>2년이상</v>
      </c>
      <c r="AD715" s="520" t="str">
        <f t="shared" si="225"/>
        <v/>
      </c>
      <c r="AE715" s="527">
        <f t="shared" si="226"/>
        <v>0</v>
      </c>
      <c r="AF715" s="527">
        <f t="shared" si="227"/>
        <v>0</v>
      </c>
      <c r="AG715" s="485"/>
      <c r="AH715" s="485"/>
      <c r="AI715" s="404"/>
    </row>
    <row r="716" spans="1:35" ht="12.75" thickBot="1">
      <c r="A716" s="489" t="s">
        <v>709</v>
      </c>
      <c r="B716" s="415" t="b">
        <f>D716=SUM(D713:D715)</f>
        <v>1</v>
      </c>
      <c r="C716" s="493" t="s">
        <v>710</v>
      </c>
      <c r="D716" s="494">
        <f>D703-D712</f>
        <v>0</v>
      </c>
      <c r="E716" s="494">
        <f>E703-E712</f>
        <v>0</v>
      </c>
      <c r="J716" s="551"/>
      <c r="K716" s="552"/>
      <c r="L716" s="551"/>
      <c r="M716" s="553"/>
      <c r="N716" s="553"/>
      <c r="O716" s="551"/>
      <c r="P716" s="553"/>
      <c r="Q716" s="524"/>
      <c r="R716" s="478">
        <f>IFERROR(INDEX(기초자산!M$6:M$408,MATCH(K716&amp;N716&amp;O716,기초자산!$A$6:$A$408,0),0),0)</f>
        <v>0</v>
      </c>
      <c r="S716" s="479">
        <f t="shared" si="221"/>
        <v>0</v>
      </c>
      <c r="T716" s="553"/>
      <c r="U716" s="471" t="s">
        <v>94</v>
      </c>
      <c r="V716" s="480">
        <f>IF(U716="한국 원화(KRW)",1,IF(OR(U716=환율!$A$6,U716=환율!$A$7),VLOOKUP(NAV!U716,환율!$A$6:$B$7,2,),IF(RIGHT(U716,5)="(100)",(VLOOKUP(NAV!U716,환율!$A$11:$B$65,2,))/100,VLOOKUP(NAV!U716,환율!$A$11:$B$65,2,))))</f>
        <v>1</v>
      </c>
      <c r="W716" s="481"/>
      <c r="X716" s="482">
        <f t="shared" si="222"/>
        <v>0</v>
      </c>
      <c r="Y716" s="481"/>
      <c r="Z716" s="481"/>
      <c r="AA716" s="483">
        <f t="shared" si="223"/>
        <v>0</v>
      </c>
      <c r="AB716" s="554"/>
      <c r="AC716" s="526" t="str">
        <f t="shared" si="224"/>
        <v>2년이상</v>
      </c>
      <c r="AD716" s="520" t="str">
        <f t="shared" si="225"/>
        <v/>
      </c>
      <c r="AE716" s="527">
        <f t="shared" si="226"/>
        <v>0</v>
      </c>
      <c r="AF716" s="527">
        <f t="shared" si="227"/>
        <v>0</v>
      </c>
      <c r="AG716" s="485"/>
      <c r="AH716" s="485"/>
      <c r="AI716" s="404"/>
    </row>
    <row r="717" spans="1:35" ht="12.75" thickBot="1">
      <c r="A717" s="489"/>
      <c r="B717" s="415"/>
      <c r="C717" s="486" t="s">
        <v>478</v>
      </c>
      <c r="D717" s="487">
        <v>0</v>
      </c>
      <c r="E717" s="499">
        <v>0</v>
      </c>
      <c r="J717" s="551"/>
      <c r="K717" s="552"/>
      <c r="L717" s="551"/>
      <c r="M717" s="553"/>
      <c r="N717" s="553"/>
      <c r="O717" s="551"/>
      <c r="P717" s="553"/>
      <c r="Q717" s="524"/>
      <c r="R717" s="478">
        <f>IFERROR(INDEX(기초자산!M$6:M$408,MATCH(K717&amp;N717&amp;O717,기초자산!$A$6:$A$408,0),0),0)</f>
        <v>0</v>
      </c>
      <c r="S717" s="479">
        <f t="shared" si="221"/>
        <v>0</v>
      </c>
      <c r="T717" s="553"/>
      <c r="U717" s="471" t="s">
        <v>94</v>
      </c>
      <c r="V717" s="480">
        <f>IF(U717="한국 원화(KRW)",1,IF(OR(U717=환율!$A$6,U717=환율!$A$7),VLOOKUP(NAV!U717,환율!$A$6:$B$7,2,),IF(RIGHT(U717,5)="(100)",(VLOOKUP(NAV!U717,환율!$A$11:$B$65,2,))/100,VLOOKUP(NAV!U717,환율!$A$11:$B$65,2,))))</f>
        <v>1</v>
      </c>
      <c r="W717" s="481"/>
      <c r="X717" s="482">
        <f t="shared" si="222"/>
        <v>0</v>
      </c>
      <c r="Y717" s="481"/>
      <c r="Z717" s="481"/>
      <c r="AA717" s="483">
        <f t="shared" si="223"/>
        <v>0</v>
      </c>
      <c r="AB717" s="554"/>
      <c r="AC717" s="526" t="str">
        <f t="shared" si="224"/>
        <v>2년이상</v>
      </c>
      <c r="AD717" s="520" t="str">
        <f t="shared" si="225"/>
        <v/>
      </c>
      <c r="AE717" s="527">
        <f t="shared" si="226"/>
        <v>0</v>
      </c>
      <c r="AF717" s="527">
        <f t="shared" si="227"/>
        <v>0</v>
      </c>
      <c r="AG717" s="485"/>
      <c r="AH717" s="485"/>
      <c r="AI717" s="404"/>
    </row>
    <row r="718" spans="1:35">
      <c r="A718" s="489"/>
      <c r="B718" s="415"/>
      <c r="C718" s="486" t="s">
        <v>711</v>
      </c>
      <c r="D718" s="487">
        <v>0</v>
      </c>
      <c r="E718" s="499">
        <v>0</v>
      </c>
      <c r="J718" s="495"/>
      <c r="K718" s="415"/>
      <c r="L718" s="495"/>
      <c r="M718" s="415"/>
      <c r="N718" s="415"/>
      <c r="O718" s="415"/>
      <c r="P718" s="415"/>
      <c r="Q718" s="422"/>
      <c r="R718" s="415"/>
      <c r="S718" s="415"/>
      <c r="T718" s="415"/>
      <c r="U718" s="415"/>
      <c r="V718" s="415"/>
      <c r="W718" s="422"/>
      <c r="X718" s="415"/>
      <c r="Y718" s="458"/>
      <c r="Z718" s="422"/>
      <c r="AA718" s="556"/>
      <c r="AB718" s="556"/>
      <c r="AC718" s="415"/>
      <c r="AE718" s="415"/>
      <c r="AI718" s="404"/>
    </row>
    <row r="719" spans="1:35">
      <c r="A719" s="489"/>
      <c r="B719" s="415"/>
      <c r="C719" s="493" t="s">
        <v>712</v>
      </c>
      <c r="D719" s="494">
        <f>D716+D717-D718</f>
        <v>0</v>
      </c>
      <c r="E719" s="494">
        <f>IF(E716+E717-E718&gt;0,E716+E717-E718,0)</f>
        <v>0</v>
      </c>
      <c r="J719" s="305"/>
      <c r="K719" s="415"/>
      <c r="L719" s="305"/>
      <c r="M719" s="415"/>
      <c r="N719" s="415"/>
      <c r="O719" s="415"/>
      <c r="S719" s="415"/>
      <c r="T719" s="415"/>
      <c r="U719" s="415"/>
      <c r="V719" s="415"/>
      <c r="Y719" s="458"/>
      <c r="AD719" s="557" t="str">
        <f>B693&amp;"순자산가치"</f>
        <v>SPC없음순자산가치</v>
      </c>
      <c r="AE719" s="529">
        <f>IF(E699+SUM(AE699:AE704)+SUM(AE707:AE717)-E712&gt;0,E699+SUM(AE699:AE704)+SUM(AE707:AE717)-E712,0)</f>
        <v>0</v>
      </c>
      <c r="AF719" s="529">
        <f>IF(E699+SUM(AF699:AF704)+SUM(AF707:AF717)-E712&gt;0,E699+SUM(AF699:AF704)+SUM(AF707:AF717)-E712,0)</f>
        <v>0</v>
      </c>
      <c r="AI719" s="404"/>
    </row>
    <row r="720" spans="1:35">
      <c r="A720" s="489"/>
      <c r="B720" s="558" t="str">
        <f>B693&amp;C720</f>
        <v>SPC없음보유지분율(%)</v>
      </c>
      <c r="C720" s="493" t="s">
        <v>416</v>
      </c>
      <c r="D720" s="559">
        <f>개요!$C$226</f>
        <v>0</v>
      </c>
      <c r="E720" s="494">
        <f>E719*D720</f>
        <v>0</v>
      </c>
      <c r="F720" s="560" t="s">
        <v>713</v>
      </c>
      <c r="G720" s="560"/>
      <c r="J720" s="495"/>
      <c r="K720" s="415"/>
      <c r="L720" s="495"/>
      <c r="M720" s="415"/>
      <c r="N720" s="415"/>
      <c r="O720" s="415"/>
      <c r="S720" s="415"/>
      <c r="T720" s="415"/>
      <c r="U720" s="415"/>
      <c r="V720" s="415"/>
      <c r="Y720" s="458"/>
      <c r="AD720" s="557" t="s">
        <v>272</v>
      </c>
      <c r="AE720" s="561">
        <f>$D720</f>
        <v>0</v>
      </c>
      <c r="AF720" s="561">
        <f>$D720</f>
        <v>0</v>
      </c>
      <c r="AI720" s="404"/>
    </row>
    <row r="721" spans="1:35">
      <c r="A721" s="489"/>
      <c r="B721" s="415"/>
      <c r="G721" s="503" t="s">
        <v>714</v>
      </c>
      <c r="I721" s="562"/>
      <c r="J721" s="495"/>
      <c r="K721" s="415"/>
      <c r="L721" s="495"/>
      <c r="M721" s="415"/>
      <c r="N721" s="415"/>
      <c r="O721" s="415"/>
      <c r="S721" s="415"/>
      <c r="T721" s="415"/>
      <c r="U721" s="415"/>
      <c r="V721" s="415"/>
      <c r="Y721" s="458"/>
      <c r="AD721" s="557" t="str">
        <f>B693&amp;"지분율 반영 순자산가치"</f>
        <v>SPC없음지분율 반영 순자산가치</v>
      </c>
      <c r="AE721" s="529">
        <f>AE719*AE720</f>
        <v>0</v>
      </c>
      <c r="AF721" s="529">
        <f>AF719*AF720</f>
        <v>0</v>
      </c>
      <c r="AI721" s="404"/>
    </row>
    <row r="722" spans="1:35">
      <c r="A722" s="489"/>
      <c r="D722" s="504" t="s">
        <v>370</v>
      </c>
      <c r="E722" s="505">
        <f>$C$7</f>
        <v>45473</v>
      </c>
      <c r="F722" s="506"/>
      <c r="G722" s="505"/>
      <c r="I722" s="563"/>
      <c r="J722" s="495"/>
      <c r="K722" s="415"/>
      <c r="L722" s="495"/>
      <c r="M722" s="415"/>
      <c r="N722" s="415"/>
      <c r="O722" s="415"/>
      <c r="S722" s="415"/>
      <c r="T722" s="415"/>
      <c r="U722" s="415"/>
      <c r="V722" s="415"/>
      <c r="Y722" s="422"/>
      <c r="AI722" s="404"/>
    </row>
    <row r="723" spans="1:35">
      <c r="D723" s="486" t="s">
        <v>449</v>
      </c>
      <c r="E723" s="487">
        <f>E719</f>
        <v>0</v>
      </c>
      <c r="F723" s="507" t="e">
        <f>E723/G723-1</f>
        <v>#DIV/0!</v>
      </c>
      <c r="G723" s="487"/>
      <c r="I723" s="564"/>
      <c r="J723" s="495"/>
      <c r="K723" s="415"/>
      <c r="L723" s="495"/>
      <c r="M723" s="415"/>
      <c r="S723" s="415"/>
      <c r="T723" s="415"/>
      <c r="U723" s="415"/>
      <c r="V723" s="415"/>
      <c r="Y723" s="422"/>
      <c r="AI723" s="404"/>
    </row>
    <row r="724" spans="1:35">
      <c r="A724" s="489"/>
      <c r="B724" s="415"/>
      <c r="D724" s="486" t="s">
        <v>715</v>
      </c>
      <c r="E724" s="565">
        <f>$D$720</f>
        <v>0</v>
      </c>
      <c r="F724" s="507"/>
      <c r="G724" s="565"/>
      <c r="I724" s="566"/>
      <c r="J724" s="305"/>
      <c r="K724" s="415"/>
      <c r="L724" s="305"/>
      <c r="M724" s="415"/>
      <c r="S724" s="415"/>
      <c r="T724" s="415"/>
      <c r="U724" s="415"/>
      <c r="V724" s="415"/>
      <c r="Y724" s="422"/>
      <c r="AI724" s="404"/>
    </row>
    <row r="725" spans="1:35">
      <c r="A725" s="489"/>
      <c r="B725" s="415"/>
      <c r="D725" s="567" t="s">
        <v>716</v>
      </c>
      <c r="E725" s="568">
        <f>E723*E724</f>
        <v>0</v>
      </c>
      <c r="F725" s="507" t="e">
        <f>E725/G725-1</f>
        <v>#DIV/0!</v>
      </c>
      <c r="G725" s="568"/>
      <c r="I725" s="564"/>
      <c r="AI725" s="404"/>
    </row>
    <row r="726" spans="1:35">
      <c r="E726" s="304" t="b">
        <f>E725=E720</f>
        <v>1</v>
      </c>
      <c r="AI726" s="404"/>
    </row>
    <row r="727" spans="1:35">
      <c r="F727" s="507"/>
      <c r="G727" s="507"/>
      <c r="AI727" s="404"/>
    </row>
    <row r="728" spans="1:35" ht="12.75" thickBot="1">
      <c r="A728" s="536"/>
      <c r="B728" s="536"/>
      <c r="C728" s="536"/>
      <c r="D728" s="536"/>
      <c r="E728" s="536"/>
      <c r="F728" s="572"/>
      <c r="G728" s="572"/>
      <c r="H728" s="536"/>
      <c r="I728" s="537"/>
      <c r="J728" s="536"/>
      <c r="K728" s="536"/>
      <c r="L728" s="536"/>
      <c r="M728" s="536"/>
      <c r="N728" s="536"/>
      <c r="O728" s="536"/>
      <c r="P728" s="536"/>
      <c r="Q728" s="540"/>
      <c r="R728" s="536"/>
      <c r="S728" s="536"/>
      <c r="T728" s="536"/>
      <c r="U728" s="536"/>
      <c r="V728" s="536"/>
      <c r="W728" s="540"/>
      <c r="X728" s="536"/>
      <c r="Y728" s="540"/>
      <c r="Z728" s="540"/>
      <c r="AA728" s="536"/>
      <c r="AB728" s="536"/>
      <c r="AC728" s="536"/>
      <c r="AD728" s="541"/>
      <c r="AE728" s="536"/>
      <c r="AF728" s="536"/>
      <c r="AG728" s="536"/>
      <c r="AH728" s="536"/>
      <c r="AI728" s="404"/>
    </row>
    <row r="729" spans="1:35" ht="12.75" thickTop="1">
      <c r="F729" s="507"/>
      <c r="G729" s="507"/>
      <c r="AI729" s="404"/>
    </row>
    <row r="730" spans="1:35" ht="12.75" thickBot="1">
      <c r="A730" s="459"/>
      <c r="B730" s="415"/>
      <c r="J730" s="428" t="s">
        <v>273</v>
      </c>
      <c r="K730" s="489"/>
      <c r="L730" s="497"/>
      <c r="M730" s="489"/>
      <c r="N730" s="415"/>
      <c r="O730" s="415"/>
      <c r="AI730" s="404"/>
    </row>
    <row r="731" spans="1:35" ht="12.75" thickBot="1">
      <c r="A731" s="542" t="s">
        <v>718</v>
      </c>
      <c r="B731" s="543" t="str">
        <f>IF(개요!$B$229="","SPC없음",개요!$B$229)</f>
        <v>SPC없음</v>
      </c>
      <c r="C731" s="454"/>
      <c r="J731" s="433"/>
      <c r="K731" s="434"/>
      <c r="L731" s="434"/>
      <c r="M731" s="434"/>
      <c r="N731" s="434"/>
      <c r="O731" s="434"/>
      <c r="P731" s="434"/>
      <c r="Q731" s="435"/>
      <c r="R731" s="434"/>
      <c r="S731" s="434"/>
      <c r="T731" s="434"/>
      <c r="U731" s="434"/>
      <c r="V731" s="436"/>
      <c r="AI731" s="404"/>
    </row>
    <row r="732" spans="1:35">
      <c r="B732" s="543" t="s">
        <v>369</v>
      </c>
      <c r="C732" s="569" t="str">
        <f>IF(개요!$C$230="","SPC없음",개요!$C$230)</f>
        <v>SPC없음</v>
      </c>
      <c r="J732" s="442"/>
      <c r="K732" s="151"/>
      <c r="L732" s="151"/>
      <c r="M732" s="151"/>
      <c r="N732" s="151"/>
      <c r="O732" s="151"/>
      <c r="P732" s="151"/>
      <c r="Q732" s="443"/>
      <c r="R732" s="151"/>
      <c r="S732" s="151"/>
      <c r="T732" s="151"/>
      <c r="U732" s="151"/>
      <c r="V732" s="444"/>
      <c r="AI732" s="404"/>
    </row>
    <row r="733" spans="1:35">
      <c r="B733" s="437" t="s">
        <v>370</v>
      </c>
      <c r="C733" s="570">
        <f>$C$7</f>
        <v>45473</v>
      </c>
      <c r="D733" s="546" t="b">
        <f>C733&gt;=C734</f>
        <v>1</v>
      </c>
      <c r="J733" s="442"/>
      <c r="K733" s="151"/>
      <c r="L733" s="151"/>
      <c r="M733" s="151"/>
      <c r="N733" s="151"/>
      <c r="O733" s="151"/>
      <c r="P733" s="151"/>
      <c r="Q733" s="443"/>
      <c r="R733" s="151"/>
      <c r="S733" s="151"/>
      <c r="T733" s="151"/>
      <c r="U733" s="151"/>
      <c r="V733" s="444"/>
      <c r="AI733" s="404"/>
    </row>
    <row r="734" spans="1:35" ht="12.75" thickBot="1">
      <c r="B734" s="449" t="s">
        <v>371</v>
      </c>
      <c r="C734" s="571">
        <f>FS!$AJ$48</f>
        <v>0</v>
      </c>
      <c r="J734" s="453"/>
      <c r="K734" s="454"/>
      <c r="L734" s="454"/>
      <c r="M734" s="454"/>
      <c r="N734" s="454"/>
      <c r="O734" s="454"/>
      <c r="P734" s="454"/>
      <c r="Q734" s="455"/>
      <c r="R734" s="454"/>
      <c r="S734" s="454"/>
      <c r="T734" s="454"/>
      <c r="U734" s="454"/>
      <c r="V734" s="456"/>
      <c r="AI734" s="404"/>
    </row>
    <row r="735" spans="1:35">
      <c r="A735" s="459"/>
      <c r="J735" s="428" t="s">
        <v>372</v>
      </c>
      <c r="K735" s="448"/>
      <c r="L735" s="420"/>
      <c r="M735" s="448"/>
      <c r="N735" s="448"/>
      <c r="O735" s="448"/>
      <c r="P735" s="415"/>
      <c r="Q735" s="422"/>
      <c r="R735" s="415"/>
      <c r="S735" s="415"/>
      <c r="T735" s="415"/>
      <c r="U735" s="415"/>
      <c r="V735" s="415"/>
      <c r="W735" s="422"/>
      <c r="Z735" s="458"/>
      <c r="AE735" s="803" t="s">
        <v>8</v>
      </c>
      <c r="AF735" s="803"/>
      <c r="AG735" s="460"/>
      <c r="AH735" s="460"/>
      <c r="AI735" s="404"/>
    </row>
    <row r="736" spans="1:35" ht="12.75" thickBot="1">
      <c r="A736" s="461" t="str">
        <f>IF(AND(B737:B763),"검증완료","검증필요")</f>
        <v>검증완료</v>
      </c>
      <c r="B736" s="462" t="s">
        <v>373</v>
      </c>
      <c r="C736" s="462" t="s">
        <v>9</v>
      </c>
      <c r="D736" s="462" t="s">
        <v>10</v>
      </c>
      <c r="E736" s="462" t="s">
        <v>11</v>
      </c>
      <c r="J736" s="462" t="s">
        <v>375</v>
      </c>
      <c r="K736" s="464" t="s">
        <v>0</v>
      </c>
      <c r="L736" s="462" t="s">
        <v>369</v>
      </c>
      <c r="M736" s="462" t="s">
        <v>456</v>
      </c>
      <c r="N736" s="462" t="s">
        <v>378</v>
      </c>
      <c r="O736" s="462" t="s">
        <v>1</v>
      </c>
      <c r="P736" s="464" t="s">
        <v>380</v>
      </c>
      <c r="Q736" s="465" t="s">
        <v>14</v>
      </c>
      <c r="R736" s="466" t="s">
        <v>381</v>
      </c>
      <c r="S736" s="466" t="s">
        <v>382</v>
      </c>
      <c r="T736" s="462" t="s">
        <v>12</v>
      </c>
      <c r="U736" s="462" t="s">
        <v>383</v>
      </c>
      <c r="V736" s="462" t="s">
        <v>400</v>
      </c>
      <c r="W736" s="465" t="s">
        <v>10</v>
      </c>
      <c r="X736" s="462" t="s">
        <v>385</v>
      </c>
      <c r="Y736" s="465" t="s">
        <v>430</v>
      </c>
      <c r="Z736" s="465" t="s">
        <v>3522</v>
      </c>
      <c r="AA736" s="464" t="s">
        <v>13</v>
      </c>
      <c r="AE736" s="467" t="s">
        <v>3627</v>
      </c>
      <c r="AF736" s="467" t="s">
        <v>3628</v>
      </c>
      <c r="AG736" s="467" t="s">
        <v>3629</v>
      </c>
      <c r="AH736" s="467" t="s">
        <v>3630</v>
      </c>
      <c r="AI736" s="404"/>
    </row>
    <row r="737" spans="1:35" ht="12.75" thickBot="1">
      <c r="A737" s="415"/>
      <c r="B737" s="415"/>
      <c r="C737" s="468" t="s">
        <v>480</v>
      </c>
      <c r="D737" s="469">
        <f>SUM(D738:D739)</f>
        <v>0</v>
      </c>
      <c r="E737" s="469">
        <f>SUM(E738:E739)</f>
        <v>0</v>
      </c>
      <c r="J737" s="476"/>
      <c r="K737" s="472"/>
      <c r="L737" s="473" t="str">
        <f>IF($J737="","SPC 없음",VLOOKUP($J737&amp;"SPC명",개요!$A$3:$E$1932,3,0))</f>
        <v>SPC 없음</v>
      </c>
      <c r="M737" s="474" t="str">
        <f>IF($J737="","SPC 없음",VLOOKUP($J737&amp;"설정일",개요!$A$3:$E$1932,3,0))</f>
        <v>SPC 없음</v>
      </c>
      <c r="N737" s="475" t="str">
        <f t="shared" ref="N737:N742" si="228">IF($J737="","SPC 없음",VLOOKUP($J737&amp;"자본금",$B$4:$E$2079,3,0)*VLOOKUP($J737&amp;"보유지분율(%)",$B$4:$E$2079,3,0))</f>
        <v>SPC 없음</v>
      </c>
      <c r="O737" s="471"/>
      <c r="P737" s="476"/>
      <c r="Q737" s="477"/>
      <c r="R737" s="478"/>
      <c r="S737" s="479" t="str">
        <f t="shared" ref="S737:S742" si="229">IF($J737="","SPC 없음",IF(P737="총액",IF(T737="장부가액 준용",W737,(VLOOKUP($J737&amp;"보유지분율(%)",$B$4:$E$2079,4,0))*V737),Q737*R737))</f>
        <v>SPC 없음</v>
      </c>
      <c r="T737" s="471"/>
      <c r="U737" s="471" t="s">
        <v>94</v>
      </c>
      <c r="V737" s="480">
        <f>IF(U737="한국 원화(KRW)",1,IF(OR(U737=환율!$A$6,U737=환율!$A$7),VLOOKUP(NAV!U737,환율!$A$6:$B$7,2,),IF(RIGHT(U737,5)="(100)",(VLOOKUP(NAV!U737,환율!$A$11:$B$65,2,))/100,VLOOKUP(NAV!U737,환율!$A$11:$B$65,2,))))</f>
        <v>1</v>
      </c>
      <c r="W737" s="481"/>
      <c r="X737" s="482">
        <f t="shared" ref="X737:X742" si="230">IFERROR(IF(P737="만원당",10000,Y737/Q737),0)</f>
        <v>0</v>
      </c>
      <c r="Y737" s="481"/>
      <c r="Z737" s="481"/>
      <c r="AA737" s="483">
        <f t="shared" ref="AA737:AA742" si="231">IFERROR(IF(Z737="",S737/W737-1,S737/Z737-1),0)</f>
        <v>0</v>
      </c>
      <c r="AE737" s="484" t="str">
        <f t="shared" ref="AE737:AE742" si="232">IF($J737="","SPC 없음",IF(P737="총액",(VLOOKUP($J737&amp;"지분율 반영 순자산가치",$AD$4:$AH$4973,2,0))*V737,AG737*$Q737))</f>
        <v>SPC 없음</v>
      </c>
      <c r="AF737" s="484" t="str">
        <f t="shared" ref="AF737:AF742" si="233">IF($J737="","SPC 없음",IF(P737="총액",(VLOOKUP($J737&amp;"지분율 반영 순자산가치",$AD$4:$AH$4973,3,0))*V737,AH737*$Q737))</f>
        <v>SPC 없음</v>
      </c>
      <c r="AG737" s="485"/>
      <c r="AH737" s="485"/>
      <c r="AI737" s="404"/>
    </row>
    <row r="738" spans="1:35" ht="12.75" thickBot="1">
      <c r="A738" s="415"/>
      <c r="B738" s="415"/>
      <c r="C738" s="486" t="s">
        <v>387</v>
      </c>
      <c r="D738" s="487">
        <f>SUMIF(FS!$AG$49:$AG$79,개요!$B$229&amp;RIGHT(NAV!C738,10),FS!$AJ$49:$AJ$79)</f>
        <v>0</v>
      </c>
      <c r="E738" s="487">
        <f>D738</f>
        <v>0</v>
      </c>
      <c r="J738" s="476"/>
      <c r="K738" s="472"/>
      <c r="L738" s="473" t="str">
        <f>IF($J738="","SPC 없음",VLOOKUP($J738&amp;"SPC명",개요!$A$3:$E$1932,3,0))</f>
        <v>SPC 없음</v>
      </c>
      <c r="M738" s="474" t="str">
        <f>IF($J738="","SPC 없음",VLOOKUP($J738&amp;"설정일",개요!$A$3:$E$1932,3,0))</f>
        <v>SPC 없음</v>
      </c>
      <c r="N738" s="475" t="str">
        <f t="shared" si="228"/>
        <v>SPC 없음</v>
      </c>
      <c r="O738" s="471"/>
      <c r="P738" s="476"/>
      <c r="Q738" s="477"/>
      <c r="R738" s="478"/>
      <c r="S738" s="479" t="str">
        <f t="shared" si="229"/>
        <v>SPC 없음</v>
      </c>
      <c r="T738" s="471"/>
      <c r="U738" s="471" t="s">
        <v>94</v>
      </c>
      <c r="V738" s="480">
        <f>IF(U738="한국 원화(KRW)",1,IF(OR(U738=환율!$A$6,U738=환율!$A$7),VLOOKUP(NAV!U738,환율!$A$6:$B$7,2,),IF(RIGHT(U738,5)="(100)",(VLOOKUP(NAV!U738,환율!$A$11:$B$65,2,))/100,VLOOKUP(NAV!U738,환율!$A$11:$B$65,2,))))</f>
        <v>1</v>
      </c>
      <c r="W738" s="481"/>
      <c r="X738" s="482">
        <f t="shared" si="230"/>
        <v>0</v>
      </c>
      <c r="Y738" s="481"/>
      <c r="Z738" s="481"/>
      <c r="AA738" s="483">
        <f t="shared" si="231"/>
        <v>0</v>
      </c>
      <c r="AE738" s="484" t="str">
        <f t="shared" si="232"/>
        <v>SPC 없음</v>
      </c>
      <c r="AF738" s="484" t="str">
        <f t="shared" si="233"/>
        <v>SPC 없음</v>
      </c>
      <c r="AG738" s="485"/>
      <c r="AH738" s="485"/>
      <c r="AI738" s="404"/>
    </row>
    <row r="739" spans="1:35" ht="12.75" thickBot="1">
      <c r="A739" s="415"/>
      <c r="B739" s="415"/>
      <c r="C739" s="486" t="s">
        <v>34</v>
      </c>
      <c r="D739" s="487">
        <f>SUMIF(FS!$AG$49:$AG$79,개요!$B$229&amp;RIGHT(NAV!C739,4),FS!$AJ$49:$AJ$79)</f>
        <v>0</v>
      </c>
      <c r="E739" s="487">
        <f>D739</f>
        <v>0</v>
      </c>
      <c r="J739" s="476"/>
      <c r="K739" s="472"/>
      <c r="L739" s="473" t="str">
        <f>IF($J739="","SPC 없음",VLOOKUP($J739&amp;"SPC명",개요!$A$3:$E$1932,3,0))</f>
        <v>SPC 없음</v>
      </c>
      <c r="M739" s="474" t="str">
        <f>IF($J739="","SPC 없음",VLOOKUP($J739&amp;"설정일",개요!$A$3:$E$1932,3,0))</f>
        <v>SPC 없음</v>
      </c>
      <c r="N739" s="475" t="str">
        <f t="shared" si="228"/>
        <v>SPC 없음</v>
      </c>
      <c r="O739" s="471"/>
      <c r="P739" s="476"/>
      <c r="Q739" s="477"/>
      <c r="R739" s="478"/>
      <c r="S739" s="479" t="str">
        <f t="shared" si="229"/>
        <v>SPC 없음</v>
      </c>
      <c r="T739" s="471"/>
      <c r="U739" s="471" t="s">
        <v>94</v>
      </c>
      <c r="V739" s="480">
        <f>IF(U739="한국 원화(KRW)",1,IF(OR(U739=환율!$A$6,U739=환율!$A$7),VLOOKUP(NAV!U739,환율!$A$6:$B$7,2,),IF(RIGHT(U739,5)="(100)",(VLOOKUP(NAV!U739,환율!$A$11:$B$65,2,))/100,VLOOKUP(NAV!U739,환율!$A$11:$B$65,2,))))</f>
        <v>1</v>
      </c>
      <c r="W739" s="481"/>
      <c r="X739" s="482">
        <f t="shared" si="230"/>
        <v>0</v>
      </c>
      <c r="Y739" s="481"/>
      <c r="Z739" s="481"/>
      <c r="AA739" s="483">
        <f t="shared" si="231"/>
        <v>0</v>
      </c>
      <c r="AE739" s="484" t="str">
        <f t="shared" si="232"/>
        <v>SPC 없음</v>
      </c>
      <c r="AF739" s="484" t="str">
        <f t="shared" si="233"/>
        <v>SPC 없음</v>
      </c>
      <c r="AG739" s="485"/>
      <c r="AH739" s="485"/>
      <c r="AI739" s="404"/>
    </row>
    <row r="740" spans="1:35" ht="12.75" thickBot="1">
      <c r="A740" s="489" t="s">
        <v>389</v>
      </c>
      <c r="B740" s="490" t="b">
        <f>SUM(W737:W742,W745:W755)=D740</f>
        <v>1</v>
      </c>
      <c r="C740" s="468" t="s">
        <v>17</v>
      </c>
      <c r="D740" s="469">
        <f>SUMIF(FS!$AG$49:$AG$79,개요!$B$229&amp;RIGHT(NAV!C740,4),FS!$AJ$49:$AJ$79)</f>
        <v>0</v>
      </c>
      <c r="E740" s="469">
        <f>SUM(S737:S742)+SUM(S745:S755)</f>
        <v>0</v>
      </c>
      <c r="J740" s="476"/>
      <c r="K740" s="472"/>
      <c r="L740" s="473" t="str">
        <f>IF($J740="","SPC 없음",VLOOKUP($J740&amp;"SPC명",개요!$A$3:$E$1932,3,0))</f>
        <v>SPC 없음</v>
      </c>
      <c r="M740" s="474" t="str">
        <f>IF($J740="","SPC 없음",VLOOKUP($J740&amp;"설정일",개요!$A$3:$E$1932,3,0))</f>
        <v>SPC 없음</v>
      </c>
      <c r="N740" s="475" t="str">
        <f t="shared" si="228"/>
        <v>SPC 없음</v>
      </c>
      <c r="O740" s="471"/>
      <c r="P740" s="476"/>
      <c r="Q740" s="477"/>
      <c r="R740" s="478"/>
      <c r="S740" s="479" t="str">
        <f t="shared" si="229"/>
        <v>SPC 없음</v>
      </c>
      <c r="T740" s="471"/>
      <c r="U740" s="471" t="s">
        <v>94</v>
      </c>
      <c r="V740" s="480">
        <f>IF(U740="한국 원화(KRW)",1,IF(OR(U740=환율!$A$6,U740=환율!$A$7),VLOOKUP(NAV!U740,환율!$A$6:$B$7,2,),IF(RIGHT(U740,5)="(100)",(VLOOKUP(NAV!U740,환율!$A$11:$B$65,2,))/100,VLOOKUP(NAV!U740,환율!$A$11:$B$65,2,))))</f>
        <v>1</v>
      </c>
      <c r="W740" s="481"/>
      <c r="X740" s="482">
        <f t="shared" si="230"/>
        <v>0</v>
      </c>
      <c r="Y740" s="481"/>
      <c r="Z740" s="481"/>
      <c r="AA740" s="483">
        <f t="shared" si="231"/>
        <v>0</v>
      </c>
      <c r="AE740" s="484" t="str">
        <f t="shared" si="232"/>
        <v>SPC 없음</v>
      </c>
      <c r="AF740" s="484" t="str">
        <f t="shared" si="233"/>
        <v>SPC 없음</v>
      </c>
      <c r="AG740" s="485"/>
      <c r="AH740" s="485"/>
      <c r="AI740" s="404"/>
    </row>
    <row r="741" spans="1:35" ht="12.75" thickBot="1">
      <c r="A741" s="492" t="s">
        <v>391</v>
      </c>
      <c r="B741" s="415" t="b">
        <f>D738+D739+D740=D741</f>
        <v>1</v>
      </c>
      <c r="C741" s="493" t="s">
        <v>479</v>
      </c>
      <c r="D741" s="494">
        <f>D737+D740</f>
        <v>0</v>
      </c>
      <c r="E741" s="494">
        <f>E737+E740</f>
        <v>0</v>
      </c>
      <c r="J741" s="476"/>
      <c r="K741" s="472"/>
      <c r="L741" s="473" t="str">
        <f>IF($J741="","SPC 없음",VLOOKUP($J741&amp;"SPC명",개요!$A$3:$E$1932,3,0))</f>
        <v>SPC 없음</v>
      </c>
      <c r="M741" s="474" t="str">
        <f>IF($J741="","SPC 없음",VLOOKUP($J741&amp;"설정일",개요!$A$3:$E$1932,3,0))</f>
        <v>SPC 없음</v>
      </c>
      <c r="N741" s="475" t="str">
        <f t="shared" si="228"/>
        <v>SPC 없음</v>
      </c>
      <c r="O741" s="471"/>
      <c r="P741" s="476"/>
      <c r="Q741" s="477"/>
      <c r="R741" s="478"/>
      <c r="S741" s="479" t="str">
        <f t="shared" si="229"/>
        <v>SPC 없음</v>
      </c>
      <c r="T741" s="471"/>
      <c r="U741" s="471" t="s">
        <v>94</v>
      </c>
      <c r="V741" s="480">
        <f>IF(U741="한국 원화(KRW)",1,IF(OR(U741=환율!$A$6,U741=환율!$A$7),VLOOKUP(NAV!U741,환율!$A$6:$B$7,2,),IF(RIGHT(U741,5)="(100)",(VLOOKUP(NAV!U741,환율!$A$11:$B$65,2,))/100,VLOOKUP(NAV!U741,환율!$A$11:$B$65,2,))))</f>
        <v>1</v>
      </c>
      <c r="W741" s="481"/>
      <c r="X741" s="482">
        <f t="shared" si="230"/>
        <v>0</v>
      </c>
      <c r="Y741" s="481"/>
      <c r="Z741" s="481"/>
      <c r="AA741" s="483">
        <f t="shared" si="231"/>
        <v>0</v>
      </c>
      <c r="AE741" s="484" t="str">
        <f t="shared" si="232"/>
        <v>SPC 없음</v>
      </c>
      <c r="AF741" s="484" t="str">
        <f t="shared" si="233"/>
        <v>SPC 없음</v>
      </c>
      <c r="AG741" s="485"/>
      <c r="AH741" s="485"/>
      <c r="AI741" s="404"/>
    </row>
    <row r="742" spans="1:35" ht="12.75" thickBot="1">
      <c r="A742" s="492"/>
      <c r="B742" s="496"/>
      <c r="C742" s="468" t="s">
        <v>18</v>
      </c>
      <c r="D742" s="469">
        <f>SUM(D743:D746)</f>
        <v>0</v>
      </c>
      <c r="E742" s="469">
        <f>SUM(E743:E746)</f>
        <v>0</v>
      </c>
      <c r="J742" s="476"/>
      <c r="K742" s="472"/>
      <c r="L742" s="473" t="str">
        <f>IF($J742="","SPC 없음",VLOOKUP($J742&amp;"SPC명",개요!$A$3:$E$1932,3,0))</f>
        <v>SPC 없음</v>
      </c>
      <c r="M742" s="474" t="str">
        <f>IF($J742="","SPC 없음",VLOOKUP($J742&amp;"설정일",개요!$A$3:$E$1932,3,0))</f>
        <v>SPC 없음</v>
      </c>
      <c r="N742" s="475" t="str">
        <f t="shared" si="228"/>
        <v>SPC 없음</v>
      </c>
      <c r="O742" s="471"/>
      <c r="P742" s="476"/>
      <c r="Q742" s="477"/>
      <c r="R742" s="478"/>
      <c r="S742" s="479" t="str">
        <f t="shared" si="229"/>
        <v>SPC 없음</v>
      </c>
      <c r="T742" s="471"/>
      <c r="U742" s="471" t="s">
        <v>94</v>
      </c>
      <c r="V742" s="480">
        <f>IF(U742="한국 원화(KRW)",1,IF(OR(U742=환율!$A$6,U742=환율!$A$7),VLOOKUP(NAV!U742,환율!$A$6:$B$7,2,),IF(RIGHT(U742,5)="(100)",(VLOOKUP(NAV!U742,환율!$A$11:$B$65,2,))/100,VLOOKUP(NAV!U742,환율!$A$11:$B$65,2,))))</f>
        <v>1</v>
      </c>
      <c r="W742" s="481"/>
      <c r="X742" s="482">
        <f t="shared" si="230"/>
        <v>0</v>
      </c>
      <c r="Y742" s="481"/>
      <c r="Z742" s="481"/>
      <c r="AA742" s="483">
        <f t="shared" si="231"/>
        <v>0</v>
      </c>
      <c r="AE742" s="484" t="str">
        <f t="shared" si="232"/>
        <v>SPC 없음</v>
      </c>
      <c r="AF742" s="484" t="str">
        <f t="shared" si="233"/>
        <v>SPC 없음</v>
      </c>
      <c r="AG742" s="485"/>
      <c r="AH742" s="485"/>
      <c r="AI742" s="404"/>
    </row>
    <row r="743" spans="1:35">
      <c r="A743" s="492"/>
      <c r="B743" s="496"/>
      <c r="C743" s="486" t="s">
        <v>392</v>
      </c>
      <c r="D743" s="487">
        <f>SUMIF(FS!$AG$49:$AG$79,개요!$B$229&amp;RIGHT(NAV!C743,5),FS!$AJ$49:$AJ$79)</f>
        <v>0</v>
      </c>
      <c r="E743" s="487">
        <f>D743</f>
        <v>0</v>
      </c>
      <c r="J743" s="428" t="s">
        <v>539</v>
      </c>
      <c r="K743" s="415"/>
      <c r="L743" s="305"/>
      <c r="M743" s="415"/>
      <c r="N743" s="415"/>
      <c r="O743" s="415"/>
      <c r="P743" s="415"/>
      <c r="Q743" s="422"/>
      <c r="R743" s="415"/>
      <c r="S743" s="415"/>
      <c r="T743" s="415"/>
      <c r="U743" s="415"/>
      <c r="W743" s="517" t="b">
        <f>SUM(W745:W755)+SUM(W737:W742)=D740</f>
        <v>1</v>
      </c>
      <c r="X743" s="415"/>
      <c r="Y743" s="422"/>
      <c r="Z743" s="422"/>
      <c r="AA743" s="459" t="str">
        <f>IF(OR(MAX(AA737:AA742,AA745:AA755)&gt;0.2,MIN(AA737:AA742,AA745:AA755)&lt;-0.2),"특이사항 확인","특이사항 없음")</f>
        <v>특이사항 없음</v>
      </c>
      <c r="AB743" s="415"/>
      <c r="AF743" s="415"/>
      <c r="AG743" s="415"/>
      <c r="AI743" s="404"/>
    </row>
    <row r="744" spans="1:35" ht="12.75" thickBot="1">
      <c r="A744" s="492"/>
      <c r="B744" s="496"/>
      <c r="C744" s="486" t="s">
        <v>393</v>
      </c>
      <c r="D744" s="487">
        <f>SUMIF(FS!$AG$49:$AG$79,개요!$B$229&amp;RIGHT(NAV!C744,3),FS!$AJ$49:$AJ$79)</f>
        <v>0</v>
      </c>
      <c r="E744" s="487">
        <f t="shared" ref="E744:E745" si="234">D744</f>
        <v>0</v>
      </c>
      <c r="I744" s="518">
        <f>COUNTA(J745:J755)</f>
        <v>0</v>
      </c>
      <c r="J744" s="548" t="s">
        <v>394</v>
      </c>
      <c r="K744" s="548" t="s">
        <v>0</v>
      </c>
      <c r="L744" s="548" t="s">
        <v>435</v>
      </c>
      <c r="M744" s="548" t="s">
        <v>396</v>
      </c>
      <c r="N744" s="548" t="s">
        <v>397</v>
      </c>
      <c r="O744" s="548" t="s">
        <v>398</v>
      </c>
      <c r="P744" s="548" t="s">
        <v>586</v>
      </c>
      <c r="Q744" s="519" t="s">
        <v>14</v>
      </c>
      <c r="R744" s="466" t="s">
        <v>299</v>
      </c>
      <c r="S744" s="466" t="s">
        <v>3525</v>
      </c>
      <c r="T744" s="549" t="s">
        <v>12</v>
      </c>
      <c r="U744" s="548" t="s">
        <v>383</v>
      </c>
      <c r="V744" s="548" t="s">
        <v>400</v>
      </c>
      <c r="W744" s="550" t="s">
        <v>10</v>
      </c>
      <c r="X744" s="549" t="s">
        <v>401</v>
      </c>
      <c r="Y744" s="550" t="s">
        <v>402</v>
      </c>
      <c r="Z744" s="550" t="s">
        <v>3523</v>
      </c>
      <c r="AA744" s="548" t="s">
        <v>13</v>
      </c>
      <c r="AB744" s="548" t="s">
        <v>15</v>
      </c>
      <c r="AC744" s="548" t="s">
        <v>473</v>
      </c>
      <c r="AE744" s="467" t="s">
        <v>3627</v>
      </c>
      <c r="AF744" s="467" t="s">
        <v>3628</v>
      </c>
      <c r="AG744" s="467" t="s">
        <v>3629</v>
      </c>
      <c r="AH744" s="467" t="s">
        <v>3630</v>
      </c>
      <c r="AI744" s="404"/>
    </row>
    <row r="745" spans="1:35" ht="12.75" thickBot="1">
      <c r="A745" s="492"/>
      <c r="B745" s="496"/>
      <c r="C745" s="486" t="s">
        <v>404</v>
      </c>
      <c r="D745" s="487">
        <f>SUMIF(FS!$AG$49:$AG$79,개요!$B$229&amp;RIGHT(NAV!C745,6),FS!$AJ$49:$AJ$79)</f>
        <v>0</v>
      </c>
      <c r="E745" s="487">
        <f t="shared" si="234"/>
        <v>0</v>
      </c>
      <c r="J745" s="551"/>
      <c r="K745" s="552"/>
      <c r="L745" s="551"/>
      <c r="M745" s="553"/>
      <c r="N745" s="553"/>
      <c r="O745" s="551"/>
      <c r="P745" s="553"/>
      <c r="Q745" s="524"/>
      <c r="R745" s="478">
        <f>IFERROR(INDEX(기초자산!M$6:M$408,MATCH(K745&amp;N745&amp;O745,기초자산!$A$6:$A$408,0),0),0)</f>
        <v>0</v>
      </c>
      <c r="S745" s="479">
        <f t="shared" ref="S745:S755" si="235">IFERROR(IF(T745="취득원가 준용",Y745,IF(T745="장부가액 준용",W745,IF(P745="주당",R745*Q745*V745,IF(RIGHT(U745,5)="(100)",Y745/1000*R745*V745,Y745/10000*R745*V745)))),0)</f>
        <v>0</v>
      </c>
      <c r="T745" s="553"/>
      <c r="U745" s="471" t="s">
        <v>94</v>
      </c>
      <c r="V745" s="480">
        <f>IF(U745="한국 원화(KRW)",1,IF(OR(U745=환율!$A$6,U745=환율!$A$7),VLOOKUP(NAV!U745,환율!$A$6:$B$7,2,),IF(RIGHT(U745,5)="(100)",(VLOOKUP(NAV!U745,환율!$A$11:$B$65,2,))/100,VLOOKUP(NAV!U745,환율!$A$11:$B$65,2,))))</f>
        <v>1</v>
      </c>
      <c r="W745" s="481"/>
      <c r="X745" s="482">
        <f t="shared" ref="X745:X755" si="236">IFERROR(IF(P745="만원당",10000,Y745/Q745),0)</f>
        <v>0</v>
      </c>
      <c r="Y745" s="481"/>
      <c r="Z745" s="481"/>
      <c r="AA745" s="483">
        <f t="shared" ref="AA745:AA755" si="237">IFERROR(IF(Z745="",S745/W745-1,S745/Z745-1),0)</f>
        <v>0</v>
      </c>
      <c r="AB745" s="554"/>
      <c r="AC745" s="526" t="str">
        <f t="shared" ref="AC745:AC755" si="238">IF(($C$7-AB745)/365&gt;2,"2년이상","2년미만")</f>
        <v>2년이상</v>
      </c>
      <c r="AD745" s="520" t="str">
        <f t="shared" ref="AD745:AD755" si="239">IF(OR(AA745&gt;20%,AA745&lt;-20%),"(1) Note 기재","")</f>
        <v/>
      </c>
      <c r="AE745" s="527">
        <f>IF(OR(T745="MTP",T745="과거거래 이용법",T745="취득원가 준용",T745="장부가액 준용",T745="상장종가 적용"),S745,IF(P745="주당",AG745*Q745*V745,Y745/10000*AG745*V745))</f>
        <v>0</v>
      </c>
      <c r="AF745" s="527">
        <f>IF(OR(T745="MTP",T745="과거거래 이용법",T745="취득원가 준용",T745="장부가액 준용",T745="상장종가 적용"),S745,IF(P745="주당",AH745*Q745*V745,Y745/10000*AH745*V745))</f>
        <v>0</v>
      </c>
      <c r="AG745" s="485"/>
      <c r="AH745" s="485"/>
      <c r="AI745" s="404"/>
    </row>
    <row r="746" spans="1:35" ht="12.75" thickBot="1">
      <c r="A746" s="492"/>
      <c r="B746" s="496"/>
      <c r="C746" s="486" t="s">
        <v>405</v>
      </c>
      <c r="D746" s="487">
        <f>SUMIF(FS!$AG$49:$AG$79,개요!$B$229&amp;RIGHT(NAV!C746,7),FS!$AJ$49:$AJ$79)</f>
        <v>0</v>
      </c>
      <c r="E746" s="487">
        <f>D746</f>
        <v>0</v>
      </c>
      <c r="J746" s="551"/>
      <c r="K746" s="552"/>
      <c r="L746" s="551"/>
      <c r="M746" s="553"/>
      <c r="N746" s="553"/>
      <c r="O746" s="551"/>
      <c r="P746" s="553"/>
      <c r="Q746" s="524"/>
      <c r="R746" s="478">
        <f>IFERROR(INDEX(기초자산!M$6:M$408,MATCH(K746&amp;N746&amp;O746,기초자산!$A$6:$A$408,0),0),0)</f>
        <v>0</v>
      </c>
      <c r="S746" s="479">
        <f t="shared" si="235"/>
        <v>0</v>
      </c>
      <c r="T746" s="553"/>
      <c r="U746" s="471" t="s">
        <v>94</v>
      </c>
      <c r="V746" s="480">
        <f>IF(U746="한국 원화(KRW)",1,IF(OR(U746=환율!$A$6,U746=환율!$A$7),VLOOKUP(NAV!U746,환율!$A$6:$B$7,2,),IF(RIGHT(U746,5)="(100)",(VLOOKUP(NAV!U746,환율!$A$11:$B$65,2,))/100,VLOOKUP(NAV!U746,환율!$A$11:$B$65,2,))))</f>
        <v>1</v>
      </c>
      <c r="W746" s="481"/>
      <c r="X746" s="482">
        <f t="shared" si="236"/>
        <v>0</v>
      </c>
      <c r="Y746" s="481"/>
      <c r="Z746" s="481"/>
      <c r="AA746" s="483">
        <f t="shared" si="237"/>
        <v>0</v>
      </c>
      <c r="AB746" s="554"/>
      <c r="AC746" s="526" t="str">
        <f t="shared" si="238"/>
        <v>2년이상</v>
      </c>
      <c r="AD746" s="520" t="str">
        <f t="shared" si="239"/>
        <v/>
      </c>
      <c r="AE746" s="527">
        <f t="shared" ref="AE746:AE755" si="240">IF(OR(T746="MTP",T746="과거거래 이용법",T746="취득원가 준용",T746="장부가액 준용",T746="상장종가 적용"),S746,IF(P746="주당",AG746*Q746*V746,Y746/10000*AG746*V746))</f>
        <v>0</v>
      </c>
      <c r="AF746" s="527">
        <f t="shared" ref="AF746:AF755" si="241">IF(OR(T746="MTP",T746="과거거래 이용법",T746="취득원가 준용",T746="장부가액 준용",T746="상장종가 적용"),S746,IF(P746="주당",AH746*Q746*V746,Y746/10000*AH746*V746))</f>
        <v>0</v>
      </c>
      <c r="AG746" s="485"/>
      <c r="AH746" s="485"/>
      <c r="AI746" s="404"/>
    </row>
    <row r="747" spans="1:35" ht="12.75" thickBot="1">
      <c r="A747" s="492"/>
      <c r="B747" s="496"/>
      <c r="C747" s="468" t="s">
        <v>21</v>
      </c>
      <c r="D747" s="469">
        <f>SUM(D748:D749)</f>
        <v>0</v>
      </c>
      <c r="E747" s="469">
        <f>SUM(E748:E749)</f>
        <v>0</v>
      </c>
      <c r="J747" s="551"/>
      <c r="K747" s="552"/>
      <c r="L747" s="551"/>
      <c r="M747" s="553"/>
      <c r="N747" s="553"/>
      <c r="O747" s="551"/>
      <c r="P747" s="553"/>
      <c r="Q747" s="524"/>
      <c r="R747" s="478">
        <f>IFERROR(INDEX(기초자산!M$6:M$408,MATCH(K747&amp;N747&amp;O747,기초자산!$A$6:$A$408,0),0),0)</f>
        <v>0</v>
      </c>
      <c r="S747" s="479">
        <f t="shared" si="235"/>
        <v>0</v>
      </c>
      <c r="T747" s="553"/>
      <c r="U747" s="471" t="s">
        <v>94</v>
      </c>
      <c r="V747" s="480">
        <f>IF(U747="한국 원화(KRW)",1,IF(OR(U747=환율!$A$6,U747=환율!$A$7),VLOOKUP(NAV!U747,환율!$A$6:$B$7,2,),IF(RIGHT(U747,5)="(100)",(VLOOKUP(NAV!U747,환율!$A$11:$B$65,2,))/100,VLOOKUP(NAV!U747,환율!$A$11:$B$65,2,))))</f>
        <v>1</v>
      </c>
      <c r="W747" s="481"/>
      <c r="X747" s="482">
        <f t="shared" si="236"/>
        <v>0</v>
      </c>
      <c r="Y747" s="481"/>
      <c r="Z747" s="481"/>
      <c r="AA747" s="483">
        <f t="shared" si="237"/>
        <v>0</v>
      </c>
      <c r="AB747" s="554"/>
      <c r="AC747" s="526" t="str">
        <f t="shared" si="238"/>
        <v>2년이상</v>
      </c>
      <c r="AD747" s="520" t="str">
        <f t="shared" si="239"/>
        <v/>
      </c>
      <c r="AE747" s="527">
        <f t="shared" si="240"/>
        <v>0</v>
      </c>
      <c r="AF747" s="527">
        <f t="shared" si="241"/>
        <v>0</v>
      </c>
      <c r="AG747" s="485"/>
      <c r="AH747" s="485"/>
      <c r="AI747" s="404"/>
    </row>
    <row r="748" spans="1:35" ht="12.75" thickBot="1">
      <c r="A748" s="492"/>
      <c r="B748" s="496"/>
      <c r="C748" s="486" t="s">
        <v>406</v>
      </c>
      <c r="D748" s="487">
        <f>SUMIF(FS!$AG$49:$AG$79,개요!$B$229&amp;RIGHT(NAV!C748,3),FS!$AJ$49:$AJ$79)</f>
        <v>0</v>
      </c>
      <c r="E748" s="487">
        <f>D748</f>
        <v>0</v>
      </c>
      <c r="J748" s="551"/>
      <c r="K748" s="552"/>
      <c r="L748" s="551"/>
      <c r="M748" s="553"/>
      <c r="N748" s="553"/>
      <c r="O748" s="551"/>
      <c r="P748" s="553"/>
      <c r="Q748" s="524"/>
      <c r="R748" s="478">
        <f>IFERROR(INDEX(기초자산!M$6:M$408,MATCH(K748&amp;N748&amp;O748,기초자산!$A$6:$A$408,0),0),0)</f>
        <v>0</v>
      </c>
      <c r="S748" s="479">
        <f t="shared" si="235"/>
        <v>0</v>
      </c>
      <c r="T748" s="553"/>
      <c r="U748" s="471" t="s">
        <v>94</v>
      </c>
      <c r="V748" s="480">
        <f>IF(U748="한국 원화(KRW)",1,IF(OR(U748=환율!$A$6,U748=환율!$A$7),VLOOKUP(NAV!U748,환율!$A$6:$B$7,2,),IF(RIGHT(U748,5)="(100)",(VLOOKUP(NAV!U748,환율!$A$11:$B$65,2,))/100,VLOOKUP(NAV!U748,환율!$A$11:$B$65,2,))))</f>
        <v>1</v>
      </c>
      <c r="W748" s="481"/>
      <c r="X748" s="482">
        <f t="shared" si="236"/>
        <v>0</v>
      </c>
      <c r="Y748" s="481"/>
      <c r="Z748" s="481"/>
      <c r="AA748" s="483">
        <f t="shared" si="237"/>
        <v>0</v>
      </c>
      <c r="AB748" s="554"/>
      <c r="AC748" s="526" t="str">
        <f t="shared" si="238"/>
        <v>2년이상</v>
      </c>
      <c r="AD748" s="520" t="str">
        <f t="shared" si="239"/>
        <v/>
      </c>
      <c r="AE748" s="527">
        <f t="shared" si="240"/>
        <v>0</v>
      </c>
      <c r="AF748" s="527">
        <f t="shared" si="241"/>
        <v>0</v>
      </c>
      <c r="AG748" s="485"/>
      <c r="AH748" s="485"/>
      <c r="AI748" s="404"/>
    </row>
    <row r="749" spans="1:35" ht="12.75" thickBot="1">
      <c r="A749" s="492"/>
      <c r="B749" s="496"/>
      <c r="C749" s="486" t="s">
        <v>407</v>
      </c>
      <c r="D749" s="487">
        <f>SUMIF(FS!$AG$49:$AG$79,개요!$B$229&amp;RIGHT(NAV!C749,4),FS!$AJ$49:$AJ$79)</f>
        <v>0</v>
      </c>
      <c r="E749" s="487">
        <f>D749</f>
        <v>0</v>
      </c>
      <c r="J749" s="551"/>
      <c r="K749" s="552"/>
      <c r="L749" s="551"/>
      <c r="M749" s="553"/>
      <c r="N749" s="553"/>
      <c r="O749" s="551"/>
      <c r="P749" s="553"/>
      <c r="Q749" s="524"/>
      <c r="R749" s="478">
        <f>IFERROR(INDEX(기초자산!M$6:M$408,MATCH(K749&amp;N749&amp;O749,기초자산!$A$6:$A$408,0),0),0)</f>
        <v>0</v>
      </c>
      <c r="S749" s="479">
        <f t="shared" si="235"/>
        <v>0</v>
      </c>
      <c r="T749" s="553"/>
      <c r="U749" s="471" t="s">
        <v>94</v>
      </c>
      <c r="V749" s="480">
        <f>IF(U749="한국 원화(KRW)",1,IF(OR(U749=환율!$A$6,U749=환율!$A$7),VLOOKUP(NAV!U749,환율!$A$6:$B$7,2,),IF(RIGHT(U749,5)="(100)",(VLOOKUP(NAV!U749,환율!$A$11:$B$65,2,))/100,VLOOKUP(NAV!U749,환율!$A$11:$B$65,2,))))</f>
        <v>1</v>
      </c>
      <c r="W749" s="481"/>
      <c r="X749" s="482">
        <f t="shared" si="236"/>
        <v>0</v>
      </c>
      <c r="Y749" s="481"/>
      <c r="Z749" s="481"/>
      <c r="AA749" s="483">
        <f t="shared" si="237"/>
        <v>0</v>
      </c>
      <c r="AB749" s="554"/>
      <c r="AC749" s="526" t="str">
        <f t="shared" si="238"/>
        <v>2년이상</v>
      </c>
      <c r="AD749" s="520" t="str">
        <f t="shared" si="239"/>
        <v/>
      </c>
      <c r="AE749" s="527">
        <f t="shared" si="240"/>
        <v>0</v>
      </c>
      <c r="AF749" s="527">
        <f t="shared" si="241"/>
        <v>0</v>
      </c>
      <c r="AG749" s="485"/>
      <c r="AH749" s="485"/>
      <c r="AI749" s="404"/>
    </row>
    <row r="750" spans="1:35" ht="12.75" thickBot="1">
      <c r="A750" s="489" t="s">
        <v>408</v>
      </c>
      <c r="B750" s="498" t="b">
        <f>D743+D744+D745+D746+D748+D749=D750</f>
        <v>1</v>
      </c>
      <c r="C750" s="493" t="s">
        <v>477</v>
      </c>
      <c r="D750" s="494">
        <f>D742+D747</f>
        <v>0</v>
      </c>
      <c r="E750" s="494">
        <f>E742+E747</f>
        <v>0</v>
      </c>
      <c r="J750" s="551"/>
      <c r="K750" s="552"/>
      <c r="L750" s="551"/>
      <c r="M750" s="553"/>
      <c r="N750" s="553"/>
      <c r="O750" s="551"/>
      <c r="P750" s="553"/>
      <c r="Q750" s="524"/>
      <c r="R750" s="478">
        <f>IFERROR(INDEX(기초자산!M$6:M$408,MATCH(K750&amp;N750&amp;O750,기초자산!$A$6:$A$408,0),0),0)</f>
        <v>0</v>
      </c>
      <c r="S750" s="479">
        <f t="shared" si="235"/>
        <v>0</v>
      </c>
      <c r="T750" s="553"/>
      <c r="U750" s="471" t="s">
        <v>94</v>
      </c>
      <c r="V750" s="480">
        <f>IF(U750="한국 원화(KRW)",1,IF(OR(U750=환율!$A$6,U750=환율!$A$7),VLOOKUP(NAV!U750,환율!$A$6:$B$7,2,),IF(RIGHT(U750,5)="(100)",(VLOOKUP(NAV!U750,환율!$A$11:$B$65,2,))/100,VLOOKUP(NAV!U750,환율!$A$11:$B$65,2,))))</f>
        <v>1</v>
      </c>
      <c r="W750" s="481"/>
      <c r="X750" s="482">
        <f t="shared" si="236"/>
        <v>0</v>
      </c>
      <c r="Y750" s="481"/>
      <c r="Z750" s="481"/>
      <c r="AA750" s="483">
        <f t="shared" si="237"/>
        <v>0</v>
      </c>
      <c r="AB750" s="554"/>
      <c r="AC750" s="526" t="str">
        <f t="shared" si="238"/>
        <v>2년이상</v>
      </c>
      <c r="AD750" s="520" t="str">
        <f t="shared" si="239"/>
        <v/>
      </c>
      <c r="AE750" s="527">
        <f t="shared" si="240"/>
        <v>0</v>
      </c>
      <c r="AF750" s="527">
        <f t="shared" si="241"/>
        <v>0</v>
      </c>
      <c r="AG750" s="485"/>
      <c r="AH750" s="485"/>
      <c r="AI750" s="404"/>
    </row>
    <row r="751" spans="1:35" ht="12.75" thickBot="1">
      <c r="A751" s="492"/>
      <c r="B751" s="555" t="str">
        <f>B731&amp;C751</f>
        <v>SPC없음자본금</v>
      </c>
      <c r="C751" s="486" t="s">
        <v>35</v>
      </c>
      <c r="D751" s="487">
        <f>SUMIF(FS!$AG$49:$AG$79,개요!$B$229&amp;RIGHT(NAV!C751,3),FS!$AJ$49:$AJ$79)</f>
        <v>0</v>
      </c>
      <c r="E751" s="487">
        <f>D751</f>
        <v>0</v>
      </c>
      <c r="J751" s="551"/>
      <c r="K751" s="552"/>
      <c r="L751" s="551"/>
      <c r="M751" s="553"/>
      <c r="N751" s="553"/>
      <c r="O751" s="551"/>
      <c r="P751" s="553"/>
      <c r="Q751" s="524"/>
      <c r="R751" s="478">
        <f>IFERROR(INDEX(기초자산!M$6:M$408,MATCH(K751&amp;N751&amp;O751,기초자산!$A$6:$A$408,0),0),0)</f>
        <v>0</v>
      </c>
      <c r="S751" s="479">
        <f t="shared" si="235"/>
        <v>0</v>
      </c>
      <c r="T751" s="553"/>
      <c r="U751" s="471" t="s">
        <v>94</v>
      </c>
      <c r="V751" s="480">
        <f>IF(U751="한국 원화(KRW)",1,IF(OR(U751=환율!$A$6,U751=환율!$A$7),VLOOKUP(NAV!U751,환율!$A$6:$B$7,2,),IF(RIGHT(U751,5)="(100)",(VLOOKUP(NAV!U751,환율!$A$11:$B$65,2,))/100,VLOOKUP(NAV!U751,환율!$A$11:$B$65,2,))))</f>
        <v>1</v>
      </c>
      <c r="W751" s="481"/>
      <c r="X751" s="482">
        <f t="shared" si="236"/>
        <v>0</v>
      </c>
      <c r="Y751" s="481"/>
      <c r="Z751" s="481"/>
      <c r="AA751" s="483">
        <f t="shared" si="237"/>
        <v>0</v>
      </c>
      <c r="AB751" s="554"/>
      <c r="AC751" s="526" t="str">
        <f t="shared" si="238"/>
        <v>2년이상</v>
      </c>
      <c r="AD751" s="520" t="str">
        <f t="shared" si="239"/>
        <v/>
      </c>
      <c r="AE751" s="527">
        <f t="shared" si="240"/>
        <v>0</v>
      </c>
      <c r="AF751" s="527">
        <f t="shared" si="241"/>
        <v>0</v>
      </c>
      <c r="AG751" s="485"/>
      <c r="AH751" s="485"/>
      <c r="AI751" s="404"/>
    </row>
    <row r="752" spans="1:35" ht="12.75" thickBot="1">
      <c r="C752" s="486" t="s">
        <v>409</v>
      </c>
      <c r="D752" s="487">
        <f>SUMIF(FS!$AG$49:$AG$79,개요!$B$229&amp;RIGHT(NAV!C752,10),FS!$AJ$49:$AJ$79)</f>
        <v>0</v>
      </c>
      <c r="E752" s="487">
        <f>D752</f>
        <v>0</v>
      </c>
      <c r="J752" s="551"/>
      <c r="K752" s="552"/>
      <c r="L752" s="551"/>
      <c r="M752" s="553"/>
      <c r="N752" s="553"/>
      <c r="O752" s="551"/>
      <c r="P752" s="553"/>
      <c r="Q752" s="524"/>
      <c r="R752" s="478">
        <f>IFERROR(INDEX(기초자산!M$6:M$408,MATCH(K752&amp;N752&amp;O752,기초자산!$A$6:$A$408,0),0),0)</f>
        <v>0</v>
      </c>
      <c r="S752" s="479">
        <f t="shared" si="235"/>
        <v>0</v>
      </c>
      <c r="T752" s="553"/>
      <c r="U752" s="471" t="s">
        <v>94</v>
      </c>
      <c r="V752" s="480">
        <f>IF(U752="한국 원화(KRW)",1,IF(OR(U752=환율!$A$6,U752=환율!$A$7),VLOOKUP(NAV!U752,환율!$A$6:$B$7,2,),IF(RIGHT(U752,5)="(100)",(VLOOKUP(NAV!U752,환율!$A$11:$B$65,2,))/100,VLOOKUP(NAV!U752,환율!$A$11:$B$65,2,))))</f>
        <v>1</v>
      </c>
      <c r="W752" s="481"/>
      <c r="X752" s="482">
        <f t="shared" si="236"/>
        <v>0</v>
      </c>
      <c r="Y752" s="481"/>
      <c r="Z752" s="481"/>
      <c r="AA752" s="483">
        <f t="shared" si="237"/>
        <v>0</v>
      </c>
      <c r="AB752" s="554"/>
      <c r="AC752" s="526" t="str">
        <f t="shared" si="238"/>
        <v>2년이상</v>
      </c>
      <c r="AD752" s="520" t="str">
        <f t="shared" si="239"/>
        <v/>
      </c>
      <c r="AE752" s="527">
        <f t="shared" si="240"/>
        <v>0</v>
      </c>
      <c r="AF752" s="527">
        <f t="shared" si="241"/>
        <v>0</v>
      </c>
      <c r="AG752" s="485"/>
      <c r="AH752" s="485"/>
      <c r="AI752" s="404"/>
    </row>
    <row r="753" spans="1:35" ht="12.75" thickBot="1">
      <c r="A753" s="489"/>
      <c r="B753" s="415"/>
      <c r="C753" s="486" t="s">
        <v>410</v>
      </c>
      <c r="D753" s="487">
        <f>SUMIF(FS!$AG$49:$AG$79,개요!$B$229&amp;RIGHT(NAV!C753,8),FS!$AJ$49:$AJ$79)</f>
        <v>0</v>
      </c>
      <c r="E753" s="487">
        <f>D753</f>
        <v>0</v>
      </c>
      <c r="J753" s="551"/>
      <c r="K753" s="552"/>
      <c r="L753" s="551"/>
      <c r="M753" s="553"/>
      <c r="N753" s="553"/>
      <c r="O753" s="551"/>
      <c r="P753" s="553"/>
      <c r="Q753" s="524"/>
      <c r="R753" s="478">
        <f>IFERROR(INDEX(기초자산!M$6:M$408,MATCH(K753&amp;N753&amp;O753,기초자산!$A$6:$A$408,0),0),0)</f>
        <v>0</v>
      </c>
      <c r="S753" s="479">
        <f t="shared" si="235"/>
        <v>0</v>
      </c>
      <c r="T753" s="553"/>
      <c r="U753" s="471" t="s">
        <v>94</v>
      </c>
      <c r="V753" s="480">
        <f>IF(U753="한국 원화(KRW)",1,IF(OR(U753=환율!$A$6,U753=환율!$A$7),VLOOKUP(NAV!U753,환율!$A$6:$B$7,2,),IF(RIGHT(U753,5)="(100)",(VLOOKUP(NAV!U753,환율!$A$11:$B$65,2,))/100,VLOOKUP(NAV!U753,환율!$A$11:$B$65,2,))))</f>
        <v>1</v>
      </c>
      <c r="W753" s="481"/>
      <c r="X753" s="482">
        <f t="shared" si="236"/>
        <v>0</v>
      </c>
      <c r="Y753" s="481"/>
      <c r="Z753" s="481"/>
      <c r="AA753" s="483">
        <f t="shared" si="237"/>
        <v>0</v>
      </c>
      <c r="AB753" s="554"/>
      <c r="AC753" s="526" t="str">
        <f t="shared" si="238"/>
        <v>2년이상</v>
      </c>
      <c r="AD753" s="520" t="str">
        <f t="shared" si="239"/>
        <v/>
      </c>
      <c r="AE753" s="527">
        <f t="shared" si="240"/>
        <v>0</v>
      </c>
      <c r="AF753" s="527">
        <f t="shared" si="241"/>
        <v>0</v>
      </c>
      <c r="AG753" s="485"/>
      <c r="AH753" s="485"/>
      <c r="AI753" s="404"/>
    </row>
    <row r="754" spans="1:35" ht="12.75" thickBot="1">
      <c r="A754" s="489" t="s">
        <v>411</v>
      </c>
      <c r="B754" s="415" t="b">
        <f>D754=SUM(D751:D753)</f>
        <v>1</v>
      </c>
      <c r="C754" s="493" t="s">
        <v>412</v>
      </c>
      <c r="D754" s="494">
        <f>D741-D750</f>
        <v>0</v>
      </c>
      <c r="E754" s="494">
        <f>E741-E750</f>
        <v>0</v>
      </c>
      <c r="J754" s="551"/>
      <c r="K754" s="552"/>
      <c r="L754" s="551"/>
      <c r="M754" s="553"/>
      <c r="N754" s="553"/>
      <c r="O754" s="551"/>
      <c r="P754" s="553"/>
      <c r="Q754" s="524"/>
      <c r="R754" s="478">
        <f>IFERROR(INDEX(기초자산!M$6:M$408,MATCH(K754&amp;N754&amp;O754,기초자산!$A$6:$A$408,0),0),0)</f>
        <v>0</v>
      </c>
      <c r="S754" s="479">
        <f t="shared" si="235"/>
        <v>0</v>
      </c>
      <c r="T754" s="553"/>
      <c r="U754" s="471" t="s">
        <v>94</v>
      </c>
      <c r="V754" s="480">
        <f>IF(U754="한국 원화(KRW)",1,IF(OR(U754=환율!$A$6,U754=환율!$A$7),VLOOKUP(NAV!U754,환율!$A$6:$B$7,2,),IF(RIGHT(U754,5)="(100)",(VLOOKUP(NAV!U754,환율!$A$11:$B$65,2,))/100,VLOOKUP(NAV!U754,환율!$A$11:$B$65,2,))))</f>
        <v>1</v>
      </c>
      <c r="W754" s="481"/>
      <c r="X754" s="482">
        <f t="shared" si="236"/>
        <v>0</v>
      </c>
      <c r="Y754" s="481"/>
      <c r="Z754" s="481"/>
      <c r="AA754" s="483">
        <f t="shared" si="237"/>
        <v>0</v>
      </c>
      <c r="AB754" s="554"/>
      <c r="AC754" s="526" t="str">
        <f t="shared" si="238"/>
        <v>2년이상</v>
      </c>
      <c r="AD754" s="520" t="str">
        <f t="shared" si="239"/>
        <v/>
      </c>
      <c r="AE754" s="527">
        <f t="shared" si="240"/>
        <v>0</v>
      </c>
      <c r="AF754" s="527">
        <f t="shared" si="241"/>
        <v>0</v>
      </c>
      <c r="AG754" s="485"/>
      <c r="AH754" s="485"/>
      <c r="AI754" s="404"/>
    </row>
    <row r="755" spans="1:35" ht="12.75" thickBot="1">
      <c r="A755" s="489"/>
      <c r="B755" s="415"/>
      <c r="C755" s="486" t="s">
        <v>478</v>
      </c>
      <c r="D755" s="487">
        <v>0</v>
      </c>
      <c r="E755" s="499">
        <v>0</v>
      </c>
      <c r="J755" s="551"/>
      <c r="K755" s="552"/>
      <c r="L755" s="551"/>
      <c r="M755" s="553"/>
      <c r="N755" s="553"/>
      <c r="O755" s="551"/>
      <c r="P755" s="553"/>
      <c r="Q755" s="524"/>
      <c r="R755" s="478">
        <f>IFERROR(INDEX(기초자산!M$6:M$408,MATCH(K755&amp;N755&amp;O755,기초자산!$A$6:$A$408,0),0),0)</f>
        <v>0</v>
      </c>
      <c r="S755" s="479">
        <f t="shared" si="235"/>
        <v>0</v>
      </c>
      <c r="T755" s="553"/>
      <c r="U755" s="471" t="s">
        <v>94</v>
      </c>
      <c r="V755" s="480">
        <f>IF(U755="한국 원화(KRW)",1,IF(OR(U755=환율!$A$6,U755=환율!$A$7),VLOOKUP(NAV!U755,환율!$A$6:$B$7,2,),IF(RIGHT(U755,5)="(100)",(VLOOKUP(NAV!U755,환율!$A$11:$B$65,2,))/100,VLOOKUP(NAV!U755,환율!$A$11:$B$65,2,))))</f>
        <v>1</v>
      </c>
      <c r="W755" s="481"/>
      <c r="X755" s="482">
        <f t="shared" si="236"/>
        <v>0</v>
      </c>
      <c r="Y755" s="481"/>
      <c r="Z755" s="481"/>
      <c r="AA755" s="483">
        <f t="shared" si="237"/>
        <v>0</v>
      </c>
      <c r="AB755" s="554"/>
      <c r="AC755" s="526" t="str">
        <f t="shared" si="238"/>
        <v>2년이상</v>
      </c>
      <c r="AD755" s="520" t="str">
        <f t="shared" si="239"/>
        <v/>
      </c>
      <c r="AE755" s="527">
        <f t="shared" si="240"/>
        <v>0</v>
      </c>
      <c r="AF755" s="527">
        <f t="shared" si="241"/>
        <v>0</v>
      </c>
      <c r="AG755" s="485"/>
      <c r="AH755" s="485"/>
      <c r="AI755" s="404"/>
    </row>
    <row r="756" spans="1:35">
      <c r="A756" s="489"/>
      <c r="B756" s="415"/>
      <c r="C756" s="486" t="s">
        <v>414</v>
      </c>
      <c r="D756" s="487">
        <v>0</v>
      </c>
      <c r="E756" s="499">
        <v>0</v>
      </c>
      <c r="J756" s="495"/>
      <c r="K756" s="415"/>
      <c r="L756" s="495"/>
      <c r="M756" s="415"/>
      <c r="N756" s="415"/>
      <c r="O756" s="415"/>
      <c r="P756" s="415"/>
      <c r="Q756" s="422"/>
      <c r="R756" s="415"/>
      <c r="S756" s="415"/>
      <c r="T756" s="415"/>
      <c r="U756" s="415"/>
      <c r="V756" s="415"/>
      <c r="W756" s="422"/>
      <c r="X756" s="415"/>
      <c r="Y756" s="458"/>
      <c r="Z756" s="422"/>
      <c r="AA756" s="556"/>
      <c r="AB756" s="556"/>
      <c r="AC756" s="415"/>
      <c r="AE756" s="415"/>
      <c r="AI756" s="404"/>
    </row>
    <row r="757" spans="1:35">
      <c r="A757" s="489"/>
      <c r="B757" s="415"/>
      <c r="C757" s="493" t="s">
        <v>415</v>
      </c>
      <c r="D757" s="494">
        <f>D754+D755-D756</f>
        <v>0</v>
      </c>
      <c r="E757" s="494">
        <f>IF(E754+E755-E756&gt;0,E754+E755-E756,0)</f>
        <v>0</v>
      </c>
      <c r="J757" s="305"/>
      <c r="K757" s="415"/>
      <c r="L757" s="305"/>
      <c r="M757" s="415"/>
      <c r="N757" s="415"/>
      <c r="O757" s="415"/>
      <c r="S757" s="415"/>
      <c r="T757" s="415"/>
      <c r="U757" s="415"/>
      <c r="V757" s="415"/>
      <c r="Y757" s="458"/>
      <c r="AD757" s="557" t="str">
        <f>B731&amp;"순자산가치"</f>
        <v>SPC없음순자산가치</v>
      </c>
      <c r="AE757" s="529">
        <f>IF(E737+SUM(AE737:AE742)+SUM(AE745:AE755)-E750&gt;0,E737+SUM(AE737:AE742)+SUM(AE745:AE755)-E750,0)</f>
        <v>0</v>
      </c>
      <c r="AF757" s="529">
        <f>IF(E737+SUM(AF737:AF742)+SUM(AF745:AF755)-E750&gt;0,E737+SUM(AF737:AF742)+SUM(AF745:AF755)-E750,0)</f>
        <v>0</v>
      </c>
      <c r="AI757" s="404"/>
    </row>
    <row r="758" spans="1:35">
      <c r="A758" s="489"/>
      <c r="B758" s="558" t="str">
        <f>B731&amp;C758</f>
        <v>SPC없음보유지분율(%)</v>
      </c>
      <c r="C758" s="493" t="s">
        <v>416</v>
      </c>
      <c r="D758" s="559">
        <f>개요!$C$238</f>
        <v>0</v>
      </c>
      <c r="E758" s="494">
        <f>E757*D758</f>
        <v>0</v>
      </c>
      <c r="F758" s="560" t="s">
        <v>417</v>
      </c>
      <c r="G758" s="560"/>
      <c r="J758" s="495"/>
      <c r="K758" s="415"/>
      <c r="L758" s="495"/>
      <c r="M758" s="415"/>
      <c r="N758" s="415"/>
      <c r="O758" s="415"/>
      <c r="S758" s="415"/>
      <c r="T758" s="415"/>
      <c r="U758" s="415"/>
      <c r="V758" s="415"/>
      <c r="Y758" s="458"/>
      <c r="AD758" s="557" t="s">
        <v>272</v>
      </c>
      <c r="AE758" s="561">
        <f>$D758</f>
        <v>0</v>
      </c>
      <c r="AF758" s="561">
        <f>$D758</f>
        <v>0</v>
      </c>
      <c r="AI758" s="404"/>
    </row>
    <row r="759" spans="1:35">
      <c r="A759" s="489"/>
      <c r="B759" s="415"/>
      <c r="G759" s="503" t="s">
        <v>419</v>
      </c>
      <c r="I759" s="562"/>
      <c r="J759" s="495"/>
      <c r="K759" s="415"/>
      <c r="L759" s="495"/>
      <c r="M759" s="415"/>
      <c r="N759" s="415"/>
      <c r="O759" s="415"/>
      <c r="S759" s="415"/>
      <c r="T759" s="415"/>
      <c r="U759" s="415"/>
      <c r="V759" s="415"/>
      <c r="Y759" s="458"/>
      <c r="AD759" s="557" t="str">
        <f>B731&amp;"지분율 반영 순자산가치"</f>
        <v>SPC없음지분율 반영 순자산가치</v>
      </c>
      <c r="AE759" s="529">
        <f>AE757*AE758</f>
        <v>0</v>
      </c>
      <c r="AF759" s="529">
        <f>AF757*AF758</f>
        <v>0</v>
      </c>
      <c r="AI759" s="404"/>
    </row>
    <row r="760" spans="1:35">
      <c r="A760" s="489"/>
      <c r="D760" s="504" t="s">
        <v>615</v>
      </c>
      <c r="E760" s="505">
        <f>$C$7</f>
        <v>45473</v>
      </c>
      <c r="F760" s="506"/>
      <c r="G760" s="505"/>
      <c r="I760" s="563"/>
      <c r="J760" s="495"/>
      <c r="K760" s="415"/>
      <c r="L760" s="495"/>
      <c r="M760" s="415"/>
      <c r="N760" s="415"/>
      <c r="O760" s="415"/>
      <c r="S760" s="415"/>
      <c r="T760" s="415"/>
      <c r="U760" s="415"/>
      <c r="V760" s="415"/>
      <c r="Y760" s="422"/>
      <c r="AI760" s="404"/>
    </row>
    <row r="761" spans="1:35">
      <c r="D761" s="486" t="s">
        <v>412</v>
      </c>
      <c r="E761" s="487">
        <f>E757</f>
        <v>0</v>
      </c>
      <c r="F761" s="507" t="e">
        <f>E761/G761-1</f>
        <v>#DIV/0!</v>
      </c>
      <c r="G761" s="487"/>
      <c r="I761" s="564"/>
      <c r="J761" s="495"/>
      <c r="K761" s="415"/>
      <c r="L761" s="495"/>
      <c r="M761" s="415"/>
      <c r="S761" s="415"/>
      <c r="T761" s="415"/>
      <c r="U761" s="415"/>
      <c r="V761" s="415"/>
      <c r="Y761" s="422"/>
      <c r="AI761" s="404"/>
    </row>
    <row r="762" spans="1:35">
      <c r="A762" s="489"/>
      <c r="B762" s="415"/>
      <c r="D762" s="486" t="s">
        <v>418</v>
      </c>
      <c r="E762" s="565">
        <f>$D$758</f>
        <v>0</v>
      </c>
      <c r="F762" s="507"/>
      <c r="G762" s="565"/>
      <c r="I762" s="566"/>
      <c r="J762" s="305"/>
      <c r="K762" s="415"/>
      <c r="L762" s="305"/>
      <c r="M762" s="415"/>
      <c r="S762" s="415"/>
      <c r="T762" s="415"/>
      <c r="U762" s="415"/>
      <c r="V762" s="415"/>
      <c r="Y762" s="422"/>
      <c r="AI762" s="404"/>
    </row>
    <row r="763" spans="1:35">
      <c r="A763" s="489"/>
      <c r="B763" s="415"/>
      <c r="D763" s="567" t="s">
        <v>420</v>
      </c>
      <c r="E763" s="568">
        <f>E761*E762</f>
        <v>0</v>
      </c>
      <c r="F763" s="507" t="e">
        <f>E763/G763-1</f>
        <v>#DIV/0!</v>
      </c>
      <c r="G763" s="568"/>
      <c r="I763" s="564"/>
      <c r="AI763" s="404"/>
    </row>
    <row r="764" spans="1:35">
      <c r="E764" s="304" t="b">
        <f>E763=E758</f>
        <v>1</v>
      </c>
      <c r="AI764" s="404"/>
    </row>
    <row r="765" spans="1:35">
      <c r="F765" s="507"/>
      <c r="G765" s="507"/>
      <c r="AI765" s="404"/>
    </row>
    <row r="766" spans="1:35" ht="12.75" thickBot="1">
      <c r="A766" s="536"/>
      <c r="B766" s="536"/>
      <c r="C766" s="536"/>
      <c r="D766" s="536"/>
      <c r="E766" s="536"/>
      <c r="F766" s="572"/>
      <c r="G766" s="572"/>
      <c r="H766" s="536"/>
      <c r="I766" s="537"/>
      <c r="J766" s="536"/>
      <c r="K766" s="536"/>
      <c r="L766" s="536"/>
      <c r="M766" s="536"/>
      <c r="N766" s="536"/>
      <c r="O766" s="536"/>
      <c r="P766" s="536"/>
      <c r="Q766" s="540"/>
      <c r="R766" s="536"/>
      <c r="S766" s="536"/>
      <c r="T766" s="536"/>
      <c r="U766" s="536"/>
      <c r="V766" s="536"/>
      <c r="W766" s="540"/>
      <c r="X766" s="536"/>
      <c r="Y766" s="540"/>
      <c r="Z766" s="540"/>
      <c r="AA766" s="536"/>
      <c r="AB766" s="536"/>
      <c r="AC766" s="536"/>
      <c r="AD766" s="541"/>
      <c r="AE766" s="536"/>
      <c r="AF766" s="536"/>
      <c r="AG766" s="536"/>
      <c r="AH766" s="536"/>
      <c r="AI766" s="404"/>
    </row>
    <row r="767" spans="1:35" ht="12.75" thickTop="1">
      <c r="F767" s="507"/>
      <c r="G767" s="507"/>
      <c r="AI767" s="404"/>
    </row>
    <row r="768" spans="1:35" ht="12.75" thickBot="1">
      <c r="A768" s="459"/>
      <c r="B768" s="415"/>
      <c r="J768" s="428" t="s">
        <v>273</v>
      </c>
      <c r="K768" s="489"/>
      <c r="L768" s="497"/>
      <c r="M768" s="489"/>
      <c r="N768" s="415"/>
      <c r="O768" s="415"/>
      <c r="AI768" s="404"/>
    </row>
    <row r="769" spans="1:35" ht="12.75" thickBot="1">
      <c r="A769" s="542" t="s">
        <v>719</v>
      </c>
      <c r="B769" s="543" t="str">
        <f>IF(개요!$B$241="","SPC없음",개요!$B$241)</f>
        <v>SPC없음</v>
      </c>
      <c r="C769" s="454"/>
      <c r="J769" s="433"/>
      <c r="K769" s="434"/>
      <c r="L769" s="434"/>
      <c r="M769" s="434"/>
      <c r="N769" s="434"/>
      <c r="O769" s="434"/>
      <c r="P769" s="434"/>
      <c r="Q769" s="435"/>
      <c r="R769" s="434"/>
      <c r="S769" s="434"/>
      <c r="T769" s="434"/>
      <c r="U769" s="434"/>
      <c r="V769" s="436"/>
      <c r="AI769" s="404"/>
    </row>
    <row r="770" spans="1:35">
      <c r="B770" s="543" t="s">
        <v>369</v>
      </c>
      <c r="C770" s="569" t="str">
        <f>IF(개요!$C$242="","SPC없음",개요!$C$242)</f>
        <v>SPC없음</v>
      </c>
      <c r="J770" s="442"/>
      <c r="K770" s="151"/>
      <c r="L770" s="151"/>
      <c r="M770" s="151"/>
      <c r="N770" s="151"/>
      <c r="O770" s="151"/>
      <c r="P770" s="151"/>
      <c r="Q770" s="443"/>
      <c r="R770" s="151"/>
      <c r="S770" s="151"/>
      <c r="T770" s="151"/>
      <c r="U770" s="151"/>
      <c r="V770" s="444"/>
      <c r="AI770" s="404"/>
    </row>
    <row r="771" spans="1:35">
      <c r="B771" s="437" t="s">
        <v>370</v>
      </c>
      <c r="C771" s="570">
        <f>$C$7</f>
        <v>45473</v>
      </c>
      <c r="D771" s="546" t="b">
        <f>C771&gt;=C772</f>
        <v>1</v>
      </c>
      <c r="J771" s="442"/>
      <c r="K771" s="151"/>
      <c r="L771" s="151"/>
      <c r="M771" s="151"/>
      <c r="N771" s="151"/>
      <c r="O771" s="151"/>
      <c r="P771" s="151"/>
      <c r="Q771" s="443"/>
      <c r="R771" s="151"/>
      <c r="S771" s="151"/>
      <c r="T771" s="151"/>
      <c r="U771" s="151"/>
      <c r="V771" s="444"/>
      <c r="AI771" s="404"/>
    </row>
    <row r="772" spans="1:35" ht="12.75" thickBot="1">
      <c r="B772" s="449" t="s">
        <v>371</v>
      </c>
      <c r="C772" s="571">
        <f>FS!$AP$48</f>
        <v>0</v>
      </c>
      <c r="J772" s="453"/>
      <c r="K772" s="454"/>
      <c r="L772" s="454"/>
      <c r="M772" s="454"/>
      <c r="N772" s="454"/>
      <c r="O772" s="454"/>
      <c r="P772" s="454"/>
      <c r="Q772" s="455"/>
      <c r="R772" s="454"/>
      <c r="S772" s="454"/>
      <c r="T772" s="454"/>
      <c r="U772" s="454"/>
      <c r="V772" s="456"/>
      <c r="AI772" s="404"/>
    </row>
    <row r="773" spans="1:35">
      <c r="A773" s="459"/>
      <c r="J773" s="428" t="s">
        <v>372</v>
      </c>
      <c r="K773" s="448"/>
      <c r="L773" s="420"/>
      <c r="M773" s="448"/>
      <c r="N773" s="448"/>
      <c r="O773" s="448"/>
      <c r="P773" s="415"/>
      <c r="Q773" s="422"/>
      <c r="R773" s="415"/>
      <c r="S773" s="415"/>
      <c r="T773" s="415"/>
      <c r="U773" s="415"/>
      <c r="V773" s="415"/>
      <c r="W773" s="422"/>
      <c r="Z773" s="458"/>
      <c r="AE773" s="803" t="s">
        <v>8</v>
      </c>
      <c r="AF773" s="803"/>
      <c r="AG773" s="460"/>
      <c r="AH773" s="460"/>
      <c r="AI773" s="404"/>
    </row>
    <row r="774" spans="1:35" ht="12.75" thickBot="1">
      <c r="A774" s="461" t="str">
        <f>IF(AND(B775:B801),"검증완료","검증필요")</f>
        <v>검증완료</v>
      </c>
      <c r="B774" s="462" t="s">
        <v>373</v>
      </c>
      <c r="C774" s="462" t="s">
        <v>9</v>
      </c>
      <c r="D774" s="462" t="s">
        <v>10</v>
      </c>
      <c r="E774" s="462" t="s">
        <v>11</v>
      </c>
      <c r="J774" s="462" t="s">
        <v>375</v>
      </c>
      <c r="K774" s="464" t="s">
        <v>0</v>
      </c>
      <c r="L774" s="462" t="s">
        <v>369</v>
      </c>
      <c r="M774" s="462" t="s">
        <v>456</v>
      </c>
      <c r="N774" s="462" t="s">
        <v>378</v>
      </c>
      <c r="O774" s="462" t="s">
        <v>1</v>
      </c>
      <c r="P774" s="464" t="s">
        <v>380</v>
      </c>
      <c r="Q774" s="465" t="s">
        <v>14</v>
      </c>
      <c r="R774" s="466" t="s">
        <v>381</v>
      </c>
      <c r="S774" s="466" t="s">
        <v>382</v>
      </c>
      <c r="T774" s="462" t="s">
        <v>12</v>
      </c>
      <c r="U774" s="462" t="s">
        <v>383</v>
      </c>
      <c r="V774" s="462" t="s">
        <v>400</v>
      </c>
      <c r="W774" s="465" t="s">
        <v>10</v>
      </c>
      <c r="X774" s="462" t="s">
        <v>385</v>
      </c>
      <c r="Y774" s="465" t="s">
        <v>430</v>
      </c>
      <c r="Z774" s="465" t="s">
        <v>3522</v>
      </c>
      <c r="AA774" s="464" t="s">
        <v>13</v>
      </c>
      <c r="AE774" s="467" t="s">
        <v>3627</v>
      </c>
      <c r="AF774" s="467" t="s">
        <v>3628</v>
      </c>
      <c r="AG774" s="467" t="s">
        <v>3629</v>
      </c>
      <c r="AH774" s="467" t="s">
        <v>3630</v>
      </c>
      <c r="AI774" s="404"/>
    </row>
    <row r="775" spans="1:35" ht="12.75" thickBot="1">
      <c r="A775" s="415"/>
      <c r="B775" s="415"/>
      <c r="C775" s="468" t="s">
        <v>480</v>
      </c>
      <c r="D775" s="469">
        <f>SUM(D776:D777)</f>
        <v>0</v>
      </c>
      <c r="E775" s="469">
        <f>SUM(E776:E777)</f>
        <v>0</v>
      </c>
      <c r="J775" s="476"/>
      <c r="K775" s="472"/>
      <c r="L775" s="473" t="str">
        <f>IF($J775="","SPC 없음",VLOOKUP($J775&amp;"SPC명",개요!$A$3:$E$1932,3,0))</f>
        <v>SPC 없음</v>
      </c>
      <c r="M775" s="474" t="str">
        <f>IF($J775="","SPC 없음",VLOOKUP($J775&amp;"설정일",개요!$A$3:$E$1932,3,0))</f>
        <v>SPC 없음</v>
      </c>
      <c r="N775" s="475" t="str">
        <f t="shared" ref="N775:N780" si="242">IF($J775="","SPC 없음",VLOOKUP($J775&amp;"자본금",$B$4:$E$2079,3,0)*VLOOKUP($J775&amp;"보유지분율(%)",$B$4:$E$2079,3,0))</f>
        <v>SPC 없음</v>
      </c>
      <c r="O775" s="471"/>
      <c r="P775" s="476"/>
      <c r="Q775" s="477"/>
      <c r="R775" s="478"/>
      <c r="S775" s="479" t="str">
        <f t="shared" ref="S775:S780" si="243">IF($J775="","SPC 없음",IF(P775="총액",IF(T775="장부가액 준용",W775,(VLOOKUP($J775&amp;"보유지분율(%)",$B$4:$E$2079,4,0))*V775),Q775*R775))</f>
        <v>SPC 없음</v>
      </c>
      <c r="T775" s="471"/>
      <c r="U775" s="471" t="s">
        <v>94</v>
      </c>
      <c r="V775" s="480">
        <f>IF(U775="한국 원화(KRW)",1,IF(OR(U775=환율!$A$6,U775=환율!$A$7),VLOOKUP(NAV!U775,환율!$A$6:$B$7,2,),IF(RIGHT(U775,5)="(100)",(VLOOKUP(NAV!U775,환율!$A$11:$B$65,2,))/100,VLOOKUP(NAV!U775,환율!$A$11:$B$65,2,))))</f>
        <v>1</v>
      </c>
      <c r="W775" s="481"/>
      <c r="X775" s="482">
        <f t="shared" ref="X775:X780" si="244">IFERROR(IF(P775="만원당",10000,Y775/Q775),0)</f>
        <v>0</v>
      </c>
      <c r="Y775" s="481"/>
      <c r="Z775" s="481"/>
      <c r="AA775" s="483">
        <f t="shared" ref="AA775:AA780" si="245">IFERROR(IF(Z775="",S775/W775-1,S775/Z775-1),0)</f>
        <v>0</v>
      </c>
      <c r="AE775" s="484" t="str">
        <f t="shared" ref="AE775:AE780" si="246">IF($J775="","SPC 없음",IF(P775="총액",(VLOOKUP($J775&amp;"지분율 반영 순자산가치",$AD$4:$AH$4973,2,0))*V775,AG775*$Q775))</f>
        <v>SPC 없음</v>
      </c>
      <c r="AF775" s="484" t="str">
        <f t="shared" ref="AF775:AF780" si="247">IF($J775="","SPC 없음",IF(P775="총액",(VLOOKUP($J775&amp;"지분율 반영 순자산가치",$AD$4:$AH$4973,3,0))*V775,AH775*$Q775))</f>
        <v>SPC 없음</v>
      </c>
      <c r="AG775" s="485"/>
      <c r="AH775" s="485"/>
      <c r="AI775" s="404"/>
    </row>
    <row r="776" spans="1:35" ht="12.75" thickBot="1">
      <c r="A776" s="415"/>
      <c r="B776" s="415"/>
      <c r="C776" s="486" t="s">
        <v>387</v>
      </c>
      <c r="D776" s="487">
        <f>SUMIF(FS!$AM$49:$AM$79,개요!$B$241&amp;RIGHT(NAV!C776,10),FS!$AP$49:$AP$79)</f>
        <v>0</v>
      </c>
      <c r="E776" s="487">
        <f>D776</f>
        <v>0</v>
      </c>
      <c r="J776" s="476"/>
      <c r="K776" s="472"/>
      <c r="L776" s="473" t="str">
        <f>IF($J776="","SPC 없음",VLOOKUP($J776&amp;"SPC명",개요!$A$3:$E$1932,3,0))</f>
        <v>SPC 없음</v>
      </c>
      <c r="M776" s="474" t="str">
        <f>IF($J776="","SPC 없음",VLOOKUP($J776&amp;"설정일",개요!$A$3:$E$1932,3,0))</f>
        <v>SPC 없음</v>
      </c>
      <c r="N776" s="475" t="str">
        <f t="shared" si="242"/>
        <v>SPC 없음</v>
      </c>
      <c r="O776" s="471"/>
      <c r="P776" s="476"/>
      <c r="Q776" s="477"/>
      <c r="R776" s="478"/>
      <c r="S776" s="479" t="str">
        <f t="shared" si="243"/>
        <v>SPC 없음</v>
      </c>
      <c r="T776" s="471"/>
      <c r="U776" s="471" t="s">
        <v>94</v>
      </c>
      <c r="V776" s="480">
        <f>IF(U776="한국 원화(KRW)",1,IF(OR(U776=환율!$A$6,U776=환율!$A$7),VLOOKUP(NAV!U776,환율!$A$6:$B$7,2,),IF(RIGHT(U776,5)="(100)",(VLOOKUP(NAV!U776,환율!$A$11:$B$65,2,))/100,VLOOKUP(NAV!U776,환율!$A$11:$B$65,2,))))</f>
        <v>1</v>
      </c>
      <c r="W776" s="481"/>
      <c r="X776" s="482">
        <f t="shared" si="244"/>
        <v>0</v>
      </c>
      <c r="Y776" s="481"/>
      <c r="Z776" s="481"/>
      <c r="AA776" s="483">
        <f t="shared" si="245"/>
        <v>0</v>
      </c>
      <c r="AE776" s="484" t="str">
        <f t="shared" si="246"/>
        <v>SPC 없음</v>
      </c>
      <c r="AF776" s="484" t="str">
        <f t="shared" si="247"/>
        <v>SPC 없음</v>
      </c>
      <c r="AG776" s="485"/>
      <c r="AH776" s="485"/>
      <c r="AI776" s="404"/>
    </row>
    <row r="777" spans="1:35" ht="12.75" thickBot="1">
      <c r="A777" s="415"/>
      <c r="B777" s="415"/>
      <c r="C777" s="486" t="s">
        <v>34</v>
      </c>
      <c r="D777" s="487">
        <f>SUMIF(FS!$AM$49:$AM$79,개요!$B$241&amp;RIGHT(NAV!C777,4),FS!$AP$49:$AP$79)</f>
        <v>0</v>
      </c>
      <c r="E777" s="487">
        <f>D777</f>
        <v>0</v>
      </c>
      <c r="J777" s="476"/>
      <c r="K777" s="472"/>
      <c r="L777" s="473" t="str">
        <f>IF($J777="","SPC 없음",VLOOKUP($J777&amp;"SPC명",개요!$A$3:$E$1932,3,0))</f>
        <v>SPC 없음</v>
      </c>
      <c r="M777" s="474" t="str">
        <f>IF($J777="","SPC 없음",VLOOKUP($J777&amp;"설정일",개요!$A$3:$E$1932,3,0))</f>
        <v>SPC 없음</v>
      </c>
      <c r="N777" s="475" t="str">
        <f t="shared" si="242"/>
        <v>SPC 없음</v>
      </c>
      <c r="O777" s="471"/>
      <c r="P777" s="476"/>
      <c r="Q777" s="477"/>
      <c r="R777" s="478"/>
      <c r="S777" s="479" t="str">
        <f t="shared" si="243"/>
        <v>SPC 없음</v>
      </c>
      <c r="T777" s="471"/>
      <c r="U777" s="471" t="s">
        <v>94</v>
      </c>
      <c r="V777" s="480">
        <f>IF(U777="한국 원화(KRW)",1,IF(OR(U777=환율!$A$6,U777=환율!$A$7),VLOOKUP(NAV!U777,환율!$A$6:$B$7,2,),IF(RIGHT(U777,5)="(100)",(VLOOKUP(NAV!U777,환율!$A$11:$B$65,2,))/100,VLOOKUP(NAV!U777,환율!$A$11:$B$65,2,))))</f>
        <v>1</v>
      </c>
      <c r="W777" s="481"/>
      <c r="X777" s="482">
        <f t="shared" si="244"/>
        <v>0</v>
      </c>
      <c r="Y777" s="481"/>
      <c r="Z777" s="481"/>
      <c r="AA777" s="483">
        <f t="shared" si="245"/>
        <v>0</v>
      </c>
      <c r="AE777" s="484" t="str">
        <f t="shared" si="246"/>
        <v>SPC 없음</v>
      </c>
      <c r="AF777" s="484" t="str">
        <f t="shared" si="247"/>
        <v>SPC 없음</v>
      </c>
      <c r="AG777" s="485"/>
      <c r="AH777" s="485"/>
      <c r="AI777" s="404"/>
    </row>
    <row r="778" spans="1:35" ht="12.75" thickBot="1">
      <c r="A778" s="489" t="s">
        <v>389</v>
      </c>
      <c r="B778" s="490" t="b">
        <f>SUM(W775:W780,W783:W793)=D778</f>
        <v>1</v>
      </c>
      <c r="C778" s="468" t="s">
        <v>17</v>
      </c>
      <c r="D778" s="469">
        <f>SUMIF(FS!$AM$49:$AM$79,개요!$B$241&amp;RIGHT(NAV!C778,4),FS!$AP$49:$AP$79)</f>
        <v>0</v>
      </c>
      <c r="E778" s="469">
        <f>SUM(S775:S780)+SUM(S783:S793)</f>
        <v>0</v>
      </c>
      <c r="J778" s="476"/>
      <c r="K778" s="472"/>
      <c r="L778" s="473" t="str">
        <f>IF($J778="","SPC 없음",VLOOKUP($J778&amp;"SPC명",개요!$A$3:$E$1932,3,0))</f>
        <v>SPC 없음</v>
      </c>
      <c r="M778" s="474" t="str">
        <f>IF($J778="","SPC 없음",VLOOKUP($J778&amp;"설정일",개요!$A$3:$E$1932,3,0))</f>
        <v>SPC 없음</v>
      </c>
      <c r="N778" s="475" t="str">
        <f t="shared" si="242"/>
        <v>SPC 없음</v>
      </c>
      <c r="O778" s="471"/>
      <c r="P778" s="476"/>
      <c r="Q778" s="477"/>
      <c r="R778" s="478"/>
      <c r="S778" s="479" t="str">
        <f t="shared" si="243"/>
        <v>SPC 없음</v>
      </c>
      <c r="T778" s="471"/>
      <c r="U778" s="471" t="s">
        <v>94</v>
      </c>
      <c r="V778" s="480">
        <f>IF(U778="한국 원화(KRW)",1,IF(OR(U778=환율!$A$6,U778=환율!$A$7),VLOOKUP(NAV!U778,환율!$A$6:$B$7,2,),IF(RIGHT(U778,5)="(100)",(VLOOKUP(NAV!U778,환율!$A$11:$B$65,2,))/100,VLOOKUP(NAV!U778,환율!$A$11:$B$65,2,))))</f>
        <v>1</v>
      </c>
      <c r="W778" s="481"/>
      <c r="X778" s="482">
        <f t="shared" si="244"/>
        <v>0</v>
      </c>
      <c r="Y778" s="481"/>
      <c r="Z778" s="481"/>
      <c r="AA778" s="483">
        <f t="shared" si="245"/>
        <v>0</v>
      </c>
      <c r="AE778" s="484" t="str">
        <f t="shared" si="246"/>
        <v>SPC 없음</v>
      </c>
      <c r="AF778" s="484" t="str">
        <f t="shared" si="247"/>
        <v>SPC 없음</v>
      </c>
      <c r="AG778" s="485"/>
      <c r="AH778" s="485"/>
      <c r="AI778" s="404"/>
    </row>
    <row r="779" spans="1:35" ht="12.75" thickBot="1">
      <c r="A779" s="492" t="s">
        <v>391</v>
      </c>
      <c r="B779" s="415" t="b">
        <f>D776+D777+D778=D779</f>
        <v>1</v>
      </c>
      <c r="C779" s="493" t="s">
        <v>479</v>
      </c>
      <c r="D779" s="494">
        <f>D775+D778</f>
        <v>0</v>
      </c>
      <c r="E779" s="494">
        <f>E775+E778</f>
        <v>0</v>
      </c>
      <c r="J779" s="476"/>
      <c r="K779" s="472"/>
      <c r="L779" s="473" t="str">
        <f>IF($J779="","SPC 없음",VLOOKUP($J779&amp;"SPC명",개요!$A$3:$E$1932,3,0))</f>
        <v>SPC 없음</v>
      </c>
      <c r="M779" s="474" t="str">
        <f>IF($J779="","SPC 없음",VLOOKUP($J779&amp;"설정일",개요!$A$3:$E$1932,3,0))</f>
        <v>SPC 없음</v>
      </c>
      <c r="N779" s="475" t="str">
        <f t="shared" si="242"/>
        <v>SPC 없음</v>
      </c>
      <c r="O779" s="471"/>
      <c r="P779" s="476"/>
      <c r="Q779" s="477"/>
      <c r="R779" s="478"/>
      <c r="S779" s="479" t="str">
        <f t="shared" si="243"/>
        <v>SPC 없음</v>
      </c>
      <c r="T779" s="471"/>
      <c r="U779" s="471" t="s">
        <v>94</v>
      </c>
      <c r="V779" s="480">
        <f>IF(U779="한국 원화(KRW)",1,IF(OR(U779=환율!$A$6,U779=환율!$A$7),VLOOKUP(NAV!U779,환율!$A$6:$B$7,2,),IF(RIGHT(U779,5)="(100)",(VLOOKUP(NAV!U779,환율!$A$11:$B$65,2,))/100,VLOOKUP(NAV!U779,환율!$A$11:$B$65,2,))))</f>
        <v>1</v>
      </c>
      <c r="W779" s="481"/>
      <c r="X779" s="482">
        <f t="shared" si="244"/>
        <v>0</v>
      </c>
      <c r="Y779" s="481"/>
      <c r="Z779" s="481"/>
      <c r="AA779" s="483">
        <f t="shared" si="245"/>
        <v>0</v>
      </c>
      <c r="AE779" s="484" t="str">
        <f t="shared" si="246"/>
        <v>SPC 없음</v>
      </c>
      <c r="AF779" s="484" t="str">
        <f t="shared" si="247"/>
        <v>SPC 없음</v>
      </c>
      <c r="AG779" s="485"/>
      <c r="AH779" s="485"/>
      <c r="AI779" s="404"/>
    </row>
    <row r="780" spans="1:35" ht="12.75" thickBot="1">
      <c r="A780" s="492"/>
      <c r="B780" s="496"/>
      <c r="C780" s="468" t="s">
        <v>18</v>
      </c>
      <c r="D780" s="469">
        <f>SUM(D781:D784)</f>
        <v>0</v>
      </c>
      <c r="E780" s="469">
        <f>SUM(E781:E784)</f>
        <v>0</v>
      </c>
      <c r="J780" s="476"/>
      <c r="K780" s="472"/>
      <c r="L780" s="473" t="str">
        <f>IF($J780="","SPC 없음",VLOOKUP($J780&amp;"SPC명",개요!$A$3:$E$1932,3,0))</f>
        <v>SPC 없음</v>
      </c>
      <c r="M780" s="474" t="str">
        <f>IF($J780="","SPC 없음",VLOOKUP($J780&amp;"설정일",개요!$A$3:$E$1932,3,0))</f>
        <v>SPC 없음</v>
      </c>
      <c r="N780" s="475" t="str">
        <f t="shared" si="242"/>
        <v>SPC 없음</v>
      </c>
      <c r="O780" s="471"/>
      <c r="P780" s="476"/>
      <c r="Q780" s="477"/>
      <c r="R780" s="478"/>
      <c r="S780" s="479" t="str">
        <f t="shared" si="243"/>
        <v>SPC 없음</v>
      </c>
      <c r="T780" s="471"/>
      <c r="U780" s="471" t="s">
        <v>94</v>
      </c>
      <c r="V780" s="480">
        <f>IF(U780="한국 원화(KRW)",1,IF(OR(U780=환율!$A$6,U780=환율!$A$7),VLOOKUP(NAV!U780,환율!$A$6:$B$7,2,),IF(RIGHT(U780,5)="(100)",(VLOOKUP(NAV!U780,환율!$A$11:$B$65,2,))/100,VLOOKUP(NAV!U780,환율!$A$11:$B$65,2,))))</f>
        <v>1</v>
      </c>
      <c r="W780" s="481"/>
      <c r="X780" s="482">
        <f t="shared" si="244"/>
        <v>0</v>
      </c>
      <c r="Y780" s="481"/>
      <c r="Z780" s="481"/>
      <c r="AA780" s="483">
        <f t="shared" si="245"/>
        <v>0</v>
      </c>
      <c r="AE780" s="484" t="str">
        <f t="shared" si="246"/>
        <v>SPC 없음</v>
      </c>
      <c r="AF780" s="484" t="str">
        <f t="shared" si="247"/>
        <v>SPC 없음</v>
      </c>
      <c r="AG780" s="485"/>
      <c r="AH780" s="485"/>
      <c r="AI780" s="404"/>
    </row>
    <row r="781" spans="1:35">
      <c r="A781" s="492"/>
      <c r="B781" s="496"/>
      <c r="C781" s="486" t="s">
        <v>392</v>
      </c>
      <c r="D781" s="487">
        <f>SUMIF(FS!$AM$49:$AM$79,개요!$B$241&amp;RIGHT(NAV!C781,5),FS!$AP$49:$AP$79)</f>
        <v>0</v>
      </c>
      <c r="E781" s="487">
        <f>D781</f>
        <v>0</v>
      </c>
      <c r="J781" s="428" t="s">
        <v>539</v>
      </c>
      <c r="K781" s="415"/>
      <c r="L781" s="305"/>
      <c r="M781" s="415"/>
      <c r="N781" s="415"/>
      <c r="O781" s="415"/>
      <c r="P781" s="415"/>
      <c r="Q781" s="422"/>
      <c r="R781" s="415"/>
      <c r="S781" s="415"/>
      <c r="T781" s="415"/>
      <c r="U781" s="415"/>
      <c r="W781" s="517" t="b">
        <f>SUM(W783:W793)+SUM(W775:W780)=D778</f>
        <v>1</v>
      </c>
      <c r="X781" s="415"/>
      <c r="Y781" s="422"/>
      <c r="Z781" s="422"/>
      <c r="AA781" s="459" t="str">
        <f>IF(OR(MAX(AA775:AA780,AA783:AA793)&gt;0.2,MIN(AA775:AA780,AA783:AA793)&lt;-0.2),"특이사항 확인","특이사항 없음")</f>
        <v>특이사항 없음</v>
      </c>
      <c r="AB781" s="415"/>
      <c r="AF781" s="415"/>
      <c r="AG781" s="415"/>
      <c r="AI781" s="404"/>
    </row>
    <row r="782" spans="1:35" ht="12.75" thickBot="1">
      <c r="A782" s="492"/>
      <c r="B782" s="496"/>
      <c r="C782" s="486" t="s">
        <v>393</v>
      </c>
      <c r="D782" s="487">
        <f>SUMIF(FS!$AM$49:$AM$79,개요!$B$241&amp;RIGHT(NAV!C782,3),FS!$AP$49:$AP$79)</f>
        <v>0</v>
      </c>
      <c r="E782" s="487">
        <f t="shared" ref="E782:E783" si="248">D782</f>
        <v>0</v>
      </c>
      <c r="I782" s="518">
        <f>COUNTA(J783:J793)</f>
        <v>0</v>
      </c>
      <c r="J782" s="548" t="s">
        <v>394</v>
      </c>
      <c r="K782" s="548" t="s">
        <v>0</v>
      </c>
      <c r="L782" s="548" t="s">
        <v>435</v>
      </c>
      <c r="M782" s="548" t="s">
        <v>396</v>
      </c>
      <c r="N782" s="548" t="s">
        <v>397</v>
      </c>
      <c r="O782" s="548" t="s">
        <v>398</v>
      </c>
      <c r="P782" s="548" t="s">
        <v>380</v>
      </c>
      <c r="Q782" s="519" t="s">
        <v>14</v>
      </c>
      <c r="R782" s="466" t="s">
        <v>299</v>
      </c>
      <c r="S782" s="466" t="s">
        <v>3525</v>
      </c>
      <c r="T782" s="549" t="s">
        <v>12</v>
      </c>
      <c r="U782" s="548" t="s">
        <v>383</v>
      </c>
      <c r="V782" s="548" t="s">
        <v>400</v>
      </c>
      <c r="W782" s="550" t="s">
        <v>10</v>
      </c>
      <c r="X782" s="549" t="s">
        <v>401</v>
      </c>
      <c r="Y782" s="550" t="s">
        <v>402</v>
      </c>
      <c r="Z782" s="550" t="s">
        <v>3523</v>
      </c>
      <c r="AA782" s="548" t="s">
        <v>13</v>
      </c>
      <c r="AB782" s="548" t="s">
        <v>15</v>
      </c>
      <c r="AC782" s="548" t="s">
        <v>473</v>
      </c>
      <c r="AE782" s="467" t="s">
        <v>3627</v>
      </c>
      <c r="AF782" s="467" t="s">
        <v>3628</v>
      </c>
      <c r="AG782" s="467" t="s">
        <v>3629</v>
      </c>
      <c r="AH782" s="467" t="s">
        <v>3630</v>
      </c>
      <c r="AI782" s="404"/>
    </row>
    <row r="783" spans="1:35" ht="12.75" thickBot="1">
      <c r="A783" s="492"/>
      <c r="B783" s="496"/>
      <c r="C783" s="486" t="s">
        <v>404</v>
      </c>
      <c r="D783" s="487">
        <f>SUMIF(FS!$AM$49:$AM$79,개요!$B$241&amp;RIGHT(NAV!C783,6),FS!$AP$49:$AP$79)</f>
        <v>0</v>
      </c>
      <c r="E783" s="487">
        <f t="shared" si="248"/>
        <v>0</v>
      </c>
      <c r="J783" s="551"/>
      <c r="K783" s="552"/>
      <c r="L783" s="551"/>
      <c r="M783" s="553"/>
      <c r="N783" s="553"/>
      <c r="O783" s="551"/>
      <c r="P783" s="553"/>
      <c r="Q783" s="524"/>
      <c r="R783" s="478">
        <f>IFERROR(INDEX(기초자산!M$6:M$408,MATCH(K783&amp;N783&amp;O783,기초자산!$A$6:$A$408,0),0),0)</f>
        <v>0</v>
      </c>
      <c r="S783" s="479">
        <f t="shared" ref="S783:S793" si="249">IFERROR(IF(T783="취득원가 준용",Y783,IF(T783="장부가액 준용",W783,IF(P783="주당",R783*Q783*V783,IF(RIGHT(U783,5)="(100)",Y783/1000*R783*V783,Y783/10000*R783*V783)))),0)</f>
        <v>0</v>
      </c>
      <c r="T783" s="553"/>
      <c r="U783" s="471" t="s">
        <v>94</v>
      </c>
      <c r="V783" s="480">
        <f>IF(U783="한국 원화(KRW)",1,IF(OR(U783=환율!$A$6,U783=환율!$A$7),VLOOKUP(NAV!U783,환율!$A$6:$B$7,2,),IF(RIGHT(U783,5)="(100)",(VLOOKUP(NAV!U783,환율!$A$11:$B$65,2,))/100,VLOOKUP(NAV!U783,환율!$A$11:$B$65,2,))))</f>
        <v>1</v>
      </c>
      <c r="W783" s="481"/>
      <c r="X783" s="482">
        <f t="shared" ref="X783:X793" si="250">IFERROR(IF(P783="만원당",10000,Y783/Q783),0)</f>
        <v>0</v>
      </c>
      <c r="Y783" s="481"/>
      <c r="Z783" s="481"/>
      <c r="AA783" s="483">
        <f t="shared" ref="AA783:AA793" si="251">IFERROR(IF(Z783="",S783/W783-1,S783/Z783-1),0)</f>
        <v>0</v>
      </c>
      <c r="AB783" s="554"/>
      <c r="AC783" s="526" t="str">
        <f t="shared" ref="AC783:AC793" si="252">IF(($C$7-AB783)/365&gt;2,"2년이상","2년미만")</f>
        <v>2년이상</v>
      </c>
      <c r="AD783" s="520" t="str">
        <f t="shared" ref="AD783:AD793" si="253">IF(OR(AA783&gt;20%,AA783&lt;-20%),"(1) Note 기재","")</f>
        <v/>
      </c>
      <c r="AE783" s="527">
        <f>IF(OR(T783="MTP",T783="과거거래 이용법",T783="취득원가 준용",T783="장부가액 준용",T783="상장종가 적용"),S783,IF(P783="주당",AG783*Q783*V783,Y783/10000*AG783*V783))</f>
        <v>0</v>
      </c>
      <c r="AF783" s="527">
        <f>IF(OR(T783="MTP",T783="과거거래 이용법",T783="취득원가 준용",T783="장부가액 준용",T783="상장종가 적용"),S783,IF(P783="주당",AH783*Q783*V783,Y783/10000*AH783*V783))</f>
        <v>0</v>
      </c>
      <c r="AG783" s="485"/>
      <c r="AH783" s="485"/>
      <c r="AI783" s="404"/>
    </row>
    <row r="784" spans="1:35" ht="12.75" thickBot="1">
      <c r="A784" s="492"/>
      <c r="B784" s="496"/>
      <c r="C784" s="486" t="s">
        <v>405</v>
      </c>
      <c r="D784" s="487">
        <f>SUMIF(FS!$AM$49:$AM$79,개요!$B$241&amp;RIGHT(NAV!C784,7),FS!$AP$49:$AP$79)</f>
        <v>0</v>
      </c>
      <c r="E784" s="487">
        <f>D784</f>
        <v>0</v>
      </c>
      <c r="J784" s="551"/>
      <c r="K784" s="552"/>
      <c r="L784" s="551"/>
      <c r="M784" s="553"/>
      <c r="N784" s="553"/>
      <c r="O784" s="551"/>
      <c r="P784" s="553"/>
      <c r="Q784" s="524"/>
      <c r="R784" s="478">
        <f>IFERROR(INDEX(기초자산!M$6:M$408,MATCH(K784&amp;N784&amp;O784,기초자산!$A$6:$A$408,0),0),0)</f>
        <v>0</v>
      </c>
      <c r="S784" s="479">
        <f t="shared" si="249"/>
        <v>0</v>
      </c>
      <c r="T784" s="553"/>
      <c r="U784" s="471" t="s">
        <v>94</v>
      </c>
      <c r="V784" s="480">
        <f>IF(U784="한국 원화(KRW)",1,IF(OR(U784=환율!$A$6,U784=환율!$A$7),VLOOKUP(NAV!U784,환율!$A$6:$B$7,2,),IF(RIGHT(U784,5)="(100)",(VLOOKUP(NAV!U784,환율!$A$11:$B$65,2,))/100,VLOOKUP(NAV!U784,환율!$A$11:$B$65,2,))))</f>
        <v>1</v>
      </c>
      <c r="W784" s="481"/>
      <c r="X784" s="482">
        <f t="shared" si="250"/>
        <v>0</v>
      </c>
      <c r="Y784" s="481"/>
      <c r="Z784" s="481"/>
      <c r="AA784" s="483">
        <f t="shared" si="251"/>
        <v>0</v>
      </c>
      <c r="AB784" s="554"/>
      <c r="AC784" s="526" t="str">
        <f t="shared" si="252"/>
        <v>2년이상</v>
      </c>
      <c r="AD784" s="520" t="str">
        <f t="shared" si="253"/>
        <v/>
      </c>
      <c r="AE784" s="527">
        <f t="shared" ref="AE784:AE793" si="254">IF(OR(T784="MTP",T784="과거거래 이용법",T784="취득원가 준용",T784="장부가액 준용",T784="상장종가 적용"),S784,IF(P784="주당",AG784*Q784*V784,Y784/10000*AG784*V784))</f>
        <v>0</v>
      </c>
      <c r="AF784" s="527">
        <f t="shared" ref="AF784:AF793" si="255">IF(OR(T784="MTP",T784="과거거래 이용법",T784="취득원가 준용",T784="장부가액 준용",T784="상장종가 적용"),S784,IF(P784="주당",AH784*Q784*V784,Y784/10000*AH784*V784))</f>
        <v>0</v>
      </c>
      <c r="AG784" s="485"/>
      <c r="AH784" s="485"/>
      <c r="AI784" s="404"/>
    </row>
    <row r="785" spans="1:35" ht="12.75" thickBot="1">
      <c r="A785" s="492"/>
      <c r="B785" s="496"/>
      <c r="C785" s="468" t="s">
        <v>21</v>
      </c>
      <c r="D785" s="469">
        <f>SUM(D786:D787)</f>
        <v>0</v>
      </c>
      <c r="E785" s="469">
        <f>SUM(E786:E787)</f>
        <v>0</v>
      </c>
      <c r="J785" s="551"/>
      <c r="K785" s="552"/>
      <c r="L785" s="551"/>
      <c r="M785" s="553"/>
      <c r="N785" s="553"/>
      <c r="O785" s="551"/>
      <c r="P785" s="553"/>
      <c r="Q785" s="524"/>
      <c r="R785" s="478">
        <f>IFERROR(INDEX(기초자산!M$6:M$408,MATCH(K785&amp;N785&amp;O785,기초자산!$A$6:$A$408,0),0),0)</f>
        <v>0</v>
      </c>
      <c r="S785" s="479">
        <f t="shared" si="249"/>
        <v>0</v>
      </c>
      <c r="T785" s="553"/>
      <c r="U785" s="471" t="s">
        <v>94</v>
      </c>
      <c r="V785" s="480">
        <f>IF(U785="한국 원화(KRW)",1,IF(OR(U785=환율!$A$6,U785=환율!$A$7),VLOOKUP(NAV!U785,환율!$A$6:$B$7,2,),IF(RIGHT(U785,5)="(100)",(VLOOKUP(NAV!U785,환율!$A$11:$B$65,2,))/100,VLOOKUP(NAV!U785,환율!$A$11:$B$65,2,))))</f>
        <v>1</v>
      </c>
      <c r="W785" s="481"/>
      <c r="X785" s="482">
        <f t="shared" si="250"/>
        <v>0</v>
      </c>
      <c r="Y785" s="481"/>
      <c r="Z785" s="481"/>
      <c r="AA785" s="483">
        <f t="shared" si="251"/>
        <v>0</v>
      </c>
      <c r="AB785" s="554"/>
      <c r="AC785" s="526" t="str">
        <f t="shared" si="252"/>
        <v>2년이상</v>
      </c>
      <c r="AD785" s="520" t="str">
        <f t="shared" si="253"/>
        <v/>
      </c>
      <c r="AE785" s="527">
        <f t="shared" si="254"/>
        <v>0</v>
      </c>
      <c r="AF785" s="527">
        <f t="shared" si="255"/>
        <v>0</v>
      </c>
      <c r="AG785" s="485"/>
      <c r="AH785" s="485"/>
      <c r="AI785" s="404"/>
    </row>
    <row r="786" spans="1:35" ht="12.75" thickBot="1">
      <c r="A786" s="492"/>
      <c r="B786" s="496"/>
      <c r="C786" s="486" t="s">
        <v>406</v>
      </c>
      <c r="D786" s="487">
        <f>SUMIF(FS!$AM$49:$AM$79,개요!$B$241&amp;RIGHT(NAV!C786,3),FS!$AP$49:$AP$79)</f>
        <v>0</v>
      </c>
      <c r="E786" s="487">
        <f>D786</f>
        <v>0</v>
      </c>
      <c r="J786" s="551"/>
      <c r="K786" s="552"/>
      <c r="L786" s="551"/>
      <c r="M786" s="553"/>
      <c r="N786" s="553"/>
      <c r="O786" s="551"/>
      <c r="P786" s="553"/>
      <c r="Q786" s="524"/>
      <c r="R786" s="478">
        <f>IFERROR(INDEX(기초자산!M$6:M$408,MATCH(K786&amp;N786&amp;O786,기초자산!$A$6:$A$408,0),0),0)</f>
        <v>0</v>
      </c>
      <c r="S786" s="479">
        <f t="shared" si="249"/>
        <v>0</v>
      </c>
      <c r="T786" s="553"/>
      <c r="U786" s="471" t="s">
        <v>94</v>
      </c>
      <c r="V786" s="480">
        <f>IF(U786="한국 원화(KRW)",1,IF(OR(U786=환율!$A$6,U786=환율!$A$7),VLOOKUP(NAV!U786,환율!$A$6:$B$7,2,),IF(RIGHT(U786,5)="(100)",(VLOOKUP(NAV!U786,환율!$A$11:$B$65,2,))/100,VLOOKUP(NAV!U786,환율!$A$11:$B$65,2,))))</f>
        <v>1</v>
      </c>
      <c r="W786" s="481"/>
      <c r="X786" s="482">
        <f t="shared" si="250"/>
        <v>0</v>
      </c>
      <c r="Y786" s="481"/>
      <c r="Z786" s="481"/>
      <c r="AA786" s="483">
        <f t="shared" si="251"/>
        <v>0</v>
      </c>
      <c r="AB786" s="554"/>
      <c r="AC786" s="526" t="str">
        <f t="shared" si="252"/>
        <v>2년이상</v>
      </c>
      <c r="AD786" s="520" t="str">
        <f t="shared" si="253"/>
        <v/>
      </c>
      <c r="AE786" s="527">
        <f t="shared" si="254"/>
        <v>0</v>
      </c>
      <c r="AF786" s="527">
        <f t="shared" si="255"/>
        <v>0</v>
      </c>
      <c r="AG786" s="485"/>
      <c r="AH786" s="485"/>
      <c r="AI786" s="404"/>
    </row>
    <row r="787" spans="1:35" ht="12.75" thickBot="1">
      <c r="A787" s="492"/>
      <c r="B787" s="496"/>
      <c r="C787" s="486" t="s">
        <v>407</v>
      </c>
      <c r="D787" s="487">
        <f>SUMIF(FS!$AM$49:$AM$79,개요!$B$241&amp;RIGHT(NAV!C787,4),FS!$AP$49:$AP$79)</f>
        <v>0</v>
      </c>
      <c r="E787" s="487">
        <f>D787</f>
        <v>0</v>
      </c>
      <c r="J787" s="551"/>
      <c r="K787" s="552"/>
      <c r="L787" s="551"/>
      <c r="M787" s="553"/>
      <c r="N787" s="553"/>
      <c r="O787" s="551"/>
      <c r="P787" s="553"/>
      <c r="Q787" s="524"/>
      <c r="R787" s="478">
        <f>IFERROR(INDEX(기초자산!M$6:M$408,MATCH(K787&amp;N787&amp;O787,기초자산!$A$6:$A$408,0),0),0)</f>
        <v>0</v>
      </c>
      <c r="S787" s="479">
        <f t="shared" si="249"/>
        <v>0</v>
      </c>
      <c r="T787" s="553"/>
      <c r="U787" s="471" t="s">
        <v>94</v>
      </c>
      <c r="V787" s="480">
        <f>IF(U787="한국 원화(KRW)",1,IF(OR(U787=환율!$A$6,U787=환율!$A$7),VLOOKUP(NAV!U787,환율!$A$6:$B$7,2,),IF(RIGHT(U787,5)="(100)",(VLOOKUP(NAV!U787,환율!$A$11:$B$65,2,))/100,VLOOKUP(NAV!U787,환율!$A$11:$B$65,2,))))</f>
        <v>1</v>
      </c>
      <c r="W787" s="481"/>
      <c r="X787" s="482">
        <f t="shared" si="250"/>
        <v>0</v>
      </c>
      <c r="Y787" s="481"/>
      <c r="Z787" s="481"/>
      <c r="AA787" s="483">
        <f t="shared" si="251"/>
        <v>0</v>
      </c>
      <c r="AB787" s="554"/>
      <c r="AC787" s="526" t="str">
        <f t="shared" si="252"/>
        <v>2년이상</v>
      </c>
      <c r="AD787" s="520" t="str">
        <f t="shared" si="253"/>
        <v/>
      </c>
      <c r="AE787" s="527">
        <f t="shared" si="254"/>
        <v>0</v>
      </c>
      <c r="AF787" s="527">
        <f t="shared" si="255"/>
        <v>0</v>
      </c>
      <c r="AG787" s="485"/>
      <c r="AH787" s="485"/>
      <c r="AI787" s="404"/>
    </row>
    <row r="788" spans="1:35" ht="12.75" thickBot="1">
      <c r="A788" s="489" t="s">
        <v>408</v>
      </c>
      <c r="B788" s="498" t="b">
        <f>D781+D782+D783+D784+D786+D787=D788</f>
        <v>1</v>
      </c>
      <c r="C788" s="493" t="s">
        <v>477</v>
      </c>
      <c r="D788" s="494">
        <f>D780+D785</f>
        <v>0</v>
      </c>
      <c r="E788" s="494">
        <f>E780+E785</f>
        <v>0</v>
      </c>
      <c r="J788" s="551"/>
      <c r="K788" s="552"/>
      <c r="L788" s="551"/>
      <c r="M788" s="553"/>
      <c r="N788" s="553"/>
      <c r="O788" s="551"/>
      <c r="P788" s="553"/>
      <c r="Q788" s="524"/>
      <c r="R788" s="478">
        <f>IFERROR(INDEX(기초자산!M$6:M$408,MATCH(K788&amp;N788&amp;O788,기초자산!$A$6:$A$408,0),0),0)</f>
        <v>0</v>
      </c>
      <c r="S788" s="479">
        <f t="shared" si="249"/>
        <v>0</v>
      </c>
      <c r="T788" s="553"/>
      <c r="U788" s="471" t="s">
        <v>94</v>
      </c>
      <c r="V788" s="480">
        <f>IF(U788="한국 원화(KRW)",1,IF(OR(U788=환율!$A$6,U788=환율!$A$7),VLOOKUP(NAV!U788,환율!$A$6:$B$7,2,),IF(RIGHT(U788,5)="(100)",(VLOOKUP(NAV!U788,환율!$A$11:$B$65,2,))/100,VLOOKUP(NAV!U788,환율!$A$11:$B$65,2,))))</f>
        <v>1</v>
      </c>
      <c r="W788" s="481"/>
      <c r="X788" s="482">
        <f t="shared" si="250"/>
        <v>0</v>
      </c>
      <c r="Y788" s="481"/>
      <c r="Z788" s="481"/>
      <c r="AA788" s="483">
        <f t="shared" si="251"/>
        <v>0</v>
      </c>
      <c r="AB788" s="554"/>
      <c r="AC788" s="526" t="str">
        <f t="shared" si="252"/>
        <v>2년이상</v>
      </c>
      <c r="AD788" s="520" t="str">
        <f t="shared" si="253"/>
        <v/>
      </c>
      <c r="AE788" s="527">
        <f t="shared" si="254"/>
        <v>0</v>
      </c>
      <c r="AF788" s="527">
        <f t="shared" si="255"/>
        <v>0</v>
      </c>
      <c r="AG788" s="485"/>
      <c r="AH788" s="485"/>
      <c r="AI788" s="404"/>
    </row>
    <row r="789" spans="1:35" ht="12.75" thickBot="1">
      <c r="A789" s="492"/>
      <c r="B789" s="555" t="str">
        <f>B769&amp;C789</f>
        <v>SPC없음자본금</v>
      </c>
      <c r="C789" s="486" t="s">
        <v>35</v>
      </c>
      <c r="D789" s="487">
        <f>SUMIF(FS!$AM$49:$AM$79,개요!$B$241&amp;RIGHT(NAV!C789,3),FS!$AP$49:$AP$79)</f>
        <v>0</v>
      </c>
      <c r="E789" s="487">
        <f>D789</f>
        <v>0</v>
      </c>
      <c r="J789" s="551"/>
      <c r="K789" s="552"/>
      <c r="L789" s="551"/>
      <c r="M789" s="553"/>
      <c r="N789" s="553"/>
      <c r="O789" s="551"/>
      <c r="P789" s="553"/>
      <c r="Q789" s="524"/>
      <c r="R789" s="478">
        <f>IFERROR(INDEX(기초자산!M$6:M$408,MATCH(K789&amp;N789&amp;O789,기초자산!$A$6:$A$408,0),0),0)</f>
        <v>0</v>
      </c>
      <c r="S789" s="479">
        <f t="shared" si="249"/>
        <v>0</v>
      </c>
      <c r="T789" s="553"/>
      <c r="U789" s="471" t="s">
        <v>94</v>
      </c>
      <c r="V789" s="480">
        <f>IF(U789="한국 원화(KRW)",1,IF(OR(U789=환율!$A$6,U789=환율!$A$7),VLOOKUP(NAV!U789,환율!$A$6:$B$7,2,),IF(RIGHT(U789,5)="(100)",(VLOOKUP(NAV!U789,환율!$A$11:$B$65,2,))/100,VLOOKUP(NAV!U789,환율!$A$11:$B$65,2,))))</f>
        <v>1</v>
      </c>
      <c r="W789" s="481"/>
      <c r="X789" s="482">
        <f t="shared" si="250"/>
        <v>0</v>
      </c>
      <c r="Y789" s="481"/>
      <c r="Z789" s="481"/>
      <c r="AA789" s="483">
        <f t="shared" si="251"/>
        <v>0</v>
      </c>
      <c r="AB789" s="554"/>
      <c r="AC789" s="526" t="str">
        <f t="shared" si="252"/>
        <v>2년이상</v>
      </c>
      <c r="AD789" s="520" t="str">
        <f t="shared" si="253"/>
        <v/>
      </c>
      <c r="AE789" s="527">
        <f t="shared" si="254"/>
        <v>0</v>
      </c>
      <c r="AF789" s="527">
        <f t="shared" si="255"/>
        <v>0</v>
      </c>
      <c r="AG789" s="485"/>
      <c r="AH789" s="485"/>
      <c r="AI789" s="404"/>
    </row>
    <row r="790" spans="1:35" ht="12.75" thickBot="1">
      <c r="C790" s="486" t="s">
        <v>409</v>
      </c>
      <c r="D790" s="487">
        <f>SUMIF(FS!$AM$49:$AM$79,개요!$B$241&amp;RIGHT(NAV!C790,10),FS!$AP$49:$AP$79)</f>
        <v>0</v>
      </c>
      <c r="E790" s="487">
        <f>D790</f>
        <v>0</v>
      </c>
      <c r="J790" s="551"/>
      <c r="K790" s="552"/>
      <c r="L790" s="551"/>
      <c r="M790" s="553"/>
      <c r="N790" s="553"/>
      <c r="O790" s="551"/>
      <c r="P790" s="553"/>
      <c r="Q790" s="524"/>
      <c r="R790" s="478">
        <f>IFERROR(INDEX(기초자산!M$6:M$408,MATCH(K790&amp;N790&amp;O790,기초자산!$A$6:$A$408,0),0),0)</f>
        <v>0</v>
      </c>
      <c r="S790" s="479">
        <f t="shared" si="249"/>
        <v>0</v>
      </c>
      <c r="T790" s="553"/>
      <c r="U790" s="471" t="s">
        <v>94</v>
      </c>
      <c r="V790" s="480">
        <f>IF(U790="한국 원화(KRW)",1,IF(OR(U790=환율!$A$6,U790=환율!$A$7),VLOOKUP(NAV!U790,환율!$A$6:$B$7,2,),IF(RIGHT(U790,5)="(100)",(VLOOKUP(NAV!U790,환율!$A$11:$B$65,2,))/100,VLOOKUP(NAV!U790,환율!$A$11:$B$65,2,))))</f>
        <v>1</v>
      </c>
      <c r="W790" s="481"/>
      <c r="X790" s="482">
        <f t="shared" si="250"/>
        <v>0</v>
      </c>
      <c r="Y790" s="481"/>
      <c r="Z790" s="481"/>
      <c r="AA790" s="483">
        <f t="shared" si="251"/>
        <v>0</v>
      </c>
      <c r="AB790" s="554"/>
      <c r="AC790" s="526" t="str">
        <f t="shared" si="252"/>
        <v>2년이상</v>
      </c>
      <c r="AD790" s="520" t="str">
        <f t="shared" si="253"/>
        <v/>
      </c>
      <c r="AE790" s="527">
        <f t="shared" si="254"/>
        <v>0</v>
      </c>
      <c r="AF790" s="527">
        <f t="shared" si="255"/>
        <v>0</v>
      </c>
      <c r="AG790" s="485"/>
      <c r="AH790" s="485"/>
      <c r="AI790" s="404"/>
    </row>
    <row r="791" spans="1:35" ht="12.75" thickBot="1">
      <c r="A791" s="489"/>
      <c r="B791" s="415"/>
      <c r="C791" s="486" t="s">
        <v>410</v>
      </c>
      <c r="D791" s="487">
        <f>SUMIF(FS!$AM$49:$AM$79,개요!$B$241&amp;RIGHT(NAV!C791,8),FS!$AP$49:$AP$79)</f>
        <v>0</v>
      </c>
      <c r="E791" s="487">
        <f>D791</f>
        <v>0</v>
      </c>
      <c r="J791" s="551"/>
      <c r="K791" s="552"/>
      <c r="L791" s="551"/>
      <c r="M791" s="553"/>
      <c r="N791" s="553"/>
      <c r="O791" s="551"/>
      <c r="P791" s="553"/>
      <c r="Q791" s="524"/>
      <c r="R791" s="478">
        <f>IFERROR(INDEX(기초자산!M$6:M$408,MATCH(K791&amp;N791&amp;O791,기초자산!$A$6:$A$408,0),0),0)</f>
        <v>0</v>
      </c>
      <c r="S791" s="479">
        <f t="shared" si="249"/>
        <v>0</v>
      </c>
      <c r="T791" s="553"/>
      <c r="U791" s="471" t="s">
        <v>94</v>
      </c>
      <c r="V791" s="480">
        <f>IF(U791="한국 원화(KRW)",1,IF(OR(U791=환율!$A$6,U791=환율!$A$7),VLOOKUP(NAV!U791,환율!$A$6:$B$7,2,),IF(RIGHT(U791,5)="(100)",(VLOOKUP(NAV!U791,환율!$A$11:$B$65,2,))/100,VLOOKUP(NAV!U791,환율!$A$11:$B$65,2,))))</f>
        <v>1</v>
      </c>
      <c r="W791" s="481"/>
      <c r="X791" s="482">
        <f t="shared" si="250"/>
        <v>0</v>
      </c>
      <c r="Y791" s="481"/>
      <c r="Z791" s="481"/>
      <c r="AA791" s="483">
        <f t="shared" si="251"/>
        <v>0</v>
      </c>
      <c r="AB791" s="554"/>
      <c r="AC791" s="526" t="str">
        <f t="shared" si="252"/>
        <v>2년이상</v>
      </c>
      <c r="AD791" s="520" t="str">
        <f t="shared" si="253"/>
        <v/>
      </c>
      <c r="AE791" s="527">
        <f t="shared" si="254"/>
        <v>0</v>
      </c>
      <c r="AF791" s="527">
        <f t="shared" si="255"/>
        <v>0</v>
      </c>
      <c r="AG791" s="485"/>
      <c r="AH791" s="485"/>
      <c r="AI791" s="404"/>
    </row>
    <row r="792" spans="1:35" ht="12.75" thickBot="1">
      <c r="A792" s="489" t="s">
        <v>411</v>
      </c>
      <c r="B792" s="415" t="b">
        <f>D792=SUM(D789:D791)</f>
        <v>1</v>
      </c>
      <c r="C792" s="493" t="s">
        <v>412</v>
      </c>
      <c r="D792" s="494">
        <f>D779-D788</f>
        <v>0</v>
      </c>
      <c r="E792" s="494">
        <f>E779-E788</f>
        <v>0</v>
      </c>
      <c r="J792" s="551"/>
      <c r="K792" s="552"/>
      <c r="L792" s="551"/>
      <c r="M792" s="553"/>
      <c r="N792" s="553"/>
      <c r="O792" s="551"/>
      <c r="P792" s="553"/>
      <c r="Q792" s="524"/>
      <c r="R792" s="478">
        <f>IFERROR(INDEX(기초자산!M$6:M$408,MATCH(K792&amp;N792&amp;O792,기초자산!$A$6:$A$408,0),0),0)</f>
        <v>0</v>
      </c>
      <c r="S792" s="479">
        <f t="shared" si="249"/>
        <v>0</v>
      </c>
      <c r="T792" s="553"/>
      <c r="U792" s="471" t="s">
        <v>94</v>
      </c>
      <c r="V792" s="480">
        <f>IF(U792="한국 원화(KRW)",1,IF(OR(U792=환율!$A$6,U792=환율!$A$7),VLOOKUP(NAV!U792,환율!$A$6:$B$7,2,),IF(RIGHT(U792,5)="(100)",(VLOOKUP(NAV!U792,환율!$A$11:$B$65,2,))/100,VLOOKUP(NAV!U792,환율!$A$11:$B$65,2,))))</f>
        <v>1</v>
      </c>
      <c r="W792" s="481"/>
      <c r="X792" s="482">
        <f t="shared" si="250"/>
        <v>0</v>
      </c>
      <c r="Y792" s="481"/>
      <c r="Z792" s="481"/>
      <c r="AA792" s="483">
        <f t="shared" si="251"/>
        <v>0</v>
      </c>
      <c r="AB792" s="554"/>
      <c r="AC792" s="526" t="str">
        <f t="shared" si="252"/>
        <v>2년이상</v>
      </c>
      <c r="AD792" s="520" t="str">
        <f t="shared" si="253"/>
        <v/>
      </c>
      <c r="AE792" s="527">
        <f t="shared" si="254"/>
        <v>0</v>
      </c>
      <c r="AF792" s="527">
        <f t="shared" si="255"/>
        <v>0</v>
      </c>
      <c r="AG792" s="485"/>
      <c r="AH792" s="485"/>
      <c r="AI792" s="404"/>
    </row>
    <row r="793" spans="1:35" ht="12.75" thickBot="1">
      <c r="A793" s="489"/>
      <c r="B793" s="415"/>
      <c r="C793" s="486" t="s">
        <v>478</v>
      </c>
      <c r="D793" s="487">
        <v>0</v>
      </c>
      <c r="E793" s="499">
        <v>0</v>
      </c>
      <c r="J793" s="551"/>
      <c r="K793" s="552"/>
      <c r="L793" s="551"/>
      <c r="M793" s="553"/>
      <c r="N793" s="553"/>
      <c r="O793" s="551"/>
      <c r="P793" s="553"/>
      <c r="Q793" s="524"/>
      <c r="R793" s="478">
        <f>IFERROR(INDEX(기초자산!M$6:M$408,MATCH(K793&amp;N793&amp;O793,기초자산!$A$6:$A$408,0),0),0)</f>
        <v>0</v>
      </c>
      <c r="S793" s="479">
        <f t="shared" si="249"/>
        <v>0</v>
      </c>
      <c r="T793" s="553"/>
      <c r="U793" s="471" t="s">
        <v>94</v>
      </c>
      <c r="V793" s="480">
        <f>IF(U793="한국 원화(KRW)",1,IF(OR(U793=환율!$A$6,U793=환율!$A$7),VLOOKUP(NAV!U793,환율!$A$6:$B$7,2,),IF(RIGHT(U793,5)="(100)",(VLOOKUP(NAV!U793,환율!$A$11:$B$65,2,))/100,VLOOKUP(NAV!U793,환율!$A$11:$B$65,2,))))</f>
        <v>1</v>
      </c>
      <c r="W793" s="481"/>
      <c r="X793" s="482">
        <f t="shared" si="250"/>
        <v>0</v>
      </c>
      <c r="Y793" s="481"/>
      <c r="Z793" s="481"/>
      <c r="AA793" s="483">
        <f t="shared" si="251"/>
        <v>0</v>
      </c>
      <c r="AB793" s="554"/>
      <c r="AC793" s="526" t="str">
        <f t="shared" si="252"/>
        <v>2년이상</v>
      </c>
      <c r="AD793" s="520" t="str">
        <f t="shared" si="253"/>
        <v/>
      </c>
      <c r="AE793" s="527">
        <f t="shared" si="254"/>
        <v>0</v>
      </c>
      <c r="AF793" s="527">
        <f t="shared" si="255"/>
        <v>0</v>
      </c>
      <c r="AG793" s="485"/>
      <c r="AH793" s="485"/>
      <c r="AI793" s="404"/>
    </row>
    <row r="794" spans="1:35">
      <c r="A794" s="489"/>
      <c r="B794" s="415"/>
      <c r="C794" s="486" t="s">
        <v>414</v>
      </c>
      <c r="D794" s="487">
        <v>0</v>
      </c>
      <c r="E794" s="499">
        <v>0</v>
      </c>
      <c r="J794" s="495"/>
      <c r="K794" s="415"/>
      <c r="L794" s="495"/>
      <c r="M794" s="415"/>
      <c r="N794" s="415"/>
      <c r="O794" s="415"/>
      <c r="P794" s="415"/>
      <c r="Q794" s="422"/>
      <c r="R794" s="415"/>
      <c r="S794" s="415"/>
      <c r="T794" s="415"/>
      <c r="U794" s="415"/>
      <c r="V794" s="415"/>
      <c r="W794" s="422"/>
      <c r="X794" s="415"/>
      <c r="Y794" s="458"/>
      <c r="Z794" s="422"/>
      <c r="AA794" s="556"/>
      <c r="AB794" s="556"/>
      <c r="AC794" s="415"/>
      <c r="AE794" s="415"/>
      <c r="AI794" s="404"/>
    </row>
    <row r="795" spans="1:35">
      <c r="A795" s="489"/>
      <c r="B795" s="415"/>
      <c r="C795" s="493" t="s">
        <v>415</v>
      </c>
      <c r="D795" s="494">
        <f>D792+D793-D794</f>
        <v>0</v>
      </c>
      <c r="E795" s="494">
        <f>IF(E792+E793-E794&gt;0,E792+E793-E794,0)</f>
        <v>0</v>
      </c>
      <c r="J795" s="305"/>
      <c r="K795" s="415"/>
      <c r="L795" s="305"/>
      <c r="M795" s="415"/>
      <c r="N795" s="415"/>
      <c r="O795" s="415"/>
      <c r="S795" s="415"/>
      <c r="T795" s="415"/>
      <c r="U795" s="415"/>
      <c r="V795" s="415"/>
      <c r="Y795" s="458"/>
      <c r="AD795" s="557" t="str">
        <f>B769&amp;"순자산가치"</f>
        <v>SPC없음순자산가치</v>
      </c>
      <c r="AE795" s="529">
        <f>IF(E775+SUM(AE775:AE780)+SUM(AE783:AE793)-E788&gt;0,E775+SUM(AE775:AE780)+SUM(AE783:AE793)-E788,0)</f>
        <v>0</v>
      </c>
      <c r="AF795" s="529">
        <f>IF(E775+SUM(AF775:AF780)+SUM(AF783:AF793)-E788&gt;0,E775+SUM(AF775:AF780)+SUM(AF783:AF793)-E788,0)</f>
        <v>0</v>
      </c>
      <c r="AI795" s="404"/>
    </row>
    <row r="796" spans="1:35">
      <c r="A796" s="489"/>
      <c r="B796" s="558" t="str">
        <f>B769&amp;C796</f>
        <v>SPC없음보유지분율(%)</v>
      </c>
      <c r="C796" s="493" t="s">
        <v>416</v>
      </c>
      <c r="D796" s="559">
        <f>개요!$C$250</f>
        <v>0</v>
      </c>
      <c r="E796" s="494">
        <f>E795*D796</f>
        <v>0</v>
      </c>
      <c r="F796" s="560" t="s">
        <v>417</v>
      </c>
      <c r="G796" s="560"/>
      <c r="J796" s="495"/>
      <c r="K796" s="415"/>
      <c r="L796" s="495"/>
      <c r="M796" s="415"/>
      <c r="N796" s="415"/>
      <c r="O796" s="415"/>
      <c r="S796" s="415"/>
      <c r="T796" s="415"/>
      <c r="U796" s="415"/>
      <c r="V796" s="415"/>
      <c r="Y796" s="458"/>
      <c r="AD796" s="557" t="s">
        <v>272</v>
      </c>
      <c r="AE796" s="561">
        <f>$D796</f>
        <v>0</v>
      </c>
      <c r="AF796" s="561">
        <f>$D796</f>
        <v>0</v>
      </c>
      <c r="AI796" s="404"/>
    </row>
    <row r="797" spans="1:35">
      <c r="A797" s="489"/>
      <c r="B797" s="415"/>
      <c r="G797" s="503" t="s">
        <v>419</v>
      </c>
      <c r="I797" s="562"/>
      <c r="J797" s="495"/>
      <c r="K797" s="415"/>
      <c r="L797" s="495"/>
      <c r="M797" s="415"/>
      <c r="N797" s="415"/>
      <c r="O797" s="415"/>
      <c r="S797" s="415"/>
      <c r="T797" s="415"/>
      <c r="U797" s="415"/>
      <c r="V797" s="415"/>
      <c r="Y797" s="458"/>
      <c r="AD797" s="557" t="str">
        <f>B769&amp;"지분율 반영 순자산가치"</f>
        <v>SPC없음지분율 반영 순자산가치</v>
      </c>
      <c r="AE797" s="529">
        <f>AE795*AE796</f>
        <v>0</v>
      </c>
      <c r="AF797" s="529">
        <f>AF795*AF796</f>
        <v>0</v>
      </c>
      <c r="AI797" s="404"/>
    </row>
    <row r="798" spans="1:35">
      <c r="A798" s="489"/>
      <c r="D798" s="504" t="s">
        <v>370</v>
      </c>
      <c r="E798" s="505">
        <f>$C$7</f>
        <v>45473</v>
      </c>
      <c r="F798" s="506"/>
      <c r="G798" s="505"/>
      <c r="I798" s="563"/>
      <c r="J798" s="495"/>
      <c r="K798" s="415"/>
      <c r="L798" s="495"/>
      <c r="M798" s="415"/>
      <c r="N798" s="415"/>
      <c r="O798" s="415"/>
      <c r="S798" s="415"/>
      <c r="T798" s="415"/>
      <c r="U798" s="415"/>
      <c r="V798" s="415"/>
      <c r="Y798" s="422"/>
      <c r="AI798" s="404"/>
    </row>
    <row r="799" spans="1:35">
      <c r="D799" s="486" t="s">
        <v>412</v>
      </c>
      <c r="E799" s="487">
        <f>E795</f>
        <v>0</v>
      </c>
      <c r="F799" s="507" t="e">
        <f>E799/G799-1</f>
        <v>#DIV/0!</v>
      </c>
      <c r="G799" s="487"/>
      <c r="I799" s="564"/>
      <c r="J799" s="495"/>
      <c r="K799" s="415"/>
      <c r="L799" s="495"/>
      <c r="M799" s="415"/>
      <c r="S799" s="415"/>
      <c r="T799" s="415"/>
      <c r="U799" s="415"/>
      <c r="V799" s="415"/>
      <c r="Y799" s="422"/>
      <c r="AI799" s="404"/>
    </row>
    <row r="800" spans="1:35">
      <c r="A800" s="489"/>
      <c r="B800" s="415"/>
      <c r="D800" s="486" t="s">
        <v>418</v>
      </c>
      <c r="E800" s="565">
        <f>$D$796</f>
        <v>0</v>
      </c>
      <c r="F800" s="507"/>
      <c r="G800" s="565"/>
      <c r="I800" s="566"/>
      <c r="J800" s="305"/>
      <c r="K800" s="415"/>
      <c r="L800" s="305"/>
      <c r="M800" s="415"/>
      <c r="S800" s="415"/>
      <c r="T800" s="415"/>
      <c r="U800" s="415"/>
      <c r="V800" s="415"/>
      <c r="Y800" s="422"/>
      <c r="AI800" s="404"/>
    </row>
    <row r="801" spans="1:35">
      <c r="A801" s="489"/>
      <c r="B801" s="415"/>
      <c r="D801" s="567" t="s">
        <v>420</v>
      </c>
      <c r="E801" s="568">
        <f>E799*E800</f>
        <v>0</v>
      </c>
      <c r="F801" s="507" t="e">
        <f>E801/G801-1</f>
        <v>#DIV/0!</v>
      </c>
      <c r="G801" s="568"/>
      <c r="I801" s="564"/>
      <c r="AI801" s="404"/>
    </row>
    <row r="802" spans="1:35">
      <c r="E802" s="304" t="b">
        <f>E801=E796</f>
        <v>1</v>
      </c>
      <c r="AI802" s="404"/>
    </row>
    <row r="803" spans="1:35">
      <c r="F803" s="507"/>
      <c r="G803" s="507"/>
      <c r="AI803" s="404"/>
    </row>
    <row r="804" spans="1:35" ht="12.75" thickBot="1">
      <c r="A804" s="536"/>
      <c r="B804" s="536"/>
      <c r="C804" s="536"/>
      <c r="D804" s="536"/>
      <c r="E804" s="536"/>
      <c r="F804" s="572"/>
      <c r="G804" s="572"/>
      <c r="H804" s="536"/>
      <c r="I804" s="537"/>
      <c r="J804" s="536"/>
      <c r="K804" s="536"/>
      <c r="L804" s="536"/>
      <c r="M804" s="536"/>
      <c r="N804" s="536"/>
      <c r="O804" s="536"/>
      <c r="P804" s="536"/>
      <c r="Q804" s="540"/>
      <c r="R804" s="536"/>
      <c r="S804" s="536"/>
      <c r="T804" s="536"/>
      <c r="U804" s="536"/>
      <c r="V804" s="536"/>
      <c r="W804" s="540"/>
      <c r="X804" s="536"/>
      <c r="Y804" s="540"/>
      <c r="Z804" s="540"/>
      <c r="AA804" s="536"/>
      <c r="AB804" s="536"/>
      <c r="AC804" s="536"/>
      <c r="AD804" s="541"/>
      <c r="AE804" s="536"/>
      <c r="AF804" s="536"/>
      <c r="AG804" s="536"/>
      <c r="AH804" s="536"/>
      <c r="AI804" s="404"/>
    </row>
    <row r="805" spans="1:35" ht="12.75" thickTop="1">
      <c r="F805" s="507"/>
      <c r="G805" s="507"/>
      <c r="AI805" s="404"/>
    </row>
    <row r="806" spans="1:35" ht="12.75" thickBot="1">
      <c r="A806" s="459"/>
      <c r="B806" s="415"/>
      <c r="J806" s="428" t="s">
        <v>273</v>
      </c>
      <c r="K806" s="489"/>
      <c r="L806" s="497"/>
      <c r="M806" s="489"/>
      <c r="N806" s="415"/>
      <c r="O806" s="415"/>
      <c r="AI806" s="404"/>
    </row>
    <row r="807" spans="1:35" ht="12.75" thickBot="1">
      <c r="A807" s="542" t="s">
        <v>720</v>
      </c>
      <c r="B807" s="543" t="str">
        <f>IF(개요!$B$253="","SPC없음",개요!$B$253)</f>
        <v>SPC없음</v>
      </c>
      <c r="C807" s="454"/>
      <c r="J807" s="433"/>
      <c r="K807" s="434"/>
      <c r="L807" s="434"/>
      <c r="M807" s="434"/>
      <c r="N807" s="434"/>
      <c r="O807" s="434"/>
      <c r="P807" s="434"/>
      <c r="Q807" s="435"/>
      <c r="R807" s="434"/>
      <c r="S807" s="434"/>
      <c r="T807" s="434"/>
      <c r="U807" s="434"/>
      <c r="V807" s="436"/>
      <c r="AI807" s="404"/>
    </row>
    <row r="808" spans="1:35">
      <c r="B808" s="543" t="s">
        <v>369</v>
      </c>
      <c r="C808" s="569" t="str">
        <f>IF(개요!$C$254="","SPC없음",개요!$C$254)</f>
        <v>SPC없음</v>
      </c>
      <c r="J808" s="442"/>
      <c r="K808" s="151"/>
      <c r="L808" s="151"/>
      <c r="M808" s="151"/>
      <c r="N808" s="151"/>
      <c r="O808" s="151"/>
      <c r="P808" s="151"/>
      <c r="Q808" s="443"/>
      <c r="R808" s="151"/>
      <c r="S808" s="151"/>
      <c r="T808" s="151"/>
      <c r="U808" s="151"/>
      <c r="V808" s="444"/>
      <c r="AI808" s="404"/>
    </row>
    <row r="809" spans="1:35">
      <c r="B809" s="437" t="s">
        <v>370</v>
      </c>
      <c r="C809" s="570">
        <f>$C$7</f>
        <v>45473</v>
      </c>
      <c r="D809" s="546" t="b">
        <f>C809&gt;=C810</f>
        <v>1</v>
      </c>
      <c r="J809" s="442"/>
      <c r="K809" s="151"/>
      <c r="L809" s="151"/>
      <c r="M809" s="151"/>
      <c r="N809" s="151"/>
      <c r="O809" s="151"/>
      <c r="P809" s="151"/>
      <c r="Q809" s="443"/>
      <c r="R809" s="151"/>
      <c r="S809" s="151"/>
      <c r="T809" s="151"/>
      <c r="U809" s="151"/>
      <c r="V809" s="444"/>
      <c r="AI809" s="404"/>
    </row>
    <row r="810" spans="1:35" ht="12.75" thickBot="1">
      <c r="B810" s="449" t="s">
        <v>371</v>
      </c>
      <c r="C810" s="571">
        <f>FS!$AV$48</f>
        <v>0</v>
      </c>
      <c r="J810" s="453"/>
      <c r="K810" s="454"/>
      <c r="L810" s="454"/>
      <c r="M810" s="454"/>
      <c r="N810" s="454"/>
      <c r="O810" s="454"/>
      <c r="P810" s="454"/>
      <c r="Q810" s="455"/>
      <c r="R810" s="454"/>
      <c r="S810" s="454"/>
      <c r="T810" s="454"/>
      <c r="U810" s="454"/>
      <c r="V810" s="456"/>
      <c r="AI810" s="404"/>
    </row>
    <row r="811" spans="1:35">
      <c r="A811" s="459"/>
      <c r="J811" s="428" t="s">
        <v>372</v>
      </c>
      <c r="K811" s="448"/>
      <c r="L811" s="420"/>
      <c r="M811" s="448"/>
      <c r="N811" s="448"/>
      <c r="O811" s="448"/>
      <c r="P811" s="415"/>
      <c r="Q811" s="422"/>
      <c r="R811" s="415"/>
      <c r="S811" s="415"/>
      <c r="T811" s="415"/>
      <c r="U811" s="415"/>
      <c r="V811" s="415"/>
      <c r="W811" s="422"/>
      <c r="Z811" s="458"/>
      <c r="AE811" s="803" t="s">
        <v>8</v>
      </c>
      <c r="AF811" s="803"/>
      <c r="AG811" s="460"/>
      <c r="AH811" s="460"/>
      <c r="AI811" s="404"/>
    </row>
    <row r="812" spans="1:35" ht="12.75" thickBot="1">
      <c r="A812" s="461" t="str">
        <f>IF(AND(B813:B839),"검증완료","검증필요")</f>
        <v>검증완료</v>
      </c>
      <c r="B812" s="462" t="s">
        <v>373</v>
      </c>
      <c r="C812" s="462" t="s">
        <v>9</v>
      </c>
      <c r="D812" s="462" t="s">
        <v>10</v>
      </c>
      <c r="E812" s="462" t="s">
        <v>11</v>
      </c>
      <c r="J812" s="462" t="s">
        <v>375</v>
      </c>
      <c r="K812" s="464" t="s">
        <v>0</v>
      </c>
      <c r="L812" s="462" t="s">
        <v>369</v>
      </c>
      <c r="M812" s="462" t="s">
        <v>456</v>
      </c>
      <c r="N812" s="462" t="s">
        <v>378</v>
      </c>
      <c r="O812" s="462" t="s">
        <v>1</v>
      </c>
      <c r="P812" s="464" t="s">
        <v>380</v>
      </c>
      <c r="Q812" s="465" t="s">
        <v>14</v>
      </c>
      <c r="R812" s="466" t="s">
        <v>381</v>
      </c>
      <c r="S812" s="466" t="s">
        <v>382</v>
      </c>
      <c r="T812" s="462" t="s">
        <v>12</v>
      </c>
      <c r="U812" s="462" t="s">
        <v>383</v>
      </c>
      <c r="V812" s="462" t="s">
        <v>400</v>
      </c>
      <c r="W812" s="465" t="s">
        <v>10</v>
      </c>
      <c r="X812" s="462" t="s">
        <v>385</v>
      </c>
      <c r="Y812" s="465" t="s">
        <v>430</v>
      </c>
      <c r="Z812" s="465" t="s">
        <v>3522</v>
      </c>
      <c r="AA812" s="464" t="s">
        <v>13</v>
      </c>
      <c r="AE812" s="467" t="s">
        <v>3627</v>
      </c>
      <c r="AF812" s="467" t="s">
        <v>3628</v>
      </c>
      <c r="AG812" s="467" t="s">
        <v>3629</v>
      </c>
      <c r="AH812" s="467" t="s">
        <v>3630</v>
      </c>
      <c r="AI812" s="404"/>
    </row>
    <row r="813" spans="1:35" ht="12.75" thickBot="1">
      <c r="A813" s="415"/>
      <c r="B813" s="415"/>
      <c r="C813" s="468" t="s">
        <v>480</v>
      </c>
      <c r="D813" s="469">
        <f>SUM(D814:D815)</f>
        <v>0</v>
      </c>
      <c r="E813" s="469">
        <f>SUM(E814:E815)</f>
        <v>0</v>
      </c>
      <c r="J813" s="476"/>
      <c r="K813" s="472"/>
      <c r="L813" s="473" t="str">
        <f>IF($J813="","SPC 없음",VLOOKUP($J813&amp;"SPC명",개요!$A$3:$E$1932,3,0))</f>
        <v>SPC 없음</v>
      </c>
      <c r="M813" s="474" t="str">
        <f>IF($J813="","SPC 없음",VLOOKUP($J813&amp;"설정일",개요!$A$3:$E$1932,3,0))</f>
        <v>SPC 없음</v>
      </c>
      <c r="N813" s="475" t="str">
        <f t="shared" ref="N813:N818" si="256">IF($J813="","SPC 없음",VLOOKUP($J813&amp;"자본금",$B$4:$E$2079,3,0)*VLOOKUP($J813&amp;"보유지분율(%)",$B$4:$E$2079,3,0))</f>
        <v>SPC 없음</v>
      </c>
      <c r="O813" s="471"/>
      <c r="P813" s="476"/>
      <c r="Q813" s="477"/>
      <c r="R813" s="478"/>
      <c r="S813" s="479" t="str">
        <f t="shared" ref="S813:S818" si="257">IF($J813="","SPC 없음",IF(P813="총액",IF(T813="장부가액 준용",W813,(VLOOKUP($J813&amp;"보유지분율(%)",$B$4:$E$2079,4,0))*V813),Q813*R813))</f>
        <v>SPC 없음</v>
      </c>
      <c r="T813" s="471"/>
      <c r="U813" s="471" t="s">
        <v>94</v>
      </c>
      <c r="V813" s="480">
        <f>IF(U813="한국 원화(KRW)",1,IF(OR(U813=환율!$A$6,U813=환율!$A$7),VLOOKUP(NAV!U813,환율!$A$6:$B$7,2,),IF(RIGHT(U813,5)="(100)",(VLOOKUP(NAV!U813,환율!$A$11:$B$65,2,))/100,VLOOKUP(NAV!U813,환율!$A$11:$B$65,2,))))</f>
        <v>1</v>
      </c>
      <c r="W813" s="481"/>
      <c r="X813" s="482">
        <f t="shared" ref="X813:X818" si="258">IFERROR(IF(P813="만원당",10000,Y813/Q813),0)</f>
        <v>0</v>
      </c>
      <c r="Y813" s="481"/>
      <c r="Z813" s="481"/>
      <c r="AA813" s="483">
        <f t="shared" ref="AA813:AA818" si="259">IFERROR(IF(Z813="",S813/W813-1,S813/Z813-1),0)</f>
        <v>0</v>
      </c>
      <c r="AE813" s="484" t="str">
        <f t="shared" ref="AE813:AE818" si="260">IF($J813="","SPC 없음",IF(P813="총액",(VLOOKUP($J813&amp;"지분율 반영 순자산가치",$AD$4:$AH$4973,2,0))*V813,AG813*$Q813))</f>
        <v>SPC 없음</v>
      </c>
      <c r="AF813" s="484" t="str">
        <f t="shared" ref="AF813:AF818" si="261">IF($J813="","SPC 없음",IF(P813="총액",(VLOOKUP($J813&amp;"지분율 반영 순자산가치",$AD$4:$AH$4973,3,0))*V813,AH813*$Q813))</f>
        <v>SPC 없음</v>
      </c>
      <c r="AG813" s="485"/>
      <c r="AH813" s="485"/>
      <c r="AI813" s="404"/>
    </row>
    <row r="814" spans="1:35" ht="12.75" thickBot="1">
      <c r="A814" s="415"/>
      <c r="B814" s="415"/>
      <c r="C814" s="486" t="s">
        <v>387</v>
      </c>
      <c r="D814" s="487">
        <f>SUMIF(FS!$AS$49:$AS$79,개요!$B$253&amp;RIGHT(NAV!C814,10),FS!$AV$49:$AV$79)</f>
        <v>0</v>
      </c>
      <c r="E814" s="487">
        <f>D814</f>
        <v>0</v>
      </c>
      <c r="J814" s="476"/>
      <c r="K814" s="472"/>
      <c r="L814" s="473" t="str">
        <f>IF($J814="","SPC 없음",VLOOKUP($J814&amp;"SPC명",개요!$A$3:$E$1932,3,0))</f>
        <v>SPC 없음</v>
      </c>
      <c r="M814" s="474" t="str">
        <f>IF($J814="","SPC 없음",VLOOKUP($J814&amp;"설정일",개요!$A$3:$E$1932,3,0))</f>
        <v>SPC 없음</v>
      </c>
      <c r="N814" s="475" t="str">
        <f t="shared" si="256"/>
        <v>SPC 없음</v>
      </c>
      <c r="O814" s="471"/>
      <c r="P814" s="476"/>
      <c r="Q814" s="477"/>
      <c r="R814" s="478"/>
      <c r="S814" s="479" t="str">
        <f t="shared" si="257"/>
        <v>SPC 없음</v>
      </c>
      <c r="T814" s="471"/>
      <c r="U814" s="471" t="s">
        <v>94</v>
      </c>
      <c r="V814" s="480">
        <f>IF(U814="한국 원화(KRW)",1,IF(OR(U814=환율!$A$6,U814=환율!$A$7),VLOOKUP(NAV!U814,환율!$A$6:$B$7,2,),IF(RIGHT(U814,5)="(100)",(VLOOKUP(NAV!U814,환율!$A$11:$B$65,2,))/100,VLOOKUP(NAV!U814,환율!$A$11:$B$65,2,))))</f>
        <v>1</v>
      </c>
      <c r="W814" s="481"/>
      <c r="X814" s="482">
        <f t="shared" si="258"/>
        <v>0</v>
      </c>
      <c r="Y814" s="481"/>
      <c r="Z814" s="481"/>
      <c r="AA814" s="483">
        <f t="shared" si="259"/>
        <v>0</v>
      </c>
      <c r="AE814" s="484" t="str">
        <f t="shared" si="260"/>
        <v>SPC 없음</v>
      </c>
      <c r="AF814" s="484" t="str">
        <f t="shared" si="261"/>
        <v>SPC 없음</v>
      </c>
      <c r="AG814" s="485"/>
      <c r="AH814" s="485"/>
      <c r="AI814" s="404"/>
    </row>
    <row r="815" spans="1:35" ht="12.75" thickBot="1">
      <c r="A815" s="415"/>
      <c r="B815" s="415"/>
      <c r="C815" s="486" t="s">
        <v>34</v>
      </c>
      <c r="D815" s="487">
        <f>SUMIF(FS!$AS$49:$AS$79,개요!$B$253&amp;RIGHT(NAV!C815,4),FS!$AV$49:$AV$79)</f>
        <v>0</v>
      </c>
      <c r="E815" s="487">
        <f>D815</f>
        <v>0</v>
      </c>
      <c r="J815" s="476"/>
      <c r="K815" s="472"/>
      <c r="L815" s="473" t="str">
        <f>IF($J815="","SPC 없음",VLOOKUP($J815&amp;"SPC명",개요!$A$3:$E$1932,3,0))</f>
        <v>SPC 없음</v>
      </c>
      <c r="M815" s="474" t="str">
        <f>IF($J815="","SPC 없음",VLOOKUP($J815&amp;"설정일",개요!$A$3:$E$1932,3,0))</f>
        <v>SPC 없음</v>
      </c>
      <c r="N815" s="475" t="str">
        <f t="shared" si="256"/>
        <v>SPC 없음</v>
      </c>
      <c r="O815" s="471"/>
      <c r="P815" s="476"/>
      <c r="Q815" s="477"/>
      <c r="R815" s="478"/>
      <c r="S815" s="479" t="str">
        <f t="shared" si="257"/>
        <v>SPC 없음</v>
      </c>
      <c r="T815" s="471"/>
      <c r="U815" s="471" t="s">
        <v>94</v>
      </c>
      <c r="V815" s="480">
        <f>IF(U815="한국 원화(KRW)",1,IF(OR(U815=환율!$A$6,U815=환율!$A$7),VLOOKUP(NAV!U815,환율!$A$6:$B$7,2,),IF(RIGHT(U815,5)="(100)",(VLOOKUP(NAV!U815,환율!$A$11:$B$65,2,))/100,VLOOKUP(NAV!U815,환율!$A$11:$B$65,2,))))</f>
        <v>1</v>
      </c>
      <c r="W815" s="481"/>
      <c r="X815" s="482">
        <f t="shared" si="258"/>
        <v>0</v>
      </c>
      <c r="Y815" s="481"/>
      <c r="Z815" s="481"/>
      <c r="AA815" s="483">
        <f t="shared" si="259"/>
        <v>0</v>
      </c>
      <c r="AE815" s="484" t="str">
        <f t="shared" si="260"/>
        <v>SPC 없음</v>
      </c>
      <c r="AF815" s="484" t="str">
        <f t="shared" si="261"/>
        <v>SPC 없음</v>
      </c>
      <c r="AG815" s="485"/>
      <c r="AH815" s="485"/>
      <c r="AI815" s="404"/>
    </row>
    <row r="816" spans="1:35" ht="12.75" thickBot="1">
      <c r="A816" s="489" t="s">
        <v>389</v>
      </c>
      <c r="B816" s="490" t="b">
        <f>SUM(W813:W818,W821:W831)=D816</f>
        <v>1</v>
      </c>
      <c r="C816" s="468" t="s">
        <v>17</v>
      </c>
      <c r="D816" s="469">
        <f>SUMIF(FS!$AS$49:$AS$79,개요!$B$253&amp;RIGHT(NAV!C816,4),FS!$AV$49:$AV$79)</f>
        <v>0</v>
      </c>
      <c r="E816" s="469">
        <f>SUM(S813:S818)+SUM(S821:S831)</f>
        <v>0</v>
      </c>
      <c r="J816" s="476"/>
      <c r="K816" s="472"/>
      <c r="L816" s="473" t="str">
        <f>IF($J816="","SPC 없음",VLOOKUP($J816&amp;"SPC명",개요!$A$3:$E$1932,3,0))</f>
        <v>SPC 없음</v>
      </c>
      <c r="M816" s="474" t="str">
        <f>IF($J816="","SPC 없음",VLOOKUP($J816&amp;"설정일",개요!$A$3:$E$1932,3,0))</f>
        <v>SPC 없음</v>
      </c>
      <c r="N816" s="475" t="str">
        <f t="shared" si="256"/>
        <v>SPC 없음</v>
      </c>
      <c r="O816" s="471"/>
      <c r="P816" s="476"/>
      <c r="Q816" s="477"/>
      <c r="R816" s="478"/>
      <c r="S816" s="479" t="str">
        <f t="shared" si="257"/>
        <v>SPC 없음</v>
      </c>
      <c r="T816" s="471"/>
      <c r="U816" s="471" t="s">
        <v>94</v>
      </c>
      <c r="V816" s="480">
        <f>IF(U816="한국 원화(KRW)",1,IF(OR(U816=환율!$A$6,U816=환율!$A$7),VLOOKUP(NAV!U816,환율!$A$6:$B$7,2,),IF(RIGHT(U816,5)="(100)",(VLOOKUP(NAV!U816,환율!$A$11:$B$65,2,))/100,VLOOKUP(NAV!U816,환율!$A$11:$B$65,2,))))</f>
        <v>1</v>
      </c>
      <c r="W816" s="481"/>
      <c r="X816" s="482">
        <f t="shared" si="258"/>
        <v>0</v>
      </c>
      <c r="Y816" s="481"/>
      <c r="Z816" s="481"/>
      <c r="AA816" s="483">
        <f t="shared" si="259"/>
        <v>0</v>
      </c>
      <c r="AE816" s="484" t="str">
        <f t="shared" si="260"/>
        <v>SPC 없음</v>
      </c>
      <c r="AF816" s="484" t="str">
        <f t="shared" si="261"/>
        <v>SPC 없음</v>
      </c>
      <c r="AG816" s="485"/>
      <c r="AH816" s="485"/>
      <c r="AI816" s="404"/>
    </row>
    <row r="817" spans="1:35" ht="12.75" thickBot="1">
      <c r="A817" s="492" t="s">
        <v>391</v>
      </c>
      <c r="B817" s="415" t="b">
        <f>D814+D815+D816=D817</f>
        <v>1</v>
      </c>
      <c r="C817" s="493" t="s">
        <v>479</v>
      </c>
      <c r="D817" s="494">
        <f>D813+D816</f>
        <v>0</v>
      </c>
      <c r="E817" s="494">
        <f>E813+E816</f>
        <v>0</v>
      </c>
      <c r="J817" s="476"/>
      <c r="K817" s="472"/>
      <c r="L817" s="473" t="str">
        <f>IF($J817="","SPC 없음",VLOOKUP($J817&amp;"SPC명",개요!$A$3:$E$1932,3,0))</f>
        <v>SPC 없음</v>
      </c>
      <c r="M817" s="474" t="str">
        <f>IF($J817="","SPC 없음",VLOOKUP($J817&amp;"설정일",개요!$A$3:$E$1932,3,0))</f>
        <v>SPC 없음</v>
      </c>
      <c r="N817" s="475" t="str">
        <f t="shared" si="256"/>
        <v>SPC 없음</v>
      </c>
      <c r="O817" s="471"/>
      <c r="P817" s="476"/>
      <c r="Q817" s="477"/>
      <c r="R817" s="478"/>
      <c r="S817" s="479" t="str">
        <f t="shared" si="257"/>
        <v>SPC 없음</v>
      </c>
      <c r="T817" s="471"/>
      <c r="U817" s="471" t="s">
        <v>94</v>
      </c>
      <c r="V817" s="480">
        <f>IF(U817="한국 원화(KRW)",1,IF(OR(U817=환율!$A$6,U817=환율!$A$7),VLOOKUP(NAV!U817,환율!$A$6:$B$7,2,),IF(RIGHT(U817,5)="(100)",(VLOOKUP(NAV!U817,환율!$A$11:$B$65,2,))/100,VLOOKUP(NAV!U817,환율!$A$11:$B$65,2,))))</f>
        <v>1</v>
      </c>
      <c r="W817" s="481"/>
      <c r="X817" s="482">
        <f t="shared" si="258"/>
        <v>0</v>
      </c>
      <c r="Y817" s="481"/>
      <c r="Z817" s="481"/>
      <c r="AA817" s="483">
        <f t="shared" si="259"/>
        <v>0</v>
      </c>
      <c r="AE817" s="484" t="str">
        <f t="shared" si="260"/>
        <v>SPC 없음</v>
      </c>
      <c r="AF817" s="484" t="str">
        <f t="shared" si="261"/>
        <v>SPC 없음</v>
      </c>
      <c r="AG817" s="485"/>
      <c r="AH817" s="485"/>
      <c r="AI817" s="404"/>
    </row>
    <row r="818" spans="1:35" ht="12.75" thickBot="1">
      <c r="A818" s="492"/>
      <c r="B818" s="496"/>
      <c r="C818" s="468" t="s">
        <v>18</v>
      </c>
      <c r="D818" s="469">
        <f>SUM(D819:D822)</f>
        <v>0</v>
      </c>
      <c r="E818" s="469">
        <f>SUM(E819:E822)</f>
        <v>0</v>
      </c>
      <c r="J818" s="476"/>
      <c r="K818" s="472"/>
      <c r="L818" s="473" t="str">
        <f>IF($J818="","SPC 없음",VLOOKUP($J818&amp;"SPC명",개요!$A$3:$E$1932,3,0))</f>
        <v>SPC 없음</v>
      </c>
      <c r="M818" s="474" t="str">
        <f>IF($J818="","SPC 없음",VLOOKUP($J818&amp;"설정일",개요!$A$3:$E$1932,3,0))</f>
        <v>SPC 없음</v>
      </c>
      <c r="N818" s="475" t="str">
        <f t="shared" si="256"/>
        <v>SPC 없음</v>
      </c>
      <c r="O818" s="471"/>
      <c r="P818" s="476"/>
      <c r="Q818" s="477"/>
      <c r="R818" s="478"/>
      <c r="S818" s="479" t="str">
        <f t="shared" si="257"/>
        <v>SPC 없음</v>
      </c>
      <c r="T818" s="471"/>
      <c r="U818" s="471" t="s">
        <v>94</v>
      </c>
      <c r="V818" s="480">
        <f>IF(U818="한국 원화(KRW)",1,IF(OR(U818=환율!$A$6,U818=환율!$A$7),VLOOKUP(NAV!U818,환율!$A$6:$B$7,2,),IF(RIGHT(U818,5)="(100)",(VLOOKUP(NAV!U818,환율!$A$11:$B$65,2,))/100,VLOOKUP(NAV!U818,환율!$A$11:$B$65,2,))))</f>
        <v>1</v>
      </c>
      <c r="W818" s="481"/>
      <c r="X818" s="482">
        <f t="shared" si="258"/>
        <v>0</v>
      </c>
      <c r="Y818" s="481"/>
      <c r="Z818" s="481"/>
      <c r="AA818" s="483">
        <f t="shared" si="259"/>
        <v>0</v>
      </c>
      <c r="AE818" s="484" t="str">
        <f t="shared" si="260"/>
        <v>SPC 없음</v>
      </c>
      <c r="AF818" s="484" t="str">
        <f t="shared" si="261"/>
        <v>SPC 없음</v>
      </c>
      <c r="AG818" s="485"/>
      <c r="AH818" s="485"/>
      <c r="AI818" s="404"/>
    </row>
    <row r="819" spans="1:35">
      <c r="A819" s="492"/>
      <c r="B819" s="496"/>
      <c r="C819" s="486" t="s">
        <v>392</v>
      </c>
      <c r="D819" s="487">
        <f>SUMIF(FS!$AS$49:$AS$79,개요!$B$253&amp;RIGHT(NAV!C819,5),FS!$AV$49:$AV$79)</f>
        <v>0</v>
      </c>
      <c r="E819" s="487">
        <f>D819</f>
        <v>0</v>
      </c>
      <c r="J819" s="428" t="s">
        <v>539</v>
      </c>
      <c r="K819" s="415"/>
      <c r="L819" s="305"/>
      <c r="M819" s="415"/>
      <c r="N819" s="415"/>
      <c r="O819" s="415"/>
      <c r="P819" s="415"/>
      <c r="Q819" s="422"/>
      <c r="R819" s="415"/>
      <c r="S819" s="415"/>
      <c r="T819" s="415"/>
      <c r="U819" s="415"/>
      <c r="W819" s="517" t="b">
        <f>SUM(W821:W831)+SUM(W813:W818)=D816</f>
        <v>1</v>
      </c>
      <c r="X819" s="415"/>
      <c r="Y819" s="422"/>
      <c r="Z819" s="422"/>
      <c r="AA819" s="459" t="str">
        <f>IF(OR(MAX(AA813:AA818,AA821:AA831)&gt;0.2,MIN(AA813:AA818,AA821:AA831)&lt;-0.2),"특이사항 확인","특이사항 없음")</f>
        <v>특이사항 없음</v>
      </c>
      <c r="AB819" s="415"/>
      <c r="AF819" s="415"/>
      <c r="AG819" s="415"/>
      <c r="AI819" s="404"/>
    </row>
    <row r="820" spans="1:35" ht="12.75" thickBot="1">
      <c r="A820" s="492"/>
      <c r="B820" s="496"/>
      <c r="C820" s="486" t="s">
        <v>393</v>
      </c>
      <c r="D820" s="487">
        <f>SUMIF(FS!$AS$49:$AS$79,개요!$B$253&amp;RIGHT(NAV!C820,3),FS!$AV$49:$AV$79)</f>
        <v>0</v>
      </c>
      <c r="E820" s="487">
        <f t="shared" ref="E820:E821" si="262">D820</f>
        <v>0</v>
      </c>
      <c r="I820" s="518">
        <f>COUNTA(J821:J831)</f>
        <v>0</v>
      </c>
      <c r="J820" s="548" t="s">
        <v>394</v>
      </c>
      <c r="K820" s="548" t="s">
        <v>0</v>
      </c>
      <c r="L820" s="548" t="s">
        <v>435</v>
      </c>
      <c r="M820" s="548" t="s">
        <v>396</v>
      </c>
      <c r="N820" s="548" t="s">
        <v>397</v>
      </c>
      <c r="O820" s="548" t="s">
        <v>398</v>
      </c>
      <c r="P820" s="548" t="s">
        <v>380</v>
      </c>
      <c r="Q820" s="519" t="s">
        <v>14</v>
      </c>
      <c r="R820" s="466" t="s">
        <v>299</v>
      </c>
      <c r="S820" s="466" t="s">
        <v>3525</v>
      </c>
      <c r="T820" s="549" t="s">
        <v>12</v>
      </c>
      <c r="U820" s="548" t="s">
        <v>383</v>
      </c>
      <c r="V820" s="548" t="s">
        <v>400</v>
      </c>
      <c r="W820" s="550" t="s">
        <v>10</v>
      </c>
      <c r="X820" s="549" t="s">
        <v>401</v>
      </c>
      <c r="Y820" s="550" t="s">
        <v>300</v>
      </c>
      <c r="Z820" s="550" t="s">
        <v>3523</v>
      </c>
      <c r="AA820" s="548" t="s">
        <v>13</v>
      </c>
      <c r="AB820" s="548" t="s">
        <v>15</v>
      </c>
      <c r="AC820" s="548" t="s">
        <v>473</v>
      </c>
      <c r="AE820" s="467" t="s">
        <v>3627</v>
      </c>
      <c r="AF820" s="467" t="s">
        <v>3628</v>
      </c>
      <c r="AG820" s="467" t="s">
        <v>3629</v>
      </c>
      <c r="AH820" s="467" t="s">
        <v>3630</v>
      </c>
      <c r="AI820" s="404"/>
    </row>
    <row r="821" spans="1:35" ht="12.75" thickBot="1">
      <c r="A821" s="492"/>
      <c r="B821" s="496"/>
      <c r="C821" s="486" t="s">
        <v>404</v>
      </c>
      <c r="D821" s="487">
        <f>SUMIF(FS!$AS$49:$AS$79,개요!$B$253&amp;RIGHT(NAV!C821,6),FS!$AV$49:$AV$79)</f>
        <v>0</v>
      </c>
      <c r="E821" s="487">
        <f t="shared" si="262"/>
        <v>0</v>
      </c>
      <c r="J821" s="551"/>
      <c r="K821" s="552"/>
      <c r="L821" s="551"/>
      <c r="M821" s="553"/>
      <c r="N821" s="553"/>
      <c r="O821" s="551"/>
      <c r="P821" s="553"/>
      <c r="Q821" s="524"/>
      <c r="R821" s="478">
        <f>IFERROR(INDEX(기초자산!M$6:M$408,MATCH(K821&amp;N821&amp;O821,기초자산!$A$6:$A$408,0),0),0)</f>
        <v>0</v>
      </c>
      <c r="S821" s="479">
        <f t="shared" ref="S821:S831" si="263">IFERROR(IF(T821="취득원가 준용",Y821,IF(T821="장부가액 준용",W821,IF(P821="주당",R821*Q821*V821,IF(RIGHT(U821,5)="(100)",Y821/1000*R821*V821,Y821/10000*R821*V821)))),0)</f>
        <v>0</v>
      </c>
      <c r="T821" s="553"/>
      <c r="U821" s="471" t="s">
        <v>94</v>
      </c>
      <c r="V821" s="480">
        <f>IF(U821="한국 원화(KRW)",1,IF(OR(U821=환율!$A$6,U821=환율!$A$7),VLOOKUP(NAV!U821,환율!$A$6:$B$7,2,),IF(RIGHT(U821,5)="(100)",(VLOOKUP(NAV!U821,환율!$A$11:$B$65,2,))/100,VLOOKUP(NAV!U821,환율!$A$11:$B$65,2,))))</f>
        <v>1</v>
      </c>
      <c r="W821" s="481"/>
      <c r="X821" s="482">
        <f t="shared" ref="X821:X831" si="264">IFERROR(IF(P821="만원당",10000,Y821/Q821),0)</f>
        <v>0</v>
      </c>
      <c r="Y821" s="481"/>
      <c r="Z821" s="481"/>
      <c r="AA821" s="483">
        <f t="shared" ref="AA821:AA831" si="265">IFERROR(IF(Z821="",S821/W821-1,S821/Z821-1),0)</f>
        <v>0</v>
      </c>
      <c r="AB821" s="554"/>
      <c r="AC821" s="526" t="str">
        <f t="shared" ref="AC821:AC831" si="266">IF(($C$7-AB821)/365&gt;2,"2년이상","2년미만")</f>
        <v>2년이상</v>
      </c>
      <c r="AD821" s="520" t="str">
        <f t="shared" ref="AD821:AD831" si="267">IF(OR(AA821&gt;20%,AA821&lt;-20%),"(1) Note 기재","")</f>
        <v/>
      </c>
      <c r="AE821" s="527">
        <f>IF(OR(T821="MTP",T821="과거거래 이용법",T821="취득원가 준용",T821="장부가액 준용",T821="상장종가 적용"),S821,IF(P821="주당",AG821*Q821*V821,Y821/10000*AG821*V821))</f>
        <v>0</v>
      </c>
      <c r="AF821" s="527">
        <f>IF(OR(T821="MTP",T821="과거거래 이용법",T821="취득원가 준용",T821="장부가액 준용",T821="상장종가 적용"),S821,IF(P821="주당",AH821*Q821*V821,Y821/10000*AH821*V821))</f>
        <v>0</v>
      </c>
      <c r="AG821" s="485"/>
      <c r="AH821" s="485"/>
      <c r="AI821" s="404"/>
    </row>
    <row r="822" spans="1:35" ht="12.75" thickBot="1">
      <c r="A822" s="492"/>
      <c r="B822" s="496"/>
      <c r="C822" s="486" t="s">
        <v>405</v>
      </c>
      <c r="D822" s="487">
        <f>SUMIF(FS!$AS$49:$AS$79,개요!$B$253&amp;RIGHT(NAV!C822,7),FS!$AV$49:$AV$79)</f>
        <v>0</v>
      </c>
      <c r="E822" s="487">
        <f>D822</f>
        <v>0</v>
      </c>
      <c r="J822" s="551"/>
      <c r="K822" s="552"/>
      <c r="L822" s="551"/>
      <c r="M822" s="553"/>
      <c r="N822" s="553"/>
      <c r="O822" s="551"/>
      <c r="P822" s="553"/>
      <c r="Q822" s="524"/>
      <c r="R822" s="478">
        <f>IFERROR(INDEX(기초자산!M$6:M$408,MATCH(K822&amp;N822&amp;O822,기초자산!$A$6:$A$408,0),0),0)</f>
        <v>0</v>
      </c>
      <c r="S822" s="479">
        <f t="shared" si="263"/>
        <v>0</v>
      </c>
      <c r="T822" s="553"/>
      <c r="U822" s="471" t="s">
        <v>94</v>
      </c>
      <c r="V822" s="480">
        <f>IF(U822="한국 원화(KRW)",1,IF(OR(U822=환율!$A$6,U822=환율!$A$7),VLOOKUP(NAV!U822,환율!$A$6:$B$7,2,),IF(RIGHT(U822,5)="(100)",(VLOOKUP(NAV!U822,환율!$A$11:$B$65,2,))/100,VLOOKUP(NAV!U822,환율!$A$11:$B$65,2,))))</f>
        <v>1</v>
      </c>
      <c r="W822" s="481"/>
      <c r="X822" s="482">
        <f t="shared" si="264"/>
        <v>0</v>
      </c>
      <c r="Y822" s="481"/>
      <c r="Z822" s="481"/>
      <c r="AA822" s="483">
        <f t="shared" si="265"/>
        <v>0</v>
      </c>
      <c r="AB822" s="554"/>
      <c r="AC822" s="526" t="str">
        <f t="shared" si="266"/>
        <v>2년이상</v>
      </c>
      <c r="AD822" s="520" t="str">
        <f t="shared" si="267"/>
        <v/>
      </c>
      <c r="AE822" s="527">
        <f t="shared" ref="AE822:AE831" si="268">IF(OR(T822="MTP",T822="과거거래 이용법",T822="취득원가 준용",T822="장부가액 준용",T822="상장종가 적용"),S822,IF(P822="주당",AG822*Q822*V822,Y822/10000*AG822*V822))</f>
        <v>0</v>
      </c>
      <c r="AF822" s="527">
        <f t="shared" ref="AF822:AF831" si="269">IF(OR(T822="MTP",T822="과거거래 이용법",T822="취득원가 준용",T822="장부가액 준용",T822="상장종가 적용"),S822,IF(P822="주당",AH822*Q822*V822,Y822/10000*AH822*V822))</f>
        <v>0</v>
      </c>
      <c r="AG822" s="485"/>
      <c r="AH822" s="485"/>
      <c r="AI822" s="404"/>
    </row>
    <row r="823" spans="1:35" ht="12.75" thickBot="1">
      <c r="A823" s="492"/>
      <c r="B823" s="496"/>
      <c r="C823" s="468" t="s">
        <v>21</v>
      </c>
      <c r="D823" s="469">
        <f>SUM(D824:D825)</f>
        <v>0</v>
      </c>
      <c r="E823" s="469">
        <f>SUM(E824:E825)</f>
        <v>0</v>
      </c>
      <c r="J823" s="551"/>
      <c r="K823" s="552"/>
      <c r="L823" s="551"/>
      <c r="M823" s="553"/>
      <c r="N823" s="553"/>
      <c r="O823" s="551"/>
      <c r="P823" s="553"/>
      <c r="Q823" s="524"/>
      <c r="R823" s="478">
        <f>IFERROR(INDEX(기초자산!M$6:M$408,MATCH(K823&amp;N823&amp;O823,기초자산!$A$6:$A$408,0),0),0)</f>
        <v>0</v>
      </c>
      <c r="S823" s="479">
        <f t="shared" si="263"/>
        <v>0</v>
      </c>
      <c r="T823" s="553"/>
      <c r="U823" s="471" t="s">
        <v>94</v>
      </c>
      <c r="V823" s="480">
        <f>IF(U823="한국 원화(KRW)",1,IF(OR(U823=환율!$A$6,U823=환율!$A$7),VLOOKUP(NAV!U823,환율!$A$6:$B$7,2,),IF(RIGHT(U823,5)="(100)",(VLOOKUP(NAV!U823,환율!$A$11:$B$65,2,))/100,VLOOKUP(NAV!U823,환율!$A$11:$B$65,2,))))</f>
        <v>1</v>
      </c>
      <c r="W823" s="481"/>
      <c r="X823" s="482">
        <f t="shared" si="264"/>
        <v>0</v>
      </c>
      <c r="Y823" s="481"/>
      <c r="Z823" s="481"/>
      <c r="AA823" s="483">
        <f t="shared" si="265"/>
        <v>0</v>
      </c>
      <c r="AB823" s="554"/>
      <c r="AC823" s="526" t="str">
        <f t="shared" si="266"/>
        <v>2년이상</v>
      </c>
      <c r="AD823" s="520" t="str">
        <f t="shared" si="267"/>
        <v/>
      </c>
      <c r="AE823" s="527">
        <f t="shared" si="268"/>
        <v>0</v>
      </c>
      <c r="AF823" s="527">
        <f t="shared" si="269"/>
        <v>0</v>
      </c>
      <c r="AG823" s="485"/>
      <c r="AH823" s="485"/>
      <c r="AI823" s="404"/>
    </row>
    <row r="824" spans="1:35" ht="12.75" thickBot="1">
      <c r="A824" s="492"/>
      <c r="B824" s="496"/>
      <c r="C824" s="486" t="s">
        <v>406</v>
      </c>
      <c r="D824" s="487">
        <f>SUMIF(FS!$AS$49:$AS$79,개요!$B$253&amp;RIGHT(NAV!C824,3),FS!$AV$49:$AV$79)</f>
        <v>0</v>
      </c>
      <c r="E824" s="487">
        <f>D824</f>
        <v>0</v>
      </c>
      <c r="J824" s="551"/>
      <c r="K824" s="552"/>
      <c r="L824" s="551"/>
      <c r="M824" s="553"/>
      <c r="N824" s="553"/>
      <c r="O824" s="551"/>
      <c r="P824" s="553"/>
      <c r="Q824" s="524"/>
      <c r="R824" s="478">
        <f>IFERROR(INDEX(기초자산!M$6:M$408,MATCH(K824&amp;N824&amp;O824,기초자산!$A$6:$A$408,0),0),0)</f>
        <v>0</v>
      </c>
      <c r="S824" s="479">
        <f t="shared" si="263"/>
        <v>0</v>
      </c>
      <c r="T824" s="553"/>
      <c r="U824" s="471" t="s">
        <v>94</v>
      </c>
      <c r="V824" s="480">
        <f>IF(U824="한국 원화(KRW)",1,IF(OR(U824=환율!$A$6,U824=환율!$A$7),VLOOKUP(NAV!U824,환율!$A$6:$B$7,2,),IF(RIGHT(U824,5)="(100)",(VLOOKUP(NAV!U824,환율!$A$11:$B$65,2,))/100,VLOOKUP(NAV!U824,환율!$A$11:$B$65,2,))))</f>
        <v>1</v>
      </c>
      <c r="W824" s="481"/>
      <c r="X824" s="482">
        <f t="shared" si="264"/>
        <v>0</v>
      </c>
      <c r="Y824" s="481"/>
      <c r="Z824" s="481"/>
      <c r="AA824" s="483">
        <f t="shared" si="265"/>
        <v>0</v>
      </c>
      <c r="AB824" s="554"/>
      <c r="AC824" s="526" t="str">
        <f t="shared" si="266"/>
        <v>2년이상</v>
      </c>
      <c r="AD824" s="520" t="str">
        <f t="shared" si="267"/>
        <v/>
      </c>
      <c r="AE824" s="527">
        <f t="shared" si="268"/>
        <v>0</v>
      </c>
      <c r="AF824" s="527">
        <f t="shared" si="269"/>
        <v>0</v>
      </c>
      <c r="AG824" s="485"/>
      <c r="AH824" s="485"/>
      <c r="AI824" s="404"/>
    </row>
    <row r="825" spans="1:35" ht="12.75" thickBot="1">
      <c r="A825" s="492"/>
      <c r="B825" s="496"/>
      <c r="C825" s="486" t="s">
        <v>407</v>
      </c>
      <c r="D825" s="487">
        <f>SUMIF(FS!$AS$49:$AS$79,개요!$B$253&amp;RIGHT(NAV!C825,4),FS!$AV$49:$AV$79)</f>
        <v>0</v>
      </c>
      <c r="E825" s="487">
        <f>D825</f>
        <v>0</v>
      </c>
      <c r="J825" s="551"/>
      <c r="K825" s="552"/>
      <c r="L825" s="551"/>
      <c r="M825" s="553"/>
      <c r="N825" s="553"/>
      <c r="O825" s="551"/>
      <c r="P825" s="553"/>
      <c r="Q825" s="524"/>
      <c r="R825" s="478">
        <f>IFERROR(INDEX(기초자산!M$6:M$408,MATCH(K825&amp;N825&amp;O825,기초자산!$A$6:$A$408,0),0),0)</f>
        <v>0</v>
      </c>
      <c r="S825" s="479">
        <f t="shared" si="263"/>
        <v>0</v>
      </c>
      <c r="T825" s="553"/>
      <c r="U825" s="471" t="s">
        <v>94</v>
      </c>
      <c r="V825" s="480">
        <f>IF(U825="한국 원화(KRW)",1,IF(OR(U825=환율!$A$6,U825=환율!$A$7),VLOOKUP(NAV!U825,환율!$A$6:$B$7,2,),IF(RIGHT(U825,5)="(100)",(VLOOKUP(NAV!U825,환율!$A$11:$B$65,2,))/100,VLOOKUP(NAV!U825,환율!$A$11:$B$65,2,))))</f>
        <v>1</v>
      </c>
      <c r="W825" s="481"/>
      <c r="X825" s="482">
        <f t="shared" si="264"/>
        <v>0</v>
      </c>
      <c r="Y825" s="481"/>
      <c r="Z825" s="481"/>
      <c r="AA825" s="483">
        <f t="shared" si="265"/>
        <v>0</v>
      </c>
      <c r="AB825" s="554"/>
      <c r="AC825" s="526" t="str">
        <f t="shared" si="266"/>
        <v>2년이상</v>
      </c>
      <c r="AD825" s="520" t="str">
        <f t="shared" si="267"/>
        <v/>
      </c>
      <c r="AE825" s="527">
        <f t="shared" si="268"/>
        <v>0</v>
      </c>
      <c r="AF825" s="527">
        <f t="shared" si="269"/>
        <v>0</v>
      </c>
      <c r="AG825" s="485"/>
      <c r="AH825" s="485"/>
      <c r="AI825" s="404"/>
    </row>
    <row r="826" spans="1:35" ht="12.75" thickBot="1">
      <c r="A826" s="489" t="s">
        <v>408</v>
      </c>
      <c r="B826" s="498" t="b">
        <f>D819+D820+D821+D822+D824+D825=D826</f>
        <v>1</v>
      </c>
      <c r="C826" s="493" t="s">
        <v>477</v>
      </c>
      <c r="D826" s="494">
        <f>D818+D823</f>
        <v>0</v>
      </c>
      <c r="E826" s="494">
        <f>E818+E823</f>
        <v>0</v>
      </c>
      <c r="J826" s="551"/>
      <c r="K826" s="552"/>
      <c r="L826" s="551"/>
      <c r="M826" s="553"/>
      <c r="N826" s="553"/>
      <c r="O826" s="551"/>
      <c r="P826" s="553"/>
      <c r="Q826" s="524"/>
      <c r="R826" s="478">
        <f>IFERROR(INDEX(기초자산!M$6:M$408,MATCH(K826&amp;N826&amp;O826,기초자산!$A$6:$A$408,0),0),0)</f>
        <v>0</v>
      </c>
      <c r="S826" s="479">
        <f t="shared" si="263"/>
        <v>0</v>
      </c>
      <c r="T826" s="553"/>
      <c r="U826" s="471" t="s">
        <v>94</v>
      </c>
      <c r="V826" s="480">
        <f>IF(U826="한국 원화(KRW)",1,IF(OR(U826=환율!$A$6,U826=환율!$A$7),VLOOKUP(NAV!U826,환율!$A$6:$B$7,2,),IF(RIGHT(U826,5)="(100)",(VLOOKUP(NAV!U826,환율!$A$11:$B$65,2,))/100,VLOOKUP(NAV!U826,환율!$A$11:$B$65,2,))))</f>
        <v>1</v>
      </c>
      <c r="W826" s="481"/>
      <c r="X826" s="482">
        <f t="shared" si="264"/>
        <v>0</v>
      </c>
      <c r="Y826" s="481"/>
      <c r="Z826" s="481"/>
      <c r="AA826" s="483">
        <f t="shared" si="265"/>
        <v>0</v>
      </c>
      <c r="AB826" s="554"/>
      <c r="AC826" s="526" t="str">
        <f t="shared" si="266"/>
        <v>2년이상</v>
      </c>
      <c r="AD826" s="520" t="str">
        <f t="shared" si="267"/>
        <v/>
      </c>
      <c r="AE826" s="527">
        <f t="shared" si="268"/>
        <v>0</v>
      </c>
      <c r="AF826" s="527">
        <f t="shared" si="269"/>
        <v>0</v>
      </c>
      <c r="AG826" s="485"/>
      <c r="AH826" s="485"/>
      <c r="AI826" s="404"/>
    </row>
    <row r="827" spans="1:35" ht="12.75" thickBot="1">
      <c r="A827" s="492"/>
      <c r="B827" s="555" t="str">
        <f>B807&amp;C827</f>
        <v>SPC없음자본금</v>
      </c>
      <c r="C827" s="486" t="s">
        <v>35</v>
      </c>
      <c r="D827" s="487">
        <f>SUMIF(FS!$AS$49:$AS$79,개요!$B$253&amp;RIGHT(NAV!C827,3),FS!$AV$49:$AV$79)</f>
        <v>0</v>
      </c>
      <c r="E827" s="487">
        <f>D827</f>
        <v>0</v>
      </c>
      <c r="J827" s="551"/>
      <c r="K827" s="552"/>
      <c r="L827" s="551"/>
      <c r="M827" s="553"/>
      <c r="N827" s="553"/>
      <c r="O827" s="551"/>
      <c r="P827" s="553"/>
      <c r="Q827" s="524"/>
      <c r="R827" s="478">
        <f>IFERROR(INDEX(기초자산!M$6:M$408,MATCH(K827&amp;N827&amp;O827,기초자산!$A$6:$A$408,0),0),0)</f>
        <v>0</v>
      </c>
      <c r="S827" s="479">
        <f t="shared" si="263"/>
        <v>0</v>
      </c>
      <c r="T827" s="553"/>
      <c r="U827" s="471" t="s">
        <v>94</v>
      </c>
      <c r="V827" s="480">
        <f>IF(U827="한국 원화(KRW)",1,IF(OR(U827=환율!$A$6,U827=환율!$A$7),VLOOKUP(NAV!U827,환율!$A$6:$B$7,2,),IF(RIGHT(U827,5)="(100)",(VLOOKUP(NAV!U827,환율!$A$11:$B$65,2,))/100,VLOOKUP(NAV!U827,환율!$A$11:$B$65,2,))))</f>
        <v>1</v>
      </c>
      <c r="W827" s="481"/>
      <c r="X827" s="482">
        <f t="shared" si="264"/>
        <v>0</v>
      </c>
      <c r="Y827" s="481"/>
      <c r="Z827" s="481"/>
      <c r="AA827" s="483">
        <f t="shared" si="265"/>
        <v>0</v>
      </c>
      <c r="AB827" s="554"/>
      <c r="AC827" s="526" t="str">
        <f t="shared" si="266"/>
        <v>2년이상</v>
      </c>
      <c r="AD827" s="520" t="str">
        <f t="shared" si="267"/>
        <v/>
      </c>
      <c r="AE827" s="527">
        <f t="shared" si="268"/>
        <v>0</v>
      </c>
      <c r="AF827" s="527">
        <f t="shared" si="269"/>
        <v>0</v>
      </c>
      <c r="AG827" s="485"/>
      <c r="AH827" s="485"/>
      <c r="AI827" s="404"/>
    </row>
    <row r="828" spans="1:35" ht="12.75" thickBot="1">
      <c r="C828" s="486" t="s">
        <v>409</v>
      </c>
      <c r="D828" s="487">
        <f>SUMIF(FS!$AS$49:$AS$79,개요!$B$253&amp;RIGHT(NAV!C828,10),FS!$AV$49:$AV$79)</f>
        <v>0</v>
      </c>
      <c r="E828" s="487">
        <f>D828</f>
        <v>0</v>
      </c>
      <c r="J828" s="551"/>
      <c r="K828" s="552"/>
      <c r="L828" s="551"/>
      <c r="M828" s="553"/>
      <c r="N828" s="553"/>
      <c r="O828" s="551"/>
      <c r="P828" s="553"/>
      <c r="Q828" s="524"/>
      <c r="R828" s="478">
        <f>IFERROR(INDEX(기초자산!M$6:M$408,MATCH(K828&amp;N828&amp;O828,기초자산!$A$6:$A$408,0),0),0)</f>
        <v>0</v>
      </c>
      <c r="S828" s="479">
        <f t="shared" si="263"/>
        <v>0</v>
      </c>
      <c r="T828" s="553"/>
      <c r="U828" s="471" t="s">
        <v>94</v>
      </c>
      <c r="V828" s="480">
        <f>IF(U828="한국 원화(KRW)",1,IF(OR(U828=환율!$A$6,U828=환율!$A$7),VLOOKUP(NAV!U828,환율!$A$6:$B$7,2,),IF(RIGHT(U828,5)="(100)",(VLOOKUP(NAV!U828,환율!$A$11:$B$65,2,))/100,VLOOKUP(NAV!U828,환율!$A$11:$B$65,2,))))</f>
        <v>1</v>
      </c>
      <c r="W828" s="481"/>
      <c r="X828" s="482">
        <f t="shared" si="264"/>
        <v>0</v>
      </c>
      <c r="Y828" s="481"/>
      <c r="Z828" s="481"/>
      <c r="AA828" s="483">
        <f t="shared" si="265"/>
        <v>0</v>
      </c>
      <c r="AB828" s="554"/>
      <c r="AC828" s="526" t="str">
        <f t="shared" si="266"/>
        <v>2년이상</v>
      </c>
      <c r="AD828" s="520" t="str">
        <f t="shared" si="267"/>
        <v/>
      </c>
      <c r="AE828" s="527">
        <f t="shared" si="268"/>
        <v>0</v>
      </c>
      <c r="AF828" s="527">
        <f t="shared" si="269"/>
        <v>0</v>
      </c>
      <c r="AG828" s="485"/>
      <c r="AH828" s="485"/>
      <c r="AI828" s="404"/>
    </row>
    <row r="829" spans="1:35" ht="12.75" thickBot="1">
      <c r="A829" s="489"/>
      <c r="B829" s="415"/>
      <c r="C829" s="486" t="s">
        <v>410</v>
      </c>
      <c r="D829" s="487">
        <f>SUMIF(FS!$AS$49:$AS$79,개요!$B$253&amp;RIGHT(NAV!C829,8),FS!$AV$49:$AV$79)</f>
        <v>0</v>
      </c>
      <c r="E829" s="487">
        <f>D829</f>
        <v>0</v>
      </c>
      <c r="J829" s="551"/>
      <c r="K829" s="552"/>
      <c r="L829" s="551"/>
      <c r="M829" s="553"/>
      <c r="N829" s="553"/>
      <c r="O829" s="551"/>
      <c r="P829" s="553"/>
      <c r="Q829" s="524"/>
      <c r="R829" s="478">
        <f>IFERROR(INDEX(기초자산!M$6:M$408,MATCH(K829&amp;N829&amp;O829,기초자산!$A$6:$A$408,0),0),0)</f>
        <v>0</v>
      </c>
      <c r="S829" s="479">
        <f t="shared" si="263"/>
        <v>0</v>
      </c>
      <c r="T829" s="553"/>
      <c r="U829" s="471" t="s">
        <v>94</v>
      </c>
      <c r="V829" s="480">
        <f>IF(U829="한국 원화(KRW)",1,IF(OR(U829=환율!$A$6,U829=환율!$A$7),VLOOKUP(NAV!U829,환율!$A$6:$B$7,2,),IF(RIGHT(U829,5)="(100)",(VLOOKUP(NAV!U829,환율!$A$11:$B$65,2,))/100,VLOOKUP(NAV!U829,환율!$A$11:$B$65,2,))))</f>
        <v>1</v>
      </c>
      <c r="W829" s="481"/>
      <c r="X829" s="482">
        <f t="shared" si="264"/>
        <v>0</v>
      </c>
      <c r="Y829" s="481"/>
      <c r="Z829" s="481"/>
      <c r="AA829" s="483">
        <f t="shared" si="265"/>
        <v>0</v>
      </c>
      <c r="AB829" s="554"/>
      <c r="AC829" s="526" t="str">
        <f t="shared" si="266"/>
        <v>2년이상</v>
      </c>
      <c r="AD829" s="520" t="str">
        <f t="shared" si="267"/>
        <v/>
      </c>
      <c r="AE829" s="527">
        <f t="shared" si="268"/>
        <v>0</v>
      </c>
      <c r="AF829" s="527">
        <f t="shared" si="269"/>
        <v>0</v>
      </c>
      <c r="AG829" s="485"/>
      <c r="AH829" s="485"/>
      <c r="AI829" s="404"/>
    </row>
    <row r="830" spans="1:35" ht="12.75" thickBot="1">
      <c r="A830" s="489" t="s">
        <v>411</v>
      </c>
      <c r="B830" s="415" t="b">
        <f>D830=SUM(D827:D829)</f>
        <v>1</v>
      </c>
      <c r="C830" s="493" t="s">
        <v>412</v>
      </c>
      <c r="D830" s="494">
        <f>D817-D826</f>
        <v>0</v>
      </c>
      <c r="E830" s="494">
        <f>E817-E826</f>
        <v>0</v>
      </c>
      <c r="J830" s="551"/>
      <c r="K830" s="552"/>
      <c r="L830" s="551"/>
      <c r="M830" s="553"/>
      <c r="N830" s="553"/>
      <c r="O830" s="551"/>
      <c r="P830" s="553"/>
      <c r="Q830" s="524"/>
      <c r="R830" s="478">
        <f>IFERROR(INDEX(기초자산!M$6:M$408,MATCH(K830&amp;N830&amp;O830,기초자산!$A$6:$A$408,0),0),0)</f>
        <v>0</v>
      </c>
      <c r="S830" s="479">
        <f t="shared" si="263"/>
        <v>0</v>
      </c>
      <c r="T830" s="553"/>
      <c r="U830" s="471" t="s">
        <v>94</v>
      </c>
      <c r="V830" s="480">
        <f>IF(U830="한국 원화(KRW)",1,IF(OR(U830=환율!$A$6,U830=환율!$A$7),VLOOKUP(NAV!U830,환율!$A$6:$B$7,2,),IF(RIGHT(U830,5)="(100)",(VLOOKUP(NAV!U830,환율!$A$11:$B$65,2,))/100,VLOOKUP(NAV!U830,환율!$A$11:$B$65,2,))))</f>
        <v>1</v>
      </c>
      <c r="W830" s="481"/>
      <c r="X830" s="482">
        <f t="shared" si="264"/>
        <v>0</v>
      </c>
      <c r="Y830" s="481"/>
      <c r="Z830" s="481"/>
      <c r="AA830" s="483">
        <f t="shared" si="265"/>
        <v>0</v>
      </c>
      <c r="AB830" s="554"/>
      <c r="AC830" s="526" t="str">
        <f t="shared" si="266"/>
        <v>2년이상</v>
      </c>
      <c r="AD830" s="520" t="str">
        <f t="shared" si="267"/>
        <v/>
      </c>
      <c r="AE830" s="527">
        <f t="shared" si="268"/>
        <v>0</v>
      </c>
      <c r="AF830" s="527">
        <f t="shared" si="269"/>
        <v>0</v>
      </c>
      <c r="AG830" s="485"/>
      <c r="AH830" s="485"/>
      <c r="AI830" s="404"/>
    </row>
    <row r="831" spans="1:35" ht="12.75" thickBot="1">
      <c r="A831" s="489"/>
      <c r="B831" s="415"/>
      <c r="C831" s="486" t="s">
        <v>478</v>
      </c>
      <c r="D831" s="487">
        <v>0</v>
      </c>
      <c r="E831" s="499">
        <v>0</v>
      </c>
      <c r="J831" s="551"/>
      <c r="K831" s="552"/>
      <c r="L831" s="551"/>
      <c r="M831" s="553"/>
      <c r="N831" s="553"/>
      <c r="O831" s="551"/>
      <c r="P831" s="553"/>
      <c r="Q831" s="524"/>
      <c r="R831" s="478">
        <f>IFERROR(INDEX(기초자산!M$6:M$408,MATCH(K831&amp;N831&amp;O831,기초자산!$A$6:$A$408,0),0),0)</f>
        <v>0</v>
      </c>
      <c r="S831" s="479">
        <f t="shared" si="263"/>
        <v>0</v>
      </c>
      <c r="T831" s="553"/>
      <c r="U831" s="471" t="s">
        <v>94</v>
      </c>
      <c r="V831" s="480">
        <f>IF(U831="한국 원화(KRW)",1,IF(OR(U831=환율!$A$6,U831=환율!$A$7),VLOOKUP(NAV!U831,환율!$A$6:$B$7,2,),IF(RIGHT(U831,5)="(100)",(VLOOKUP(NAV!U831,환율!$A$11:$B$65,2,))/100,VLOOKUP(NAV!U831,환율!$A$11:$B$65,2,))))</f>
        <v>1</v>
      </c>
      <c r="W831" s="481"/>
      <c r="X831" s="482">
        <f t="shared" si="264"/>
        <v>0</v>
      </c>
      <c r="Y831" s="481"/>
      <c r="Z831" s="481"/>
      <c r="AA831" s="483">
        <f t="shared" si="265"/>
        <v>0</v>
      </c>
      <c r="AB831" s="554"/>
      <c r="AC831" s="526" t="str">
        <f t="shared" si="266"/>
        <v>2년이상</v>
      </c>
      <c r="AD831" s="520" t="str">
        <f t="shared" si="267"/>
        <v/>
      </c>
      <c r="AE831" s="527">
        <f t="shared" si="268"/>
        <v>0</v>
      </c>
      <c r="AF831" s="527">
        <f t="shared" si="269"/>
        <v>0</v>
      </c>
      <c r="AG831" s="485"/>
      <c r="AH831" s="485"/>
      <c r="AI831" s="404"/>
    </row>
    <row r="832" spans="1:35">
      <c r="A832" s="489"/>
      <c r="B832" s="415"/>
      <c r="C832" s="486" t="s">
        <v>414</v>
      </c>
      <c r="D832" s="487">
        <v>0</v>
      </c>
      <c r="E832" s="499">
        <v>0</v>
      </c>
      <c r="J832" s="495"/>
      <c r="K832" s="415"/>
      <c r="L832" s="495"/>
      <c r="M832" s="415"/>
      <c r="N832" s="415"/>
      <c r="O832" s="415"/>
      <c r="P832" s="415"/>
      <c r="Q832" s="422"/>
      <c r="R832" s="415"/>
      <c r="S832" s="415"/>
      <c r="T832" s="415"/>
      <c r="U832" s="415"/>
      <c r="V832" s="415"/>
      <c r="W832" s="422"/>
      <c r="X832" s="415"/>
      <c r="Y832" s="458"/>
      <c r="Z832" s="422"/>
      <c r="AA832" s="556"/>
      <c r="AB832" s="556"/>
      <c r="AC832" s="415"/>
      <c r="AE832" s="415"/>
      <c r="AI832" s="404"/>
    </row>
    <row r="833" spans="1:35">
      <c r="A833" s="489"/>
      <c r="B833" s="415"/>
      <c r="C833" s="493" t="s">
        <v>415</v>
      </c>
      <c r="D833" s="494">
        <f>D830+D831-D832</f>
        <v>0</v>
      </c>
      <c r="E833" s="494">
        <f>IF(E830+E831-E832&gt;0,E830+E831-E832,0)</f>
        <v>0</v>
      </c>
      <c r="J833" s="305"/>
      <c r="K833" s="415"/>
      <c r="L833" s="305"/>
      <c r="M833" s="415"/>
      <c r="N833" s="415"/>
      <c r="O833" s="415"/>
      <c r="S833" s="415"/>
      <c r="T833" s="415"/>
      <c r="U833" s="415"/>
      <c r="V833" s="415"/>
      <c r="Y833" s="458"/>
      <c r="AD833" s="557" t="str">
        <f>B807&amp;"순자산가치"</f>
        <v>SPC없음순자산가치</v>
      </c>
      <c r="AE833" s="529">
        <f>IF(E813+SUM(AE813:AE818)+SUM(AE821:AE831)-E826&gt;0,E813+SUM(AE813:AE818)+SUM(AE821:AE831)-E826,0)</f>
        <v>0</v>
      </c>
      <c r="AF833" s="529">
        <f>IF(E813+SUM(AF813:AF818)+SUM(AF821:AF831)-E826&gt;0,E813+SUM(AF813:AF818)+SUM(AF821:AF831)-E826,0)</f>
        <v>0</v>
      </c>
      <c r="AI833" s="404"/>
    </row>
    <row r="834" spans="1:35">
      <c r="A834" s="489"/>
      <c r="B834" s="558" t="str">
        <f>B807&amp;C834</f>
        <v>SPC없음보유지분율(%)</v>
      </c>
      <c r="C834" s="493" t="s">
        <v>416</v>
      </c>
      <c r="D834" s="559">
        <f>개요!$C$142</f>
        <v>0</v>
      </c>
      <c r="E834" s="494">
        <f>E833*D834</f>
        <v>0</v>
      </c>
      <c r="F834" s="560" t="s">
        <v>417</v>
      </c>
      <c r="G834" s="560"/>
      <c r="J834" s="495"/>
      <c r="K834" s="415"/>
      <c r="L834" s="495"/>
      <c r="M834" s="415"/>
      <c r="N834" s="415"/>
      <c r="O834" s="415"/>
      <c r="S834" s="415"/>
      <c r="T834" s="415"/>
      <c r="U834" s="415"/>
      <c r="V834" s="415"/>
      <c r="Y834" s="458"/>
      <c r="AD834" s="557" t="s">
        <v>272</v>
      </c>
      <c r="AE834" s="561">
        <f>$D834</f>
        <v>0</v>
      </c>
      <c r="AF834" s="561">
        <f>$D834</f>
        <v>0</v>
      </c>
      <c r="AI834" s="404"/>
    </row>
    <row r="835" spans="1:35">
      <c r="A835" s="489"/>
      <c r="B835" s="415"/>
      <c r="G835" s="503" t="s">
        <v>419</v>
      </c>
      <c r="I835" s="562"/>
      <c r="J835" s="495"/>
      <c r="K835" s="415"/>
      <c r="L835" s="495"/>
      <c r="M835" s="415"/>
      <c r="N835" s="415"/>
      <c r="O835" s="415"/>
      <c r="S835" s="415"/>
      <c r="T835" s="415"/>
      <c r="U835" s="415"/>
      <c r="V835" s="415"/>
      <c r="Y835" s="458"/>
      <c r="AD835" s="557" t="str">
        <f>B807&amp;"지분율 반영 순자산가치"</f>
        <v>SPC없음지분율 반영 순자산가치</v>
      </c>
      <c r="AE835" s="529">
        <f>AE833*AE834</f>
        <v>0</v>
      </c>
      <c r="AF835" s="529">
        <f>AF833*AF834</f>
        <v>0</v>
      </c>
      <c r="AI835" s="404"/>
    </row>
    <row r="836" spans="1:35">
      <c r="A836" s="489"/>
      <c r="D836" s="504" t="s">
        <v>370</v>
      </c>
      <c r="E836" s="505">
        <f>$C$7</f>
        <v>45473</v>
      </c>
      <c r="F836" s="506"/>
      <c r="G836" s="505"/>
      <c r="I836" s="563"/>
      <c r="J836" s="495"/>
      <c r="K836" s="415"/>
      <c r="L836" s="495"/>
      <c r="M836" s="415"/>
      <c r="N836" s="415"/>
      <c r="O836" s="415"/>
      <c r="S836" s="415"/>
      <c r="T836" s="415"/>
      <c r="U836" s="415"/>
      <c r="V836" s="415"/>
      <c r="Y836" s="422"/>
      <c r="AI836" s="404"/>
    </row>
    <row r="837" spans="1:35">
      <c r="D837" s="486" t="s">
        <v>412</v>
      </c>
      <c r="E837" s="487">
        <f>E833</f>
        <v>0</v>
      </c>
      <c r="F837" s="507" t="e">
        <f>E837/G837-1</f>
        <v>#DIV/0!</v>
      </c>
      <c r="G837" s="487"/>
      <c r="I837" s="564"/>
      <c r="J837" s="495"/>
      <c r="K837" s="415"/>
      <c r="L837" s="495"/>
      <c r="M837" s="415"/>
      <c r="S837" s="415"/>
      <c r="T837" s="415"/>
      <c r="U837" s="415"/>
      <c r="V837" s="415"/>
      <c r="Y837" s="422"/>
      <c r="AI837" s="404"/>
    </row>
    <row r="838" spans="1:35">
      <c r="A838" s="489"/>
      <c r="B838" s="415"/>
      <c r="D838" s="486" t="s">
        <v>418</v>
      </c>
      <c r="E838" s="565">
        <f>$D$834</f>
        <v>0</v>
      </c>
      <c r="F838" s="507"/>
      <c r="G838" s="565"/>
      <c r="I838" s="566"/>
      <c r="J838" s="305"/>
      <c r="K838" s="415"/>
      <c r="L838" s="305"/>
      <c r="M838" s="415"/>
      <c r="S838" s="415"/>
      <c r="T838" s="415"/>
      <c r="U838" s="415"/>
      <c r="V838" s="415"/>
      <c r="Y838" s="422"/>
      <c r="AI838" s="404"/>
    </row>
    <row r="839" spans="1:35">
      <c r="A839" s="489"/>
      <c r="B839" s="415"/>
      <c r="D839" s="567" t="s">
        <v>420</v>
      </c>
      <c r="E839" s="568">
        <f>E837*E838</f>
        <v>0</v>
      </c>
      <c r="F839" s="507" t="e">
        <f>E839/G839-1</f>
        <v>#DIV/0!</v>
      </c>
      <c r="G839" s="568"/>
      <c r="I839" s="564"/>
      <c r="AI839" s="404"/>
    </row>
    <row r="840" spans="1:35">
      <c r="E840" s="304" t="b">
        <f>E839=E834</f>
        <v>1</v>
      </c>
      <c r="AI840" s="404"/>
    </row>
    <row r="841" spans="1:35">
      <c r="F841" s="507"/>
      <c r="G841" s="507"/>
      <c r="AI841" s="404"/>
    </row>
    <row r="842" spans="1:35" ht="12.75" thickBot="1">
      <c r="A842" s="536"/>
      <c r="B842" s="536"/>
      <c r="C842" s="536"/>
      <c r="D842" s="536"/>
      <c r="E842" s="536"/>
      <c r="F842" s="572"/>
      <c r="G842" s="572"/>
      <c r="H842" s="536"/>
      <c r="I842" s="537"/>
      <c r="J842" s="536"/>
      <c r="K842" s="536"/>
      <c r="L842" s="536"/>
      <c r="M842" s="536"/>
      <c r="N842" s="536"/>
      <c r="O842" s="536"/>
      <c r="P842" s="536"/>
      <c r="Q842" s="540"/>
      <c r="R842" s="536"/>
      <c r="S842" s="536"/>
      <c r="T842" s="536"/>
      <c r="U842" s="536"/>
      <c r="V842" s="536"/>
      <c r="W842" s="540"/>
      <c r="X842" s="536"/>
      <c r="Y842" s="540"/>
      <c r="Z842" s="540"/>
      <c r="AA842" s="536"/>
      <c r="AB842" s="536"/>
      <c r="AC842" s="536"/>
      <c r="AD842" s="541"/>
      <c r="AE842" s="536"/>
      <c r="AF842" s="536"/>
      <c r="AG842" s="536"/>
      <c r="AH842" s="536"/>
      <c r="AI842" s="404"/>
    </row>
    <row r="843" spans="1:35" ht="12.75" thickTop="1">
      <c r="F843" s="507"/>
      <c r="G843" s="507"/>
      <c r="AI843" s="404"/>
    </row>
    <row r="844" spans="1:35" ht="12.75" thickBot="1">
      <c r="A844" s="459"/>
      <c r="B844" s="415"/>
      <c r="J844" s="428" t="s">
        <v>273</v>
      </c>
      <c r="K844" s="489"/>
      <c r="L844" s="497"/>
      <c r="M844" s="489"/>
      <c r="N844" s="415"/>
      <c r="O844" s="415"/>
      <c r="AI844" s="404"/>
    </row>
    <row r="845" spans="1:35" ht="12.75" thickBot="1">
      <c r="A845" s="542" t="s">
        <v>735</v>
      </c>
      <c r="B845" s="543" t="str">
        <f>IF(개요!$B$265="","SPC없음",개요!$B$265)</f>
        <v>SPC없음</v>
      </c>
      <c r="C845" s="454"/>
      <c r="J845" s="433"/>
      <c r="K845" s="434"/>
      <c r="L845" s="434"/>
      <c r="M845" s="434"/>
      <c r="N845" s="434"/>
      <c r="O845" s="434"/>
      <c r="P845" s="434"/>
      <c r="Q845" s="435"/>
      <c r="R845" s="434"/>
      <c r="S845" s="434"/>
      <c r="T845" s="434"/>
      <c r="U845" s="434"/>
      <c r="V845" s="436"/>
      <c r="AI845" s="404"/>
    </row>
    <row r="846" spans="1:35">
      <c r="B846" s="543" t="s">
        <v>369</v>
      </c>
      <c r="C846" s="569" t="str">
        <f>IF(개요!$C$266="","SPC없음",개요!$C$266)</f>
        <v>SPC없음</v>
      </c>
      <c r="J846" s="442"/>
      <c r="K846" s="151"/>
      <c r="L846" s="151"/>
      <c r="M846" s="151"/>
      <c r="N846" s="151"/>
      <c r="O846" s="151"/>
      <c r="P846" s="151"/>
      <c r="Q846" s="443"/>
      <c r="R846" s="151"/>
      <c r="S846" s="151"/>
      <c r="T846" s="151"/>
      <c r="U846" s="151"/>
      <c r="V846" s="444"/>
      <c r="AI846" s="404"/>
    </row>
    <row r="847" spans="1:35">
      <c r="B847" s="437" t="s">
        <v>370</v>
      </c>
      <c r="C847" s="570">
        <f>$C$7</f>
        <v>45473</v>
      </c>
      <c r="D847" s="546" t="b">
        <f>C847&gt;=C848</f>
        <v>1</v>
      </c>
      <c r="J847" s="442"/>
      <c r="K847" s="151"/>
      <c r="L847" s="151"/>
      <c r="M847" s="151"/>
      <c r="N847" s="151"/>
      <c r="O847" s="151"/>
      <c r="P847" s="151"/>
      <c r="Q847" s="443"/>
      <c r="R847" s="151"/>
      <c r="S847" s="151"/>
      <c r="T847" s="151"/>
      <c r="U847" s="151"/>
      <c r="V847" s="444"/>
      <c r="AI847" s="404"/>
    </row>
    <row r="848" spans="1:35" ht="12.75" thickBot="1">
      <c r="B848" s="449" t="s">
        <v>371</v>
      </c>
      <c r="C848" s="571">
        <f>FS!$BB$48</f>
        <v>0</v>
      </c>
      <c r="J848" s="453"/>
      <c r="K848" s="454"/>
      <c r="L848" s="454"/>
      <c r="M848" s="454"/>
      <c r="N848" s="454"/>
      <c r="O848" s="454"/>
      <c r="P848" s="454"/>
      <c r="Q848" s="455"/>
      <c r="R848" s="454"/>
      <c r="S848" s="454"/>
      <c r="T848" s="454"/>
      <c r="U848" s="454"/>
      <c r="V848" s="456"/>
      <c r="AI848" s="404"/>
    </row>
    <row r="849" spans="1:35">
      <c r="A849" s="459"/>
      <c r="J849" s="428" t="s">
        <v>372</v>
      </c>
      <c r="K849" s="448"/>
      <c r="L849" s="420"/>
      <c r="M849" s="448"/>
      <c r="N849" s="448"/>
      <c r="O849" s="448"/>
      <c r="P849" s="415"/>
      <c r="Q849" s="422"/>
      <c r="R849" s="415"/>
      <c r="S849" s="415"/>
      <c r="T849" s="415"/>
      <c r="U849" s="415"/>
      <c r="V849" s="415"/>
      <c r="W849" s="422"/>
      <c r="Z849" s="458"/>
      <c r="AE849" s="803" t="s">
        <v>8</v>
      </c>
      <c r="AF849" s="803"/>
      <c r="AG849" s="460"/>
      <c r="AH849" s="460"/>
      <c r="AI849" s="404"/>
    </row>
    <row r="850" spans="1:35" ht="12.75" thickBot="1">
      <c r="A850" s="461" t="str">
        <f>IF(AND(B851:B877),"검증완료","검증필요")</f>
        <v>검증완료</v>
      </c>
      <c r="B850" s="462" t="s">
        <v>373</v>
      </c>
      <c r="C850" s="462" t="s">
        <v>9</v>
      </c>
      <c r="D850" s="462" t="s">
        <v>10</v>
      </c>
      <c r="E850" s="462" t="s">
        <v>11</v>
      </c>
      <c r="J850" s="462" t="s">
        <v>375</v>
      </c>
      <c r="K850" s="464" t="s">
        <v>0</v>
      </c>
      <c r="L850" s="462" t="s">
        <v>369</v>
      </c>
      <c r="M850" s="462" t="s">
        <v>456</v>
      </c>
      <c r="N850" s="462" t="s">
        <v>378</v>
      </c>
      <c r="O850" s="462" t="s">
        <v>1</v>
      </c>
      <c r="P850" s="464" t="s">
        <v>380</v>
      </c>
      <c r="Q850" s="465" t="s">
        <v>14</v>
      </c>
      <c r="R850" s="466" t="s">
        <v>381</v>
      </c>
      <c r="S850" s="466" t="s">
        <v>382</v>
      </c>
      <c r="T850" s="462" t="s">
        <v>12</v>
      </c>
      <c r="U850" s="462" t="s">
        <v>383</v>
      </c>
      <c r="V850" s="462" t="s">
        <v>400</v>
      </c>
      <c r="W850" s="465" t="s">
        <v>10</v>
      </c>
      <c r="X850" s="462" t="s">
        <v>385</v>
      </c>
      <c r="Y850" s="465" t="s">
        <v>430</v>
      </c>
      <c r="Z850" s="465" t="s">
        <v>3522</v>
      </c>
      <c r="AA850" s="464" t="s">
        <v>13</v>
      </c>
      <c r="AE850" s="467" t="s">
        <v>3627</v>
      </c>
      <c r="AF850" s="467" t="s">
        <v>3628</v>
      </c>
      <c r="AG850" s="467" t="s">
        <v>3629</v>
      </c>
      <c r="AH850" s="467" t="s">
        <v>3630</v>
      </c>
      <c r="AI850" s="404"/>
    </row>
    <row r="851" spans="1:35" ht="12.75" thickBot="1">
      <c r="A851" s="415"/>
      <c r="B851" s="415"/>
      <c r="C851" s="468" t="s">
        <v>480</v>
      </c>
      <c r="D851" s="469">
        <f>SUM(D852:D853)</f>
        <v>0</v>
      </c>
      <c r="E851" s="469">
        <f>SUM(E852:E853)</f>
        <v>0</v>
      </c>
      <c r="J851" s="476"/>
      <c r="K851" s="472"/>
      <c r="L851" s="473" t="str">
        <f>IF($J851="","SPC 없음",VLOOKUP($J851&amp;"SPC명",개요!$A$3:$E$1932,3,0))</f>
        <v>SPC 없음</v>
      </c>
      <c r="M851" s="474" t="str">
        <f>IF($J851="","SPC 없음",VLOOKUP($J851&amp;"설정일",개요!$A$3:$E$1932,3,0))</f>
        <v>SPC 없음</v>
      </c>
      <c r="N851" s="475" t="str">
        <f t="shared" ref="N851:N856" si="270">IF($J851="","SPC 없음",VLOOKUP($J851&amp;"자본금",$B$4:$E$2079,3,0)*VLOOKUP($J851&amp;"보유지분율(%)",$B$4:$E$2079,3,0))</f>
        <v>SPC 없음</v>
      </c>
      <c r="O851" s="471"/>
      <c r="P851" s="476"/>
      <c r="Q851" s="477"/>
      <c r="R851" s="478"/>
      <c r="S851" s="479" t="str">
        <f t="shared" ref="S851:S856" si="271">IF($J851="","SPC 없음",IF(P851="총액",IF(T851="장부가액 준용",W851,(VLOOKUP($J851&amp;"보유지분율(%)",$B$4:$E$2079,4,0))*V851),Q851*R851))</f>
        <v>SPC 없음</v>
      </c>
      <c r="T851" s="471"/>
      <c r="U851" s="471" t="s">
        <v>94</v>
      </c>
      <c r="V851" s="480">
        <f>IF(U851="한국 원화(KRW)",1,IF(OR(U851=환율!$A$6,U851=환율!$A$7),VLOOKUP(NAV!U851,환율!$A$6:$B$7,2,),IF(RIGHT(U851,5)="(100)",(VLOOKUP(NAV!U851,환율!$A$11:$B$65,2,))/100,VLOOKUP(NAV!U851,환율!$A$11:$B$65,2,))))</f>
        <v>1</v>
      </c>
      <c r="W851" s="481"/>
      <c r="X851" s="482">
        <f t="shared" ref="X851:X856" si="272">IFERROR(IF(P851="만원당",10000,Y851/Q851),0)</f>
        <v>0</v>
      </c>
      <c r="Y851" s="481"/>
      <c r="Z851" s="481"/>
      <c r="AA851" s="483">
        <f t="shared" ref="AA851:AA856" si="273">IFERROR(IF(Z851="",S851/W851-1,S851/Z851-1),0)</f>
        <v>0</v>
      </c>
      <c r="AE851" s="484" t="str">
        <f t="shared" ref="AE851:AE856" si="274">IF($J851="","SPC 없음",IF(P851="총액",(VLOOKUP($J851&amp;"지분율 반영 순자산가치",$AD$4:$AH$4973,2,0))*V851,AG851*$Q851))</f>
        <v>SPC 없음</v>
      </c>
      <c r="AF851" s="484" t="str">
        <f t="shared" ref="AF851:AF856" si="275">IF($J851="","SPC 없음",IF(P851="총액",(VLOOKUP($J851&amp;"지분율 반영 순자산가치",$AD$4:$AH$4973,3,0))*V851,AH851*$Q851))</f>
        <v>SPC 없음</v>
      </c>
      <c r="AG851" s="485"/>
      <c r="AH851" s="485"/>
      <c r="AI851" s="404"/>
    </row>
    <row r="852" spans="1:35" ht="12.75" thickBot="1">
      <c r="A852" s="415"/>
      <c r="B852" s="415"/>
      <c r="C852" s="486" t="s">
        <v>387</v>
      </c>
      <c r="D852" s="487">
        <f>SUMIF(FS!$AY$49:$AY$79,개요!$B$265&amp;RIGHT(NAV!C852,10),FS!$BB$49:$BB$79)</f>
        <v>0</v>
      </c>
      <c r="E852" s="487">
        <f>D852</f>
        <v>0</v>
      </c>
      <c r="J852" s="476"/>
      <c r="K852" s="472"/>
      <c r="L852" s="473" t="str">
        <f>IF($J852="","SPC 없음",VLOOKUP($J852&amp;"SPC명",개요!$A$3:$E$1932,3,0))</f>
        <v>SPC 없음</v>
      </c>
      <c r="M852" s="474" t="str">
        <f>IF($J852="","SPC 없음",VLOOKUP($J852&amp;"설정일",개요!$A$3:$E$1932,3,0))</f>
        <v>SPC 없음</v>
      </c>
      <c r="N852" s="475" t="str">
        <f t="shared" si="270"/>
        <v>SPC 없음</v>
      </c>
      <c r="O852" s="471"/>
      <c r="P852" s="476"/>
      <c r="Q852" s="477"/>
      <c r="R852" s="478"/>
      <c r="S852" s="479" t="str">
        <f t="shared" si="271"/>
        <v>SPC 없음</v>
      </c>
      <c r="T852" s="471"/>
      <c r="U852" s="471" t="s">
        <v>94</v>
      </c>
      <c r="V852" s="480">
        <f>IF(U852="한국 원화(KRW)",1,IF(OR(U852=환율!$A$6,U852=환율!$A$7),VLOOKUP(NAV!U852,환율!$A$6:$B$7,2,),IF(RIGHT(U852,5)="(100)",(VLOOKUP(NAV!U852,환율!$A$11:$B$65,2,))/100,VLOOKUP(NAV!U852,환율!$A$11:$B$65,2,))))</f>
        <v>1</v>
      </c>
      <c r="W852" s="481"/>
      <c r="X852" s="482">
        <f t="shared" si="272"/>
        <v>0</v>
      </c>
      <c r="Y852" s="481"/>
      <c r="Z852" s="481"/>
      <c r="AA852" s="483">
        <f t="shared" si="273"/>
        <v>0</v>
      </c>
      <c r="AE852" s="484" t="str">
        <f t="shared" si="274"/>
        <v>SPC 없음</v>
      </c>
      <c r="AF852" s="484" t="str">
        <f t="shared" si="275"/>
        <v>SPC 없음</v>
      </c>
      <c r="AG852" s="485"/>
      <c r="AH852" s="485"/>
      <c r="AI852" s="404"/>
    </row>
    <row r="853" spans="1:35" ht="12.75" thickBot="1">
      <c r="A853" s="415"/>
      <c r="B853" s="415"/>
      <c r="C853" s="486" t="s">
        <v>34</v>
      </c>
      <c r="D853" s="487">
        <f>SUMIF(FS!$AY$49:$AY$79,개요!$B$265&amp;RIGHT(NAV!C853,4),FS!$BB$49:$BB$79)</f>
        <v>0</v>
      </c>
      <c r="E853" s="487">
        <f>D853</f>
        <v>0</v>
      </c>
      <c r="J853" s="476"/>
      <c r="K853" s="472"/>
      <c r="L853" s="473" t="str">
        <f>IF($J853="","SPC 없음",VLOOKUP($J853&amp;"SPC명",개요!$A$3:$E$1932,3,0))</f>
        <v>SPC 없음</v>
      </c>
      <c r="M853" s="474" t="str">
        <f>IF($J853="","SPC 없음",VLOOKUP($J853&amp;"설정일",개요!$A$3:$E$1932,3,0))</f>
        <v>SPC 없음</v>
      </c>
      <c r="N853" s="475" t="str">
        <f t="shared" si="270"/>
        <v>SPC 없음</v>
      </c>
      <c r="O853" s="471"/>
      <c r="P853" s="476"/>
      <c r="Q853" s="477"/>
      <c r="R853" s="478"/>
      <c r="S853" s="479" t="str">
        <f t="shared" si="271"/>
        <v>SPC 없음</v>
      </c>
      <c r="T853" s="471"/>
      <c r="U853" s="471" t="s">
        <v>94</v>
      </c>
      <c r="V853" s="480">
        <f>IF(U853="한국 원화(KRW)",1,IF(OR(U853=환율!$A$6,U853=환율!$A$7),VLOOKUP(NAV!U853,환율!$A$6:$B$7,2,),IF(RIGHT(U853,5)="(100)",(VLOOKUP(NAV!U853,환율!$A$11:$B$65,2,))/100,VLOOKUP(NAV!U853,환율!$A$11:$B$65,2,))))</f>
        <v>1</v>
      </c>
      <c r="W853" s="481"/>
      <c r="X853" s="482">
        <f t="shared" si="272"/>
        <v>0</v>
      </c>
      <c r="Y853" s="481"/>
      <c r="Z853" s="481"/>
      <c r="AA853" s="483">
        <f t="shared" si="273"/>
        <v>0</v>
      </c>
      <c r="AE853" s="484" t="str">
        <f t="shared" si="274"/>
        <v>SPC 없음</v>
      </c>
      <c r="AF853" s="484" t="str">
        <f t="shared" si="275"/>
        <v>SPC 없음</v>
      </c>
      <c r="AG853" s="485"/>
      <c r="AH853" s="485"/>
      <c r="AI853" s="404"/>
    </row>
    <row r="854" spans="1:35" ht="12.75" thickBot="1">
      <c r="A854" s="489" t="s">
        <v>389</v>
      </c>
      <c r="B854" s="490" t="b">
        <f>SUM(W851:W856,W859:W869)=D854</f>
        <v>1</v>
      </c>
      <c r="C854" s="468" t="s">
        <v>17</v>
      </c>
      <c r="D854" s="469">
        <f>SUMIF(FS!$AY$49:$AY$79,개요!$B$265&amp;RIGHT(NAV!C854,4),FS!$BB$49:$BB$79)</f>
        <v>0</v>
      </c>
      <c r="E854" s="469">
        <f>SUM(S851:S856)+SUM(S859:S869)</f>
        <v>0</v>
      </c>
      <c r="J854" s="476"/>
      <c r="K854" s="472"/>
      <c r="L854" s="473" t="str">
        <f>IF($J854="","SPC 없음",VLOOKUP($J854&amp;"SPC명",개요!$A$3:$E$1932,3,0))</f>
        <v>SPC 없음</v>
      </c>
      <c r="M854" s="474" t="str">
        <f>IF($J854="","SPC 없음",VLOOKUP($J854&amp;"설정일",개요!$A$3:$E$1932,3,0))</f>
        <v>SPC 없음</v>
      </c>
      <c r="N854" s="475" t="str">
        <f t="shared" si="270"/>
        <v>SPC 없음</v>
      </c>
      <c r="O854" s="471"/>
      <c r="P854" s="476"/>
      <c r="Q854" s="477"/>
      <c r="R854" s="478"/>
      <c r="S854" s="479" t="str">
        <f t="shared" si="271"/>
        <v>SPC 없음</v>
      </c>
      <c r="T854" s="471"/>
      <c r="U854" s="471" t="s">
        <v>94</v>
      </c>
      <c r="V854" s="480">
        <f>IF(U854="한국 원화(KRW)",1,IF(OR(U854=환율!$A$6,U854=환율!$A$7),VLOOKUP(NAV!U854,환율!$A$6:$B$7,2,),IF(RIGHT(U854,5)="(100)",(VLOOKUP(NAV!U854,환율!$A$11:$B$65,2,))/100,VLOOKUP(NAV!U854,환율!$A$11:$B$65,2,))))</f>
        <v>1</v>
      </c>
      <c r="W854" s="481"/>
      <c r="X854" s="482">
        <f t="shared" si="272"/>
        <v>0</v>
      </c>
      <c r="Y854" s="481"/>
      <c r="Z854" s="481"/>
      <c r="AA854" s="483">
        <f t="shared" si="273"/>
        <v>0</v>
      </c>
      <c r="AE854" s="484" t="str">
        <f t="shared" si="274"/>
        <v>SPC 없음</v>
      </c>
      <c r="AF854" s="484" t="str">
        <f t="shared" si="275"/>
        <v>SPC 없음</v>
      </c>
      <c r="AG854" s="485"/>
      <c r="AH854" s="485"/>
      <c r="AI854" s="404"/>
    </row>
    <row r="855" spans="1:35" ht="12.75" thickBot="1">
      <c r="A855" s="492" t="s">
        <v>391</v>
      </c>
      <c r="B855" s="415" t="b">
        <f>D852+D853+D854=D855</f>
        <v>1</v>
      </c>
      <c r="C855" s="493" t="s">
        <v>479</v>
      </c>
      <c r="D855" s="494">
        <f>D851+D854</f>
        <v>0</v>
      </c>
      <c r="E855" s="494">
        <f>E851+E854</f>
        <v>0</v>
      </c>
      <c r="J855" s="476"/>
      <c r="K855" s="472"/>
      <c r="L855" s="473" t="str">
        <f>IF($J855="","SPC 없음",VLOOKUP($J855&amp;"SPC명",개요!$A$3:$E$1932,3,0))</f>
        <v>SPC 없음</v>
      </c>
      <c r="M855" s="474" t="str">
        <f>IF($J855="","SPC 없음",VLOOKUP($J855&amp;"설정일",개요!$A$3:$E$1932,3,0))</f>
        <v>SPC 없음</v>
      </c>
      <c r="N855" s="475" t="str">
        <f t="shared" si="270"/>
        <v>SPC 없음</v>
      </c>
      <c r="O855" s="471"/>
      <c r="P855" s="476"/>
      <c r="Q855" s="477"/>
      <c r="R855" s="478"/>
      <c r="S855" s="479" t="str">
        <f t="shared" si="271"/>
        <v>SPC 없음</v>
      </c>
      <c r="T855" s="471"/>
      <c r="U855" s="471" t="s">
        <v>94</v>
      </c>
      <c r="V855" s="480">
        <f>IF(U855="한국 원화(KRW)",1,IF(OR(U855=환율!$A$6,U855=환율!$A$7),VLOOKUP(NAV!U855,환율!$A$6:$B$7,2,),IF(RIGHT(U855,5)="(100)",(VLOOKUP(NAV!U855,환율!$A$11:$B$65,2,))/100,VLOOKUP(NAV!U855,환율!$A$11:$B$65,2,))))</f>
        <v>1</v>
      </c>
      <c r="W855" s="481"/>
      <c r="X855" s="482">
        <f t="shared" si="272"/>
        <v>0</v>
      </c>
      <c r="Y855" s="481"/>
      <c r="Z855" s="481"/>
      <c r="AA855" s="483">
        <f t="shared" si="273"/>
        <v>0</v>
      </c>
      <c r="AE855" s="484" t="str">
        <f t="shared" si="274"/>
        <v>SPC 없음</v>
      </c>
      <c r="AF855" s="484" t="str">
        <f t="shared" si="275"/>
        <v>SPC 없음</v>
      </c>
      <c r="AG855" s="485"/>
      <c r="AH855" s="485"/>
      <c r="AI855" s="404"/>
    </row>
    <row r="856" spans="1:35" ht="12.75" thickBot="1">
      <c r="A856" s="492"/>
      <c r="B856" s="496"/>
      <c r="C856" s="468" t="s">
        <v>18</v>
      </c>
      <c r="D856" s="469">
        <f>SUM(D857:D860)</f>
        <v>0</v>
      </c>
      <c r="E856" s="469">
        <f>SUM(E857:E860)</f>
        <v>0</v>
      </c>
      <c r="J856" s="476"/>
      <c r="K856" s="472"/>
      <c r="L856" s="473" t="str">
        <f>IF($J856="","SPC 없음",VLOOKUP($J856&amp;"SPC명",개요!$A$3:$E$1932,3,0))</f>
        <v>SPC 없음</v>
      </c>
      <c r="M856" s="474" t="str">
        <f>IF($J856="","SPC 없음",VLOOKUP($J856&amp;"설정일",개요!$A$3:$E$1932,3,0))</f>
        <v>SPC 없음</v>
      </c>
      <c r="N856" s="475" t="str">
        <f t="shared" si="270"/>
        <v>SPC 없음</v>
      </c>
      <c r="O856" s="471"/>
      <c r="P856" s="476"/>
      <c r="Q856" s="477"/>
      <c r="R856" s="478"/>
      <c r="S856" s="479" t="str">
        <f t="shared" si="271"/>
        <v>SPC 없음</v>
      </c>
      <c r="T856" s="471"/>
      <c r="U856" s="471" t="s">
        <v>94</v>
      </c>
      <c r="V856" s="480">
        <f>IF(U856="한국 원화(KRW)",1,IF(OR(U856=환율!$A$6,U856=환율!$A$7),VLOOKUP(NAV!U856,환율!$A$6:$B$7,2,),IF(RIGHT(U856,5)="(100)",(VLOOKUP(NAV!U856,환율!$A$11:$B$65,2,))/100,VLOOKUP(NAV!U856,환율!$A$11:$B$65,2,))))</f>
        <v>1</v>
      </c>
      <c r="W856" s="481"/>
      <c r="X856" s="482">
        <f t="shared" si="272"/>
        <v>0</v>
      </c>
      <c r="Y856" s="481"/>
      <c r="Z856" s="481"/>
      <c r="AA856" s="483">
        <f t="shared" si="273"/>
        <v>0</v>
      </c>
      <c r="AE856" s="484" t="str">
        <f t="shared" si="274"/>
        <v>SPC 없음</v>
      </c>
      <c r="AF856" s="484" t="str">
        <f t="shared" si="275"/>
        <v>SPC 없음</v>
      </c>
      <c r="AG856" s="485"/>
      <c r="AH856" s="485"/>
      <c r="AI856" s="404"/>
    </row>
    <row r="857" spans="1:35">
      <c r="A857" s="492"/>
      <c r="B857" s="496"/>
      <c r="C857" s="486" t="s">
        <v>392</v>
      </c>
      <c r="D857" s="487">
        <f>SUMIF(FS!$AY$49:$AY$79,개요!$B$265&amp;RIGHT(NAV!C857,5),FS!$BB$49:$BB$79)</f>
        <v>0</v>
      </c>
      <c r="E857" s="487">
        <f>D857</f>
        <v>0</v>
      </c>
      <c r="J857" s="428" t="s">
        <v>539</v>
      </c>
      <c r="K857" s="415"/>
      <c r="L857" s="305"/>
      <c r="M857" s="415"/>
      <c r="N857" s="415"/>
      <c r="O857" s="415"/>
      <c r="P857" s="415"/>
      <c r="Q857" s="422"/>
      <c r="R857" s="415"/>
      <c r="S857" s="415"/>
      <c r="T857" s="415"/>
      <c r="U857" s="415"/>
      <c r="W857" s="517" t="b">
        <f>SUM(W859:W869)+SUM(W851:W856)=D854</f>
        <v>1</v>
      </c>
      <c r="X857" s="415"/>
      <c r="Y857" s="422"/>
      <c r="Z857" s="422"/>
      <c r="AA857" s="459" t="str">
        <f>IF(OR(MAX(AA851:AA856,AA859:AA869)&gt;0.2,MIN(AA851:AA856,AA859:AA869)&lt;-0.2),"특이사항 확인","특이사항 없음")</f>
        <v>특이사항 없음</v>
      </c>
      <c r="AB857" s="415"/>
      <c r="AF857" s="415"/>
      <c r="AG857" s="415"/>
      <c r="AI857" s="404"/>
    </row>
    <row r="858" spans="1:35" ht="12.75" thickBot="1">
      <c r="A858" s="492"/>
      <c r="B858" s="496"/>
      <c r="C858" s="486" t="s">
        <v>393</v>
      </c>
      <c r="D858" s="487">
        <f>SUMIF(FS!$AY$49:$AY$79,개요!$B$265&amp;RIGHT(NAV!C858,3),FS!$BB$49:$BB$79)</f>
        <v>0</v>
      </c>
      <c r="E858" s="487">
        <f t="shared" ref="E858:E859" si="276">D858</f>
        <v>0</v>
      </c>
      <c r="I858" s="518">
        <f>COUNTA(J859:J869)</f>
        <v>0</v>
      </c>
      <c r="J858" s="548" t="s">
        <v>394</v>
      </c>
      <c r="K858" s="548" t="s">
        <v>0</v>
      </c>
      <c r="L858" s="548" t="s">
        <v>435</v>
      </c>
      <c r="M858" s="548" t="s">
        <v>396</v>
      </c>
      <c r="N858" s="548" t="s">
        <v>397</v>
      </c>
      <c r="O858" s="548" t="s">
        <v>398</v>
      </c>
      <c r="P858" s="548" t="s">
        <v>380</v>
      </c>
      <c r="Q858" s="519" t="s">
        <v>14</v>
      </c>
      <c r="R858" s="466" t="s">
        <v>299</v>
      </c>
      <c r="S858" s="466" t="s">
        <v>3525</v>
      </c>
      <c r="T858" s="549" t="s">
        <v>12</v>
      </c>
      <c r="U858" s="548" t="s">
        <v>383</v>
      </c>
      <c r="V858" s="548" t="s">
        <v>400</v>
      </c>
      <c r="W858" s="550" t="s">
        <v>10</v>
      </c>
      <c r="X858" s="549" t="s">
        <v>401</v>
      </c>
      <c r="Y858" s="550" t="s">
        <v>300</v>
      </c>
      <c r="Z858" s="550" t="s">
        <v>3523</v>
      </c>
      <c r="AA858" s="548" t="s">
        <v>13</v>
      </c>
      <c r="AB858" s="548" t="s">
        <v>15</v>
      </c>
      <c r="AC858" s="548" t="s">
        <v>473</v>
      </c>
      <c r="AE858" s="467" t="s">
        <v>3627</v>
      </c>
      <c r="AF858" s="467" t="s">
        <v>3628</v>
      </c>
      <c r="AG858" s="467" t="s">
        <v>3629</v>
      </c>
      <c r="AH858" s="467" t="s">
        <v>3630</v>
      </c>
      <c r="AI858" s="404"/>
    </row>
    <row r="859" spans="1:35" ht="12.75" thickBot="1">
      <c r="A859" s="492"/>
      <c r="B859" s="496"/>
      <c r="C859" s="486" t="s">
        <v>404</v>
      </c>
      <c r="D859" s="487">
        <f>SUMIF(FS!$AY$49:$AY$79,개요!$B$265&amp;RIGHT(NAV!C859,6),FS!$BB$49:$BB$79)</f>
        <v>0</v>
      </c>
      <c r="E859" s="487">
        <f t="shared" si="276"/>
        <v>0</v>
      </c>
      <c r="J859" s="551"/>
      <c r="K859" s="552"/>
      <c r="L859" s="551"/>
      <c r="M859" s="553"/>
      <c r="N859" s="553"/>
      <c r="O859" s="551"/>
      <c r="P859" s="553"/>
      <c r="Q859" s="524"/>
      <c r="R859" s="478">
        <f>IFERROR(INDEX(기초자산!M$6:M$408,MATCH(K859&amp;N859&amp;O859,기초자산!$A$6:$A$408,0),0),0)</f>
        <v>0</v>
      </c>
      <c r="S859" s="479">
        <f t="shared" ref="S859:S869" si="277">IFERROR(IF(T859="취득원가 준용",Y859,IF(T859="장부가액 준용",W859,IF(P859="주당",R859*Q859*V859,IF(RIGHT(U859,5)="(100)",Y859/1000*R859*V859,Y859/10000*R859*V859)))),0)</f>
        <v>0</v>
      </c>
      <c r="T859" s="553"/>
      <c r="U859" s="471" t="s">
        <v>94</v>
      </c>
      <c r="V859" s="480">
        <f>IF(U859="한국 원화(KRW)",1,IF(OR(U859=환율!$A$6,U859=환율!$A$7),VLOOKUP(NAV!U859,환율!$A$6:$B$7,2,),IF(RIGHT(U859,5)="(100)",(VLOOKUP(NAV!U859,환율!$A$11:$B$65,2,))/100,VLOOKUP(NAV!U859,환율!$A$11:$B$65,2,))))</f>
        <v>1</v>
      </c>
      <c r="W859" s="481"/>
      <c r="X859" s="482">
        <f t="shared" ref="X859:X869" si="278">IFERROR(IF(P859="만원당",10000,Y859/Q859),0)</f>
        <v>0</v>
      </c>
      <c r="Y859" s="481"/>
      <c r="Z859" s="481"/>
      <c r="AA859" s="483">
        <f t="shared" ref="AA859:AA869" si="279">IFERROR(IF(Z859="",S859/W859-1,S859/Z859-1),0)</f>
        <v>0</v>
      </c>
      <c r="AB859" s="554"/>
      <c r="AC859" s="526" t="str">
        <f t="shared" ref="AC859:AC869" si="280">IF(($C$7-AB859)/365&gt;2,"2년이상","2년미만")</f>
        <v>2년이상</v>
      </c>
      <c r="AD859" s="520" t="str">
        <f t="shared" ref="AD859:AD869" si="281">IF(OR(AA859&gt;20%,AA859&lt;-20%),"(1) Note 기재","")</f>
        <v/>
      </c>
      <c r="AE859" s="527">
        <f>IF(OR(T859="MTP",T859="과거거래 이용법",T859="취득원가 준용",T859="장부가액 준용",T859="상장종가 적용"),S859,IF(P859="주당",AG859*Q859*V859,Y859/10000*AG859*V859))</f>
        <v>0</v>
      </c>
      <c r="AF859" s="527">
        <f>IF(OR(T859="MTP",T859="과거거래 이용법",T859="취득원가 준용",T859="장부가액 준용",T859="상장종가 적용"),S859,IF(P859="주당",AH859*Q859*V859,Y859/10000*AH859*V859))</f>
        <v>0</v>
      </c>
      <c r="AG859" s="485"/>
      <c r="AH859" s="485"/>
      <c r="AI859" s="404"/>
    </row>
    <row r="860" spans="1:35" ht="12.75" thickBot="1">
      <c r="A860" s="492"/>
      <c r="B860" s="496"/>
      <c r="C860" s="486" t="s">
        <v>405</v>
      </c>
      <c r="D860" s="487">
        <f>SUMIF(FS!$AY$49:$AY$79,개요!$B$265&amp;RIGHT(NAV!C860,7),FS!$BB$49:$BB$79)</f>
        <v>0</v>
      </c>
      <c r="E860" s="487">
        <f>D860</f>
        <v>0</v>
      </c>
      <c r="J860" s="551"/>
      <c r="K860" s="552"/>
      <c r="L860" s="551"/>
      <c r="M860" s="553"/>
      <c r="N860" s="553"/>
      <c r="O860" s="551"/>
      <c r="P860" s="553"/>
      <c r="Q860" s="524"/>
      <c r="R860" s="478">
        <f>IFERROR(INDEX(기초자산!M$6:M$408,MATCH(K860&amp;N860&amp;O860,기초자산!$A$6:$A$408,0),0),0)</f>
        <v>0</v>
      </c>
      <c r="S860" s="479">
        <f t="shared" si="277"/>
        <v>0</v>
      </c>
      <c r="T860" s="553"/>
      <c r="U860" s="471" t="s">
        <v>94</v>
      </c>
      <c r="V860" s="480">
        <f>IF(U860="한국 원화(KRW)",1,IF(OR(U860=환율!$A$6,U860=환율!$A$7),VLOOKUP(NAV!U860,환율!$A$6:$B$7,2,),IF(RIGHT(U860,5)="(100)",(VLOOKUP(NAV!U860,환율!$A$11:$B$65,2,))/100,VLOOKUP(NAV!U860,환율!$A$11:$B$65,2,))))</f>
        <v>1</v>
      </c>
      <c r="W860" s="481"/>
      <c r="X860" s="482">
        <f t="shared" si="278"/>
        <v>0</v>
      </c>
      <c r="Y860" s="481"/>
      <c r="Z860" s="481"/>
      <c r="AA860" s="483">
        <f t="shared" si="279"/>
        <v>0</v>
      </c>
      <c r="AB860" s="554"/>
      <c r="AC860" s="526" t="str">
        <f t="shared" si="280"/>
        <v>2년이상</v>
      </c>
      <c r="AD860" s="520" t="str">
        <f t="shared" si="281"/>
        <v/>
      </c>
      <c r="AE860" s="527">
        <f t="shared" ref="AE860:AE869" si="282">IF(OR(T860="MTP",T860="과거거래 이용법",T860="취득원가 준용",T860="장부가액 준용",T860="상장종가 적용"),S860,IF(P860="주당",AG860*Q860*V860,Y860/10000*AG860*V860))</f>
        <v>0</v>
      </c>
      <c r="AF860" s="527">
        <f t="shared" ref="AF860:AF869" si="283">IF(OR(T860="MTP",T860="과거거래 이용법",T860="취득원가 준용",T860="장부가액 준용",T860="상장종가 적용"),S860,IF(P860="주당",AH860*Q860*V860,Y860/10000*AH860*V860))</f>
        <v>0</v>
      </c>
      <c r="AG860" s="485"/>
      <c r="AH860" s="485"/>
      <c r="AI860" s="404"/>
    </row>
    <row r="861" spans="1:35" ht="12.75" thickBot="1">
      <c r="A861" s="492"/>
      <c r="B861" s="496"/>
      <c r="C861" s="468" t="s">
        <v>21</v>
      </c>
      <c r="D861" s="469">
        <f>SUM(D862:D863)</f>
        <v>0</v>
      </c>
      <c r="E861" s="469">
        <f>SUM(E862:E863)</f>
        <v>0</v>
      </c>
      <c r="J861" s="551"/>
      <c r="K861" s="552"/>
      <c r="L861" s="551"/>
      <c r="M861" s="553"/>
      <c r="N861" s="553"/>
      <c r="O861" s="551"/>
      <c r="P861" s="553"/>
      <c r="Q861" s="524"/>
      <c r="R861" s="478">
        <f>IFERROR(INDEX(기초자산!M$6:M$408,MATCH(K861&amp;N861&amp;O861,기초자산!$A$6:$A$408,0),0),0)</f>
        <v>0</v>
      </c>
      <c r="S861" s="479">
        <f t="shared" si="277"/>
        <v>0</v>
      </c>
      <c r="T861" s="553"/>
      <c r="U861" s="471" t="s">
        <v>94</v>
      </c>
      <c r="V861" s="480">
        <f>IF(U861="한국 원화(KRW)",1,IF(OR(U861=환율!$A$6,U861=환율!$A$7),VLOOKUP(NAV!U861,환율!$A$6:$B$7,2,),IF(RIGHT(U861,5)="(100)",(VLOOKUP(NAV!U861,환율!$A$11:$B$65,2,))/100,VLOOKUP(NAV!U861,환율!$A$11:$B$65,2,))))</f>
        <v>1</v>
      </c>
      <c r="W861" s="481"/>
      <c r="X861" s="482">
        <f t="shared" si="278"/>
        <v>0</v>
      </c>
      <c r="Y861" s="481"/>
      <c r="Z861" s="481"/>
      <c r="AA861" s="483">
        <f t="shared" si="279"/>
        <v>0</v>
      </c>
      <c r="AB861" s="554"/>
      <c r="AC861" s="526" t="str">
        <f t="shared" si="280"/>
        <v>2년이상</v>
      </c>
      <c r="AD861" s="520" t="str">
        <f t="shared" si="281"/>
        <v/>
      </c>
      <c r="AE861" s="527">
        <f t="shared" si="282"/>
        <v>0</v>
      </c>
      <c r="AF861" s="527">
        <f t="shared" si="283"/>
        <v>0</v>
      </c>
      <c r="AG861" s="485"/>
      <c r="AH861" s="485"/>
      <c r="AI861" s="404"/>
    </row>
    <row r="862" spans="1:35" ht="12.75" thickBot="1">
      <c r="A862" s="492"/>
      <c r="B862" s="496"/>
      <c r="C862" s="486" t="s">
        <v>406</v>
      </c>
      <c r="D862" s="487">
        <f>SUMIF(FS!$AY$49:$AY$79,개요!$B$265&amp;RIGHT(NAV!C862,3),FS!$BB$49:$BB$79)</f>
        <v>0</v>
      </c>
      <c r="E862" s="487">
        <f>D862</f>
        <v>0</v>
      </c>
      <c r="J862" s="551"/>
      <c r="K862" s="552"/>
      <c r="L862" s="551"/>
      <c r="M862" s="553"/>
      <c r="N862" s="553"/>
      <c r="O862" s="551"/>
      <c r="P862" s="553"/>
      <c r="Q862" s="524"/>
      <c r="R862" s="478">
        <f>IFERROR(INDEX(기초자산!M$6:M$408,MATCH(K862&amp;N862&amp;O862,기초자산!$A$6:$A$408,0),0),0)</f>
        <v>0</v>
      </c>
      <c r="S862" s="479">
        <f t="shared" si="277"/>
        <v>0</v>
      </c>
      <c r="T862" s="553"/>
      <c r="U862" s="471" t="s">
        <v>94</v>
      </c>
      <c r="V862" s="480">
        <f>IF(U862="한국 원화(KRW)",1,IF(OR(U862=환율!$A$6,U862=환율!$A$7),VLOOKUP(NAV!U862,환율!$A$6:$B$7,2,),IF(RIGHT(U862,5)="(100)",(VLOOKUP(NAV!U862,환율!$A$11:$B$65,2,))/100,VLOOKUP(NAV!U862,환율!$A$11:$B$65,2,))))</f>
        <v>1</v>
      </c>
      <c r="W862" s="481"/>
      <c r="X862" s="482">
        <f t="shared" si="278"/>
        <v>0</v>
      </c>
      <c r="Y862" s="481"/>
      <c r="Z862" s="481"/>
      <c r="AA862" s="483">
        <f t="shared" si="279"/>
        <v>0</v>
      </c>
      <c r="AB862" s="554"/>
      <c r="AC862" s="526" t="str">
        <f t="shared" si="280"/>
        <v>2년이상</v>
      </c>
      <c r="AD862" s="520" t="str">
        <f t="shared" si="281"/>
        <v/>
      </c>
      <c r="AE862" s="527">
        <f t="shared" si="282"/>
        <v>0</v>
      </c>
      <c r="AF862" s="527">
        <f t="shared" si="283"/>
        <v>0</v>
      </c>
      <c r="AG862" s="485"/>
      <c r="AH862" s="485"/>
      <c r="AI862" s="404"/>
    </row>
    <row r="863" spans="1:35" ht="12.75" thickBot="1">
      <c r="A863" s="492"/>
      <c r="B863" s="496"/>
      <c r="C863" s="486" t="s">
        <v>407</v>
      </c>
      <c r="D863" s="487">
        <f>SUMIF(FS!$AY$49:$AY$79,개요!$B$265&amp;RIGHT(NAV!C863,4),FS!$BB$49:$BB$79)</f>
        <v>0</v>
      </c>
      <c r="E863" s="487">
        <f>D863</f>
        <v>0</v>
      </c>
      <c r="J863" s="551"/>
      <c r="K863" s="552"/>
      <c r="L863" s="551"/>
      <c r="M863" s="553"/>
      <c r="N863" s="553"/>
      <c r="O863" s="551"/>
      <c r="P863" s="553"/>
      <c r="Q863" s="524"/>
      <c r="R863" s="478">
        <f>IFERROR(INDEX(기초자산!M$6:M$408,MATCH(K863&amp;N863&amp;O863,기초자산!$A$6:$A$408,0),0),0)</f>
        <v>0</v>
      </c>
      <c r="S863" s="479">
        <f t="shared" si="277"/>
        <v>0</v>
      </c>
      <c r="T863" s="553"/>
      <c r="U863" s="471" t="s">
        <v>94</v>
      </c>
      <c r="V863" s="480">
        <f>IF(U863="한국 원화(KRW)",1,IF(OR(U863=환율!$A$6,U863=환율!$A$7),VLOOKUP(NAV!U863,환율!$A$6:$B$7,2,),IF(RIGHT(U863,5)="(100)",(VLOOKUP(NAV!U863,환율!$A$11:$B$65,2,))/100,VLOOKUP(NAV!U863,환율!$A$11:$B$65,2,))))</f>
        <v>1</v>
      </c>
      <c r="W863" s="481"/>
      <c r="X863" s="482">
        <f t="shared" si="278"/>
        <v>0</v>
      </c>
      <c r="Y863" s="481"/>
      <c r="Z863" s="481"/>
      <c r="AA863" s="483">
        <f t="shared" si="279"/>
        <v>0</v>
      </c>
      <c r="AB863" s="554"/>
      <c r="AC863" s="526" t="str">
        <f t="shared" si="280"/>
        <v>2년이상</v>
      </c>
      <c r="AD863" s="520" t="str">
        <f t="shared" si="281"/>
        <v/>
      </c>
      <c r="AE863" s="527">
        <f t="shared" si="282"/>
        <v>0</v>
      </c>
      <c r="AF863" s="527">
        <f t="shared" si="283"/>
        <v>0</v>
      </c>
      <c r="AG863" s="485"/>
      <c r="AH863" s="485"/>
      <c r="AI863" s="404"/>
    </row>
    <row r="864" spans="1:35" ht="12.75" thickBot="1">
      <c r="A864" s="489" t="s">
        <v>408</v>
      </c>
      <c r="B864" s="498" t="b">
        <f>D857+D858+D859+D860+D862+D863=D864</f>
        <v>1</v>
      </c>
      <c r="C864" s="493" t="s">
        <v>477</v>
      </c>
      <c r="D864" s="494">
        <f>D856+D861</f>
        <v>0</v>
      </c>
      <c r="E864" s="494">
        <f>E856+E861</f>
        <v>0</v>
      </c>
      <c r="J864" s="551"/>
      <c r="K864" s="552"/>
      <c r="L864" s="551"/>
      <c r="M864" s="553"/>
      <c r="N864" s="553"/>
      <c r="O864" s="551"/>
      <c r="P864" s="553"/>
      <c r="Q864" s="524"/>
      <c r="R864" s="478">
        <f>IFERROR(INDEX(기초자산!M$6:M$408,MATCH(K864&amp;N864&amp;O864,기초자산!$A$6:$A$408,0),0),0)</f>
        <v>0</v>
      </c>
      <c r="S864" s="479">
        <f t="shared" si="277"/>
        <v>0</v>
      </c>
      <c r="T864" s="553"/>
      <c r="U864" s="471" t="s">
        <v>94</v>
      </c>
      <c r="V864" s="480">
        <f>IF(U864="한국 원화(KRW)",1,IF(OR(U864=환율!$A$6,U864=환율!$A$7),VLOOKUP(NAV!U864,환율!$A$6:$B$7,2,),IF(RIGHT(U864,5)="(100)",(VLOOKUP(NAV!U864,환율!$A$11:$B$65,2,))/100,VLOOKUP(NAV!U864,환율!$A$11:$B$65,2,))))</f>
        <v>1</v>
      </c>
      <c r="W864" s="481"/>
      <c r="X864" s="482">
        <f t="shared" si="278"/>
        <v>0</v>
      </c>
      <c r="Y864" s="481"/>
      <c r="Z864" s="481"/>
      <c r="AA864" s="483">
        <f t="shared" si="279"/>
        <v>0</v>
      </c>
      <c r="AB864" s="554"/>
      <c r="AC864" s="526" t="str">
        <f t="shared" si="280"/>
        <v>2년이상</v>
      </c>
      <c r="AD864" s="520" t="str">
        <f t="shared" si="281"/>
        <v/>
      </c>
      <c r="AE864" s="527">
        <f t="shared" si="282"/>
        <v>0</v>
      </c>
      <c r="AF864" s="527">
        <f t="shared" si="283"/>
        <v>0</v>
      </c>
      <c r="AG864" s="485"/>
      <c r="AH864" s="485"/>
      <c r="AI864" s="404"/>
    </row>
    <row r="865" spans="1:35" ht="12.75" thickBot="1">
      <c r="A865" s="492"/>
      <c r="B865" s="555" t="str">
        <f>B845&amp;C865</f>
        <v>SPC없음자본금</v>
      </c>
      <c r="C865" s="486" t="s">
        <v>35</v>
      </c>
      <c r="D865" s="487">
        <f>SUMIF(FS!$AY$49:$AY$79,개요!$B$265&amp;RIGHT(NAV!C865,3),FS!$BB$49:$BB$79)</f>
        <v>0</v>
      </c>
      <c r="E865" s="487">
        <f>D865</f>
        <v>0</v>
      </c>
      <c r="J865" s="551"/>
      <c r="K865" s="552"/>
      <c r="L865" s="551"/>
      <c r="M865" s="553"/>
      <c r="N865" s="553"/>
      <c r="O865" s="551"/>
      <c r="P865" s="553"/>
      <c r="Q865" s="524"/>
      <c r="R865" s="478">
        <f>IFERROR(INDEX(기초자산!M$6:M$408,MATCH(K865&amp;N865&amp;O865,기초자산!$A$6:$A$408,0),0),0)</f>
        <v>0</v>
      </c>
      <c r="S865" s="479">
        <f t="shared" si="277"/>
        <v>0</v>
      </c>
      <c r="T865" s="553"/>
      <c r="U865" s="471" t="s">
        <v>94</v>
      </c>
      <c r="V865" s="480">
        <f>IF(U865="한국 원화(KRW)",1,IF(OR(U865=환율!$A$6,U865=환율!$A$7),VLOOKUP(NAV!U865,환율!$A$6:$B$7,2,),IF(RIGHT(U865,5)="(100)",(VLOOKUP(NAV!U865,환율!$A$11:$B$65,2,))/100,VLOOKUP(NAV!U865,환율!$A$11:$B$65,2,))))</f>
        <v>1</v>
      </c>
      <c r="W865" s="481"/>
      <c r="X865" s="482">
        <f t="shared" si="278"/>
        <v>0</v>
      </c>
      <c r="Y865" s="481"/>
      <c r="Z865" s="481"/>
      <c r="AA865" s="483">
        <f t="shared" si="279"/>
        <v>0</v>
      </c>
      <c r="AB865" s="554"/>
      <c r="AC865" s="526" t="str">
        <f t="shared" si="280"/>
        <v>2년이상</v>
      </c>
      <c r="AD865" s="520" t="str">
        <f t="shared" si="281"/>
        <v/>
      </c>
      <c r="AE865" s="527">
        <f t="shared" si="282"/>
        <v>0</v>
      </c>
      <c r="AF865" s="527">
        <f t="shared" si="283"/>
        <v>0</v>
      </c>
      <c r="AG865" s="485"/>
      <c r="AH865" s="485"/>
      <c r="AI865" s="404"/>
    </row>
    <row r="866" spans="1:35" ht="12.75" thickBot="1">
      <c r="C866" s="486" t="s">
        <v>409</v>
      </c>
      <c r="D866" s="487">
        <f>SUMIF(FS!$AY$49:$AY$79,개요!$B$265&amp;RIGHT(NAV!C866,10),FS!$BB$49:$BB$79)</f>
        <v>0</v>
      </c>
      <c r="E866" s="487">
        <f>D866</f>
        <v>0</v>
      </c>
      <c r="J866" s="551"/>
      <c r="K866" s="552"/>
      <c r="L866" s="551"/>
      <c r="M866" s="553"/>
      <c r="N866" s="553"/>
      <c r="O866" s="551"/>
      <c r="P866" s="553"/>
      <c r="Q866" s="524"/>
      <c r="R866" s="478">
        <f>IFERROR(INDEX(기초자산!M$6:M$408,MATCH(K866&amp;N866&amp;O866,기초자산!$A$6:$A$408,0),0),0)</f>
        <v>0</v>
      </c>
      <c r="S866" s="479">
        <f t="shared" si="277"/>
        <v>0</v>
      </c>
      <c r="T866" s="553"/>
      <c r="U866" s="471" t="s">
        <v>94</v>
      </c>
      <c r="V866" s="480">
        <f>IF(U866="한국 원화(KRW)",1,IF(OR(U866=환율!$A$6,U866=환율!$A$7),VLOOKUP(NAV!U866,환율!$A$6:$B$7,2,),IF(RIGHT(U866,5)="(100)",(VLOOKUP(NAV!U866,환율!$A$11:$B$65,2,))/100,VLOOKUP(NAV!U866,환율!$A$11:$B$65,2,))))</f>
        <v>1</v>
      </c>
      <c r="W866" s="481"/>
      <c r="X866" s="482">
        <f t="shared" si="278"/>
        <v>0</v>
      </c>
      <c r="Y866" s="481"/>
      <c r="Z866" s="481"/>
      <c r="AA866" s="483">
        <f t="shared" si="279"/>
        <v>0</v>
      </c>
      <c r="AB866" s="554"/>
      <c r="AC866" s="526" t="str">
        <f t="shared" si="280"/>
        <v>2년이상</v>
      </c>
      <c r="AD866" s="520" t="str">
        <f t="shared" si="281"/>
        <v/>
      </c>
      <c r="AE866" s="527">
        <f t="shared" si="282"/>
        <v>0</v>
      </c>
      <c r="AF866" s="527">
        <f t="shared" si="283"/>
        <v>0</v>
      </c>
      <c r="AG866" s="485"/>
      <c r="AH866" s="485"/>
      <c r="AI866" s="404"/>
    </row>
    <row r="867" spans="1:35" ht="12.75" thickBot="1">
      <c r="A867" s="489"/>
      <c r="B867" s="415"/>
      <c r="C867" s="486" t="s">
        <v>410</v>
      </c>
      <c r="D867" s="487">
        <f>SUMIF(FS!$AY$49:$AY$79,개요!$B$265&amp;RIGHT(NAV!C867,8),FS!$BB$49:$BB$79)</f>
        <v>0</v>
      </c>
      <c r="E867" s="487">
        <f>D867</f>
        <v>0</v>
      </c>
      <c r="J867" s="551"/>
      <c r="K867" s="552"/>
      <c r="L867" s="551"/>
      <c r="M867" s="553"/>
      <c r="N867" s="553"/>
      <c r="O867" s="551"/>
      <c r="P867" s="553"/>
      <c r="Q867" s="524"/>
      <c r="R867" s="478">
        <f>IFERROR(INDEX(기초자산!M$6:M$408,MATCH(K867&amp;N867&amp;O867,기초자산!$A$6:$A$408,0),0),0)</f>
        <v>0</v>
      </c>
      <c r="S867" s="479">
        <f t="shared" si="277"/>
        <v>0</v>
      </c>
      <c r="T867" s="553"/>
      <c r="U867" s="471" t="s">
        <v>94</v>
      </c>
      <c r="V867" s="480">
        <f>IF(U867="한국 원화(KRW)",1,IF(OR(U867=환율!$A$6,U867=환율!$A$7),VLOOKUP(NAV!U867,환율!$A$6:$B$7,2,),IF(RIGHT(U867,5)="(100)",(VLOOKUP(NAV!U867,환율!$A$11:$B$65,2,))/100,VLOOKUP(NAV!U867,환율!$A$11:$B$65,2,))))</f>
        <v>1</v>
      </c>
      <c r="W867" s="481"/>
      <c r="X867" s="482">
        <f t="shared" si="278"/>
        <v>0</v>
      </c>
      <c r="Y867" s="481"/>
      <c r="Z867" s="481"/>
      <c r="AA867" s="483">
        <f t="shared" si="279"/>
        <v>0</v>
      </c>
      <c r="AB867" s="554"/>
      <c r="AC867" s="526" t="str">
        <f t="shared" si="280"/>
        <v>2년이상</v>
      </c>
      <c r="AD867" s="520" t="str">
        <f t="shared" si="281"/>
        <v/>
      </c>
      <c r="AE867" s="527">
        <f t="shared" si="282"/>
        <v>0</v>
      </c>
      <c r="AF867" s="527">
        <f t="shared" si="283"/>
        <v>0</v>
      </c>
      <c r="AG867" s="485"/>
      <c r="AH867" s="485"/>
      <c r="AI867" s="404"/>
    </row>
    <row r="868" spans="1:35" ht="12.75" thickBot="1">
      <c r="A868" s="489" t="s">
        <v>411</v>
      </c>
      <c r="B868" s="415" t="b">
        <f>D868=SUM(D865:D867)</f>
        <v>1</v>
      </c>
      <c r="C868" s="493" t="s">
        <v>412</v>
      </c>
      <c r="D868" s="494">
        <f>D855-D864</f>
        <v>0</v>
      </c>
      <c r="E868" s="494">
        <f>E855-E864</f>
        <v>0</v>
      </c>
      <c r="J868" s="551"/>
      <c r="K868" s="552"/>
      <c r="L868" s="551"/>
      <c r="M868" s="553"/>
      <c r="N868" s="553"/>
      <c r="O868" s="551"/>
      <c r="P868" s="553"/>
      <c r="Q868" s="524"/>
      <c r="R868" s="478">
        <f>IFERROR(INDEX(기초자산!M$6:M$408,MATCH(K868&amp;N868&amp;O868,기초자산!$A$6:$A$408,0),0),0)</f>
        <v>0</v>
      </c>
      <c r="S868" s="479">
        <f t="shared" si="277"/>
        <v>0</v>
      </c>
      <c r="T868" s="553"/>
      <c r="U868" s="471" t="s">
        <v>94</v>
      </c>
      <c r="V868" s="480">
        <f>IF(U868="한국 원화(KRW)",1,IF(OR(U868=환율!$A$6,U868=환율!$A$7),VLOOKUP(NAV!U868,환율!$A$6:$B$7,2,),IF(RIGHT(U868,5)="(100)",(VLOOKUP(NAV!U868,환율!$A$11:$B$65,2,))/100,VLOOKUP(NAV!U868,환율!$A$11:$B$65,2,))))</f>
        <v>1</v>
      </c>
      <c r="W868" s="481"/>
      <c r="X868" s="482">
        <f t="shared" si="278"/>
        <v>0</v>
      </c>
      <c r="Y868" s="481"/>
      <c r="Z868" s="481"/>
      <c r="AA868" s="483">
        <f t="shared" si="279"/>
        <v>0</v>
      </c>
      <c r="AB868" s="554"/>
      <c r="AC868" s="526" t="str">
        <f t="shared" si="280"/>
        <v>2년이상</v>
      </c>
      <c r="AD868" s="520" t="str">
        <f t="shared" si="281"/>
        <v/>
      </c>
      <c r="AE868" s="527">
        <f t="shared" si="282"/>
        <v>0</v>
      </c>
      <c r="AF868" s="527">
        <f t="shared" si="283"/>
        <v>0</v>
      </c>
      <c r="AG868" s="485"/>
      <c r="AH868" s="485"/>
      <c r="AI868" s="404"/>
    </row>
    <row r="869" spans="1:35" ht="12.75" thickBot="1">
      <c r="A869" s="489"/>
      <c r="B869" s="415"/>
      <c r="C869" s="486" t="s">
        <v>478</v>
      </c>
      <c r="D869" s="487">
        <v>0</v>
      </c>
      <c r="E869" s="499">
        <v>0</v>
      </c>
      <c r="J869" s="551"/>
      <c r="K869" s="552"/>
      <c r="L869" s="551"/>
      <c r="M869" s="553"/>
      <c r="N869" s="553"/>
      <c r="O869" s="551"/>
      <c r="P869" s="553"/>
      <c r="Q869" s="524"/>
      <c r="R869" s="478">
        <f>IFERROR(INDEX(기초자산!M$6:M$408,MATCH(K869&amp;N869&amp;O869,기초자산!$A$6:$A$408,0),0),0)</f>
        <v>0</v>
      </c>
      <c r="S869" s="479">
        <f t="shared" si="277"/>
        <v>0</v>
      </c>
      <c r="T869" s="553"/>
      <c r="U869" s="471" t="s">
        <v>94</v>
      </c>
      <c r="V869" s="480">
        <f>IF(U869="한국 원화(KRW)",1,IF(OR(U869=환율!$A$6,U869=환율!$A$7),VLOOKUP(NAV!U869,환율!$A$6:$B$7,2,),IF(RIGHT(U869,5)="(100)",(VLOOKUP(NAV!U869,환율!$A$11:$B$65,2,))/100,VLOOKUP(NAV!U869,환율!$A$11:$B$65,2,))))</f>
        <v>1</v>
      </c>
      <c r="W869" s="481"/>
      <c r="X869" s="482">
        <f t="shared" si="278"/>
        <v>0</v>
      </c>
      <c r="Y869" s="481"/>
      <c r="Z869" s="481"/>
      <c r="AA869" s="483">
        <f t="shared" si="279"/>
        <v>0</v>
      </c>
      <c r="AB869" s="554"/>
      <c r="AC869" s="526" t="str">
        <f t="shared" si="280"/>
        <v>2년이상</v>
      </c>
      <c r="AD869" s="520" t="str">
        <f t="shared" si="281"/>
        <v/>
      </c>
      <c r="AE869" s="527">
        <f t="shared" si="282"/>
        <v>0</v>
      </c>
      <c r="AF869" s="527">
        <f t="shared" si="283"/>
        <v>0</v>
      </c>
      <c r="AG869" s="485"/>
      <c r="AH869" s="485"/>
      <c r="AI869" s="404"/>
    </row>
    <row r="870" spans="1:35">
      <c r="A870" s="489"/>
      <c r="B870" s="415"/>
      <c r="C870" s="486" t="s">
        <v>414</v>
      </c>
      <c r="D870" s="487">
        <v>0</v>
      </c>
      <c r="E870" s="499">
        <v>0</v>
      </c>
      <c r="J870" s="495"/>
      <c r="K870" s="415"/>
      <c r="L870" s="495"/>
      <c r="M870" s="415"/>
      <c r="N870" s="415"/>
      <c r="O870" s="415"/>
      <c r="P870" s="415"/>
      <c r="Q870" s="422"/>
      <c r="R870" s="415"/>
      <c r="S870" s="415"/>
      <c r="T870" s="415"/>
      <c r="U870" s="415"/>
      <c r="V870" s="415"/>
      <c r="W870" s="422"/>
      <c r="X870" s="415"/>
      <c r="Y870" s="458"/>
      <c r="Z870" s="422"/>
      <c r="AA870" s="556"/>
      <c r="AB870" s="556"/>
      <c r="AC870" s="415"/>
      <c r="AE870" s="415"/>
      <c r="AI870" s="404"/>
    </row>
    <row r="871" spans="1:35">
      <c r="A871" s="489"/>
      <c r="B871" s="415"/>
      <c r="C871" s="493" t="s">
        <v>415</v>
      </c>
      <c r="D871" s="494">
        <f>D868+D869-D870</f>
        <v>0</v>
      </c>
      <c r="E871" s="494">
        <f>IF(E868+E869-E870&gt;0,E868+E869-E870,0)</f>
        <v>0</v>
      </c>
      <c r="J871" s="305"/>
      <c r="K871" s="415"/>
      <c r="L871" s="305"/>
      <c r="M871" s="415"/>
      <c r="N871" s="415"/>
      <c r="O871" s="415"/>
      <c r="S871" s="415"/>
      <c r="T871" s="415"/>
      <c r="U871" s="415"/>
      <c r="V871" s="415"/>
      <c r="Y871" s="458"/>
      <c r="AD871" s="557" t="str">
        <f>B845&amp;"순자산가치"</f>
        <v>SPC없음순자산가치</v>
      </c>
      <c r="AE871" s="529">
        <f>IF(E851+SUM(AE851:AE856)+SUM(AE859:AE869)-E864&gt;0,E851+SUM(AE851:AE856)+SUM(AE859:AE869)-E864,0)</f>
        <v>0</v>
      </c>
      <c r="AF871" s="529">
        <f>IF(E851+SUM(AF851:AF856)+SUM(AF859:AF869)-E864&gt;0,E851+SUM(AF851:AF856)+SUM(AF859:AF869)-E864,0)</f>
        <v>0</v>
      </c>
      <c r="AI871" s="404"/>
    </row>
    <row r="872" spans="1:35">
      <c r="A872" s="489"/>
      <c r="B872" s="558" t="str">
        <f>B845&amp;C872</f>
        <v>SPC없음보유지분율(%)</v>
      </c>
      <c r="C872" s="493" t="s">
        <v>416</v>
      </c>
      <c r="D872" s="559">
        <f>개요!$C$154</f>
        <v>0</v>
      </c>
      <c r="E872" s="494">
        <f>E871*D872</f>
        <v>0</v>
      </c>
      <c r="F872" s="560" t="s">
        <v>417</v>
      </c>
      <c r="G872" s="560"/>
      <c r="J872" s="495"/>
      <c r="K872" s="415"/>
      <c r="L872" s="495"/>
      <c r="M872" s="415"/>
      <c r="N872" s="415"/>
      <c r="O872" s="415"/>
      <c r="S872" s="415"/>
      <c r="T872" s="415"/>
      <c r="U872" s="415"/>
      <c r="V872" s="415"/>
      <c r="Y872" s="458"/>
      <c r="AD872" s="557" t="s">
        <v>272</v>
      </c>
      <c r="AE872" s="561">
        <f>$D872</f>
        <v>0</v>
      </c>
      <c r="AF872" s="561">
        <f>$D872</f>
        <v>0</v>
      </c>
      <c r="AI872" s="404"/>
    </row>
    <row r="873" spans="1:35">
      <c r="A873" s="489"/>
      <c r="B873" s="415"/>
      <c r="G873" s="503" t="s">
        <v>419</v>
      </c>
      <c r="I873" s="562"/>
      <c r="J873" s="495"/>
      <c r="K873" s="415"/>
      <c r="L873" s="495"/>
      <c r="M873" s="415"/>
      <c r="N873" s="415"/>
      <c r="O873" s="415"/>
      <c r="S873" s="415"/>
      <c r="T873" s="415"/>
      <c r="U873" s="415"/>
      <c r="V873" s="415"/>
      <c r="Y873" s="458"/>
      <c r="AD873" s="557" t="str">
        <f>B845&amp;"지분율 반영 순자산가치"</f>
        <v>SPC없음지분율 반영 순자산가치</v>
      </c>
      <c r="AE873" s="529">
        <f>AE871*AE872</f>
        <v>0</v>
      </c>
      <c r="AF873" s="529">
        <f>AF871*AF872</f>
        <v>0</v>
      </c>
      <c r="AI873" s="404"/>
    </row>
    <row r="874" spans="1:35">
      <c r="A874" s="489"/>
      <c r="D874" s="504" t="s">
        <v>370</v>
      </c>
      <c r="E874" s="505">
        <f>$C$7</f>
        <v>45473</v>
      </c>
      <c r="F874" s="506"/>
      <c r="G874" s="505"/>
      <c r="I874" s="563"/>
      <c r="J874" s="495"/>
      <c r="K874" s="415"/>
      <c r="L874" s="495"/>
      <c r="M874" s="415"/>
      <c r="N874" s="415"/>
      <c r="O874" s="415"/>
      <c r="S874" s="415"/>
      <c r="T874" s="415"/>
      <c r="U874" s="415"/>
      <c r="V874" s="415"/>
      <c r="Y874" s="422"/>
      <c r="AI874" s="404"/>
    </row>
    <row r="875" spans="1:35">
      <c r="D875" s="486" t="s">
        <v>412</v>
      </c>
      <c r="E875" s="487">
        <f>E871</f>
        <v>0</v>
      </c>
      <c r="F875" s="507" t="e">
        <f>E875/G875-1</f>
        <v>#DIV/0!</v>
      </c>
      <c r="G875" s="487"/>
      <c r="I875" s="564"/>
      <c r="J875" s="495"/>
      <c r="K875" s="415"/>
      <c r="L875" s="495"/>
      <c r="M875" s="415"/>
      <c r="S875" s="415"/>
      <c r="T875" s="415"/>
      <c r="U875" s="415"/>
      <c r="V875" s="415"/>
      <c r="Y875" s="422"/>
      <c r="AI875" s="404"/>
    </row>
    <row r="876" spans="1:35">
      <c r="A876" s="489"/>
      <c r="B876" s="415"/>
      <c r="D876" s="486" t="s">
        <v>418</v>
      </c>
      <c r="E876" s="565">
        <f>$D$872</f>
        <v>0</v>
      </c>
      <c r="F876" s="507"/>
      <c r="G876" s="565"/>
      <c r="I876" s="566"/>
      <c r="J876" s="305"/>
      <c r="K876" s="415"/>
      <c r="L876" s="305"/>
      <c r="M876" s="415"/>
      <c r="S876" s="415"/>
      <c r="T876" s="415"/>
      <c r="U876" s="415"/>
      <c r="V876" s="415"/>
      <c r="Y876" s="422"/>
      <c r="AI876" s="404"/>
    </row>
    <row r="877" spans="1:35">
      <c r="A877" s="489"/>
      <c r="B877" s="415"/>
      <c r="D877" s="567" t="s">
        <v>420</v>
      </c>
      <c r="E877" s="568">
        <f>E875*E876</f>
        <v>0</v>
      </c>
      <c r="F877" s="507" t="e">
        <f>E877/G877-1</f>
        <v>#DIV/0!</v>
      </c>
      <c r="G877" s="568"/>
      <c r="I877" s="564"/>
      <c r="AI877" s="404"/>
    </row>
    <row r="878" spans="1:35">
      <c r="E878" s="304" t="b">
        <f>E877=E872</f>
        <v>1</v>
      </c>
      <c r="AI878" s="404"/>
    </row>
    <row r="879" spans="1:35">
      <c r="F879" s="507"/>
      <c r="G879" s="507"/>
      <c r="AI879" s="404"/>
    </row>
    <row r="880" spans="1:35" ht="12.75" thickBot="1">
      <c r="A880" s="536"/>
      <c r="B880" s="536"/>
      <c r="C880" s="536"/>
      <c r="D880" s="536"/>
      <c r="E880" s="536"/>
      <c r="F880" s="572"/>
      <c r="G880" s="572"/>
      <c r="H880" s="536"/>
      <c r="I880" s="537"/>
      <c r="J880" s="536"/>
      <c r="K880" s="536"/>
      <c r="L880" s="536"/>
      <c r="M880" s="536"/>
      <c r="N880" s="536"/>
      <c r="O880" s="536"/>
      <c r="P880" s="536"/>
      <c r="Q880" s="540"/>
      <c r="R880" s="536"/>
      <c r="S880" s="536"/>
      <c r="T880" s="536"/>
      <c r="U880" s="536"/>
      <c r="V880" s="536"/>
      <c r="W880" s="540"/>
      <c r="X880" s="536"/>
      <c r="Y880" s="540"/>
      <c r="Z880" s="540"/>
      <c r="AA880" s="536"/>
      <c r="AB880" s="536"/>
      <c r="AC880" s="536"/>
      <c r="AD880" s="541"/>
      <c r="AE880" s="536"/>
      <c r="AF880" s="536"/>
      <c r="AG880" s="536"/>
      <c r="AH880" s="536"/>
      <c r="AI880" s="404"/>
    </row>
    <row r="881" spans="1:35" ht="12.75" thickTop="1">
      <c r="F881" s="507"/>
      <c r="G881" s="507"/>
      <c r="AI881" s="404"/>
    </row>
    <row r="882" spans="1:35" ht="12.75" thickBot="1">
      <c r="A882" s="459"/>
      <c r="B882" s="415"/>
      <c r="J882" s="428" t="s">
        <v>273</v>
      </c>
      <c r="K882" s="489"/>
      <c r="L882" s="497"/>
      <c r="M882" s="489"/>
      <c r="N882" s="415"/>
      <c r="O882" s="415"/>
      <c r="AI882" s="404"/>
    </row>
    <row r="883" spans="1:35" ht="12.75" thickBot="1">
      <c r="A883" s="542" t="s">
        <v>721</v>
      </c>
      <c r="B883" s="543" t="str">
        <f>IF(개요!$B$277="","SPC없음",개요!$B$277)</f>
        <v>SPC없음</v>
      </c>
      <c r="C883" s="454"/>
      <c r="J883" s="433"/>
      <c r="K883" s="434"/>
      <c r="L883" s="434"/>
      <c r="M883" s="434"/>
      <c r="N883" s="434"/>
      <c r="O883" s="434"/>
      <c r="P883" s="434"/>
      <c r="Q883" s="435"/>
      <c r="R883" s="434"/>
      <c r="S883" s="434"/>
      <c r="T883" s="434"/>
      <c r="U883" s="434"/>
      <c r="V883" s="436"/>
      <c r="AI883" s="404"/>
    </row>
    <row r="884" spans="1:35">
      <c r="B884" s="543" t="s">
        <v>369</v>
      </c>
      <c r="C884" s="569" t="str">
        <f>IF(개요!$C$278="","SPC없음",개요!$C$278)</f>
        <v>SPC없음</v>
      </c>
      <c r="J884" s="442"/>
      <c r="K884" s="151"/>
      <c r="L884" s="151"/>
      <c r="M884" s="151"/>
      <c r="N884" s="151"/>
      <c r="O884" s="151"/>
      <c r="P884" s="151"/>
      <c r="Q884" s="443"/>
      <c r="R884" s="151"/>
      <c r="S884" s="151"/>
      <c r="T884" s="151"/>
      <c r="U884" s="151"/>
      <c r="V884" s="444"/>
      <c r="AI884" s="404"/>
    </row>
    <row r="885" spans="1:35">
      <c r="B885" s="437" t="s">
        <v>370</v>
      </c>
      <c r="C885" s="570">
        <f>$C$7</f>
        <v>45473</v>
      </c>
      <c r="D885" s="546" t="b">
        <f>C885&gt;=C886</f>
        <v>1</v>
      </c>
      <c r="J885" s="442"/>
      <c r="K885" s="151"/>
      <c r="L885" s="151"/>
      <c r="M885" s="151"/>
      <c r="N885" s="151"/>
      <c r="O885" s="151"/>
      <c r="P885" s="151"/>
      <c r="Q885" s="443"/>
      <c r="R885" s="151"/>
      <c r="S885" s="151"/>
      <c r="T885" s="151"/>
      <c r="U885" s="151"/>
      <c r="V885" s="444"/>
      <c r="AI885" s="404"/>
    </row>
    <row r="886" spans="1:35" ht="12.75" thickBot="1">
      <c r="B886" s="449" t="s">
        <v>371</v>
      </c>
      <c r="C886" s="571">
        <f>FS!$BH$48</f>
        <v>0</v>
      </c>
      <c r="J886" s="453"/>
      <c r="K886" s="454"/>
      <c r="L886" s="454"/>
      <c r="M886" s="454"/>
      <c r="N886" s="454"/>
      <c r="O886" s="454"/>
      <c r="P886" s="454"/>
      <c r="Q886" s="455"/>
      <c r="R886" s="454"/>
      <c r="S886" s="454"/>
      <c r="T886" s="454"/>
      <c r="U886" s="454"/>
      <c r="V886" s="456"/>
      <c r="AI886" s="404"/>
    </row>
    <row r="887" spans="1:35">
      <c r="A887" s="459" t="s">
        <v>93</v>
      </c>
      <c r="J887" s="428" t="s">
        <v>372</v>
      </c>
      <c r="K887" s="448"/>
      <c r="L887" s="420"/>
      <c r="M887" s="448"/>
      <c r="N887" s="448"/>
      <c r="O887" s="448"/>
      <c r="P887" s="415"/>
      <c r="Q887" s="422"/>
      <c r="R887" s="415"/>
      <c r="S887" s="415"/>
      <c r="T887" s="415"/>
      <c r="U887" s="415"/>
      <c r="V887" s="415"/>
      <c r="W887" s="422"/>
      <c r="Z887" s="458"/>
      <c r="AE887" s="803" t="s">
        <v>8</v>
      </c>
      <c r="AF887" s="803"/>
      <c r="AG887" s="460"/>
      <c r="AH887" s="460"/>
      <c r="AI887" s="404"/>
    </row>
    <row r="888" spans="1:35" ht="12.75" thickBot="1">
      <c r="A888" s="461" t="str">
        <f>IF(AND(B889:B915),"검증완료","검증필요")</f>
        <v>검증완료</v>
      </c>
      <c r="B888" s="462" t="s">
        <v>373</v>
      </c>
      <c r="C888" s="462" t="s">
        <v>9</v>
      </c>
      <c r="D888" s="462" t="s">
        <v>10</v>
      </c>
      <c r="E888" s="462" t="s">
        <v>11</v>
      </c>
      <c r="J888" s="462" t="s">
        <v>375</v>
      </c>
      <c r="K888" s="464" t="s">
        <v>0</v>
      </c>
      <c r="L888" s="462" t="s">
        <v>369</v>
      </c>
      <c r="M888" s="462" t="s">
        <v>456</v>
      </c>
      <c r="N888" s="462" t="s">
        <v>378</v>
      </c>
      <c r="O888" s="462" t="s">
        <v>1</v>
      </c>
      <c r="P888" s="464" t="s">
        <v>380</v>
      </c>
      <c r="Q888" s="465" t="s">
        <v>14</v>
      </c>
      <c r="R888" s="466" t="s">
        <v>381</v>
      </c>
      <c r="S888" s="466" t="s">
        <v>382</v>
      </c>
      <c r="T888" s="462" t="s">
        <v>12</v>
      </c>
      <c r="U888" s="462" t="s">
        <v>383</v>
      </c>
      <c r="V888" s="462" t="s">
        <v>400</v>
      </c>
      <c r="W888" s="465" t="s">
        <v>10</v>
      </c>
      <c r="X888" s="462" t="s">
        <v>385</v>
      </c>
      <c r="Y888" s="465" t="s">
        <v>430</v>
      </c>
      <c r="Z888" s="465" t="s">
        <v>3522</v>
      </c>
      <c r="AA888" s="464" t="s">
        <v>13</v>
      </c>
      <c r="AE888" s="467" t="s">
        <v>3627</v>
      </c>
      <c r="AF888" s="467" t="s">
        <v>3628</v>
      </c>
      <c r="AG888" s="467" t="s">
        <v>3629</v>
      </c>
      <c r="AH888" s="467" t="s">
        <v>3630</v>
      </c>
      <c r="AI888" s="404"/>
    </row>
    <row r="889" spans="1:35" ht="12.75" thickBot="1">
      <c r="A889" s="415"/>
      <c r="B889" s="415"/>
      <c r="C889" s="468" t="s">
        <v>480</v>
      </c>
      <c r="D889" s="469">
        <f>SUM(D890:D891)</f>
        <v>0</v>
      </c>
      <c r="E889" s="469">
        <f>SUM(E890:E891)</f>
        <v>0</v>
      </c>
      <c r="J889" s="476"/>
      <c r="K889" s="472"/>
      <c r="L889" s="473" t="str">
        <f>IF($J889="","SPC 없음",VLOOKUP($J889&amp;"SPC명",개요!$A$3:$E$1932,3,0))</f>
        <v>SPC 없음</v>
      </c>
      <c r="M889" s="474" t="str">
        <f>IF($J889="","SPC 없음",VLOOKUP($J889&amp;"설정일",개요!$A$3:$E$1932,3,0))</f>
        <v>SPC 없음</v>
      </c>
      <c r="N889" s="475" t="str">
        <f t="shared" ref="N889:N894" si="284">IF($J889="","SPC 없음",VLOOKUP($J889&amp;"자본금",$B$4:$E$2079,3,0)*VLOOKUP($J889&amp;"보유지분율(%)",$B$4:$E$2079,3,0))</f>
        <v>SPC 없음</v>
      </c>
      <c r="O889" s="471"/>
      <c r="P889" s="476"/>
      <c r="Q889" s="477"/>
      <c r="R889" s="478"/>
      <c r="S889" s="479" t="str">
        <f t="shared" ref="S889:S894" si="285">IF($J889="","SPC 없음",IF(P889="총액",IF(T889="장부가액 준용",W889,(VLOOKUP($J889&amp;"보유지분율(%)",$B$4:$E$2079,4,0))*V889),Q889*R889))</f>
        <v>SPC 없음</v>
      </c>
      <c r="T889" s="471"/>
      <c r="U889" s="471" t="s">
        <v>94</v>
      </c>
      <c r="V889" s="480">
        <f>IF(U889="한국 원화(KRW)",1,IF(OR(U889=환율!$A$6,U889=환율!$A$7),VLOOKUP(NAV!U889,환율!$A$6:$B$7,2,),IF(RIGHT(U889,5)="(100)",(VLOOKUP(NAV!U889,환율!$A$11:$B$65,2,))/100,VLOOKUP(NAV!U889,환율!$A$11:$B$65,2,))))</f>
        <v>1</v>
      </c>
      <c r="W889" s="481"/>
      <c r="X889" s="482">
        <f t="shared" ref="X889:X894" si="286">IFERROR(IF(P889="만원당",10000,Y889/Q889),0)</f>
        <v>0</v>
      </c>
      <c r="Y889" s="481"/>
      <c r="Z889" s="481"/>
      <c r="AA889" s="483">
        <f t="shared" ref="AA889:AA894" si="287">IFERROR(IF(Z889="",S889/W889-1,S889/Z889-1),0)</f>
        <v>0</v>
      </c>
      <c r="AE889" s="484" t="str">
        <f t="shared" ref="AE889:AE894" si="288">IF($J889="","SPC 없음",IF(P889="총액",(VLOOKUP($J889&amp;"지분율 반영 순자산가치",$AD$4:$AH$4973,2,0))*V889,AG889*$Q889))</f>
        <v>SPC 없음</v>
      </c>
      <c r="AF889" s="484" t="str">
        <f t="shared" ref="AF889:AF894" si="289">IF($J889="","SPC 없음",IF(P889="총액",(VLOOKUP($J889&amp;"지분율 반영 순자산가치",$AD$4:$AH$4973,3,0))*V889,AH889*$Q889))</f>
        <v>SPC 없음</v>
      </c>
      <c r="AG889" s="485"/>
      <c r="AH889" s="485"/>
      <c r="AI889" s="404"/>
    </row>
    <row r="890" spans="1:35" ht="12.75" thickBot="1">
      <c r="A890" s="415"/>
      <c r="B890" s="415"/>
      <c r="C890" s="486" t="s">
        <v>155</v>
      </c>
      <c r="D890" s="487">
        <f>SUMIF(FS!$BE$49:$BE$79,개요!$B$277&amp;RIGHT(NAV!C890,10),FS!$BH$49:$BH$79)</f>
        <v>0</v>
      </c>
      <c r="E890" s="487">
        <f>D890</f>
        <v>0</v>
      </c>
      <c r="J890" s="476"/>
      <c r="K890" s="472"/>
      <c r="L890" s="473" t="str">
        <f>IF($J890="","SPC 없음",VLOOKUP($J890&amp;"SPC명",개요!$A$3:$E$1932,3,0))</f>
        <v>SPC 없음</v>
      </c>
      <c r="M890" s="474" t="str">
        <f>IF($J890="","SPC 없음",VLOOKUP($J890&amp;"설정일",개요!$A$3:$E$1932,3,0))</f>
        <v>SPC 없음</v>
      </c>
      <c r="N890" s="475" t="str">
        <f t="shared" si="284"/>
        <v>SPC 없음</v>
      </c>
      <c r="O890" s="471"/>
      <c r="P890" s="476"/>
      <c r="Q890" s="477"/>
      <c r="R890" s="478"/>
      <c r="S890" s="479" t="str">
        <f t="shared" si="285"/>
        <v>SPC 없음</v>
      </c>
      <c r="T890" s="471"/>
      <c r="U890" s="471" t="s">
        <v>94</v>
      </c>
      <c r="V890" s="480">
        <f>IF(U890="한국 원화(KRW)",1,IF(OR(U890=환율!$A$6,U890=환율!$A$7),VLOOKUP(NAV!U890,환율!$A$6:$B$7,2,),IF(RIGHT(U890,5)="(100)",(VLOOKUP(NAV!U890,환율!$A$11:$B$65,2,))/100,VLOOKUP(NAV!U890,환율!$A$11:$B$65,2,))))</f>
        <v>1</v>
      </c>
      <c r="W890" s="481"/>
      <c r="X890" s="482">
        <f t="shared" si="286"/>
        <v>0</v>
      </c>
      <c r="Y890" s="481"/>
      <c r="Z890" s="481"/>
      <c r="AA890" s="483">
        <f t="shared" si="287"/>
        <v>0</v>
      </c>
      <c r="AE890" s="484" t="str">
        <f t="shared" si="288"/>
        <v>SPC 없음</v>
      </c>
      <c r="AF890" s="484" t="str">
        <f t="shared" si="289"/>
        <v>SPC 없음</v>
      </c>
      <c r="AG890" s="485"/>
      <c r="AH890" s="485"/>
      <c r="AI890" s="404"/>
    </row>
    <row r="891" spans="1:35" ht="12.75" thickBot="1">
      <c r="A891" s="415"/>
      <c r="B891" s="415"/>
      <c r="C891" s="486" t="s">
        <v>156</v>
      </c>
      <c r="D891" s="487">
        <f>SUMIF(FS!$BE$49:$BE$79,개요!$B$277&amp;RIGHT(NAV!C891,4),FS!$BH$49:$BH$79)</f>
        <v>0</v>
      </c>
      <c r="E891" s="487">
        <f>D891</f>
        <v>0</v>
      </c>
      <c r="J891" s="476"/>
      <c r="K891" s="472"/>
      <c r="L891" s="473" t="str">
        <f>IF($J891="","SPC 없음",VLOOKUP($J891&amp;"SPC명",개요!$A$3:$E$1932,3,0))</f>
        <v>SPC 없음</v>
      </c>
      <c r="M891" s="474" t="str">
        <f>IF($J891="","SPC 없음",VLOOKUP($J891&amp;"설정일",개요!$A$3:$E$1932,3,0))</f>
        <v>SPC 없음</v>
      </c>
      <c r="N891" s="475" t="str">
        <f t="shared" si="284"/>
        <v>SPC 없음</v>
      </c>
      <c r="O891" s="471"/>
      <c r="P891" s="476"/>
      <c r="Q891" s="477"/>
      <c r="R891" s="478"/>
      <c r="S891" s="479" t="str">
        <f t="shared" si="285"/>
        <v>SPC 없음</v>
      </c>
      <c r="T891" s="471"/>
      <c r="U891" s="471" t="s">
        <v>94</v>
      </c>
      <c r="V891" s="480">
        <f>IF(U891="한국 원화(KRW)",1,IF(OR(U891=환율!$A$6,U891=환율!$A$7),VLOOKUP(NAV!U891,환율!$A$6:$B$7,2,),IF(RIGHT(U891,5)="(100)",(VLOOKUP(NAV!U891,환율!$A$11:$B$65,2,))/100,VLOOKUP(NAV!U891,환율!$A$11:$B$65,2,))))</f>
        <v>1</v>
      </c>
      <c r="W891" s="481"/>
      <c r="X891" s="482">
        <f t="shared" si="286"/>
        <v>0</v>
      </c>
      <c r="Y891" s="481"/>
      <c r="Z891" s="481"/>
      <c r="AA891" s="483">
        <f t="shared" si="287"/>
        <v>0</v>
      </c>
      <c r="AE891" s="484" t="str">
        <f t="shared" si="288"/>
        <v>SPC 없음</v>
      </c>
      <c r="AF891" s="484" t="str">
        <f t="shared" si="289"/>
        <v>SPC 없음</v>
      </c>
      <c r="AG891" s="485"/>
      <c r="AH891" s="485"/>
      <c r="AI891" s="404"/>
    </row>
    <row r="892" spans="1:35" ht="12.75" thickBot="1">
      <c r="A892" s="489" t="s">
        <v>389</v>
      </c>
      <c r="B892" s="490" t="b">
        <f>SUM(W889:W894,W897:W907)=D892</f>
        <v>1</v>
      </c>
      <c r="C892" s="468" t="s">
        <v>17</v>
      </c>
      <c r="D892" s="469">
        <f>SUMIF(FS!$BE$49:$BE$79,개요!$B$277&amp;RIGHT(NAV!C892,4),FS!$BH$49:$BH$79)</f>
        <v>0</v>
      </c>
      <c r="E892" s="469">
        <f>SUM(S889:S894)+SUM(S897:S907)</f>
        <v>0</v>
      </c>
      <c r="J892" s="476"/>
      <c r="K892" s="472"/>
      <c r="L892" s="473" t="str">
        <f>IF($J892="","SPC 없음",VLOOKUP($J892&amp;"SPC명",개요!$A$3:$E$1932,3,0))</f>
        <v>SPC 없음</v>
      </c>
      <c r="M892" s="474" t="str">
        <f>IF($J892="","SPC 없음",VLOOKUP($J892&amp;"설정일",개요!$A$3:$E$1932,3,0))</f>
        <v>SPC 없음</v>
      </c>
      <c r="N892" s="475" t="str">
        <f t="shared" si="284"/>
        <v>SPC 없음</v>
      </c>
      <c r="O892" s="471"/>
      <c r="P892" s="476"/>
      <c r="Q892" s="477"/>
      <c r="R892" s="478"/>
      <c r="S892" s="479" t="str">
        <f t="shared" si="285"/>
        <v>SPC 없음</v>
      </c>
      <c r="T892" s="471"/>
      <c r="U892" s="471" t="s">
        <v>94</v>
      </c>
      <c r="V892" s="480">
        <f>IF(U892="한국 원화(KRW)",1,IF(OR(U892=환율!$A$6,U892=환율!$A$7),VLOOKUP(NAV!U892,환율!$A$6:$B$7,2,),IF(RIGHT(U892,5)="(100)",(VLOOKUP(NAV!U892,환율!$A$11:$B$65,2,))/100,VLOOKUP(NAV!U892,환율!$A$11:$B$65,2,))))</f>
        <v>1</v>
      </c>
      <c r="W892" s="481"/>
      <c r="X892" s="482">
        <f t="shared" si="286"/>
        <v>0</v>
      </c>
      <c r="Y892" s="481"/>
      <c r="Z892" s="481"/>
      <c r="AA892" s="483">
        <f t="shared" si="287"/>
        <v>0</v>
      </c>
      <c r="AE892" s="484" t="str">
        <f t="shared" si="288"/>
        <v>SPC 없음</v>
      </c>
      <c r="AF892" s="484" t="str">
        <f t="shared" si="289"/>
        <v>SPC 없음</v>
      </c>
      <c r="AG892" s="485"/>
      <c r="AH892" s="485"/>
      <c r="AI892" s="404"/>
    </row>
    <row r="893" spans="1:35" ht="12.75" thickBot="1">
      <c r="A893" s="492" t="s">
        <v>391</v>
      </c>
      <c r="B893" s="415" t="b">
        <f>D890+D891+D892=D893</f>
        <v>1</v>
      </c>
      <c r="C893" s="493" t="s">
        <v>479</v>
      </c>
      <c r="D893" s="494">
        <f>D889+D892</f>
        <v>0</v>
      </c>
      <c r="E893" s="494">
        <f>E889+E892</f>
        <v>0</v>
      </c>
      <c r="J893" s="476"/>
      <c r="K893" s="472"/>
      <c r="L893" s="473" t="str">
        <f>IF($J893="","SPC 없음",VLOOKUP($J893&amp;"SPC명",개요!$A$3:$E$1932,3,0))</f>
        <v>SPC 없음</v>
      </c>
      <c r="M893" s="474" t="str">
        <f>IF($J893="","SPC 없음",VLOOKUP($J893&amp;"설정일",개요!$A$3:$E$1932,3,0))</f>
        <v>SPC 없음</v>
      </c>
      <c r="N893" s="475" t="str">
        <f t="shared" si="284"/>
        <v>SPC 없음</v>
      </c>
      <c r="O893" s="471"/>
      <c r="P893" s="476"/>
      <c r="Q893" s="477"/>
      <c r="R893" s="478"/>
      <c r="S893" s="479" t="str">
        <f t="shared" si="285"/>
        <v>SPC 없음</v>
      </c>
      <c r="T893" s="471"/>
      <c r="U893" s="471" t="s">
        <v>94</v>
      </c>
      <c r="V893" s="480">
        <f>IF(U893="한국 원화(KRW)",1,IF(OR(U893=환율!$A$6,U893=환율!$A$7),VLOOKUP(NAV!U893,환율!$A$6:$B$7,2,),IF(RIGHT(U893,5)="(100)",(VLOOKUP(NAV!U893,환율!$A$11:$B$65,2,))/100,VLOOKUP(NAV!U893,환율!$A$11:$B$65,2,))))</f>
        <v>1</v>
      </c>
      <c r="W893" s="481"/>
      <c r="X893" s="482">
        <f t="shared" si="286"/>
        <v>0</v>
      </c>
      <c r="Y893" s="481"/>
      <c r="Z893" s="481"/>
      <c r="AA893" s="483">
        <f t="shared" si="287"/>
        <v>0</v>
      </c>
      <c r="AE893" s="484" t="str">
        <f t="shared" si="288"/>
        <v>SPC 없음</v>
      </c>
      <c r="AF893" s="484" t="str">
        <f t="shared" si="289"/>
        <v>SPC 없음</v>
      </c>
      <c r="AG893" s="485"/>
      <c r="AH893" s="485"/>
      <c r="AI893" s="404"/>
    </row>
    <row r="894" spans="1:35" ht="12.75" thickBot="1">
      <c r="A894" s="492"/>
      <c r="B894" s="496"/>
      <c r="C894" s="468" t="s">
        <v>18</v>
      </c>
      <c r="D894" s="469">
        <f>SUM(D895:D898)</f>
        <v>0</v>
      </c>
      <c r="E894" s="469">
        <f>SUM(E895:E898)</f>
        <v>0</v>
      </c>
      <c r="J894" s="476"/>
      <c r="K894" s="472"/>
      <c r="L894" s="473" t="str">
        <f>IF($J894="","SPC 없음",VLOOKUP($J894&amp;"SPC명",개요!$A$3:$E$1932,3,0))</f>
        <v>SPC 없음</v>
      </c>
      <c r="M894" s="474" t="str">
        <f>IF($J894="","SPC 없음",VLOOKUP($J894&amp;"설정일",개요!$A$3:$E$1932,3,0))</f>
        <v>SPC 없음</v>
      </c>
      <c r="N894" s="475" t="str">
        <f t="shared" si="284"/>
        <v>SPC 없음</v>
      </c>
      <c r="O894" s="471"/>
      <c r="P894" s="476"/>
      <c r="Q894" s="477"/>
      <c r="R894" s="478"/>
      <c r="S894" s="479" t="str">
        <f t="shared" si="285"/>
        <v>SPC 없음</v>
      </c>
      <c r="T894" s="471"/>
      <c r="U894" s="471" t="s">
        <v>94</v>
      </c>
      <c r="V894" s="480">
        <f>IF(U894="한국 원화(KRW)",1,IF(OR(U894=환율!$A$6,U894=환율!$A$7),VLOOKUP(NAV!U894,환율!$A$6:$B$7,2,),IF(RIGHT(U894,5)="(100)",(VLOOKUP(NAV!U894,환율!$A$11:$B$65,2,))/100,VLOOKUP(NAV!U894,환율!$A$11:$B$65,2,))))</f>
        <v>1</v>
      </c>
      <c r="W894" s="481"/>
      <c r="X894" s="482">
        <f t="shared" si="286"/>
        <v>0</v>
      </c>
      <c r="Y894" s="481"/>
      <c r="Z894" s="481"/>
      <c r="AA894" s="483">
        <f t="shared" si="287"/>
        <v>0</v>
      </c>
      <c r="AE894" s="484" t="str">
        <f t="shared" si="288"/>
        <v>SPC 없음</v>
      </c>
      <c r="AF894" s="484" t="str">
        <f t="shared" si="289"/>
        <v>SPC 없음</v>
      </c>
      <c r="AG894" s="485"/>
      <c r="AH894" s="485"/>
      <c r="AI894" s="404"/>
    </row>
    <row r="895" spans="1:35">
      <c r="A895" s="492"/>
      <c r="B895" s="496"/>
      <c r="C895" s="486" t="s">
        <v>152</v>
      </c>
      <c r="D895" s="487">
        <f>SUMIF(FS!$BE$49:$BE$79,개요!$B$277&amp;RIGHT(NAV!C895,5),FS!$BH$49:$BH$79)</f>
        <v>0</v>
      </c>
      <c r="E895" s="487">
        <f>D895</f>
        <v>0</v>
      </c>
      <c r="J895" s="428" t="s">
        <v>539</v>
      </c>
      <c r="K895" s="415"/>
      <c r="L895" s="305"/>
      <c r="M895" s="415"/>
      <c r="N895" s="415"/>
      <c r="O895" s="415"/>
      <c r="P895" s="415"/>
      <c r="Q895" s="422"/>
      <c r="R895" s="415"/>
      <c r="S895" s="415"/>
      <c r="T895" s="415"/>
      <c r="U895" s="415"/>
      <c r="W895" s="517" t="b">
        <f>SUM(W897:W907)+SUM(W889:W894)=D892</f>
        <v>1</v>
      </c>
      <c r="X895" s="415"/>
      <c r="Y895" s="422"/>
      <c r="Z895" s="422"/>
      <c r="AA895" s="459" t="str">
        <f>IF(OR(MAX(AA889:AA894,AA897:AA907)&gt;0.2,MIN(AA889:AA894,AA897:AA907)&lt;-0.2),"특이사항 확인","특이사항 없음")</f>
        <v>특이사항 없음</v>
      </c>
      <c r="AB895" s="415"/>
      <c r="AF895" s="415"/>
      <c r="AG895" s="415"/>
      <c r="AI895" s="404"/>
    </row>
    <row r="896" spans="1:35" ht="12.75" thickBot="1">
      <c r="A896" s="492"/>
      <c r="B896" s="496"/>
      <c r="C896" s="486" t="s">
        <v>157</v>
      </c>
      <c r="D896" s="487">
        <f>SUMIF(FS!$BE$49:$BE$79,개요!$B$277&amp;RIGHT(NAV!C896,3),FS!$BH$49:$BH$79)</f>
        <v>0</v>
      </c>
      <c r="E896" s="487">
        <f>D896</f>
        <v>0</v>
      </c>
      <c r="I896" s="518">
        <f>COUNTA(J897:J907)</f>
        <v>0</v>
      </c>
      <c r="J896" s="548" t="s">
        <v>394</v>
      </c>
      <c r="K896" s="548" t="s">
        <v>0</v>
      </c>
      <c r="L896" s="548" t="s">
        <v>435</v>
      </c>
      <c r="M896" s="548" t="s">
        <v>396</v>
      </c>
      <c r="N896" s="548" t="s">
        <v>397</v>
      </c>
      <c r="O896" s="548" t="s">
        <v>398</v>
      </c>
      <c r="P896" s="548" t="s">
        <v>380</v>
      </c>
      <c r="Q896" s="519" t="s">
        <v>14</v>
      </c>
      <c r="R896" s="466" t="s">
        <v>299</v>
      </c>
      <c r="S896" s="466" t="s">
        <v>3525</v>
      </c>
      <c r="T896" s="549" t="s">
        <v>12</v>
      </c>
      <c r="U896" s="548" t="s">
        <v>383</v>
      </c>
      <c r="V896" s="548" t="s">
        <v>400</v>
      </c>
      <c r="W896" s="550" t="s">
        <v>10</v>
      </c>
      <c r="X896" s="549" t="s">
        <v>401</v>
      </c>
      <c r="Y896" s="550" t="s">
        <v>402</v>
      </c>
      <c r="Z896" s="550" t="s">
        <v>3523</v>
      </c>
      <c r="AA896" s="548" t="s">
        <v>13</v>
      </c>
      <c r="AB896" s="548" t="s">
        <v>15</v>
      </c>
      <c r="AC896" s="548" t="s">
        <v>473</v>
      </c>
      <c r="AE896" s="467" t="s">
        <v>3627</v>
      </c>
      <c r="AF896" s="467" t="s">
        <v>3628</v>
      </c>
      <c r="AG896" s="467" t="s">
        <v>3629</v>
      </c>
      <c r="AH896" s="467" t="s">
        <v>3630</v>
      </c>
      <c r="AI896" s="404"/>
    </row>
    <row r="897" spans="1:35" ht="12.75" thickBot="1">
      <c r="A897" s="492"/>
      <c r="B897" s="496"/>
      <c r="C897" s="486" t="s">
        <v>158</v>
      </c>
      <c r="D897" s="487">
        <f>SUMIF(FS!$BE$49:$BE$79,개요!$B$277&amp;RIGHT(NAV!C897,6),FS!$BH$49:$BH$79)</f>
        <v>0</v>
      </c>
      <c r="E897" s="487">
        <f>D897</f>
        <v>0</v>
      </c>
      <c r="J897" s="551"/>
      <c r="K897" s="552"/>
      <c r="L897" s="551"/>
      <c r="M897" s="553"/>
      <c r="N897" s="553"/>
      <c r="O897" s="551"/>
      <c r="P897" s="553"/>
      <c r="Q897" s="524"/>
      <c r="R897" s="478">
        <f>IFERROR(INDEX(기초자산!M$6:M$408,MATCH(K897&amp;N897&amp;O897,기초자산!$A$6:$A$408,0),0),0)</f>
        <v>0</v>
      </c>
      <c r="S897" s="479">
        <f t="shared" ref="S897:S907" si="290">IFERROR(IF(T897="취득원가 준용",Y897,IF(T897="장부가액 준용",W897,IF(P897="주당",R897*Q897*V897,IF(RIGHT(U897,5)="(100)",Y897/1000*R897*V897,Y897/10000*R897*V897)))),0)</f>
        <v>0</v>
      </c>
      <c r="T897" s="553"/>
      <c r="U897" s="471" t="s">
        <v>94</v>
      </c>
      <c r="V897" s="480">
        <f>IF(U897="한국 원화(KRW)",1,IF(OR(U897=환율!$A$6,U897=환율!$A$7),VLOOKUP(NAV!U897,환율!$A$6:$B$7,2,),IF(RIGHT(U897,5)="(100)",(VLOOKUP(NAV!U897,환율!$A$11:$B$65,2,))/100,VLOOKUP(NAV!U897,환율!$A$11:$B$65,2,))))</f>
        <v>1</v>
      </c>
      <c r="W897" s="481"/>
      <c r="X897" s="482">
        <f t="shared" ref="X897:X907" si="291">IFERROR(IF(P897="만원당",10000,Y897/Q897),0)</f>
        <v>0</v>
      </c>
      <c r="Y897" s="481"/>
      <c r="Z897" s="481"/>
      <c r="AA897" s="483">
        <f t="shared" ref="AA897:AA907" si="292">IFERROR(IF(Z897="",S897/W897-1,S897/Z897-1),0)</f>
        <v>0</v>
      </c>
      <c r="AB897" s="554"/>
      <c r="AC897" s="526" t="str">
        <f t="shared" ref="AC897:AC907" si="293">IF(($C$7-AB897)/365&gt;2,"2년이상","2년미만")</f>
        <v>2년이상</v>
      </c>
      <c r="AD897" s="520" t="str">
        <f t="shared" ref="AD897:AD907" si="294">IF(OR(AA897&gt;20%,AA897&lt;-20%),"(1) Note 기재","")</f>
        <v/>
      </c>
      <c r="AE897" s="527">
        <f>IF(OR(T897="MTP",T897="과거거래 이용법",T897="취득원가 준용",T897="장부가액 준용",T897="상장종가 적용"),S897,IF(P897="주당",AG897*Q897*V897,Y897/10000*AG897*V897))</f>
        <v>0</v>
      </c>
      <c r="AF897" s="527">
        <f>IF(OR(T897="MTP",T897="과거거래 이용법",T897="취득원가 준용",T897="장부가액 준용",T897="상장종가 적용"),S897,IF(P897="주당",AH897*Q897*V897,Y897/10000*AH897*V897))</f>
        <v>0</v>
      </c>
      <c r="AG897" s="485"/>
      <c r="AH897" s="485"/>
      <c r="AI897" s="404"/>
    </row>
    <row r="898" spans="1:35" ht="12.75" thickBot="1">
      <c r="A898" s="492"/>
      <c r="B898" s="496"/>
      <c r="C898" s="486" t="s">
        <v>3385</v>
      </c>
      <c r="D898" s="487">
        <f>SUMIF(FS!$BE$49:$BE$79,개요!$B$277&amp;RIGHT(NAV!C898,7),FS!$BH$49:$BH$79)</f>
        <v>0</v>
      </c>
      <c r="E898" s="487">
        <f>D898</f>
        <v>0</v>
      </c>
      <c r="J898" s="551"/>
      <c r="K898" s="552"/>
      <c r="L898" s="551"/>
      <c r="M898" s="553"/>
      <c r="N898" s="553"/>
      <c r="O898" s="551"/>
      <c r="P898" s="553"/>
      <c r="Q898" s="524"/>
      <c r="R898" s="478">
        <f>IFERROR(INDEX(기초자산!M$6:M$408,MATCH(K898&amp;N898&amp;O898,기초자산!$A$6:$A$408,0),0),0)</f>
        <v>0</v>
      </c>
      <c r="S898" s="479">
        <f t="shared" si="290"/>
        <v>0</v>
      </c>
      <c r="T898" s="553"/>
      <c r="U898" s="471" t="s">
        <v>94</v>
      </c>
      <c r="V898" s="480">
        <f>IF(U898="한국 원화(KRW)",1,IF(OR(U898=환율!$A$6,U898=환율!$A$7),VLOOKUP(NAV!U898,환율!$A$6:$B$7,2,),IF(RIGHT(U898,5)="(100)",(VLOOKUP(NAV!U898,환율!$A$11:$B$65,2,))/100,VLOOKUP(NAV!U898,환율!$A$11:$B$65,2,))))</f>
        <v>1</v>
      </c>
      <c r="W898" s="481"/>
      <c r="X898" s="482">
        <f t="shared" si="291"/>
        <v>0</v>
      </c>
      <c r="Y898" s="481"/>
      <c r="Z898" s="481"/>
      <c r="AA898" s="483">
        <f t="shared" si="292"/>
        <v>0</v>
      </c>
      <c r="AB898" s="554"/>
      <c r="AC898" s="526" t="str">
        <f t="shared" si="293"/>
        <v>2년이상</v>
      </c>
      <c r="AD898" s="520" t="str">
        <f t="shared" si="294"/>
        <v/>
      </c>
      <c r="AE898" s="527">
        <f t="shared" ref="AE898:AE907" si="295">IF(OR(T898="MTP",T898="과거거래 이용법",T898="취득원가 준용",T898="장부가액 준용",T898="상장종가 적용"),S898,IF(P898="주당",AG898*Q898*V898,Y898/10000*AG898*V898))</f>
        <v>0</v>
      </c>
      <c r="AF898" s="527">
        <f t="shared" ref="AF898:AF907" si="296">IF(OR(T898="MTP",T898="과거거래 이용법",T898="취득원가 준용",T898="장부가액 준용",T898="상장종가 적용"),S898,IF(P898="주당",AH898*Q898*V898,Y898/10000*AH898*V898))</f>
        <v>0</v>
      </c>
      <c r="AG898" s="485"/>
      <c r="AH898" s="485"/>
      <c r="AI898" s="404"/>
    </row>
    <row r="899" spans="1:35" ht="12.75" thickBot="1">
      <c r="A899" s="492"/>
      <c r="B899" s="496"/>
      <c r="C899" s="468" t="s">
        <v>21</v>
      </c>
      <c r="D899" s="469">
        <f>SUM(D900:D901)</f>
        <v>0</v>
      </c>
      <c r="E899" s="469">
        <f>SUM(E900:E901)</f>
        <v>0</v>
      </c>
      <c r="J899" s="551"/>
      <c r="K899" s="552"/>
      <c r="L899" s="551"/>
      <c r="M899" s="553"/>
      <c r="N899" s="553"/>
      <c r="O899" s="551"/>
      <c r="P899" s="553"/>
      <c r="Q899" s="524"/>
      <c r="R899" s="478">
        <f>IFERROR(INDEX(기초자산!M$6:M$408,MATCH(K899&amp;N899&amp;O899,기초자산!$A$6:$A$408,0),0),0)</f>
        <v>0</v>
      </c>
      <c r="S899" s="479">
        <f t="shared" si="290"/>
        <v>0</v>
      </c>
      <c r="T899" s="553"/>
      <c r="U899" s="471" t="s">
        <v>94</v>
      </c>
      <c r="V899" s="480">
        <f>IF(U899="한국 원화(KRW)",1,IF(OR(U899=환율!$A$6,U899=환율!$A$7),VLOOKUP(NAV!U899,환율!$A$6:$B$7,2,),IF(RIGHT(U899,5)="(100)",(VLOOKUP(NAV!U899,환율!$A$11:$B$65,2,))/100,VLOOKUP(NAV!U899,환율!$A$11:$B$65,2,))))</f>
        <v>1</v>
      </c>
      <c r="W899" s="481"/>
      <c r="X899" s="482">
        <f t="shared" si="291"/>
        <v>0</v>
      </c>
      <c r="Y899" s="481"/>
      <c r="Z899" s="481"/>
      <c r="AA899" s="483">
        <f t="shared" si="292"/>
        <v>0</v>
      </c>
      <c r="AB899" s="554"/>
      <c r="AC899" s="526" t="str">
        <f t="shared" si="293"/>
        <v>2년이상</v>
      </c>
      <c r="AD899" s="520" t="str">
        <f t="shared" si="294"/>
        <v/>
      </c>
      <c r="AE899" s="527">
        <f t="shared" si="295"/>
        <v>0</v>
      </c>
      <c r="AF899" s="527">
        <f t="shared" si="296"/>
        <v>0</v>
      </c>
      <c r="AG899" s="485"/>
      <c r="AH899" s="485"/>
      <c r="AI899" s="404"/>
    </row>
    <row r="900" spans="1:35" ht="12.75" thickBot="1">
      <c r="A900" s="492"/>
      <c r="B900" s="496"/>
      <c r="C900" s="486" t="s">
        <v>3386</v>
      </c>
      <c r="D900" s="487">
        <f>SUMIF(FS!$BE$49:$BE$79,개요!$B$277&amp;RIGHT(NAV!C900,3),FS!$BH$49:$BH$79)</f>
        <v>0</v>
      </c>
      <c r="E900" s="487">
        <f>D900</f>
        <v>0</v>
      </c>
      <c r="J900" s="551"/>
      <c r="K900" s="552"/>
      <c r="L900" s="551"/>
      <c r="M900" s="553"/>
      <c r="N900" s="553"/>
      <c r="O900" s="551"/>
      <c r="P900" s="553"/>
      <c r="Q900" s="524"/>
      <c r="R900" s="478">
        <f>IFERROR(INDEX(기초자산!M$6:M$408,MATCH(K900&amp;N900&amp;O900,기초자산!$A$6:$A$408,0),0),0)</f>
        <v>0</v>
      </c>
      <c r="S900" s="479">
        <f t="shared" si="290"/>
        <v>0</v>
      </c>
      <c r="T900" s="553"/>
      <c r="U900" s="471" t="s">
        <v>94</v>
      </c>
      <c r="V900" s="480">
        <f>IF(U900="한국 원화(KRW)",1,IF(OR(U900=환율!$A$6,U900=환율!$A$7),VLOOKUP(NAV!U900,환율!$A$6:$B$7,2,),IF(RIGHT(U900,5)="(100)",(VLOOKUP(NAV!U900,환율!$A$11:$B$65,2,))/100,VLOOKUP(NAV!U900,환율!$A$11:$B$65,2,))))</f>
        <v>1</v>
      </c>
      <c r="W900" s="481"/>
      <c r="X900" s="482">
        <f t="shared" si="291"/>
        <v>0</v>
      </c>
      <c r="Y900" s="481"/>
      <c r="Z900" s="481"/>
      <c r="AA900" s="483">
        <f t="shared" si="292"/>
        <v>0</v>
      </c>
      <c r="AB900" s="554"/>
      <c r="AC900" s="526" t="str">
        <f t="shared" si="293"/>
        <v>2년이상</v>
      </c>
      <c r="AD900" s="520" t="str">
        <f t="shared" si="294"/>
        <v/>
      </c>
      <c r="AE900" s="527">
        <f t="shared" si="295"/>
        <v>0</v>
      </c>
      <c r="AF900" s="527">
        <f t="shared" si="296"/>
        <v>0</v>
      </c>
      <c r="AG900" s="485"/>
      <c r="AH900" s="485"/>
      <c r="AI900" s="404"/>
    </row>
    <row r="901" spans="1:35" ht="12.75" thickBot="1">
      <c r="A901" s="492"/>
      <c r="B901" s="496"/>
      <c r="C901" s="486" t="s">
        <v>3387</v>
      </c>
      <c r="D901" s="487">
        <f>SUMIF(FS!$BE$49:$BE$79,개요!$B$277&amp;RIGHT(NAV!C901,4),FS!$BH$49:$BH$79)</f>
        <v>0</v>
      </c>
      <c r="E901" s="487">
        <f>D901</f>
        <v>0</v>
      </c>
      <c r="J901" s="551"/>
      <c r="K901" s="552"/>
      <c r="L901" s="551"/>
      <c r="M901" s="553"/>
      <c r="N901" s="553"/>
      <c r="O901" s="551"/>
      <c r="P901" s="553"/>
      <c r="Q901" s="524"/>
      <c r="R901" s="478">
        <f>IFERROR(INDEX(기초자산!M$6:M$408,MATCH(K901&amp;N901&amp;O901,기초자산!$A$6:$A$408,0),0),0)</f>
        <v>0</v>
      </c>
      <c r="S901" s="479">
        <f t="shared" si="290"/>
        <v>0</v>
      </c>
      <c r="T901" s="553"/>
      <c r="U901" s="471" t="s">
        <v>94</v>
      </c>
      <c r="V901" s="480">
        <f>IF(U901="한국 원화(KRW)",1,IF(OR(U901=환율!$A$6,U901=환율!$A$7),VLOOKUP(NAV!U901,환율!$A$6:$B$7,2,),IF(RIGHT(U901,5)="(100)",(VLOOKUP(NAV!U901,환율!$A$11:$B$65,2,))/100,VLOOKUP(NAV!U901,환율!$A$11:$B$65,2,))))</f>
        <v>1</v>
      </c>
      <c r="W901" s="481"/>
      <c r="X901" s="482">
        <f t="shared" si="291"/>
        <v>0</v>
      </c>
      <c r="Y901" s="481"/>
      <c r="Z901" s="481"/>
      <c r="AA901" s="483">
        <f t="shared" si="292"/>
        <v>0</v>
      </c>
      <c r="AB901" s="554"/>
      <c r="AC901" s="526" t="str">
        <f t="shared" si="293"/>
        <v>2년이상</v>
      </c>
      <c r="AD901" s="520" t="str">
        <f t="shared" si="294"/>
        <v/>
      </c>
      <c r="AE901" s="527">
        <f t="shared" si="295"/>
        <v>0</v>
      </c>
      <c r="AF901" s="527">
        <f t="shared" si="296"/>
        <v>0</v>
      </c>
      <c r="AG901" s="485"/>
      <c r="AH901" s="485"/>
      <c r="AI901" s="404"/>
    </row>
    <row r="902" spans="1:35" ht="12.75" thickBot="1">
      <c r="A902" s="489" t="s">
        <v>408</v>
      </c>
      <c r="B902" s="498" t="b">
        <f>D895+D896+D897+D898+D900+D901=D902</f>
        <v>1</v>
      </c>
      <c r="C902" s="493" t="s">
        <v>477</v>
      </c>
      <c r="D902" s="494">
        <f>D894+D899</f>
        <v>0</v>
      </c>
      <c r="E902" s="494">
        <f>E894+E899</f>
        <v>0</v>
      </c>
      <c r="J902" s="551"/>
      <c r="K902" s="552"/>
      <c r="L902" s="551"/>
      <c r="M902" s="553"/>
      <c r="N902" s="553"/>
      <c r="O902" s="551"/>
      <c r="P902" s="553"/>
      <c r="Q902" s="524"/>
      <c r="R902" s="478">
        <f>IFERROR(INDEX(기초자산!M$6:M$408,MATCH(K902&amp;N902&amp;O902,기초자산!$A$6:$A$408,0),0),0)</f>
        <v>0</v>
      </c>
      <c r="S902" s="479">
        <f t="shared" si="290"/>
        <v>0</v>
      </c>
      <c r="T902" s="553"/>
      <c r="U902" s="471" t="s">
        <v>94</v>
      </c>
      <c r="V902" s="480">
        <f>IF(U902="한국 원화(KRW)",1,IF(OR(U902=환율!$A$6,U902=환율!$A$7),VLOOKUP(NAV!U902,환율!$A$6:$B$7,2,),IF(RIGHT(U902,5)="(100)",(VLOOKUP(NAV!U902,환율!$A$11:$B$65,2,))/100,VLOOKUP(NAV!U902,환율!$A$11:$B$65,2,))))</f>
        <v>1</v>
      </c>
      <c r="W902" s="481"/>
      <c r="X902" s="482">
        <f t="shared" si="291"/>
        <v>0</v>
      </c>
      <c r="Y902" s="481"/>
      <c r="Z902" s="481"/>
      <c r="AA902" s="483">
        <f t="shared" si="292"/>
        <v>0</v>
      </c>
      <c r="AB902" s="554"/>
      <c r="AC902" s="526" t="str">
        <f t="shared" si="293"/>
        <v>2년이상</v>
      </c>
      <c r="AD902" s="520" t="str">
        <f t="shared" si="294"/>
        <v/>
      </c>
      <c r="AE902" s="527">
        <f t="shared" si="295"/>
        <v>0</v>
      </c>
      <c r="AF902" s="527">
        <f t="shared" si="296"/>
        <v>0</v>
      </c>
      <c r="AG902" s="485"/>
      <c r="AH902" s="485"/>
      <c r="AI902" s="404"/>
    </row>
    <row r="903" spans="1:35" ht="12.75" thickBot="1">
      <c r="A903" s="492"/>
      <c r="B903" s="555" t="str">
        <f>B883&amp;C903</f>
        <v>SPC없음자본금</v>
      </c>
      <c r="C903" s="486" t="s">
        <v>118</v>
      </c>
      <c r="D903" s="487">
        <f>SUMIF(FS!$BE$49:$BE$79,개요!$B$277&amp;RIGHT(NAV!C903,3),FS!$BH$49:$BH$79)</f>
        <v>0</v>
      </c>
      <c r="E903" s="487">
        <f>D903</f>
        <v>0</v>
      </c>
      <c r="J903" s="551"/>
      <c r="K903" s="552"/>
      <c r="L903" s="551"/>
      <c r="M903" s="553"/>
      <c r="N903" s="553"/>
      <c r="O903" s="551"/>
      <c r="P903" s="553"/>
      <c r="Q903" s="524"/>
      <c r="R903" s="478">
        <f>IFERROR(INDEX(기초자산!M$6:M$408,MATCH(K903&amp;N903&amp;O903,기초자산!$A$6:$A$408,0),0),0)</f>
        <v>0</v>
      </c>
      <c r="S903" s="479">
        <f t="shared" si="290"/>
        <v>0</v>
      </c>
      <c r="T903" s="553"/>
      <c r="U903" s="471" t="s">
        <v>94</v>
      </c>
      <c r="V903" s="480">
        <f>IF(U903="한국 원화(KRW)",1,IF(OR(U903=환율!$A$6,U903=환율!$A$7),VLOOKUP(NAV!U903,환율!$A$6:$B$7,2,),IF(RIGHT(U903,5)="(100)",(VLOOKUP(NAV!U903,환율!$A$11:$B$65,2,))/100,VLOOKUP(NAV!U903,환율!$A$11:$B$65,2,))))</f>
        <v>1</v>
      </c>
      <c r="W903" s="481"/>
      <c r="X903" s="482">
        <f t="shared" si="291"/>
        <v>0</v>
      </c>
      <c r="Y903" s="481"/>
      <c r="Z903" s="481"/>
      <c r="AA903" s="483">
        <f t="shared" si="292"/>
        <v>0</v>
      </c>
      <c r="AB903" s="554"/>
      <c r="AC903" s="526" t="str">
        <f t="shared" si="293"/>
        <v>2년이상</v>
      </c>
      <c r="AD903" s="520" t="str">
        <f t="shared" si="294"/>
        <v/>
      </c>
      <c r="AE903" s="527">
        <f t="shared" si="295"/>
        <v>0</v>
      </c>
      <c r="AF903" s="527">
        <f t="shared" si="296"/>
        <v>0</v>
      </c>
      <c r="AG903" s="485"/>
      <c r="AH903" s="485"/>
      <c r="AI903" s="404"/>
    </row>
    <row r="904" spans="1:35" ht="12.75" thickBot="1">
      <c r="C904" s="486" t="s">
        <v>119</v>
      </c>
      <c r="D904" s="487">
        <f>SUMIF(FS!$BE$49:$BE$79,개요!$B$277&amp;RIGHT(NAV!C904,10),FS!$BH$49:$BH$79)</f>
        <v>0</v>
      </c>
      <c r="E904" s="487">
        <f>D904</f>
        <v>0</v>
      </c>
      <c r="J904" s="551"/>
      <c r="K904" s="552"/>
      <c r="L904" s="551"/>
      <c r="M904" s="553"/>
      <c r="N904" s="553"/>
      <c r="O904" s="551"/>
      <c r="P904" s="553"/>
      <c r="Q904" s="524"/>
      <c r="R904" s="478">
        <f>IFERROR(INDEX(기초자산!M$6:M$408,MATCH(K904&amp;N904&amp;O904,기초자산!$A$6:$A$408,0),0),0)</f>
        <v>0</v>
      </c>
      <c r="S904" s="479">
        <f t="shared" si="290"/>
        <v>0</v>
      </c>
      <c r="T904" s="553"/>
      <c r="U904" s="471" t="s">
        <v>94</v>
      </c>
      <c r="V904" s="480">
        <f>IF(U904="한국 원화(KRW)",1,IF(OR(U904=환율!$A$6,U904=환율!$A$7),VLOOKUP(NAV!U904,환율!$A$6:$B$7,2,),IF(RIGHT(U904,5)="(100)",(VLOOKUP(NAV!U904,환율!$A$11:$B$65,2,))/100,VLOOKUP(NAV!U904,환율!$A$11:$B$65,2,))))</f>
        <v>1</v>
      </c>
      <c r="W904" s="481"/>
      <c r="X904" s="482">
        <f t="shared" si="291"/>
        <v>0</v>
      </c>
      <c r="Y904" s="481"/>
      <c r="Z904" s="481"/>
      <c r="AA904" s="483">
        <f t="shared" si="292"/>
        <v>0</v>
      </c>
      <c r="AB904" s="554"/>
      <c r="AC904" s="526" t="str">
        <f t="shared" si="293"/>
        <v>2년이상</v>
      </c>
      <c r="AD904" s="520" t="str">
        <f t="shared" si="294"/>
        <v/>
      </c>
      <c r="AE904" s="527">
        <f t="shared" si="295"/>
        <v>0</v>
      </c>
      <c r="AF904" s="527">
        <f t="shared" si="296"/>
        <v>0</v>
      </c>
      <c r="AG904" s="485"/>
      <c r="AH904" s="485"/>
      <c r="AI904" s="404"/>
    </row>
    <row r="905" spans="1:35" ht="12.75" thickBot="1">
      <c r="A905" s="489"/>
      <c r="B905" s="415"/>
      <c r="C905" s="486" t="s">
        <v>121</v>
      </c>
      <c r="D905" s="487">
        <f>SUMIF(FS!$BE$49:$BE$79,개요!$B$277&amp;RIGHT(NAV!C905,8),FS!$BH$49:$BH$79)</f>
        <v>0</v>
      </c>
      <c r="E905" s="487">
        <f>D905</f>
        <v>0</v>
      </c>
      <c r="J905" s="551"/>
      <c r="K905" s="552"/>
      <c r="L905" s="551"/>
      <c r="M905" s="553"/>
      <c r="N905" s="553"/>
      <c r="O905" s="551"/>
      <c r="P905" s="553"/>
      <c r="Q905" s="524"/>
      <c r="R905" s="478">
        <f>IFERROR(INDEX(기초자산!M$6:M$408,MATCH(K905&amp;N905&amp;O905,기초자산!$A$6:$A$408,0),0),0)</f>
        <v>0</v>
      </c>
      <c r="S905" s="479">
        <f t="shared" si="290"/>
        <v>0</v>
      </c>
      <c r="T905" s="553"/>
      <c r="U905" s="471" t="s">
        <v>94</v>
      </c>
      <c r="V905" s="480">
        <f>IF(U905="한국 원화(KRW)",1,IF(OR(U905=환율!$A$6,U905=환율!$A$7),VLOOKUP(NAV!U905,환율!$A$6:$B$7,2,),IF(RIGHT(U905,5)="(100)",(VLOOKUP(NAV!U905,환율!$A$11:$B$65,2,))/100,VLOOKUP(NAV!U905,환율!$A$11:$B$65,2,))))</f>
        <v>1</v>
      </c>
      <c r="W905" s="481"/>
      <c r="X905" s="482">
        <f t="shared" si="291"/>
        <v>0</v>
      </c>
      <c r="Y905" s="481"/>
      <c r="Z905" s="481"/>
      <c r="AA905" s="483">
        <f t="shared" si="292"/>
        <v>0</v>
      </c>
      <c r="AB905" s="554"/>
      <c r="AC905" s="526" t="str">
        <f t="shared" si="293"/>
        <v>2년이상</v>
      </c>
      <c r="AD905" s="520" t="str">
        <f t="shared" si="294"/>
        <v/>
      </c>
      <c r="AE905" s="527">
        <f t="shared" si="295"/>
        <v>0</v>
      </c>
      <c r="AF905" s="527">
        <f t="shared" si="296"/>
        <v>0</v>
      </c>
      <c r="AG905" s="485"/>
      <c r="AH905" s="485"/>
      <c r="AI905" s="404"/>
    </row>
    <row r="906" spans="1:35" ht="12.75" thickBot="1">
      <c r="A906" s="489" t="s">
        <v>411</v>
      </c>
      <c r="B906" s="415" t="b">
        <f>D906=SUM(D903:D905)</f>
        <v>1</v>
      </c>
      <c r="C906" s="493" t="s">
        <v>412</v>
      </c>
      <c r="D906" s="494">
        <f>D893-D902</f>
        <v>0</v>
      </c>
      <c r="E906" s="494">
        <f>E893-E902</f>
        <v>0</v>
      </c>
      <c r="J906" s="551"/>
      <c r="K906" s="552"/>
      <c r="L906" s="551"/>
      <c r="M906" s="553"/>
      <c r="N906" s="553"/>
      <c r="O906" s="551"/>
      <c r="P906" s="553"/>
      <c r="Q906" s="524"/>
      <c r="R906" s="478">
        <f>IFERROR(INDEX(기초자산!M$6:M$408,MATCH(K906&amp;N906&amp;O906,기초자산!$A$6:$A$408,0),0),0)</f>
        <v>0</v>
      </c>
      <c r="S906" s="479">
        <f t="shared" si="290"/>
        <v>0</v>
      </c>
      <c r="T906" s="553"/>
      <c r="U906" s="471" t="s">
        <v>94</v>
      </c>
      <c r="V906" s="480">
        <f>IF(U906="한국 원화(KRW)",1,IF(OR(U906=환율!$A$6,U906=환율!$A$7),VLOOKUP(NAV!U906,환율!$A$6:$B$7,2,),IF(RIGHT(U906,5)="(100)",(VLOOKUP(NAV!U906,환율!$A$11:$B$65,2,))/100,VLOOKUP(NAV!U906,환율!$A$11:$B$65,2,))))</f>
        <v>1</v>
      </c>
      <c r="W906" s="481"/>
      <c r="X906" s="482">
        <f t="shared" si="291"/>
        <v>0</v>
      </c>
      <c r="Y906" s="481"/>
      <c r="Z906" s="481"/>
      <c r="AA906" s="483">
        <f t="shared" si="292"/>
        <v>0</v>
      </c>
      <c r="AB906" s="554"/>
      <c r="AC906" s="526" t="str">
        <f t="shared" si="293"/>
        <v>2년이상</v>
      </c>
      <c r="AD906" s="520" t="str">
        <f t="shared" si="294"/>
        <v/>
      </c>
      <c r="AE906" s="527">
        <f t="shared" si="295"/>
        <v>0</v>
      </c>
      <c r="AF906" s="527">
        <f t="shared" si="296"/>
        <v>0</v>
      </c>
      <c r="AG906" s="485"/>
      <c r="AH906" s="485"/>
      <c r="AI906" s="404"/>
    </row>
    <row r="907" spans="1:35" ht="12.75" thickBot="1">
      <c r="A907" s="489"/>
      <c r="B907" s="415"/>
      <c r="C907" s="486" t="s">
        <v>478</v>
      </c>
      <c r="D907" s="487">
        <v>0</v>
      </c>
      <c r="E907" s="499">
        <v>0</v>
      </c>
      <c r="J907" s="551"/>
      <c r="K907" s="552"/>
      <c r="L907" s="551"/>
      <c r="M907" s="553"/>
      <c r="N907" s="553"/>
      <c r="O907" s="551"/>
      <c r="P907" s="553"/>
      <c r="Q907" s="524"/>
      <c r="R907" s="478">
        <f>IFERROR(INDEX(기초자산!M$6:M$408,MATCH(K907&amp;N907&amp;O907,기초자산!$A$6:$A$408,0),0),0)</f>
        <v>0</v>
      </c>
      <c r="S907" s="479">
        <f t="shared" si="290"/>
        <v>0</v>
      </c>
      <c r="T907" s="553"/>
      <c r="U907" s="471" t="s">
        <v>94</v>
      </c>
      <c r="V907" s="480">
        <f>IF(U907="한국 원화(KRW)",1,IF(OR(U907=환율!$A$6,U907=환율!$A$7),VLOOKUP(NAV!U907,환율!$A$6:$B$7,2,),IF(RIGHT(U907,5)="(100)",(VLOOKUP(NAV!U907,환율!$A$11:$B$65,2,))/100,VLOOKUP(NAV!U907,환율!$A$11:$B$65,2,))))</f>
        <v>1</v>
      </c>
      <c r="W907" s="481"/>
      <c r="X907" s="482">
        <f t="shared" si="291"/>
        <v>0</v>
      </c>
      <c r="Y907" s="481"/>
      <c r="Z907" s="481"/>
      <c r="AA907" s="483">
        <f t="shared" si="292"/>
        <v>0</v>
      </c>
      <c r="AB907" s="554"/>
      <c r="AC907" s="526" t="str">
        <f t="shared" si="293"/>
        <v>2년이상</v>
      </c>
      <c r="AD907" s="520" t="str">
        <f t="shared" si="294"/>
        <v/>
      </c>
      <c r="AE907" s="527">
        <f t="shared" si="295"/>
        <v>0</v>
      </c>
      <c r="AF907" s="527">
        <f t="shared" si="296"/>
        <v>0</v>
      </c>
      <c r="AG907" s="485"/>
      <c r="AH907" s="485"/>
      <c r="AI907" s="404"/>
    </row>
    <row r="908" spans="1:35">
      <c r="A908" s="489"/>
      <c r="B908" s="415"/>
      <c r="C908" s="486" t="s">
        <v>414</v>
      </c>
      <c r="D908" s="487">
        <v>0</v>
      </c>
      <c r="E908" s="499">
        <v>0</v>
      </c>
      <c r="J908" s="495"/>
      <c r="K908" s="415"/>
      <c r="L908" s="495"/>
      <c r="M908" s="415"/>
      <c r="N908" s="415"/>
      <c r="O908" s="415"/>
      <c r="P908" s="415"/>
      <c r="Q908" s="422"/>
      <c r="R908" s="415"/>
      <c r="S908" s="415"/>
      <c r="T908" s="415"/>
      <c r="U908" s="415"/>
      <c r="V908" s="415"/>
      <c r="W908" s="422"/>
      <c r="X908" s="415"/>
      <c r="Y908" s="458"/>
      <c r="Z908" s="422"/>
      <c r="AA908" s="556"/>
      <c r="AB908" s="556"/>
      <c r="AC908" s="415"/>
      <c r="AE908" s="415"/>
      <c r="AI908" s="404"/>
    </row>
    <row r="909" spans="1:35">
      <c r="A909" s="489"/>
      <c r="B909" s="415"/>
      <c r="C909" s="493" t="s">
        <v>415</v>
      </c>
      <c r="D909" s="494">
        <f>D906+D907-D908</f>
        <v>0</v>
      </c>
      <c r="E909" s="494">
        <f>IF(E906+E907-E908&gt;0,E906+E907-E908,0)</f>
        <v>0</v>
      </c>
      <c r="J909" s="305"/>
      <c r="K909" s="415"/>
      <c r="L909" s="305"/>
      <c r="M909" s="415"/>
      <c r="N909" s="415"/>
      <c r="O909" s="415"/>
      <c r="S909" s="415"/>
      <c r="T909" s="415"/>
      <c r="U909" s="415"/>
      <c r="V909" s="415"/>
      <c r="Y909" s="458"/>
      <c r="AD909" s="557" t="str">
        <f>B883&amp;"순자산가치"</f>
        <v>SPC없음순자산가치</v>
      </c>
      <c r="AE909" s="529">
        <f>IF(E889+SUM(AE889:AE894)+SUM(AE897:AE907)-E902&gt;0,E889+SUM(AE889:AE894)+SUM(AE897:AE907)-E902,0)</f>
        <v>0</v>
      </c>
      <c r="AF909" s="529">
        <f>IF(E889+SUM(AF889:AF894)+SUM(AF897:AF907)-E902&gt;0,E889+SUM(AF889:AF894)+SUM(AF897:AF907)-E902,0)</f>
        <v>0</v>
      </c>
      <c r="AI909" s="404"/>
    </row>
    <row r="910" spans="1:35">
      <c r="A910" s="489"/>
      <c r="B910" s="558" t="str">
        <f>B883&amp;C910</f>
        <v>SPC없음보유지분율(%)</v>
      </c>
      <c r="C910" s="493" t="s">
        <v>416</v>
      </c>
      <c r="D910" s="559">
        <f>개요!$C$166</f>
        <v>0</v>
      </c>
      <c r="E910" s="494">
        <f>E909*D910</f>
        <v>0</v>
      </c>
      <c r="F910" s="560" t="s">
        <v>417</v>
      </c>
      <c r="G910" s="560"/>
      <c r="J910" s="495"/>
      <c r="K910" s="415"/>
      <c r="L910" s="495"/>
      <c r="M910" s="415"/>
      <c r="N910" s="415"/>
      <c r="O910" s="415"/>
      <c r="S910" s="415"/>
      <c r="T910" s="415"/>
      <c r="U910" s="415"/>
      <c r="V910" s="415"/>
      <c r="Y910" s="458"/>
      <c r="AD910" s="557" t="s">
        <v>272</v>
      </c>
      <c r="AE910" s="561">
        <f>$D910</f>
        <v>0</v>
      </c>
      <c r="AF910" s="561">
        <f>$D910</f>
        <v>0</v>
      </c>
      <c r="AI910" s="404"/>
    </row>
    <row r="911" spans="1:35">
      <c r="A911" s="489"/>
      <c r="B911" s="415"/>
      <c r="G911" s="503" t="s">
        <v>419</v>
      </c>
      <c r="I911" s="562"/>
      <c r="J911" s="495"/>
      <c r="K911" s="415"/>
      <c r="L911" s="495"/>
      <c r="M911" s="415"/>
      <c r="N911" s="415"/>
      <c r="O911" s="415"/>
      <c r="S911" s="415"/>
      <c r="T911" s="415"/>
      <c r="U911" s="415"/>
      <c r="V911" s="415"/>
      <c r="Y911" s="458"/>
      <c r="AD911" s="557" t="str">
        <f>B883&amp;"지분율 반영 순자산가치"</f>
        <v>SPC없음지분율 반영 순자산가치</v>
      </c>
      <c r="AE911" s="529">
        <f>AE909*AE910</f>
        <v>0</v>
      </c>
      <c r="AF911" s="529">
        <f>AF909*AF910</f>
        <v>0</v>
      </c>
      <c r="AI911" s="404"/>
    </row>
    <row r="912" spans="1:35">
      <c r="A912" s="489"/>
      <c r="D912" s="504" t="s">
        <v>370</v>
      </c>
      <c r="E912" s="505">
        <f>$C$7</f>
        <v>45473</v>
      </c>
      <c r="F912" s="506"/>
      <c r="G912" s="505"/>
      <c r="I912" s="563"/>
      <c r="J912" s="495"/>
      <c r="K912" s="415"/>
      <c r="L912" s="495"/>
      <c r="M912" s="415"/>
      <c r="N912" s="415"/>
      <c r="O912" s="415"/>
      <c r="S912" s="415"/>
      <c r="T912" s="415"/>
      <c r="U912" s="415"/>
      <c r="V912" s="415"/>
      <c r="Y912" s="422"/>
      <c r="AI912" s="404"/>
    </row>
    <row r="913" spans="1:35">
      <c r="D913" s="486" t="s">
        <v>412</v>
      </c>
      <c r="E913" s="487">
        <f>E909</f>
        <v>0</v>
      </c>
      <c r="F913" s="507" t="e">
        <f>E913/G913-1</f>
        <v>#DIV/0!</v>
      </c>
      <c r="G913" s="487"/>
      <c r="I913" s="564"/>
      <c r="J913" s="495"/>
      <c r="K913" s="415"/>
      <c r="L913" s="495"/>
      <c r="M913" s="415"/>
      <c r="S913" s="415"/>
      <c r="T913" s="415"/>
      <c r="U913" s="415"/>
      <c r="V913" s="415"/>
      <c r="Y913" s="422"/>
      <c r="AI913" s="404"/>
    </row>
    <row r="914" spans="1:35">
      <c r="A914" s="489"/>
      <c r="B914" s="415"/>
      <c r="D914" s="486" t="s">
        <v>418</v>
      </c>
      <c r="E914" s="565">
        <f>$D$910</f>
        <v>0</v>
      </c>
      <c r="F914" s="507"/>
      <c r="G914" s="565"/>
      <c r="I914" s="566"/>
      <c r="J914" s="305"/>
      <c r="K914" s="415"/>
      <c r="L914" s="305"/>
      <c r="M914" s="415"/>
      <c r="S914" s="415"/>
      <c r="T914" s="415"/>
      <c r="U914" s="415"/>
      <c r="V914" s="415"/>
      <c r="Y914" s="422"/>
      <c r="AI914" s="404"/>
    </row>
    <row r="915" spans="1:35">
      <c r="A915" s="489"/>
      <c r="B915" s="415"/>
      <c r="D915" s="567" t="s">
        <v>420</v>
      </c>
      <c r="E915" s="568">
        <f>E913*E914</f>
        <v>0</v>
      </c>
      <c r="F915" s="507" t="e">
        <f>E915/G915-1</f>
        <v>#DIV/0!</v>
      </c>
      <c r="G915" s="568"/>
      <c r="I915" s="564"/>
      <c r="AI915" s="404"/>
    </row>
    <row r="916" spans="1:35">
      <c r="E916" s="304" t="b">
        <f>E915=E910</f>
        <v>1</v>
      </c>
      <c r="AI916" s="404"/>
    </row>
    <row r="917" spans="1:35">
      <c r="F917" s="507"/>
      <c r="G917" s="507"/>
      <c r="AI917" s="404"/>
    </row>
    <row r="918" spans="1:35" ht="12.75" thickBot="1">
      <c r="A918" s="536"/>
      <c r="B918" s="536"/>
      <c r="C918" s="536"/>
      <c r="D918" s="536"/>
      <c r="E918" s="536"/>
      <c r="F918" s="572"/>
      <c r="G918" s="572"/>
      <c r="H918" s="536"/>
      <c r="I918" s="537"/>
      <c r="J918" s="536"/>
      <c r="K918" s="536"/>
      <c r="L918" s="536"/>
      <c r="M918" s="536"/>
      <c r="N918" s="536"/>
      <c r="O918" s="536"/>
      <c r="P918" s="536"/>
      <c r="Q918" s="540"/>
      <c r="R918" s="536"/>
      <c r="S918" s="536"/>
      <c r="T918" s="536"/>
      <c r="U918" s="536"/>
      <c r="V918" s="536"/>
      <c r="W918" s="540"/>
      <c r="X918" s="536"/>
      <c r="Y918" s="540"/>
      <c r="Z918" s="540"/>
      <c r="AA918" s="536"/>
      <c r="AB918" s="536"/>
      <c r="AC918" s="536"/>
      <c r="AD918" s="541"/>
      <c r="AE918" s="536"/>
      <c r="AF918" s="536"/>
      <c r="AG918" s="536"/>
      <c r="AH918" s="536"/>
      <c r="AI918" s="404"/>
    </row>
    <row r="919" spans="1:35" ht="12.75" thickTop="1">
      <c r="F919" s="507"/>
      <c r="G919" s="507"/>
      <c r="AI919" s="404"/>
    </row>
    <row r="920" spans="1:35" ht="12.75" thickBot="1">
      <c r="A920" s="459"/>
      <c r="B920" s="415"/>
      <c r="J920" s="428" t="s">
        <v>273</v>
      </c>
      <c r="K920" s="489"/>
      <c r="L920" s="497"/>
      <c r="M920" s="489"/>
      <c r="N920" s="415"/>
      <c r="O920" s="415"/>
      <c r="AI920" s="404"/>
    </row>
    <row r="921" spans="1:35" ht="12.75" thickBot="1">
      <c r="A921" s="542" t="s">
        <v>737</v>
      </c>
      <c r="B921" s="543" t="str">
        <f>IF(개요!$B$289="","SPC없음",개요!$B$289)</f>
        <v>SPC없음</v>
      </c>
      <c r="C921" s="454"/>
      <c r="J921" s="433"/>
      <c r="K921" s="434"/>
      <c r="L921" s="434"/>
      <c r="M921" s="434"/>
      <c r="N921" s="434"/>
      <c r="O921" s="434"/>
      <c r="P921" s="434"/>
      <c r="Q921" s="435"/>
      <c r="R921" s="434"/>
      <c r="S921" s="434"/>
      <c r="T921" s="434"/>
      <c r="U921" s="434"/>
      <c r="V921" s="436"/>
      <c r="AI921" s="404"/>
    </row>
    <row r="922" spans="1:35">
      <c r="B922" s="543" t="s">
        <v>260</v>
      </c>
      <c r="C922" s="569" t="str">
        <f>IF(개요!$C$290="","SPC없음",개요!$C$290)</f>
        <v>SPC없음</v>
      </c>
      <c r="J922" s="442"/>
      <c r="K922" s="151"/>
      <c r="L922" s="151"/>
      <c r="M922" s="151"/>
      <c r="N922" s="151"/>
      <c r="O922" s="151"/>
      <c r="P922" s="151"/>
      <c r="Q922" s="443"/>
      <c r="R922" s="151"/>
      <c r="S922" s="151"/>
      <c r="T922" s="151"/>
      <c r="U922" s="151"/>
      <c r="V922" s="444"/>
      <c r="AI922" s="404"/>
    </row>
    <row r="923" spans="1:35">
      <c r="B923" s="437" t="s">
        <v>43</v>
      </c>
      <c r="C923" s="570">
        <f>$C$7</f>
        <v>45473</v>
      </c>
      <c r="D923" s="546" t="b">
        <f>C923&gt;=C924</f>
        <v>1</v>
      </c>
      <c r="J923" s="442"/>
      <c r="K923" s="151"/>
      <c r="L923" s="151"/>
      <c r="M923" s="151"/>
      <c r="N923" s="151"/>
      <c r="O923" s="151"/>
      <c r="P923" s="151"/>
      <c r="Q923" s="443"/>
      <c r="R923" s="151"/>
      <c r="S923" s="151"/>
      <c r="T923" s="151"/>
      <c r="U923" s="151"/>
      <c r="V923" s="444"/>
      <c r="AI923" s="404"/>
    </row>
    <row r="924" spans="1:35" ht="12.75" thickBot="1">
      <c r="B924" s="449" t="s">
        <v>371</v>
      </c>
      <c r="C924" s="571">
        <f>FS!$F$88</f>
        <v>0</v>
      </c>
      <c r="J924" s="453"/>
      <c r="K924" s="454"/>
      <c r="L924" s="454"/>
      <c r="M924" s="454"/>
      <c r="N924" s="454"/>
      <c r="O924" s="454"/>
      <c r="P924" s="454"/>
      <c r="Q924" s="455"/>
      <c r="R924" s="454"/>
      <c r="S924" s="454"/>
      <c r="T924" s="454"/>
      <c r="U924" s="454"/>
      <c r="V924" s="456"/>
      <c r="AI924" s="404"/>
    </row>
    <row r="925" spans="1:35">
      <c r="A925" s="459" t="s">
        <v>93</v>
      </c>
      <c r="J925" s="428" t="s">
        <v>372</v>
      </c>
      <c r="K925" s="448"/>
      <c r="L925" s="420"/>
      <c r="M925" s="448"/>
      <c r="N925" s="448"/>
      <c r="O925" s="448"/>
      <c r="P925" s="415"/>
      <c r="Q925" s="422"/>
      <c r="R925" s="415"/>
      <c r="S925" s="415"/>
      <c r="T925" s="415"/>
      <c r="U925" s="415"/>
      <c r="V925" s="415"/>
      <c r="W925" s="422"/>
      <c r="Z925" s="458"/>
      <c r="AE925" s="803" t="s">
        <v>8</v>
      </c>
      <c r="AF925" s="803"/>
      <c r="AG925" s="460"/>
      <c r="AH925" s="460"/>
      <c r="AI925" s="404"/>
    </row>
    <row r="926" spans="1:35" ht="12.75" thickBot="1">
      <c r="A926" s="461" t="str">
        <f>IF(AND(B927:B953),"검증완료","검증필요")</f>
        <v>검증완료</v>
      </c>
      <c r="B926" s="462" t="s">
        <v>38</v>
      </c>
      <c r="C926" s="462" t="s">
        <v>9</v>
      </c>
      <c r="D926" s="462" t="s">
        <v>10</v>
      </c>
      <c r="E926" s="462" t="s">
        <v>11</v>
      </c>
      <c r="J926" s="462" t="s">
        <v>375</v>
      </c>
      <c r="K926" s="464" t="s">
        <v>0</v>
      </c>
      <c r="L926" s="462" t="s">
        <v>260</v>
      </c>
      <c r="M926" s="462" t="s">
        <v>456</v>
      </c>
      <c r="N926" s="462" t="s">
        <v>91</v>
      </c>
      <c r="O926" s="462" t="s">
        <v>1</v>
      </c>
      <c r="P926" s="464" t="s">
        <v>380</v>
      </c>
      <c r="Q926" s="465" t="s">
        <v>14</v>
      </c>
      <c r="R926" s="466" t="s">
        <v>381</v>
      </c>
      <c r="S926" s="466" t="s">
        <v>303</v>
      </c>
      <c r="T926" s="462" t="s">
        <v>12</v>
      </c>
      <c r="U926" s="462" t="s">
        <v>72</v>
      </c>
      <c r="V926" s="462" t="s">
        <v>400</v>
      </c>
      <c r="W926" s="465" t="s">
        <v>10</v>
      </c>
      <c r="X926" s="462" t="s">
        <v>385</v>
      </c>
      <c r="Y926" s="465" t="s">
        <v>125</v>
      </c>
      <c r="Z926" s="465" t="s">
        <v>3522</v>
      </c>
      <c r="AA926" s="464" t="s">
        <v>13</v>
      </c>
      <c r="AE926" s="467" t="s">
        <v>3627</v>
      </c>
      <c r="AF926" s="467" t="s">
        <v>3628</v>
      </c>
      <c r="AG926" s="467" t="s">
        <v>3629</v>
      </c>
      <c r="AH926" s="467" t="s">
        <v>3630</v>
      </c>
      <c r="AI926" s="404"/>
    </row>
    <row r="927" spans="1:35" ht="12.75" thickBot="1">
      <c r="A927" s="415"/>
      <c r="B927" s="415"/>
      <c r="C927" s="468" t="s">
        <v>480</v>
      </c>
      <c r="D927" s="469">
        <f>SUM(D928:D929)</f>
        <v>0</v>
      </c>
      <c r="E927" s="469">
        <f>SUM(E928:E929)</f>
        <v>0</v>
      </c>
      <c r="J927" s="476"/>
      <c r="K927" s="472"/>
      <c r="L927" s="473" t="str">
        <f>IF($J927="","SPC 없음",VLOOKUP($J927&amp;"SPC명",개요!$A$3:$E$1932,3,0))</f>
        <v>SPC 없음</v>
      </c>
      <c r="M927" s="474" t="str">
        <f>IF($J927="","SPC 없음",VLOOKUP($J927&amp;"설정일",개요!$A$3:$E$1932,3,0))</f>
        <v>SPC 없음</v>
      </c>
      <c r="N927" s="475" t="str">
        <f t="shared" ref="N927:N932" si="297">IF($J927="","SPC 없음",VLOOKUP($J927&amp;"자본금",$B$4:$E$2079,3,0)*VLOOKUP($J927&amp;"보유지분율(%)",$B$4:$E$2079,3,0))</f>
        <v>SPC 없음</v>
      </c>
      <c r="O927" s="471"/>
      <c r="P927" s="476"/>
      <c r="Q927" s="477"/>
      <c r="R927" s="478"/>
      <c r="S927" s="479" t="str">
        <f t="shared" ref="S927:S932" si="298">IF($J927="","SPC 없음",IF(P927="총액",IF(T927="장부가액 준용",W927,(VLOOKUP($J927&amp;"보유지분율(%)",$B$4:$E$2079,4,0))*V927),Q927*R927))</f>
        <v>SPC 없음</v>
      </c>
      <c r="T927" s="471"/>
      <c r="U927" s="471" t="s">
        <v>94</v>
      </c>
      <c r="V927" s="480">
        <f>IF(U927="한국 원화(KRW)",1,IF(OR(U927=환율!$A$6,U927=환율!$A$7),VLOOKUP(NAV!U927,환율!$A$6:$B$7,2,),IF(RIGHT(U927,5)="(100)",(VLOOKUP(NAV!U927,환율!$A$11:$B$65,2,))/100,VLOOKUP(NAV!U927,환율!$A$11:$B$65,2,))))</f>
        <v>1</v>
      </c>
      <c r="W927" s="481"/>
      <c r="X927" s="482">
        <f t="shared" ref="X927:X932" si="299">IFERROR(IF(P927="만원당",10000,Y927/Q927),0)</f>
        <v>0</v>
      </c>
      <c r="Y927" s="481"/>
      <c r="Z927" s="481"/>
      <c r="AA927" s="483">
        <f t="shared" ref="AA927:AA932" si="300">IFERROR(IF(Z927="",S927/W927-1,S927/Z927-1),0)</f>
        <v>0</v>
      </c>
      <c r="AE927" s="484" t="str">
        <f t="shared" ref="AE927:AE932" si="301">IF($J927="","SPC 없음",IF(P927="총액",(VLOOKUP($J927&amp;"지분율 반영 순자산가치",$AD$4:$AH$4973,2,0))*V927,AG927*$Q927))</f>
        <v>SPC 없음</v>
      </c>
      <c r="AF927" s="484" t="str">
        <f t="shared" ref="AF927:AF932" si="302">IF($J927="","SPC 없음",IF(P927="총액",(VLOOKUP($J927&amp;"지분율 반영 순자산가치",$AD$4:$AH$4973,3,0))*V927,AH927*$Q927))</f>
        <v>SPC 없음</v>
      </c>
      <c r="AG927" s="485"/>
      <c r="AH927" s="485"/>
      <c r="AI927" s="404"/>
    </row>
    <row r="928" spans="1:35" ht="12.75" thickBot="1">
      <c r="A928" s="415"/>
      <c r="B928" s="415"/>
      <c r="C928" s="486" t="s">
        <v>117</v>
      </c>
      <c r="D928" s="487">
        <f>SUMIF(FS!$C$89:$C$119,개요!$B$289&amp;RIGHT(NAV!C928,10),FS!$F$89:$F$119)</f>
        <v>0</v>
      </c>
      <c r="E928" s="487">
        <f>D928</f>
        <v>0</v>
      </c>
      <c r="J928" s="476"/>
      <c r="K928" s="472"/>
      <c r="L928" s="473" t="str">
        <f>IF($J928="","SPC 없음",VLOOKUP($J928&amp;"SPC명",개요!$A$3:$E$1932,3,0))</f>
        <v>SPC 없음</v>
      </c>
      <c r="M928" s="474" t="str">
        <f>IF($J928="","SPC 없음",VLOOKUP($J928&amp;"설정일",개요!$A$3:$E$1932,3,0))</f>
        <v>SPC 없음</v>
      </c>
      <c r="N928" s="475" t="str">
        <f t="shared" si="297"/>
        <v>SPC 없음</v>
      </c>
      <c r="O928" s="471"/>
      <c r="P928" s="476"/>
      <c r="Q928" s="477"/>
      <c r="R928" s="478"/>
      <c r="S928" s="479" t="str">
        <f t="shared" si="298"/>
        <v>SPC 없음</v>
      </c>
      <c r="T928" s="471"/>
      <c r="U928" s="471" t="s">
        <v>94</v>
      </c>
      <c r="V928" s="480">
        <f>IF(U928="한국 원화(KRW)",1,IF(OR(U928=환율!$A$6,U928=환율!$A$7),VLOOKUP(NAV!U928,환율!$A$6:$B$7,2,),IF(RIGHT(U928,5)="(100)",(VLOOKUP(NAV!U928,환율!$A$11:$B$65,2,))/100,VLOOKUP(NAV!U928,환율!$A$11:$B$65,2,))))</f>
        <v>1</v>
      </c>
      <c r="W928" s="481"/>
      <c r="X928" s="482">
        <f t="shared" si="299"/>
        <v>0</v>
      </c>
      <c r="Y928" s="481"/>
      <c r="Z928" s="481"/>
      <c r="AA928" s="483">
        <f t="shared" si="300"/>
        <v>0</v>
      </c>
      <c r="AE928" s="484" t="str">
        <f t="shared" si="301"/>
        <v>SPC 없음</v>
      </c>
      <c r="AF928" s="484" t="str">
        <f t="shared" si="302"/>
        <v>SPC 없음</v>
      </c>
      <c r="AG928" s="485"/>
      <c r="AH928" s="485"/>
      <c r="AI928" s="404"/>
    </row>
    <row r="929" spans="1:35" ht="12.75" thickBot="1">
      <c r="A929" s="415"/>
      <c r="B929" s="415"/>
      <c r="C929" s="486" t="s">
        <v>34</v>
      </c>
      <c r="D929" s="487">
        <f>SUMIF(FS!$C$89:$C$119,개요!$B$289&amp;RIGHT(NAV!C929,4),FS!$F$89:$F$119)</f>
        <v>0</v>
      </c>
      <c r="E929" s="487">
        <f>D929</f>
        <v>0</v>
      </c>
      <c r="J929" s="476"/>
      <c r="K929" s="472"/>
      <c r="L929" s="473" t="str">
        <f>IF($J929="","SPC 없음",VLOOKUP($J929&amp;"SPC명",개요!$A$3:$E$1932,3,0))</f>
        <v>SPC 없음</v>
      </c>
      <c r="M929" s="474" t="str">
        <f>IF($J929="","SPC 없음",VLOOKUP($J929&amp;"설정일",개요!$A$3:$E$1932,3,0))</f>
        <v>SPC 없음</v>
      </c>
      <c r="N929" s="475" t="str">
        <f t="shared" si="297"/>
        <v>SPC 없음</v>
      </c>
      <c r="O929" s="471"/>
      <c r="P929" s="476"/>
      <c r="Q929" s="477"/>
      <c r="R929" s="478"/>
      <c r="S929" s="479" t="str">
        <f t="shared" si="298"/>
        <v>SPC 없음</v>
      </c>
      <c r="T929" s="471"/>
      <c r="U929" s="471" t="s">
        <v>94</v>
      </c>
      <c r="V929" s="480">
        <f>IF(U929="한국 원화(KRW)",1,IF(OR(U929=환율!$A$6,U929=환율!$A$7),VLOOKUP(NAV!U929,환율!$A$6:$B$7,2,),IF(RIGHT(U929,5)="(100)",(VLOOKUP(NAV!U929,환율!$A$11:$B$65,2,))/100,VLOOKUP(NAV!U929,환율!$A$11:$B$65,2,))))</f>
        <v>1</v>
      </c>
      <c r="W929" s="481"/>
      <c r="X929" s="482">
        <f t="shared" si="299"/>
        <v>0</v>
      </c>
      <c r="Y929" s="481"/>
      <c r="Z929" s="481"/>
      <c r="AA929" s="483">
        <f t="shared" si="300"/>
        <v>0</v>
      </c>
      <c r="AE929" s="484" t="str">
        <f t="shared" si="301"/>
        <v>SPC 없음</v>
      </c>
      <c r="AF929" s="484" t="str">
        <f t="shared" si="302"/>
        <v>SPC 없음</v>
      </c>
      <c r="AG929" s="485"/>
      <c r="AH929" s="485"/>
      <c r="AI929" s="404"/>
    </row>
    <row r="930" spans="1:35" ht="12.75" thickBot="1">
      <c r="A930" s="489" t="s">
        <v>389</v>
      </c>
      <c r="B930" s="490" t="b">
        <f>SUM(W927:W932,W935:W945)=D930</f>
        <v>1</v>
      </c>
      <c r="C930" s="468" t="s">
        <v>17</v>
      </c>
      <c r="D930" s="469">
        <f>SUMIF(FS!$C$89:$C$119,개요!$B$289&amp;RIGHT(NAV!C930,4),FS!$F$89:$F$119)</f>
        <v>0</v>
      </c>
      <c r="E930" s="469">
        <f>SUM(S927:S932)+SUM(S935:S945)</f>
        <v>0</v>
      </c>
      <c r="J930" s="476"/>
      <c r="K930" s="472"/>
      <c r="L930" s="473" t="str">
        <f>IF($J930="","SPC 없음",VLOOKUP($J930&amp;"SPC명",개요!$A$3:$E$1932,3,0))</f>
        <v>SPC 없음</v>
      </c>
      <c r="M930" s="474" t="str">
        <f>IF($J930="","SPC 없음",VLOOKUP($J930&amp;"설정일",개요!$A$3:$E$1932,3,0))</f>
        <v>SPC 없음</v>
      </c>
      <c r="N930" s="475" t="str">
        <f t="shared" si="297"/>
        <v>SPC 없음</v>
      </c>
      <c r="O930" s="471"/>
      <c r="P930" s="476"/>
      <c r="Q930" s="477"/>
      <c r="R930" s="478"/>
      <c r="S930" s="479" t="str">
        <f t="shared" si="298"/>
        <v>SPC 없음</v>
      </c>
      <c r="T930" s="471"/>
      <c r="U930" s="471" t="s">
        <v>94</v>
      </c>
      <c r="V930" s="480">
        <f>IF(U930="한국 원화(KRW)",1,IF(OR(U930=환율!$A$6,U930=환율!$A$7),VLOOKUP(NAV!U930,환율!$A$6:$B$7,2,),IF(RIGHT(U930,5)="(100)",(VLOOKUP(NAV!U930,환율!$A$11:$B$65,2,))/100,VLOOKUP(NAV!U930,환율!$A$11:$B$65,2,))))</f>
        <v>1</v>
      </c>
      <c r="W930" s="481"/>
      <c r="X930" s="482">
        <f t="shared" si="299"/>
        <v>0</v>
      </c>
      <c r="Y930" s="481"/>
      <c r="Z930" s="481"/>
      <c r="AA930" s="483">
        <f t="shared" si="300"/>
        <v>0</v>
      </c>
      <c r="AE930" s="484" t="str">
        <f t="shared" si="301"/>
        <v>SPC 없음</v>
      </c>
      <c r="AF930" s="484" t="str">
        <f t="shared" si="302"/>
        <v>SPC 없음</v>
      </c>
      <c r="AG930" s="485"/>
      <c r="AH930" s="485"/>
      <c r="AI930" s="404"/>
    </row>
    <row r="931" spans="1:35" ht="12.75" thickBot="1">
      <c r="A931" s="492" t="s">
        <v>391</v>
      </c>
      <c r="B931" s="415" t="b">
        <f>D928+D929+D930=D931</f>
        <v>1</v>
      </c>
      <c r="C931" s="493" t="s">
        <v>479</v>
      </c>
      <c r="D931" s="494">
        <f>D927+D930</f>
        <v>0</v>
      </c>
      <c r="E931" s="494">
        <f>E927+E930</f>
        <v>0</v>
      </c>
      <c r="J931" s="476"/>
      <c r="K931" s="472"/>
      <c r="L931" s="473" t="str">
        <f>IF($J931="","SPC 없음",VLOOKUP($J931&amp;"SPC명",개요!$A$3:$E$1932,3,0))</f>
        <v>SPC 없음</v>
      </c>
      <c r="M931" s="474" t="str">
        <f>IF($J931="","SPC 없음",VLOOKUP($J931&amp;"설정일",개요!$A$3:$E$1932,3,0))</f>
        <v>SPC 없음</v>
      </c>
      <c r="N931" s="475" t="str">
        <f t="shared" si="297"/>
        <v>SPC 없음</v>
      </c>
      <c r="O931" s="471"/>
      <c r="P931" s="476"/>
      <c r="Q931" s="477"/>
      <c r="R931" s="478"/>
      <c r="S931" s="479" t="str">
        <f t="shared" si="298"/>
        <v>SPC 없음</v>
      </c>
      <c r="T931" s="471"/>
      <c r="U931" s="471" t="s">
        <v>94</v>
      </c>
      <c r="V931" s="480">
        <f>IF(U931="한국 원화(KRW)",1,IF(OR(U931=환율!$A$6,U931=환율!$A$7),VLOOKUP(NAV!U931,환율!$A$6:$B$7,2,),IF(RIGHT(U931,5)="(100)",(VLOOKUP(NAV!U931,환율!$A$11:$B$65,2,))/100,VLOOKUP(NAV!U931,환율!$A$11:$B$65,2,))))</f>
        <v>1</v>
      </c>
      <c r="W931" s="481"/>
      <c r="X931" s="482">
        <f t="shared" si="299"/>
        <v>0</v>
      </c>
      <c r="Y931" s="481"/>
      <c r="Z931" s="481"/>
      <c r="AA931" s="483">
        <f t="shared" si="300"/>
        <v>0</v>
      </c>
      <c r="AE931" s="484" t="str">
        <f t="shared" si="301"/>
        <v>SPC 없음</v>
      </c>
      <c r="AF931" s="484" t="str">
        <f t="shared" si="302"/>
        <v>SPC 없음</v>
      </c>
      <c r="AG931" s="485"/>
      <c r="AH931" s="485"/>
      <c r="AI931" s="404"/>
    </row>
    <row r="932" spans="1:35" ht="12.75" thickBot="1">
      <c r="A932" s="492"/>
      <c r="B932" s="496"/>
      <c r="C932" s="468" t="s">
        <v>18</v>
      </c>
      <c r="D932" s="469">
        <f>SUM(D933:D936)</f>
        <v>0</v>
      </c>
      <c r="E932" s="469">
        <f>SUM(E933:E936)</f>
        <v>0</v>
      </c>
      <c r="J932" s="476"/>
      <c r="K932" s="472"/>
      <c r="L932" s="473" t="str">
        <f>IF($J932="","SPC 없음",VLOOKUP($J932&amp;"SPC명",개요!$A$3:$E$1932,3,0))</f>
        <v>SPC 없음</v>
      </c>
      <c r="M932" s="474" t="str">
        <f>IF($J932="","SPC 없음",VLOOKUP($J932&amp;"설정일",개요!$A$3:$E$1932,3,0))</f>
        <v>SPC 없음</v>
      </c>
      <c r="N932" s="475" t="str">
        <f t="shared" si="297"/>
        <v>SPC 없음</v>
      </c>
      <c r="O932" s="471"/>
      <c r="P932" s="476"/>
      <c r="Q932" s="477"/>
      <c r="R932" s="478"/>
      <c r="S932" s="479" t="str">
        <f t="shared" si="298"/>
        <v>SPC 없음</v>
      </c>
      <c r="T932" s="471"/>
      <c r="U932" s="471" t="s">
        <v>94</v>
      </c>
      <c r="V932" s="480">
        <f>IF(U932="한국 원화(KRW)",1,IF(OR(U932=환율!$A$6,U932=환율!$A$7),VLOOKUP(NAV!U932,환율!$A$6:$B$7,2,),IF(RIGHT(U932,5)="(100)",(VLOOKUP(NAV!U932,환율!$A$11:$B$65,2,))/100,VLOOKUP(NAV!U932,환율!$A$11:$B$65,2,))))</f>
        <v>1</v>
      </c>
      <c r="W932" s="481"/>
      <c r="X932" s="482">
        <f t="shared" si="299"/>
        <v>0</v>
      </c>
      <c r="Y932" s="481"/>
      <c r="Z932" s="481"/>
      <c r="AA932" s="483">
        <f t="shared" si="300"/>
        <v>0</v>
      </c>
      <c r="AE932" s="484" t="str">
        <f t="shared" si="301"/>
        <v>SPC 없음</v>
      </c>
      <c r="AF932" s="484" t="str">
        <f t="shared" si="302"/>
        <v>SPC 없음</v>
      </c>
      <c r="AG932" s="485"/>
      <c r="AH932" s="485"/>
      <c r="AI932" s="404"/>
    </row>
    <row r="933" spans="1:35">
      <c r="A933" s="492"/>
      <c r="B933" s="496"/>
      <c r="C933" s="486" t="s">
        <v>638</v>
      </c>
      <c r="D933" s="487">
        <f>SUMIF(FS!$C$89:$C$119,개요!$B$289&amp;RIGHT(NAV!C933,5),FS!$F$89:$F$119)</f>
        <v>0</v>
      </c>
      <c r="E933" s="487">
        <f>D933</f>
        <v>0</v>
      </c>
      <c r="J933" s="428" t="s">
        <v>276</v>
      </c>
      <c r="K933" s="415"/>
      <c r="L933" s="305"/>
      <c r="M933" s="415"/>
      <c r="N933" s="415"/>
      <c r="O933" s="415"/>
      <c r="P933" s="415"/>
      <c r="Q933" s="422"/>
      <c r="R933" s="415"/>
      <c r="S933" s="415"/>
      <c r="T933" s="415"/>
      <c r="U933" s="415"/>
      <c r="W933" s="517" t="b">
        <f>SUM(W935:W945)+SUM(W927:W932)=D930</f>
        <v>1</v>
      </c>
      <c r="X933" s="415"/>
      <c r="Y933" s="422"/>
      <c r="Z933" s="422"/>
      <c r="AA933" s="459" t="str">
        <f>IF(OR(MAX(AA927:AA932,AA935:AA945)&gt;0.2,MIN(AA927:AA932,AA935:AA945)&lt;-0.2),"특이사항 확인","특이사항 없음")</f>
        <v>특이사항 없음</v>
      </c>
      <c r="AB933" s="415"/>
      <c r="AF933" s="415"/>
      <c r="AG933" s="415"/>
      <c r="AI933" s="404"/>
    </row>
    <row r="934" spans="1:35" ht="12.75" thickBot="1">
      <c r="A934" s="492"/>
      <c r="B934" s="496"/>
      <c r="C934" s="486" t="s">
        <v>36</v>
      </c>
      <c r="D934" s="487">
        <f>SUMIF(FS!$C$89:$C$119,개요!$B$289&amp;RIGHT(NAV!C934,3),FS!$F$89:$F$119)</f>
        <v>0</v>
      </c>
      <c r="E934" s="487">
        <f t="shared" ref="E934:E935" si="303">D934</f>
        <v>0</v>
      </c>
      <c r="I934" s="518">
        <f>COUNTA(J935:J945)</f>
        <v>0</v>
      </c>
      <c r="J934" s="548" t="s">
        <v>265</v>
      </c>
      <c r="K934" s="548" t="s">
        <v>0</v>
      </c>
      <c r="L934" s="548" t="s">
        <v>395</v>
      </c>
      <c r="M934" s="548" t="s">
        <v>83</v>
      </c>
      <c r="N934" s="548" t="s">
        <v>397</v>
      </c>
      <c r="O934" s="548" t="s">
        <v>221</v>
      </c>
      <c r="P934" s="548" t="s">
        <v>380</v>
      </c>
      <c r="Q934" s="519" t="s">
        <v>14</v>
      </c>
      <c r="R934" s="466" t="s">
        <v>299</v>
      </c>
      <c r="S934" s="466" t="s">
        <v>3525</v>
      </c>
      <c r="T934" s="549" t="s">
        <v>12</v>
      </c>
      <c r="U934" s="548" t="s">
        <v>72</v>
      </c>
      <c r="V934" s="548" t="s">
        <v>400</v>
      </c>
      <c r="W934" s="550" t="s">
        <v>10</v>
      </c>
      <c r="X934" s="549" t="s">
        <v>42</v>
      </c>
      <c r="Y934" s="550" t="s">
        <v>300</v>
      </c>
      <c r="Z934" s="550" t="s">
        <v>3523</v>
      </c>
      <c r="AA934" s="548" t="s">
        <v>13</v>
      </c>
      <c r="AB934" s="548" t="s">
        <v>15</v>
      </c>
      <c r="AC934" s="548" t="s">
        <v>40</v>
      </c>
      <c r="AE934" s="467" t="s">
        <v>3627</v>
      </c>
      <c r="AF934" s="467" t="s">
        <v>3628</v>
      </c>
      <c r="AG934" s="467" t="s">
        <v>3629</v>
      </c>
      <c r="AH934" s="467" t="s">
        <v>3630</v>
      </c>
      <c r="AI934" s="404"/>
    </row>
    <row r="935" spans="1:35" ht="12.75" thickBot="1">
      <c r="A935" s="492"/>
      <c r="B935" s="496"/>
      <c r="C935" s="486" t="s">
        <v>37</v>
      </c>
      <c r="D935" s="487">
        <f>SUMIF(FS!$C$89:$C$119,개요!$B$289&amp;RIGHT(NAV!C935,6),FS!$F$89:$F$119)</f>
        <v>0</v>
      </c>
      <c r="E935" s="487">
        <f t="shared" si="303"/>
        <v>0</v>
      </c>
      <c r="J935" s="551"/>
      <c r="K935" s="552"/>
      <c r="L935" s="551"/>
      <c r="M935" s="553"/>
      <c r="N935" s="553"/>
      <c r="O935" s="551"/>
      <c r="P935" s="553"/>
      <c r="Q935" s="524"/>
      <c r="R935" s="478">
        <f>IFERROR(INDEX(기초자산!M$6:M$408,MATCH(K935&amp;N935&amp;O935,기초자산!$A$6:$A$408,0),0),0)</f>
        <v>0</v>
      </c>
      <c r="S935" s="479">
        <f t="shared" ref="S935:S945" si="304">IFERROR(IF(T935="취득원가 준용",Y935,IF(T935="장부가액 준용",W935,IF(P935="주당",R935*Q935*V935,IF(RIGHT(U935,5)="(100)",Y935/1000*R935*V935,Y935/10000*R935*V935)))),0)</f>
        <v>0</v>
      </c>
      <c r="T935" s="553"/>
      <c r="U935" s="471" t="s">
        <v>94</v>
      </c>
      <c r="V935" s="480">
        <f>IF(U935="한국 원화(KRW)",1,IF(OR(U935=환율!$A$6,U935=환율!$A$7),VLOOKUP(NAV!U935,환율!$A$6:$B$7,2,),IF(RIGHT(U935,5)="(100)",(VLOOKUP(NAV!U935,환율!$A$11:$B$65,2,))/100,VLOOKUP(NAV!U935,환율!$A$11:$B$65,2,))))</f>
        <v>1</v>
      </c>
      <c r="W935" s="481"/>
      <c r="X935" s="482">
        <f t="shared" ref="X935:X945" si="305">IFERROR(IF(P935="만원당",10000,Y935/Q935),0)</f>
        <v>0</v>
      </c>
      <c r="Y935" s="481"/>
      <c r="Z935" s="481"/>
      <c r="AA935" s="483">
        <f t="shared" ref="AA935:AA945" si="306">IFERROR(IF(Z935="",S935/W935-1,S935/Z935-1),0)</f>
        <v>0</v>
      </c>
      <c r="AB935" s="554"/>
      <c r="AC935" s="526" t="str">
        <f t="shared" ref="AC935:AC945" si="307">IF(($C$7-AB935)/365&gt;2,"2년이상","2년미만")</f>
        <v>2년이상</v>
      </c>
      <c r="AD935" s="520" t="str">
        <f t="shared" ref="AD935:AD945" si="308">IF(OR(AA935&gt;20%,AA935&lt;-20%),"(1) Note 기재","")</f>
        <v/>
      </c>
      <c r="AE935" s="527">
        <f>IF(OR(T935="MTP",T935="과거거래 이용법",T935="취득원가 준용",T935="장부가액 준용",T935="상장종가 적용"),S935,IF(P935="주당",AG935*Q935*V935,Y935/10000*AG935*V935))</f>
        <v>0</v>
      </c>
      <c r="AF935" s="527">
        <f>IF(OR(T935="MTP",T935="과거거래 이용법",T935="취득원가 준용",T935="장부가액 준용",T935="상장종가 적용"),S935,IF(P935="주당",AH935*Q935*V935,Y935/10000*AH935*V935))</f>
        <v>0</v>
      </c>
      <c r="AG935" s="485"/>
      <c r="AH935" s="485"/>
      <c r="AI935" s="404"/>
    </row>
    <row r="936" spans="1:35" ht="12.75" thickBot="1">
      <c r="A936" s="492"/>
      <c r="B936" s="496"/>
      <c r="C936" s="486" t="s">
        <v>405</v>
      </c>
      <c r="D936" s="487">
        <f>SUMIF(FS!$C$89:$C$119,개요!$B$289&amp;RIGHT(NAV!C936,7),FS!$F$89:$F$119)</f>
        <v>0</v>
      </c>
      <c r="E936" s="487">
        <f>D936</f>
        <v>0</v>
      </c>
      <c r="J936" s="551"/>
      <c r="K936" s="552"/>
      <c r="L936" s="551"/>
      <c r="M936" s="553"/>
      <c r="N936" s="553"/>
      <c r="O936" s="551"/>
      <c r="P936" s="553"/>
      <c r="Q936" s="524"/>
      <c r="R936" s="478">
        <f>IFERROR(INDEX(기초자산!M$6:M$408,MATCH(K936&amp;N936&amp;O936,기초자산!$A$6:$A$408,0),0),0)</f>
        <v>0</v>
      </c>
      <c r="S936" s="479">
        <f t="shared" si="304"/>
        <v>0</v>
      </c>
      <c r="T936" s="553"/>
      <c r="U936" s="471" t="s">
        <v>94</v>
      </c>
      <c r="V936" s="480">
        <f>IF(U936="한국 원화(KRW)",1,IF(OR(U936=환율!$A$6,U936=환율!$A$7),VLOOKUP(NAV!U936,환율!$A$6:$B$7,2,),IF(RIGHT(U936,5)="(100)",(VLOOKUP(NAV!U936,환율!$A$11:$B$65,2,))/100,VLOOKUP(NAV!U936,환율!$A$11:$B$65,2,))))</f>
        <v>1</v>
      </c>
      <c r="W936" s="481"/>
      <c r="X936" s="482">
        <f t="shared" si="305"/>
        <v>0</v>
      </c>
      <c r="Y936" s="481"/>
      <c r="Z936" s="481"/>
      <c r="AA936" s="483">
        <f t="shared" si="306"/>
        <v>0</v>
      </c>
      <c r="AB936" s="554"/>
      <c r="AC936" s="526" t="str">
        <f t="shared" si="307"/>
        <v>2년이상</v>
      </c>
      <c r="AD936" s="520" t="str">
        <f t="shared" si="308"/>
        <v/>
      </c>
      <c r="AE936" s="527">
        <f t="shared" ref="AE936:AE945" si="309">IF(OR(T936="MTP",T936="과거거래 이용법",T936="취득원가 준용",T936="장부가액 준용",T936="상장종가 적용"),S936,IF(P936="주당",AG936*Q936*V936,Y936/10000*AG936*V936))</f>
        <v>0</v>
      </c>
      <c r="AF936" s="527">
        <f t="shared" ref="AF936:AF945" si="310">IF(OR(T936="MTP",T936="과거거래 이용법",T936="취득원가 준용",T936="장부가액 준용",T936="상장종가 적용"),S936,IF(P936="주당",AH936*Q936*V936,Y936/10000*AH936*V936))</f>
        <v>0</v>
      </c>
      <c r="AG936" s="485"/>
      <c r="AH936" s="485"/>
      <c r="AI936" s="404"/>
    </row>
    <row r="937" spans="1:35" ht="12.75" thickBot="1">
      <c r="A937" s="492"/>
      <c r="B937" s="496"/>
      <c r="C937" s="468" t="s">
        <v>21</v>
      </c>
      <c r="D937" s="469">
        <f>SUM(D938:D939)</f>
        <v>0</v>
      </c>
      <c r="E937" s="469">
        <f>SUM(E938:E939)</f>
        <v>0</v>
      </c>
      <c r="J937" s="551"/>
      <c r="K937" s="552"/>
      <c r="L937" s="551"/>
      <c r="M937" s="553"/>
      <c r="N937" s="553"/>
      <c r="O937" s="551"/>
      <c r="P937" s="553"/>
      <c r="Q937" s="524"/>
      <c r="R937" s="478">
        <f>IFERROR(INDEX(기초자산!M$6:M$408,MATCH(K937&amp;N937&amp;O937,기초자산!$A$6:$A$408,0),0),0)</f>
        <v>0</v>
      </c>
      <c r="S937" s="479">
        <f t="shared" si="304"/>
        <v>0</v>
      </c>
      <c r="T937" s="553"/>
      <c r="U937" s="471" t="s">
        <v>94</v>
      </c>
      <c r="V937" s="480">
        <f>IF(U937="한국 원화(KRW)",1,IF(OR(U937=환율!$A$6,U937=환율!$A$7),VLOOKUP(NAV!U937,환율!$A$6:$B$7,2,),IF(RIGHT(U937,5)="(100)",(VLOOKUP(NAV!U937,환율!$A$11:$B$65,2,))/100,VLOOKUP(NAV!U937,환율!$A$11:$B$65,2,))))</f>
        <v>1</v>
      </c>
      <c r="W937" s="481"/>
      <c r="X937" s="482">
        <f t="shared" si="305"/>
        <v>0</v>
      </c>
      <c r="Y937" s="481"/>
      <c r="Z937" s="481"/>
      <c r="AA937" s="483">
        <f t="shared" si="306"/>
        <v>0</v>
      </c>
      <c r="AB937" s="554"/>
      <c r="AC937" s="526" t="str">
        <f t="shared" si="307"/>
        <v>2년이상</v>
      </c>
      <c r="AD937" s="520" t="str">
        <f t="shared" si="308"/>
        <v/>
      </c>
      <c r="AE937" s="527">
        <f t="shared" si="309"/>
        <v>0</v>
      </c>
      <c r="AF937" s="527">
        <f t="shared" si="310"/>
        <v>0</v>
      </c>
      <c r="AG937" s="485"/>
      <c r="AH937" s="485"/>
      <c r="AI937" s="404"/>
    </row>
    <row r="938" spans="1:35" ht="12.75" thickBot="1">
      <c r="A938" s="492"/>
      <c r="B938" s="496"/>
      <c r="C938" s="486" t="s">
        <v>406</v>
      </c>
      <c r="D938" s="487">
        <f>SUMIF(FS!$C$89:$C$119,개요!$B$289&amp;RIGHT(NAV!C938,3),FS!$F$89:$F$119)</f>
        <v>0</v>
      </c>
      <c r="E938" s="487">
        <f>D938</f>
        <v>0</v>
      </c>
      <c r="J938" s="551"/>
      <c r="K938" s="552"/>
      <c r="L938" s="551"/>
      <c r="M938" s="553"/>
      <c r="N938" s="553"/>
      <c r="O938" s="551"/>
      <c r="P938" s="553"/>
      <c r="Q938" s="524"/>
      <c r="R938" s="478">
        <f>IFERROR(INDEX(기초자산!M$6:M$408,MATCH(K938&amp;N938&amp;O938,기초자산!$A$6:$A$408,0),0),0)</f>
        <v>0</v>
      </c>
      <c r="S938" s="479">
        <f t="shared" si="304"/>
        <v>0</v>
      </c>
      <c r="T938" s="553"/>
      <c r="U938" s="471" t="s">
        <v>94</v>
      </c>
      <c r="V938" s="480">
        <f>IF(U938="한국 원화(KRW)",1,IF(OR(U938=환율!$A$6,U938=환율!$A$7),VLOOKUP(NAV!U938,환율!$A$6:$B$7,2,),IF(RIGHT(U938,5)="(100)",(VLOOKUP(NAV!U938,환율!$A$11:$B$65,2,))/100,VLOOKUP(NAV!U938,환율!$A$11:$B$65,2,))))</f>
        <v>1</v>
      </c>
      <c r="W938" s="481"/>
      <c r="X938" s="482">
        <f t="shared" si="305"/>
        <v>0</v>
      </c>
      <c r="Y938" s="481"/>
      <c r="Z938" s="481"/>
      <c r="AA938" s="483">
        <f t="shared" si="306"/>
        <v>0</v>
      </c>
      <c r="AB938" s="554"/>
      <c r="AC938" s="526" t="str">
        <f t="shared" si="307"/>
        <v>2년이상</v>
      </c>
      <c r="AD938" s="520" t="str">
        <f t="shared" si="308"/>
        <v/>
      </c>
      <c r="AE938" s="527">
        <f t="shared" si="309"/>
        <v>0</v>
      </c>
      <c r="AF938" s="527">
        <f t="shared" si="310"/>
        <v>0</v>
      </c>
      <c r="AG938" s="485"/>
      <c r="AH938" s="485"/>
      <c r="AI938" s="404"/>
    </row>
    <row r="939" spans="1:35" ht="12.75" thickBot="1">
      <c r="A939" s="492"/>
      <c r="B939" s="496"/>
      <c r="C939" s="486" t="s">
        <v>407</v>
      </c>
      <c r="D939" s="487">
        <f>SUMIF(FS!$C$89:$C$119,개요!$B$289&amp;RIGHT(NAV!C939,4),FS!$F$89:$F$119)</f>
        <v>0</v>
      </c>
      <c r="E939" s="487">
        <f>D939</f>
        <v>0</v>
      </c>
      <c r="J939" s="551"/>
      <c r="K939" s="552"/>
      <c r="L939" s="551"/>
      <c r="M939" s="553"/>
      <c r="N939" s="553"/>
      <c r="O939" s="551"/>
      <c r="P939" s="553"/>
      <c r="Q939" s="524"/>
      <c r="R939" s="478">
        <f>IFERROR(INDEX(기초자산!M$6:M$408,MATCH(K939&amp;N939&amp;O939,기초자산!$A$6:$A$408,0),0),0)</f>
        <v>0</v>
      </c>
      <c r="S939" s="479">
        <f t="shared" si="304"/>
        <v>0</v>
      </c>
      <c r="T939" s="553"/>
      <c r="U939" s="471" t="s">
        <v>94</v>
      </c>
      <c r="V939" s="480">
        <f>IF(U939="한국 원화(KRW)",1,IF(OR(U939=환율!$A$6,U939=환율!$A$7),VLOOKUP(NAV!U939,환율!$A$6:$B$7,2,),IF(RIGHT(U939,5)="(100)",(VLOOKUP(NAV!U939,환율!$A$11:$B$65,2,))/100,VLOOKUP(NAV!U939,환율!$A$11:$B$65,2,))))</f>
        <v>1</v>
      </c>
      <c r="W939" s="481"/>
      <c r="X939" s="482">
        <f t="shared" si="305"/>
        <v>0</v>
      </c>
      <c r="Y939" s="481"/>
      <c r="Z939" s="481"/>
      <c r="AA939" s="483">
        <f t="shared" si="306"/>
        <v>0</v>
      </c>
      <c r="AB939" s="554"/>
      <c r="AC939" s="526" t="str">
        <f t="shared" si="307"/>
        <v>2년이상</v>
      </c>
      <c r="AD939" s="520" t="str">
        <f t="shared" si="308"/>
        <v/>
      </c>
      <c r="AE939" s="527">
        <f t="shared" si="309"/>
        <v>0</v>
      </c>
      <c r="AF939" s="527">
        <f t="shared" si="310"/>
        <v>0</v>
      </c>
      <c r="AG939" s="485"/>
      <c r="AH939" s="485"/>
      <c r="AI939" s="404"/>
    </row>
    <row r="940" spans="1:35" ht="12.75" thickBot="1">
      <c r="A940" s="489" t="s">
        <v>408</v>
      </c>
      <c r="B940" s="498" t="b">
        <f>D933+D934+D935+D936+D938+D939=D940</f>
        <v>1</v>
      </c>
      <c r="C940" s="493" t="s">
        <v>477</v>
      </c>
      <c r="D940" s="494">
        <f>D932+D937</f>
        <v>0</v>
      </c>
      <c r="E940" s="494">
        <f>E932+E937</f>
        <v>0</v>
      </c>
      <c r="J940" s="551"/>
      <c r="K940" s="552"/>
      <c r="L940" s="551"/>
      <c r="M940" s="553"/>
      <c r="N940" s="553"/>
      <c r="O940" s="551"/>
      <c r="P940" s="553"/>
      <c r="Q940" s="524"/>
      <c r="R940" s="478">
        <f>IFERROR(INDEX(기초자산!M$6:M$408,MATCH(K940&amp;N940&amp;O940,기초자산!$A$6:$A$408,0),0),0)</f>
        <v>0</v>
      </c>
      <c r="S940" s="479">
        <f t="shared" si="304"/>
        <v>0</v>
      </c>
      <c r="T940" s="553"/>
      <c r="U940" s="471" t="s">
        <v>94</v>
      </c>
      <c r="V940" s="480">
        <f>IF(U940="한국 원화(KRW)",1,IF(OR(U940=환율!$A$6,U940=환율!$A$7),VLOOKUP(NAV!U940,환율!$A$6:$B$7,2,),IF(RIGHT(U940,5)="(100)",(VLOOKUP(NAV!U940,환율!$A$11:$B$65,2,))/100,VLOOKUP(NAV!U940,환율!$A$11:$B$65,2,))))</f>
        <v>1</v>
      </c>
      <c r="W940" s="481"/>
      <c r="X940" s="482">
        <f t="shared" si="305"/>
        <v>0</v>
      </c>
      <c r="Y940" s="481"/>
      <c r="Z940" s="481"/>
      <c r="AA940" s="483">
        <f t="shared" si="306"/>
        <v>0</v>
      </c>
      <c r="AB940" s="554"/>
      <c r="AC940" s="526" t="str">
        <f t="shared" si="307"/>
        <v>2년이상</v>
      </c>
      <c r="AD940" s="520" t="str">
        <f t="shared" si="308"/>
        <v/>
      </c>
      <c r="AE940" s="527">
        <f t="shared" si="309"/>
        <v>0</v>
      </c>
      <c r="AF940" s="527">
        <f t="shared" si="310"/>
        <v>0</v>
      </c>
      <c r="AG940" s="485"/>
      <c r="AH940" s="485"/>
      <c r="AI940" s="404"/>
    </row>
    <row r="941" spans="1:35" ht="12.75" thickBot="1">
      <c r="A941" s="492"/>
      <c r="B941" s="555" t="str">
        <f>B921&amp;C941</f>
        <v>SPC없음자본금</v>
      </c>
      <c r="C941" s="486" t="s">
        <v>35</v>
      </c>
      <c r="D941" s="487">
        <f>SUMIF(FS!$C$89:$C$119,개요!$B$289&amp;RIGHT(NAV!C941,3),FS!$F$89:$F$119)</f>
        <v>0</v>
      </c>
      <c r="E941" s="487">
        <f>D941</f>
        <v>0</v>
      </c>
      <c r="J941" s="551"/>
      <c r="K941" s="552"/>
      <c r="L941" s="551"/>
      <c r="M941" s="553"/>
      <c r="N941" s="553"/>
      <c r="O941" s="551"/>
      <c r="P941" s="553"/>
      <c r="Q941" s="524"/>
      <c r="R941" s="478">
        <f>IFERROR(INDEX(기초자산!M$6:M$408,MATCH(K941&amp;N941&amp;O941,기초자산!$A$6:$A$408,0),0),0)</f>
        <v>0</v>
      </c>
      <c r="S941" s="479">
        <f t="shared" si="304"/>
        <v>0</v>
      </c>
      <c r="T941" s="553"/>
      <c r="U941" s="471" t="s">
        <v>94</v>
      </c>
      <c r="V941" s="480">
        <f>IF(U941="한국 원화(KRW)",1,IF(OR(U941=환율!$A$6,U941=환율!$A$7),VLOOKUP(NAV!U941,환율!$A$6:$B$7,2,),IF(RIGHT(U941,5)="(100)",(VLOOKUP(NAV!U941,환율!$A$11:$B$65,2,))/100,VLOOKUP(NAV!U941,환율!$A$11:$B$65,2,))))</f>
        <v>1</v>
      </c>
      <c r="W941" s="481"/>
      <c r="X941" s="482">
        <f t="shared" si="305"/>
        <v>0</v>
      </c>
      <c r="Y941" s="481"/>
      <c r="Z941" s="481"/>
      <c r="AA941" s="483">
        <f t="shared" si="306"/>
        <v>0</v>
      </c>
      <c r="AB941" s="554"/>
      <c r="AC941" s="526" t="str">
        <f t="shared" si="307"/>
        <v>2년이상</v>
      </c>
      <c r="AD941" s="520" t="str">
        <f t="shared" si="308"/>
        <v/>
      </c>
      <c r="AE941" s="527">
        <f t="shared" si="309"/>
        <v>0</v>
      </c>
      <c r="AF941" s="527">
        <f t="shared" si="310"/>
        <v>0</v>
      </c>
      <c r="AG941" s="485"/>
      <c r="AH941" s="485"/>
      <c r="AI941" s="404"/>
    </row>
    <row r="942" spans="1:35" ht="12.75" thickBot="1">
      <c r="C942" s="486" t="s">
        <v>120</v>
      </c>
      <c r="D942" s="487">
        <f>SUMIF(FS!$C$89:$C$119,개요!$B$289&amp;RIGHT(NAV!C942,10),FS!$F$89:$F$119)</f>
        <v>0</v>
      </c>
      <c r="E942" s="487">
        <f>D942</f>
        <v>0</v>
      </c>
      <c r="J942" s="551"/>
      <c r="K942" s="552"/>
      <c r="L942" s="551"/>
      <c r="M942" s="553"/>
      <c r="N942" s="553"/>
      <c r="O942" s="551"/>
      <c r="P942" s="553"/>
      <c r="Q942" s="524"/>
      <c r="R942" s="478">
        <f>IFERROR(INDEX(기초자산!M$6:M$408,MATCH(K942&amp;N942&amp;O942,기초자산!$A$6:$A$408,0),0),0)</f>
        <v>0</v>
      </c>
      <c r="S942" s="479">
        <f t="shared" si="304"/>
        <v>0</v>
      </c>
      <c r="T942" s="553"/>
      <c r="U942" s="471" t="s">
        <v>94</v>
      </c>
      <c r="V942" s="480">
        <f>IF(U942="한국 원화(KRW)",1,IF(OR(U942=환율!$A$6,U942=환율!$A$7),VLOOKUP(NAV!U942,환율!$A$6:$B$7,2,),IF(RIGHT(U942,5)="(100)",(VLOOKUP(NAV!U942,환율!$A$11:$B$65,2,))/100,VLOOKUP(NAV!U942,환율!$A$11:$B$65,2,))))</f>
        <v>1</v>
      </c>
      <c r="W942" s="481"/>
      <c r="X942" s="482">
        <f t="shared" si="305"/>
        <v>0</v>
      </c>
      <c r="Y942" s="481"/>
      <c r="Z942" s="481"/>
      <c r="AA942" s="483">
        <f t="shared" si="306"/>
        <v>0</v>
      </c>
      <c r="AB942" s="554"/>
      <c r="AC942" s="526" t="str">
        <f t="shared" si="307"/>
        <v>2년이상</v>
      </c>
      <c r="AD942" s="520" t="str">
        <f t="shared" si="308"/>
        <v/>
      </c>
      <c r="AE942" s="527">
        <f t="shared" si="309"/>
        <v>0</v>
      </c>
      <c r="AF942" s="527">
        <f t="shared" si="310"/>
        <v>0</v>
      </c>
      <c r="AG942" s="485"/>
      <c r="AH942" s="485"/>
      <c r="AI942" s="404"/>
    </row>
    <row r="943" spans="1:35" ht="12.75" thickBot="1">
      <c r="A943" s="489"/>
      <c r="B943" s="415"/>
      <c r="C943" s="486" t="s">
        <v>122</v>
      </c>
      <c r="D943" s="487">
        <f>SUMIF(FS!$C$89:$C$119,개요!$B$289&amp;RIGHT(NAV!C943,8),FS!$F$89:$F$119)</f>
        <v>0</v>
      </c>
      <c r="E943" s="487">
        <f>D943</f>
        <v>0</v>
      </c>
      <c r="J943" s="551"/>
      <c r="K943" s="552"/>
      <c r="L943" s="551"/>
      <c r="M943" s="553"/>
      <c r="N943" s="553"/>
      <c r="O943" s="551"/>
      <c r="P943" s="553"/>
      <c r="Q943" s="524"/>
      <c r="R943" s="478">
        <f>IFERROR(INDEX(기초자산!M$6:M$408,MATCH(K943&amp;N943&amp;O943,기초자산!$A$6:$A$408,0),0),0)</f>
        <v>0</v>
      </c>
      <c r="S943" s="479">
        <f t="shared" si="304"/>
        <v>0</v>
      </c>
      <c r="T943" s="553"/>
      <c r="U943" s="471" t="s">
        <v>94</v>
      </c>
      <c r="V943" s="480">
        <f>IF(U943="한국 원화(KRW)",1,IF(OR(U943=환율!$A$6,U943=환율!$A$7),VLOOKUP(NAV!U943,환율!$A$6:$B$7,2,),IF(RIGHT(U943,5)="(100)",(VLOOKUP(NAV!U943,환율!$A$11:$B$65,2,))/100,VLOOKUP(NAV!U943,환율!$A$11:$B$65,2,))))</f>
        <v>1</v>
      </c>
      <c r="W943" s="481"/>
      <c r="X943" s="482">
        <f t="shared" si="305"/>
        <v>0</v>
      </c>
      <c r="Y943" s="481"/>
      <c r="Z943" s="481"/>
      <c r="AA943" s="483">
        <f t="shared" si="306"/>
        <v>0</v>
      </c>
      <c r="AB943" s="554"/>
      <c r="AC943" s="526" t="str">
        <f t="shared" si="307"/>
        <v>2년이상</v>
      </c>
      <c r="AD943" s="520" t="str">
        <f t="shared" si="308"/>
        <v/>
      </c>
      <c r="AE943" s="527">
        <f t="shared" si="309"/>
        <v>0</v>
      </c>
      <c r="AF943" s="527">
        <f t="shared" si="310"/>
        <v>0</v>
      </c>
      <c r="AG943" s="485"/>
      <c r="AH943" s="485"/>
      <c r="AI943" s="404"/>
    </row>
    <row r="944" spans="1:35" ht="12.75" thickBot="1">
      <c r="A944" s="489" t="s">
        <v>411</v>
      </c>
      <c r="B944" s="415" t="b">
        <f>D944=SUM(D941:D943)</f>
        <v>1</v>
      </c>
      <c r="C944" s="493" t="s">
        <v>79</v>
      </c>
      <c r="D944" s="494">
        <f>D931-D940</f>
        <v>0</v>
      </c>
      <c r="E944" s="494">
        <f>E931-E940</f>
        <v>0</v>
      </c>
      <c r="J944" s="551"/>
      <c r="K944" s="552"/>
      <c r="L944" s="551"/>
      <c r="M944" s="553"/>
      <c r="N944" s="553"/>
      <c r="O944" s="551"/>
      <c r="P944" s="553"/>
      <c r="Q944" s="524"/>
      <c r="R944" s="478">
        <f>IFERROR(INDEX(기초자산!M$6:M$408,MATCH(K944&amp;N944&amp;O944,기초자산!$A$6:$A$408,0),0),0)</f>
        <v>0</v>
      </c>
      <c r="S944" s="479">
        <f t="shared" si="304"/>
        <v>0</v>
      </c>
      <c r="T944" s="553"/>
      <c r="U944" s="471" t="s">
        <v>94</v>
      </c>
      <c r="V944" s="480">
        <f>IF(U944="한국 원화(KRW)",1,IF(OR(U944=환율!$A$6,U944=환율!$A$7),VLOOKUP(NAV!U944,환율!$A$6:$B$7,2,),IF(RIGHT(U944,5)="(100)",(VLOOKUP(NAV!U944,환율!$A$11:$B$65,2,))/100,VLOOKUP(NAV!U944,환율!$A$11:$B$65,2,))))</f>
        <v>1</v>
      </c>
      <c r="W944" s="481"/>
      <c r="X944" s="482">
        <f t="shared" si="305"/>
        <v>0</v>
      </c>
      <c r="Y944" s="481"/>
      <c r="Z944" s="481"/>
      <c r="AA944" s="483">
        <f t="shared" si="306"/>
        <v>0</v>
      </c>
      <c r="AB944" s="554"/>
      <c r="AC944" s="526" t="str">
        <f t="shared" si="307"/>
        <v>2년이상</v>
      </c>
      <c r="AD944" s="520" t="str">
        <f t="shared" si="308"/>
        <v/>
      </c>
      <c r="AE944" s="527">
        <f t="shared" si="309"/>
        <v>0</v>
      </c>
      <c r="AF944" s="527">
        <f t="shared" si="310"/>
        <v>0</v>
      </c>
      <c r="AG944" s="485"/>
      <c r="AH944" s="485"/>
      <c r="AI944" s="404"/>
    </row>
    <row r="945" spans="1:35" ht="12.75" thickBot="1">
      <c r="A945" s="489"/>
      <c r="B945" s="415"/>
      <c r="C945" s="486" t="s">
        <v>413</v>
      </c>
      <c r="D945" s="487">
        <v>0</v>
      </c>
      <c r="E945" s="499">
        <v>0</v>
      </c>
      <c r="J945" s="551"/>
      <c r="K945" s="552"/>
      <c r="L945" s="551"/>
      <c r="M945" s="553"/>
      <c r="N945" s="553"/>
      <c r="O945" s="551"/>
      <c r="P945" s="553"/>
      <c r="Q945" s="524"/>
      <c r="R945" s="478">
        <f>IFERROR(INDEX(기초자산!M$6:M$408,MATCH(K945&amp;N945&amp;O945,기초자산!$A$6:$A$408,0),0),0)</f>
        <v>0</v>
      </c>
      <c r="S945" s="479">
        <f t="shared" si="304"/>
        <v>0</v>
      </c>
      <c r="T945" s="553"/>
      <c r="U945" s="471" t="s">
        <v>94</v>
      </c>
      <c r="V945" s="480">
        <f>IF(U945="한국 원화(KRW)",1,IF(OR(U945=환율!$A$6,U945=환율!$A$7),VLOOKUP(NAV!U945,환율!$A$6:$B$7,2,),IF(RIGHT(U945,5)="(100)",(VLOOKUP(NAV!U945,환율!$A$11:$B$65,2,))/100,VLOOKUP(NAV!U945,환율!$A$11:$B$65,2,))))</f>
        <v>1</v>
      </c>
      <c r="W945" s="481"/>
      <c r="X945" s="482">
        <f t="shared" si="305"/>
        <v>0</v>
      </c>
      <c r="Y945" s="481"/>
      <c r="Z945" s="481"/>
      <c r="AA945" s="483">
        <f t="shared" si="306"/>
        <v>0</v>
      </c>
      <c r="AB945" s="554"/>
      <c r="AC945" s="526" t="str">
        <f t="shared" si="307"/>
        <v>2년이상</v>
      </c>
      <c r="AD945" s="520" t="str">
        <f t="shared" si="308"/>
        <v/>
      </c>
      <c r="AE945" s="527">
        <f t="shared" si="309"/>
        <v>0</v>
      </c>
      <c r="AF945" s="527">
        <f t="shared" si="310"/>
        <v>0</v>
      </c>
      <c r="AG945" s="485"/>
      <c r="AH945" s="485"/>
      <c r="AI945" s="404"/>
    </row>
    <row r="946" spans="1:35">
      <c r="A946" s="489"/>
      <c r="B946" s="415"/>
      <c r="C946" s="486" t="s">
        <v>414</v>
      </c>
      <c r="D946" s="487">
        <v>0</v>
      </c>
      <c r="E946" s="499">
        <v>0</v>
      </c>
      <c r="J946" s="495"/>
      <c r="K946" s="415"/>
      <c r="L946" s="495"/>
      <c r="M946" s="415"/>
      <c r="N946" s="415"/>
      <c r="O946" s="415"/>
      <c r="P946" s="415"/>
      <c r="Q946" s="422"/>
      <c r="R946" s="415"/>
      <c r="S946" s="415"/>
      <c r="T946" s="415"/>
      <c r="U946" s="415"/>
      <c r="V946" s="415"/>
      <c r="W946" s="422"/>
      <c r="X946" s="415"/>
      <c r="Y946" s="458"/>
      <c r="Z946" s="422"/>
      <c r="AA946" s="556"/>
      <c r="AB946" s="556"/>
      <c r="AC946" s="415"/>
      <c r="AE946" s="415"/>
      <c r="AI946" s="404"/>
    </row>
    <row r="947" spans="1:35">
      <c r="A947" s="489"/>
      <c r="B947" s="415"/>
      <c r="C947" s="493" t="s">
        <v>123</v>
      </c>
      <c r="D947" s="494">
        <f>D944+D945-D946</f>
        <v>0</v>
      </c>
      <c r="E947" s="494">
        <f>IF(E944+E945-E946&gt;0,E944+E945-E946,0)</f>
        <v>0</v>
      </c>
      <c r="J947" s="305"/>
      <c r="K947" s="415"/>
      <c r="L947" s="305"/>
      <c r="M947" s="415"/>
      <c r="N947" s="415"/>
      <c r="O947" s="415"/>
      <c r="S947" s="415"/>
      <c r="T947" s="415"/>
      <c r="U947" s="415"/>
      <c r="V947" s="415"/>
      <c r="Y947" s="458"/>
      <c r="AD947" s="557" t="str">
        <f>B921&amp;"순자산가치"</f>
        <v>SPC없음순자산가치</v>
      </c>
      <c r="AE947" s="529">
        <f>IF(E927+SUM(AE927:AE932)+SUM(AE935:AE945)-E940&gt;0,E927+SUM(AE927:AE932)+SUM(AE935:AE945)-E940,0)</f>
        <v>0</v>
      </c>
      <c r="AF947" s="529">
        <f>IF(E927+SUM(AF927:AF932)+SUM(AF935:AF945)-E940&gt;0,E927+SUM(AF927:AF932)+SUM(AF935:AF945)-E940,0)</f>
        <v>0</v>
      </c>
      <c r="AI947" s="404"/>
    </row>
    <row r="948" spans="1:35">
      <c r="A948" s="489"/>
      <c r="B948" s="558" t="str">
        <f>B921&amp;C948</f>
        <v>SPC없음보유지분율(%)</v>
      </c>
      <c r="C948" s="493" t="s">
        <v>416</v>
      </c>
      <c r="D948" s="559">
        <f>개요!$C$178</f>
        <v>0</v>
      </c>
      <c r="E948" s="494">
        <f>E947*D948</f>
        <v>0</v>
      </c>
      <c r="F948" s="560" t="s">
        <v>417</v>
      </c>
      <c r="G948" s="560"/>
      <c r="J948" s="495"/>
      <c r="K948" s="415"/>
      <c r="L948" s="495"/>
      <c r="M948" s="415"/>
      <c r="N948" s="415"/>
      <c r="O948" s="415"/>
      <c r="S948" s="415"/>
      <c r="T948" s="415"/>
      <c r="U948" s="415"/>
      <c r="V948" s="415"/>
      <c r="Y948" s="458"/>
      <c r="AD948" s="557" t="s">
        <v>272</v>
      </c>
      <c r="AE948" s="561">
        <f>$D948</f>
        <v>0</v>
      </c>
      <c r="AF948" s="561">
        <f>$D948</f>
        <v>0</v>
      </c>
      <c r="AI948" s="404"/>
    </row>
    <row r="949" spans="1:35">
      <c r="A949" s="489"/>
      <c r="B949" s="415"/>
      <c r="G949" s="503" t="s">
        <v>419</v>
      </c>
      <c r="I949" s="562"/>
      <c r="J949" s="495"/>
      <c r="K949" s="415"/>
      <c r="L949" s="495"/>
      <c r="M949" s="415"/>
      <c r="N949" s="415"/>
      <c r="O949" s="415"/>
      <c r="S949" s="415"/>
      <c r="T949" s="415"/>
      <c r="U949" s="415"/>
      <c r="V949" s="415"/>
      <c r="Y949" s="458"/>
      <c r="AD949" s="557" t="str">
        <f>B921&amp;"지분율 반영 순자산가치"</f>
        <v>SPC없음지분율 반영 순자산가치</v>
      </c>
      <c r="AE949" s="529">
        <f>AE947*AE948</f>
        <v>0</v>
      </c>
      <c r="AF949" s="529">
        <f>AF947*AF948</f>
        <v>0</v>
      </c>
      <c r="AI949" s="404"/>
    </row>
    <row r="950" spans="1:35">
      <c r="A950" s="489"/>
      <c r="D950" s="504" t="s">
        <v>43</v>
      </c>
      <c r="E950" s="505">
        <f>$C$7</f>
        <v>45473</v>
      </c>
      <c r="F950" s="506"/>
      <c r="G950" s="505"/>
      <c r="I950" s="563"/>
      <c r="J950" s="495"/>
      <c r="K950" s="415"/>
      <c r="L950" s="495"/>
      <c r="M950" s="415"/>
      <c r="N950" s="415"/>
      <c r="O950" s="415"/>
      <c r="S950" s="415"/>
      <c r="T950" s="415"/>
      <c r="U950" s="415"/>
      <c r="V950" s="415"/>
      <c r="Y950" s="422"/>
      <c r="AI950" s="404"/>
    </row>
    <row r="951" spans="1:35">
      <c r="D951" s="486" t="s">
        <v>79</v>
      </c>
      <c r="E951" s="487">
        <f>E947</f>
        <v>0</v>
      </c>
      <c r="F951" s="507" t="e">
        <f>E951/G951-1</f>
        <v>#DIV/0!</v>
      </c>
      <c r="G951" s="487"/>
      <c r="I951" s="564"/>
      <c r="J951" s="495"/>
      <c r="K951" s="415"/>
      <c r="L951" s="495"/>
      <c r="M951" s="415"/>
      <c r="S951" s="415"/>
      <c r="T951" s="415"/>
      <c r="U951" s="415"/>
      <c r="V951" s="415"/>
      <c r="Y951" s="422"/>
      <c r="AI951" s="404"/>
    </row>
    <row r="952" spans="1:35">
      <c r="A952" s="489"/>
      <c r="B952" s="415"/>
      <c r="D952" s="486" t="s">
        <v>272</v>
      </c>
      <c r="E952" s="565">
        <f>$D$948</f>
        <v>0</v>
      </c>
      <c r="F952" s="507"/>
      <c r="G952" s="565"/>
      <c r="I952" s="566"/>
      <c r="J952" s="305"/>
      <c r="K952" s="415"/>
      <c r="L952" s="305"/>
      <c r="M952" s="415"/>
      <c r="S952" s="415"/>
      <c r="T952" s="415"/>
      <c r="U952" s="415"/>
      <c r="V952" s="415"/>
      <c r="Y952" s="422"/>
      <c r="AI952" s="404"/>
    </row>
    <row r="953" spans="1:35">
      <c r="A953" s="489"/>
      <c r="B953" s="415"/>
      <c r="D953" s="567" t="s">
        <v>246</v>
      </c>
      <c r="E953" s="568">
        <f>E951*E952</f>
        <v>0</v>
      </c>
      <c r="F953" s="507" t="e">
        <f>E953/G953-1</f>
        <v>#DIV/0!</v>
      </c>
      <c r="G953" s="568"/>
      <c r="I953" s="564"/>
      <c r="AI953" s="404"/>
    </row>
    <row r="954" spans="1:35">
      <c r="E954" s="304" t="b">
        <f>E953=E948</f>
        <v>1</v>
      </c>
      <c r="AI954" s="404"/>
    </row>
    <row r="955" spans="1:35">
      <c r="F955" s="507"/>
      <c r="G955" s="507"/>
      <c r="AI955" s="404"/>
    </row>
    <row r="956" spans="1:35" ht="12.75" thickBot="1">
      <c r="A956" s="536"/>
      <c r="B956" s="536"/>
      <c r="C956" s="536"/>
      <c r="D956" s="536"/>
      <c r="E956" s="536"/>
      <c r="F956" s="572"/>
      <c r="G956" s="572"/>
      <c r="H956" s="536"/>
      <c r="I956" s="537"/>
      <c r="J956" s="536"/>
      <c r="K956" s="536"/>
      <c r="L956" s="536"/>
      <c r="M956" s="536"/>
      <c r="N956" s="536"/>
      <c r="O956" s="536"/>
      <c r="P956" s="536"/>
      <c r="Q956" s="540"/>
      <c r="R956" s="536"/>
      <c r="S956" s="536"/>
      <c r="T956" s="536"/>
      <c r="U956" s="536"/>
      <c r="V956" s="536"/>
      <c r="W956" s="540"/>
      <c r="X956" s="536"/>
      <c r="Y956" s="540"/>
      <c r="Z956" s="540"/>
      <c r="AA956" s="536"/>
      <c r="AB956" s="536"/>
      <c r="AC956" s="536"/>
      <c r="AD956" s="541"/>
      <c r="AE956" s="536"/>
      <c r="AF956" s="536"/>
      <c r="AG956" s="536"/>
      <c r="AH956" s="536"/>
      <c r="AI956" s="404"/>
    </row>
    <row r="957" spans="1:35" ht="12.75" thickTop="1">
      <c r="F957" s="507"/>
      <c r="G957" s="507"/>
      <c r="AI957" s="404"/>
    </row>
    <row r="958" spans="1:35" ht="12.75" thickBot="1">
      <c r="A958" s="459"/>
      <c r="B958" s="415"/>
      <c r="J958" s="428" t="s">
        <v>273</v>
      </c>
      <c r="K958" s="489"/>
      <c r="L958" s="497"/>
      <c r="M958" s="489"/>
      <c r="N958" s="415"/>
      <c r="O958" s="415"/>
      <c r="AI958" s="404"/>
    </row>
    <row r="959" spans="1:35" ht="12.75" thickBot="1">
      <c r="A959" s="542" t="s">
        <v>722</v>
      </c>
      <c r="B959" s="543" t="str">
        <f>IF(개요!$B$301="","SPC없음",개요!$B$301)</f>
        <v>SPC없음</v>
      </c>
      <c r="C959" s="454"/>
      <c r="J959" s="433"/>
      <c r="K959" s="434"/>
      <c r="L959" s="434"/>
      <c r="M959" s="434"/>
      <c r="N959" s="434"/>
      <c r="O959" s="434"/>
      <c r="P959" s="434"/>
      <c r="Q959" s="435"/>
      <c r="R959" s="434"/>
      <c r="S959" s="434"/>
      <c r="T959" s="434"/>
      <c r="U959" s="434"/>
      <c r="V959" s="436"/>
      <c r="AI959" s="404"/>
    </row>
    <row r="960" spans="1:35">
      <c r="B960" s="543" t="s">
        <v>260</v>
      </c>
      <c r="C960" s="569" t="str">
        <f>IF(개요!$C$302="","SPC없음",개요!$C$302)</f>
        <v>SPC없음</v>
      </c>
      <c r="J960" s="442"/>
      <c r="K960" s="151"/>
      <c r="L960" s="151"/>
      <c r="M960" s="151"/>
      <c r="N960" s="151"/>
      <c r="O960" s="151"/>
      <c r="P960" s="151"/>
      <c r="Q960" s="443"/>
      <c r="R960" s="151"/>
      <c r="S960" s="151"/>
      <c r="T960" s="151"/>
      <c r="U960" s="151"/>
      <c r="V960" s="444"/>
      <c r="AI960" s="404"/>
    </row>
    <row r="961" spans="1:35">
      <c r="B961" s="437" t="s">
        <v>43</v>
      </c>
      <c r="C961" s="570">
        <f>$C$7</f>
        <v>45473</v>
      </c>
      <c r="D961" s="546" t="b">
        <f>C961&gt;=C962</f>
        <v>1</v>
      </c>
      <c r="J961" s="442"/>
      <c r="K961" s="151"/>
      <c r="L961" s="151"/>
      <c r="M961" s="151"/>
      <c r="N961" s="151"/>
      <c r="O961" s="151"/>
      <c r="P961" s="151"/>
      <c r="Q961" s="443"/>
      <c r="R961" s="151"/>
      <c r="S961" s="151"/>
      <c r="T961" s="151"/>
      <c r="U961" s="151"/>
      <c r="V961" s="444"/>
      <c r="AI961" s="404"/>
    </row>
    <row r="962" spans="1:35" ht="12.75" thickBot="1">
      <c r="B962" s="449" t="s">
        <v>371</v>
      </c>
      <c r="C962" s="571">
        <f>FS!$L$88</f>
        <v>0</v>
      </c>
      <c r="J962" s="453"/>
      <c r="K962" s="454"/>
      <c r="L962" s="454"/>
      <c r="M962" s="454"/>
      <c r="N962" s="454"/>
      <c r="O962" s="454"/>
      <c r="P962" s="454"/>
      <c r="Q962" s="455"/>
      <c r="R962" s="454"/>
      <c r="S962" s="454"/>
      <c r="T962" s="454"/>
      <c r="U962" s="454"/>
      <c r="V962" s="456"/>
      <c r="AI962" s="404"/>
    </row>
    <row r="963" spans="1:35">
      <c r="A963" s="459"/>
      <c r="J963" s="428" t="s">
        <v>372</v>
      </c>
      <c r="K963" s="448"/>
      <c r="L963" s="420"/>
      <c r="M963" s="448"/>
      <c r="N963" s="448"/>
      <c r="O963" s="448"/>
      <c r="P963" s="415"/>
      <c r="Q963" s="422"/>
      <c r="R963" s="415"/>
      <c r="S963" s="415"/>
      <c r="T963" s="415"/>
      <c r="U963" s="415"/>
      <c r="V963" s="415"/>
      <c r="W963" s="422"/>
      <c r="Z963" s="458"/>
      <c r="AE963" s="803" t="s">
        <v>8</v>
      </c>
      <c r="AF963" s="803"/>
      <c r="AG963" s="460"/>
      <c r="AH963" s="460"/>
      <c r="AI963" s="404"/>
    </row>
    <row r="964" spans="1:35" ht="12.75" thickBot="1">
      <c r="A964" s="461" t="str">
        <f>IF(AND(B965:B991),"검증완료","검증필요")</f>
        <v>검증완료</v>
      </c>
      <c r="B964" s="462" t="s">
        <v>38</v>
      </c>
      <c r="C964" s="462" t="s">
        <v>9</v>
      </c>
      <c r="D964" s="462" t="s">
        <v>10</v>
      </c>
      <c r="E964" s="462" t="s">
        <v>11</v>
      </c>
      <c r="J964" s="462" t="s">
        <v>375</v>
      </c>
      <c r="K964" s="464" t="s">
        <v>667</v>
      </c>
      <c r="L964" s="462" t="s">
        <v>260</v>
      </c>
      <c r="M964" s="462" t="s">
        <v>456</v>
      </c>
      <c r="N964" s="462" t="s">
        <v>91</v>
      </c>
      <c r="O964" s="462" t="s">
        <v>1</v>
      </c>
      <c r="P964" s="464" t="s">
        <v>380</v>
      </c>
      <c r="Q964" s="465" t="s">
        <v>14</v>
      </c>
      <c r="R964" s="466" t="s">
        <v>381</v>
      </c>
      <c r="S964" s="466" t="s">
        <v>303</v>
      </c>
      <c r="T964" s="462" t="s">
        <v>12</v>
      </c>
      <c r="U964" s="462" t="s">
        <v>72</v>
      </c>
      <c r="V964" s="462" t="s">
        <v>400</v>
      </c>
      <c r="W964" s="465" t="s">
        <v>10</v>
      </c>
      <c r="X964" s="462" t="s">
        <v>385</v>
      </c>
      <c r="Y964" s="465" t="s">
        <v>670</v>
      </c>
      <c r="Z964" s="465" t="s">
        <v>3522</v>
      </c>
      <c r="AA964" s="464" t="s">
        <v>13</v>
      </c>
      <c r="AE964" s="467" t="s">
        <v>3627</v>
      </c>
      <c r="AF964" s="467" t="s">
        <v>3628</v>
      </c>
      <c r="AG964" s="467" t="s">
        <v>3629</v>
      </c>
      <c r="AH964" s="467" t="s">
        <v>3630</v>
      </c>
      <c r="AI964" s="404"/>
    </row>
    <row r="965" spans="1:35" ht="12.75" thickBot="1">
      <c r="A965" s="415"/>
      <c r="B965" s="415"/>
      <c r="C965" s="468" t="s">
        <v>480</v>
      </c>
      <c r="D965" s="469">
        <f>SUM(D966:D967)</f>
        <v>0</v>
      </c>
      <c r="E965" s="469">
        <f>SUM(E966:E967)</f>
        <v>0</v>
      </c>
      <c r="J965" s="476"/>
      <c r="K965" s="472"/>
      <c r="L965" s="473" t="str">
        <f>IF($J965="","SPC 없음",VLOOKUP($J965&amp;"SPC명",개요!$A$3:$E$1932,3,0))</f>
        <v>SPC 없음</v>
      </c>
      <c r="M965" s="474" t="str">
        <f>IF($J965="","SPC 없음",VLOOKUP($J965&amp;"설정일",개요!$A$3:$E$1932,3,0))</f>
        <v>SPC 없음</v>
      </c>
      <c r="N965" s="475" t="str">
        <f t="shared" ref="N965:N970" si="311">IF($J965="","SPC 없음",VLOOKUP($J965&amp;"자본금",$B$4:$E$2079,3,0)*VLOOKUP($J965&amp;"보유지분율(%)",$B$4:$E$2079,3,0))</f>
        <v>SPC 없음</v>
      </c>
      <c r="O965" s="471"/>
      <c r="P965" s="476"/>
      <c r="Q965" s="477"/>
      <c r="R965" s="478"/>
      <c r="S965" s="479" t="str">
        <f t="shared" ref="S965:S970" si="312">IF($J965="","SPC 없음",IF(P965="총액",IF(T965="장부가액 준용",W965,(VLOOKUP($J965&amp;"보유지분율(%)",$B$4:$E$2079,4,0))*V965),Q965*R965))</f>
        <v>SPC 없음</v>
      </c>
      <c r="T965" s="471"/>
      <c r="U965" s="471" t="s">
        <v>94</v>
      </c>
      <c r="V965" s="480">
        <f>IF(U965="한국 원화(KRW)",1,IF(OR(U965=환율!$A$6,U965=환율!$A$7),VLOOKUP(NAV!U965,환율!$A$6:$B$7,2,),IF(RIGHT(U965,5)="(100)",(VLOOKUP(NAV!U965,환율!$A$11:$B$65,2,))/100,VLOOKUP(NAV!U965,환율!$A$11:$B$65,2,))))</f>
        <v>1</v>
      </c>
      <c r="W965" s="481"/>
      <c r="X965" s="482">
        <f t="shared" ref="X965:X970" si="313">IFERROR(IF(P965="만원당",10000,Y965/Q965),0)</f>
        <v>0</v>
      </c>
      <c r="Y965" s="481"/>
      <c r="Z965" s="481"/>
      <c r="AA965" s="483">
        <f t="shared" ref="AA965:AA970" si="314">IFERROR(IF(Z965="",S965/W965-1,S965/Z965-1),0)</f>
        <v>0</v>
      </c>
      <c r="AE965" s="484" t="str">
        <f t="shared" ref="AE965:AE970" si="315">IF($J965="","SPC 없음",IF(P965="총액",(VLOOKUP($J965&amp;"지분율 반영 순자산가치",$AD$4:$AH$4973,2,0))*V965,AG965*$Q965))</f>
        <v>SPC 없음</v>
      </c>
      <c r="AF965" s="484" t="str">
        <f t="shared" ref="AF965:AF970" si="316">IF($J965="","SPC 없음",IF(P965="총액",(VLOOKUP($J965&amp;"지분율 반영 순자산가치",$AD$4:$AH$4973,3,0))*V965,AH965*$Q965))</f>
        <v>SPC 없음</v>
      </c>
      <c r="AG965" s="485"/>
      <c r="AH965" s="485"/>
      <c r="AI965" s="404"/>
    </row>
    <row r="966" spans="1:35" ht="12.75" thickBot="1">
      <c r="A966" s="415"/>
      <c r="B966" s="415"/>
      <c r="C966" s="486" t="s">
        <v>117</v>
      </c>
      <c r="D966" s="487">
        <f>SUMIF(FS!$I$89:$I$119,개요!$B$301&amp;RIGHT(NAV!C966,10),FS!$L$89:$L$119)</f>
        <v>0</v>
      </c>
      <c r="E966" s="487">
        <f>D966</f>
        <v>0</v>
      </c>
      <c r="J966" s="476"/>
      <c r="K966" s="472"/>
      <c r="L966" s="473" t="str">
        <f>IF($J966="","SPC 없음",VLOOKUP($J966&amp;"SPC명",개요!$A$3:$E$1932,3,0))</f>
        <v>SPC 없음</v>
      </c>
      <c r="M966" s="474" t="str">
        <f>IF($J966="","SPC 없음",VLOOKUP($J966&amp;"설정일",개요!$A$3:$E$1932,3,0))</f>
        <v>SPC 없음</v>
      </c>
      <c r="N966" s="475" t="str">
        <f t="shared" si="311"/>
        <v>SPC 없음</v>
      </c>
      <c r="O966" s="471"/>
      <c r="P966" s="476"/>
      <c r="Q966" s="477"/>
      <c r="R966" s="478"/>
      <c r="S966" s="479" t="str">
        <f t="shared" si="312"/>
        <v>SPC 없음</v>
      </c>
      <c r="T966" s="471"/>
      <c r="U966" s="471" t="s">
        <v>94</v>
      </c>
      <c r="V966" s="480">
        <f>IF(U966="한국 원화(KRW)",1,IF(OR(U966=환율!$A$6,U966=환율!$A$7),VLOOKUP(NAV!U966,환율!$A$6:$B$7,2,),IF(RIGHT(U966,5)="(100)",(VLOOKUP(NAV!U966,환율!$A$11:$B$65,2,))/100,VLOOKUP(NAV!U966,환율!$A$11:$B$65,2,))))</f>
        <v>1</v>
      </c>
      <c r="W966" s="481"/>
      <c r="X966" s="482">
        <f t="shared" si="313"/>
        <v>0</v>
      </c>
      <c r="Y966" s="481"/>
      <c r="Z966" s="481"/>
      <c r="AA966" s="483">
        <f t="shared" si="314"/>
        <v>0</v>
      </c>
      <c r="AE966" s="484" t="str">
        <f t="shared" si="315"/>
        <v>SPC 없음</v>
      </c>
      <c r="AF966" s="484" t="str">
        <f t="shared" si="316"/>
        <v>SPC 없음</v>
      </c>
      <c r="AG966" s="485"/>
      <c r="AH966" s="485"/>
      <c r="AI966" s="404"/>
    </row>
    <row r="967" spans="1:35" ht="12.75" thickBot="1">
      <c r="A967" s="415"/>
      <c r="B967" s="415"/>
      <c r="C967" s="486" t="s">
        <v>34</v>
      </c>
      <c r="D967" s="487">
        <f>SUMIF(FS!$I$89:$I$119,개요!$B$301&amp;RIGHT(NAV!C967,4),FS!$L$89:$L$119)</f>
        <v>0</v>
      </c>
      <c r="E967" s="487">
        <f>D967</f>
        <v>0</v>
      </c>
      <c r="J967" s="476"/>
      <c r="K967" s="472"/>
      <c r="L967" s="473" t="str">
        <f>IF($J967="","SPC 없음",VLOOKUP($J967&amp;"SPC명",개요!$A$3:$E$1932,3,0))</f>
        <v>SPC 없음</v>
      </c>
      <c r="M967" s="474" t="str">
        <f>IF($J967="","SPC 없음",VLOOKUP($J967&amp;"설정일",개요!$A$3:$E$1932,3,0))</f>
        <v>SPC 없음</v>
      </c>
      <c r="N967" s="475" t="str">
        <f t="shared" si="311"/>
        <v>SPC 없음</v>
      </c>
      <c r="O967" s="471"/>
      <c r="P967" s="476"/>
      <c r="Q967" s="477"/>
      <c r="R967" s="478"/>
      <c r="S967" s="479" t="str">
        <f t="shared" si="312"/>
        <v>SPC 없음</v>
      </c>
      <c r="T967" s="471"/>
      <c r="U967" s="471" t="s">
        <v>94</v>
      </c>
      <c r="V967" s="480">
        <f>IF(U967="한국 원화(KRW)",1,IF(OR(U967=환율!$A$6,U967=환율!$A$7),VLOOKUP(NAV!U967,환율!$A$6:$B$7,2,),IF(RIGHT(U967,5)="(100)",(VLOOKUP(NAV!U967,환율!$A$11:$B$65,2,))/100,VLOOKUP(NAV!U967,환율!$A$11:$B$65,2,))))</f>
        <v>1</v>
      </c>
      <c r="W967" s="481"/>
      <c r="X967" s="482">
        <f t="shared" si="313"/>
        <v>0</v>
      </c>
      <c r="Y967" s="481"/>
      <c r="Z967" s="481"/>
      <c r="AA967" s="483">
        <f t="shared" si="314"/>
        <v>0</v>
      </c>
      <c r="AE967" s="484" t="str">
        <f t="shared" si="315"/>
        <v>SPC 없음</v>
      </c>
      <c r="AF967" s="484" t="str">
        <f t="shared" si="316"/>
        <v>SPC 없음</v>
      </c>
      <c r="AG967" s="485"/>
      <c r="AH967" s="485"/>
      <c r="AI967" s="404"/>
    </row>
    <row r="968" spans="1:35" ht="12.75" thickBot="1">
      <c r="A968" s="489" t="s">
        <v>389</v>
      </c>
      <c r="B968" s="490" t="b">
        <f>SUM(W965:W970,W973:W983)=D968</f>
        <v>1</v>
      </c>
      <c r="C968" s="468" t="s">
        <v>17</v>
      </c>
      <c r="D968" s="469">
        <f>SUMIF(FS!$I$89:$I$119,개요!$B$301&amp;RIGHT(NAV!C968,4),FS!$L$89:$L$119)</f>
        <v>0</v>
      </c>
      <c r="E968" s="469">
        <f>SUM(S965:S970)+SUM(S973:S983)</f>
        <v>0</v>
      </c>
      <c r="J968" s="476"/>
      <c r="K968" s="472"/>
      <c r="L968" s="473" t="str">
        <f>IF($J968="","SPC 없음",VLOOKUP($J968&amp;"SPC명",개요!$A$3:$E$1932,3,0))</f>
        <v>SPC 없음</v>
      </c>
      <c r="M968" s="474" t="str">
        <f>IF($J968="","SPC 없음",VLOOKUP($J968&amp;"설정일",개요!$A$3:$E$1932,3,0))</f>
        <v>SPC 없음</v>
      </c>
      <c r="N968" s="475" t="str">
        <f t="shared" si="311"/>
        <v>SPC 없음</v>
      </c>
      <c r="O968" s="471"/>
      <c r="P968" s="476"/>
      <c r="Q968" s="477"/>
      <c r="R968" s="478"/>
      <c r="S968" s="479" t="str">
        <f t="shared" si="312"/>
        <v>SPC 없음</v>
      </c>
      <c r="T968" s="471"/>
      <c r="U968" s="471" t="s">
        <v>94</v>
      </c>
      <c r="V968" s="480">
        <f>IF(U968="한국 원화(KRW)",1,IF(OR(U968=환율!$A$6,U968=환율!$A$7),VLOOKUP(NAV!U968,환율!$A$6:$B$7,2,),IF(RIGHT(U968,5)="(100)",(VLOOKUP(NAV!U968,환율!$A$11:$B$65,2,))/100,VLOOKUP(NAV!U968,환율!$A$11:$B$65,2,))))</f>
        <v>1</v>
      </c>
      <c r="W968" s="481"/>
      <c r="X968" s="482">
        <f t="shared" si="313"/>
        <v>0</v>
      </c>
      <c r="Y968" s="481"/>
      <c r="Z968" s="481"/>
      <c r="AA968" s="483">
        <f t="shared" si="314"/>
        <v>0</v>
      </c>
      <c r="AE968" s="484" t="str">
        <f t="shared" si="315"/>
        <v>SPC 없음</v>
      </c>
      <c r="AF968" s="484" t="str">
        <f t="shared" si="316"/>
        <v>SPC 없음</v>
      </c>
      <c r="AG968" s="485"/>
      <c r="AH968" s="485"/>
      <c r="AI968" s="404"/>
    </row>
    <row r="969" spans="1:35" ht="12.75" thickBot="1">
      <c r="A969" s="492" t="s">
        <v>391</v>
      </c>
      <c r="B969" s="415" t="b">
        <f>D966+D967+D968=D969</f>
        <v>1</v>
      </c>
      <c r="C969" s="493" t="s">
        <v>479</v>
      </c>
      <c r="D969" s="494">
        <f>D965+D968</f>
        <v>0</v>
      </c>
      <c r="E969" s="494">
        <f>E965+E968</f>
        <v>0</v>
      </c>
      <c r="J969" s="476"/>
      <c r="K969" s="472"/>
      <c r="L969" s="473" t="str">
        <f>IF($J969="","SPC 없음",VLOOKUP($J969&amp;"SPC명",개요!$A$3:$E$1932,3,0))</f>
        <v>SPC 없음</v>
      </c>
      <c r="M969" s="474" t="str">
        <f>IF($J969="","SPC 없음",VLOOKUP($J969&amp;"설정일",개요!$A$3:$E$1932,3,0))</f>
        <v>SPC 없음</v>
      </c>
      <c r="N969" s="475" t="str">
        <f t="shared" si="311"/>
        <v>SPC 없음</v>
      </c>
      <c r="O969" s="471"/>
      <c r="P969" s="476"/>
      <c r="Q969" s="477"/>
      <c r="R969" s="478"/>
      <c r="S969" s="479" t="str">
        <f t="shared" si="312"/>
        <v>SPC 없음</v>
      </c>
      <c r="T969" s="471"/>
      <c r="U969" s="471" t="s">
        <v>94</v>
      </c>
      <c r="V969" s="480">
        <f>IF(U969="한국 원화(KRW)",1,IF(OR(U969=환율!$A$6,U969=환율!$A$7),VLOOKUP(NAV!U969,환율!$A$6:$B$7,2,),IF(RIGHT(U969,5)="(100)",(VLOOKUP(NAV!U969,환율!$A$11:$B$65,2,))/100,VLOOKUP(NAV!U969,환율!$A$11:$B$65,2,))))</f>
        <v>1</v>
      </c>
      <c r="W969" s="481"/>
      <c r="X969" s="482">
        <f t="shared" si="313"/>
        <v>0</v>
      </c>
      <c r="Y969" s="481"/>
      <c r="Z969" s="481"/>
      <c r="AA969" s="483">
        <f t="shared" si="314"/>
        <v>0</v>
      </c>
      <c r="AE969" s="484" t="str">
        <f t="shared" si="315"/>
        <v>SPC 없음</v>
      </c>
      <c r="AF969" s="484" t="str">
        <f t="shared" si="316"/>
        <v>SPC 없음</v>
      </c>
      <c r="AG969" s="485"/>
      <c r="AH969" s="485"/>
      <c r="AI969" s="404"/>
    </row>
    <row r="970" spans="1:35" ht="12.75" thickBot="1">
      <c r="A970" s="492"/>
      <c r="B970" s="496"/>
      <c r="C970" s="468" t="s">
        <v>18</v>
      </c>
      <c r="D970" s="469">
        <f>SUM(D971:D974)</f>
        <v>0</v>
      </c>
      <c r="E970" s="469">
        <f>SUM(E971:E974)</f>
        <v>0</v>
      </c>
      <c r="J970" s="476"/>
      <c r="K970" s="472"/>
      <c r="L970" s="473" t="str">
        <f>IF($J970="","SPC 없음",VLOOKUP($J970&amp;"SPC명",개요!$A$3:$E$1932,3,0))</f>
        <v>SPC 없음</v>
      </c>
      <c r="M970" s="474" t="str">
        <f>IF($J970="","SPC 없음",VLOOKUP($J970&amp;"설정일",개요!$A$3:$E$1932,3,0))</f>
        <v>SPC 없음</v>
      </c>
      <c r="N970" s="475" t="str">
        <f t="shared" si="311"/>
        <v>SPC 없음</v>
      </c>
      <c r="O970" s="471"/>
      <c r="P970" s="476"/>
      <c r="Q970" s="477"/>
      <c r="R970" s="478"/>
      <c r="S970" s="479" t="str">
        <f t="shared" si="312"/>
        <v>SPC 없음</v>
      </c>
      <c r="T970" s="471"/>
      <c r="U970" s="471" t="s">
        <v>94</v>
      </c>
      <c r="V970" s="480">
        <f>IF(U970="한국 원화(KRW)",1,IF(OR(U970=환율!$A$6,U970=환율!$A$7),VLOOKUP(NAV!U970,환율!$A$6:$B$7,2,),IF(RIGHT(U970,5)="(100)",(VLOOKUP(NAV!U970,환율!$A$11:$B$65,2,))/100,VLOOKUP(NAV!U970,환율!$A$11:$B$65,2,))))</f>
        <v>1</v>
      </c>
      <c r="W970" s="481"/>
      <c r="X970" s="482">
        <f t="shared" si="313"/>
        <v>0</v>
      </c>
      <c r="Y970" s="481"/>
      <c r="Z970" s="481"/>
      <c r="AA970" s="483">
        <f t="shared" si="314"/>
        <v>0</v>
      </c>
      <c r="AE970" s="484" t="str">
        <f t="shared" si="315"/>
        <v>SPC 없음</v>
      </c>
      <c r="AF970" s="484" t="str">
        <f t="shared" si="316"/>
        <v>SPC 없음</v>
      </c>
      <c r="AG970" s="485"/>
      <c r="AH970" s="485"/>
      <c r="AI970" s="404"/>
    </row>
    <row r="971" spans="1:35">
      <c r="A971" s="492"/>
      <c r="B971" s="496"/>
      <c r="C971" s="486" t="s">
        <v>392</v>
      </c>
      <c r="D971" s="487">
        <f>SUMIF(FS!$I$89:$I$119,개요!$B$301&amp;RIGHT(NAV!C971,5),FS!$L$89:$L$119)</f>
        <v>0</v>
      </c>
      <c r="E971" s="487">
        <f>D971</f>
        <v>0</v>
      </c>
      <c r="J971" s="428" t="s">
        <v>276</v>
      </c>
      <c r="K971" s="415"/>
      <c r="L971" s="305"/>
      <c r="M971" s="415"/>
      <c r="N971" s="415"/>
      <c r="O971" s="415"/>
      <c r="P971" s="415"/>
      <c r="Q971" s="422"/>
      <c r="R971" s="415"/>
      <c r="S971" s="415"/>
      <c r="T971" s="415"/>
      <c r="U971" s="415"/>
      <c r="W971" s="517" t="b">
        <f>SUM(W973:W983)+SUM(W965:W970)=D968</f>
        <v>1</v>
      </c>
      <c r="X971" s="415"/>
      <c r="Y971" s="422"/>
      <c r="Z971" s="422"/>
      <c r="AA971" s="459" t="str">
        <f>IF(OR(MAX(AA965:AA970,AA973:AA983)&gt;0.2,MIN(AA965:AA970,AA973:AA983)&lt;-0.2),"특이사항 확인","특이사항 없음")</f>
        <v>특이사항 없음</v>
      </c>
      <c r="AB971" s="415"/>
      <c r="AF971" s="415"/>
      <c r="AG971" s="415"/>
      <c r="AI971" s="404"/>
    </row>
    <row r="972" spans="1:35" ht="12.75" thickBot="1">
      <c r="A972" s="492"/>
      <c r="B972" s="496"/>
      <c r="C972" s="486" t="s">
        <v>36</v>
      </c>
      <c r="D972" s="487">
        <f>SUMIF(FS!$I$89:$I$119,개요!$B$301&amp;RIGHT(NAV!C972,3),FS!$L$89:$L$119)</f>
        <v>0</v>
      </c>
      <c r="E972" s="487">
        <f t="shared" ref="E972:E973" si="317">D972</f>
        <v>0</v>
      </c>
      <c r="I972" s="518">
        <f>COUNTA(J973:J983)</f>
        <v>0</v>
      </c>
      <c r="J972" s="548" t="s">
        <v>265</v>
      </c>
      <c r="K972" s="548" t="s">
        <v>0</v>
      </c>
      <c r="L972" s="548" t="s">
        <v>395</v>
      </c>
      <c r="M972" s="548" t="s">
        <v>83</v>
      </c>
      <c r="N972" s="548" t="s">
        <v>397</v>
      </c>
      <c r="O972" s="548" t="s">
        <v>221</v>
      </c>
      <c r="P972" s="548" t="s">
        <v>673</v>
      </c>
      <c r="Q972" s="519" t="s">
        <v>14</v>
      </c>
      <c r="R972" s="466" t="s">
        <v>299</v>
      </c>
      <c r="S972" s="466" t="s">
        <v>3525</v>
      </c>
      <c r="T972" s="549" t="s">
        <v>12</v>
      </c>
      <c r="U972" s="548" t="s">
        <v>72</v>
      </c>
      <c r="V972" s="548" t="s">
        <v>70</v>
      </c>
      <c r="W972" s="550" t="s">
        <v>10</v>
      </c>
      <c r="X972" s="549" t="s">
        <v>42</v>
      </c>
      <c r="Y972" s="550" t="s">
        <v>300</v>
      </c>
      <c r="Z972" s="550" t="s">
        <v>3523</v>
      </c>
      <c r="AA972" s="548" t="s">
        <v>13</v>
      </c>
      <c r="AB972" s="548" t="s">
        <v>15</v>
      </c>
      <c r="AC972" s="548" t="s">
        <v>40</v>
      </c>
      <c r="AE972" s="467" t="s">
        <v>3627</v>
      </c>
      <c r="AF972" s="467" t="s">
        <v>3628</v>
      </c>
      <c r="AG972" s="467" t="s">
        <v>3629</v>
      </c>
      <c r="AH972" s="467" t="s">
        <v>3630</v>
      </c>
      <c r="AI972" s="404"/>
    </row>
    <row r="973" spans="1:35" ht="12.75" thickBot="1">
      <c r="A973" s="492"/>
      <c r="B973" s="496"/>
      <c r="C973" s="486" t="s">
        <v>676</v>
      </c>
      <c r="D973" s="487">
        <f>SUMIF(FS!$I$89:$I$119,개요!$B$301&amp;RIGHT(NAV!C973,6),FS!$L$89:$L$119)</f>
        <v>0</v>
      </c>
      <c r="E973" s="487">
        <f t="shared" si="317"/>
        <v>0</v>
      </c>
      <c r="J973" s="551"/>
      <c r="K973" s="552"/>
      <c r="L973" s="551"/>
      <c r="M973" s="553"/>
      <c r="N973" s="553"/>
      <c r="O973" s="551"/>
      <c r="P973" s="553"/>
      <c r="Q973" s="524"/>
      <c r="R973" s="478">
        <f>IFERROR(INDEX(기초자산!M$6:M$408,MATCH(K973&amp;N973&amp;O973,기초자산!$A$6:$A$408,0),0),0)</f>
        <v>0</v>
      </c>
      <c r="S973" s="479">
        <f t="shared" ref="S973:S983" si="318">IFERROR(IF(T973="취득원가 준용",Y973,IF(T973="장부가액 준용",W973,IF(P973="주당",R973*Q973*V973,IF(RIGHT(U973,5)="(100)",Y973/1000*R973*V973,Y973/10000*R973*V973)))),0)</f>
        <v>0</v>
      </c>
      <c r="T973" s="553"/>
      <c r="U973" s="471" t="s">
        <v>94</v>
      </c>
      <c r="V973" s="480">
        <f>IF(U973="한국 원화(KRW)",1,IF(OR(U973=환율!$A$6,U973=환율!$A$7),VLOOKUP(NAV!U973,환율!$A$6:$B$7,2,),IF(RIGHT(U973,5)="(100)",(VLOOKUP(NAV!U973,환율!$A$11:$B$65,2,))/100,VLOOKUP(NAV!U973,환율!$A$11:$B$65,2,))))</f>
        <v>1</v>
      </c>
      <c r="W973" s="481"/>
      <c r="X973" s="482">
        <f t="shared" ref="X973:X983" si="319">IFERROR(IF(P973="만원당",10000,Y973/Q973),0)</f>
        <v>0</v>
      </c>
      <c r="Y973" s="481"/>
      <c r="Z973" s="481"/>
      <c r="AA973" s="483">
        <f t="shared" ref="AA973:AA983" si="320">IFERROR(IF(Z973="",S973/W973-1,S973/Z973-1),0)</f>
        <v>0</v>
      </c>
      <c r="AB973" s="554"/>
      <c r="AC973" s="526" t="str">
        <f t="shared" ref="AC973:AC983" si="321">IF(($C$7-AB973)/365&gt;2,"2년이상","2년미만")</f>
        <v>2년이상</v>
      </c>
      <c r="AD973" s="520" t="str">
        <f t="shared" ref="AD973:AD983" si="322">IF(OR(AA973&gt;20%,AA973&lt;-20%),"(1) Note 기재","")</f>
        <v/>
      </c>
      <c r="AE973" s="527">
        <f>IF(OR(T973="MTP",T973="과거거래 이용법",T973="취득원가 준용",T973="장부가액 준용",T973="상장종가 적용"),S973,IF(P973="주당",AG973*Q973*V973,Y973/10000*AG973*V973))</f>
        <v>0</v>
      </c>
      <c r="AF973" s="527">
        <f>IF(OR(T973="MTP",T973="과거거래 이용법",T973="취득원가 준용",T973="장부가액 준용",T973="상장종가 적용"),S973,IF(P973="주당",AH973*Q973*V973,Y973/10000*AH973*V973))</f>
        <v>0</v>
      </c>
      <c r="AG973" s="485"/>
      <c r="AH973" s="485"/>
      <c r="AI973" s="404"/>
    </row>
    <row r="974" spans="1:35" ht="12.75" thickBot="1">
      <c r="A974" s="492"/>
      <c r="B974" s="496"/>
      <c r="C974" s="486" t="s">
        <v>405</v>
      </c>
      <c r="D974" s="487">
        <f>SUMIF(FS!$I$89:$I$119,개요!$B$301&amp;RIGHT(NAV!C974,7),FS!$L$89:$L$119)</f>
        <v>0</v>
      </c>
      <c r="E974" s="487">
        <f>D974</f>
        <v>0</v>
      </c>
      <c r="J974" s="551"/>
      <c r="K974" s="552"/>
      <c r="L974" s="551"/>
      <c r="M974" s="553"/>
      <c r="N974" s="553"/>
      <c r="O974" s="551"/>
      <c r="P974" s="553"/>
      <c r="Q974" s="524"/>
      <c r="R974" s="478">
        <f>IFERROR(INDEX(기초자산!M$6:M$408,MATCH(K974&amp;N974&amp;O974,기초자산!$A$6:$A$408,0),0),0)</f>
        <v>0</v>
      </c>
      <c r="S974" s="479">
        <f t="shared" si="318"/>
        <v>0</v>
      </c>
      <c r="T974" s="553"/>
      <c r="U974" s="471" t="s">
        <v>94</v>
      </c>
      <c r="V974" s="480">
        <f>IF(U974="한국 원화(KRW)",1,IF(OR(U974=환율!$A$6,U974=환율!$A$7),VLOOKUP(NAV!U974,환율!$A$6:$B$7,2,),IF(RIGHT(U974,5)="(100)",(VLOOKUP(NAV!U974,환율!$A$11:$B$65,2,))/100,VLOOKUP(NAV!U974,환율!$A$11:$B$65,2,))))</f>
        <v>1</v>
      </c>
      <c r="W974" s="481"/>
      <c r="X974" s="482">
        <f t="shared" si="319"/>
        <v>0</v>
      </c>
      <c r="Y974" s="481"/>
      <c r="Z974" s="481"/>
      <c r="AA974" s="483">
        <f t="shared" si="320"/>
        <v>0</v>
      </c>
      <c r="AB974" s="554"/>
      <c r="AC974" s="526" t="str">
        <f t="shared" si="321"/>
        <v>2년이상</v>
      </c>
      <c r="AD974" s="520" t="str">
        <f t="shared" si="322"/>
        <v/>
      </c>
      <c r="AE974" s="527">
        <f t="shared" ref="AE974:AE983" si="323">IF(OR(T974="MTP",T974="과거거래 이용법",T974="취득원가 준용",T974="장부가액 준용",T974="상장종가 적용"),S974,IF(P974="주당",AG974*Q974*V974,Y974/10000*AG974*V974))</f>
        <v>0</v>
      </c>
      <c r="AF974" s="527">
        <f t="shared" ref="AF974:AF983" si="324">IF(OR(T974="MTP",T974="과거거래 이용법",T974="취득원가 준용",T974="장부가액 준용",T974="상장종가 적용"),S974,IF(P974="주당",AH974*Q974*V974,Y974/10000*AH974*V974))</f>
        <v>0</v>
      </c>
      <c r="AG974" s="485"/>
      <c r="AH974" s="485"/>
      <c r="AI974" s="404"/>
    </row>
    <row r="975" spans="1:35" ht="12.75" thickBot="1">
      <c r="A975" s="492"/>
      <c r="B975" s="496"/>
      <c r="C975" s="468" t="s">
        <v>21</v>
      </c>
      <c r="D975" s="469">
        <f>SUM(D976:D977)</f>
        <v>0</v>
      </c>
      <c r="E975" s="469">
        <f>SUM(E976:E977)</f>
        <v>0</v>
      </c>
      <c r="J975" s="551"/>
      <c r="K975" s="552"/>
      <c r="L975" s="551"/>
      <c r="M975" s="553"/>
      <c r="N975" s="553"/>
      <c r="O975" s="551"/>
      <c r="P975" s="553"/>
      <c r="Q975" s="524"/>
      <c r="R975" s="478">
        <f>IFERROR(INDEX(기초자산!M$6:M$408,MATCH(K975&amp;N975&amp;O975,기초자산!$A$6:$A$408,0),0),0)</f>
        <v>0</v>
      </c>
      <c r="S975" s="479">
        <f t="shared" si="318"/>
        <v>0</v>
      </c>
      <c r="T975" s="553"/>
      <c r="U975" s="471" t="s">
        <v>94</v>
      </c>
      <c r="V975" s="480">
        <f>IF(U975="한국 원화(KRW)",1,IF(OR(U975=환율!$A$6,U975=환율!$A$7),VLOOKUP(NAV!U975,환율!$A$6:$B$7,2,),IF(RIGHT(U975,5)="(100)",(VLOOKUP(NAV!U975,환율!$A$11:$B$65,2,))/100,VLOOKUP(NAV!U975,환율!$A$11:$B$65,2,))))</f>
        <v>1</v>
      </c>
      <c r="W975" s="481"/>
      <c r="X975" s="482">
        <f t="shared" si="319"/>
        <v>0</v>
      </c>
      <c r="Y975" s="481"/>
      <c r="Z975" s="481"/>
      <c r="AA975" s="483">
        <f t="shared" si="320"/>
        <v>0</v>
      </c>
      <c r="AB975" s="554"/>
      <c r="AC975" s="526" t="str">
        <f t="shared" si="321"/>
        <v>2년이상</v>
      </c>
      <c r="AD975" s="520" t="str">
        <f t="shared" si="322"/>
        <v/>
      </c>
      <c r="AE975" s="527">
        <f t="shared" si="323"/>
        <v>0</v>
      </c>
      <c r="AF975" s="527">
        <f t="shared" si="324"/>
        <v>0</v>
      </c>
      <c r="AG975" s="485"/>
      <c r="AH975" s="485"/>
      <c r="AI975" s="404"/>
    </row>
    <row r="976" spans="1:35" ht="12.75" thickBot="1">
      <c r="A976" s="492"/>
      <c r="B976" s="496"/>
      <c r="C976" s="486" t="s">
        <v>406</v>
      </c>
      <c r="D976" s="487">
        <f>SUMIF(FS!$I$89:$I$119,개요!$B$301&amp;RIGHT(NAV!C976,3),FS!$L$89:$L$119)</f>
        <v>0</v>
      </c>
      <c r="E976" s="487">
        <f>D976</f>
        <v>0</v>
      </c>
      <c r="J976" s="551"/>
      <c r="K976" s="552"/>
      <c r="L976" s="551"/>
      <c r="M976" s="553"/>
      <c r="N976" s="553"/>
      <c r="O976" s="551"/>
      <c r="P976" s="553"/>
      <c r="Q976" s="524"/>
      <c r="R976" s="478">
        <f>IFERROR(INDEX(기초자산!M$6:M$408,MATCH(K976&amp;N976&amp;O976,기초자산!$A$6:$A$408,0),0),0)</f>
        <v>0</v>
      </c>
      <c r="S976" s="479">
        <f t="shared" si="318"/>
        <v>0</v>
      </c>
      <c r="T976" s="553"/>
      <c r="U976" s="471" t="s">
        <v>94</v>
      </c>
      <c r="V976" s="480">
        <f>IF(U976="한국 원화(KRW)",1,IF(OR(U976=환율!$A$6,U976=환율!$A$7),VLOOKUP(NAV!U976,환율!$A$6:$B$7,2,),IF(RIGHT(U976,5)="(100)",(VLOOKUP(NAV!U976,환율!$A$11:$B$65,2,))/100,VLOOKUP(NAV!U976,환율!$A$11:$B$65,2,))))</f>
        <v>1</v>
      </c>
      <c r="W976" s="481"/>
      <c r="X976" s="482">
        <f t="shared" si="319"/>
        <v>0</v>
      </c>
      <c r="Y976" s="481"/>
      <c r="Z976" s="481"/>
      <c r="AA976" s="483">
        <f t="shared" si="320"/>
        <v>0</v>
      </c>
      <c r="AB976" s="554"/>
      <c r="AC976" s="526" t="str">
        <f t="shared" si="321"/>
        <v>2년이상</v>
      </c>
      <c r="AD976" s="520" t="str">
        <f t="shared" si="322"/>
        <v/>
      </c>
      <c r="AE976" s="527">
        <f t="shared" si="323"/>
        <v>0</v>
      </c>
      <c r="AF976" s="527">
        <f t="shared" si="324"/>
        <v>0</v>
      </c>
      <c r="AG976" s="485"/>
      <c r="AH976" s="485"/>
      <c r="AI976" s="404"/>
    </row>
    <row r="977" spans="1:35" ht="12.75" thickBot="1">
      <c r="A977" s="492"/>
      <c r="B977" s="496"/>
      <c r="C977" s="486" t="s">
        <v>407</v>
      </c>
      <c r="D977" s="487">
        <f>SUMIF(FS!$I$89:$I$119,개요!$B$301&amp;RIGHT(NAV!C977,4),FS!$L$89:$L$119)</f>
        <v>0</v>
      </c>
      <c r="E977" s="487">
        <f>D977</f>
        <v>0</v>
      </c>
      <c r="J977" s="551"/>
      <c r="K977" s="552"/>
      <c r="L977" s="551"/>
      <c r="M977" s="553"/>
      <c r="N977" s="553"/>
      <c r="O977" s="551"/>
      <c r="P977" s="553"/>
      <c r="Q977" s="524"/>
      <c r="R977" s="478">
        <f>IFERROR(INDEX(기초자산!M$6:M$408,MATCH(K977&amp;N977&amp;O977,기초자산!$A$6:$A$408,0),0),0)</f>
        <v>0</v>
      </c>
      <c r="S977" s="479">
        <f t="shared" si="318"/>
        <v>0</v>
      </c>
      <c r="T977" s="553"/>
      <c r="U977" s="471" t="s">
        <v>94</v>
      </c>
      <c r="V977" s="480">
        <f>IF(U977="한국 원화(KRW)",1,IF(OR(U977=환율!$A$6,U977=환율!$A$7),VLOOKUP(NAV!U977,환율!$A$6:$B$7,2,),IF(RIGHT(U977,5)="(100)",(VLOOKUP(NAV!U977,환율!$A$11:$B$65,2,))/100,VLOOKUP(NAV!U977,환율!$A$11:$B$65,2,))))</f>
        <v>1</v>
      </c>
      <c r="W977" s="481"/>
      <c r="X977" s="482">
        <f t="shared" si="319"/>
        <v>0</v>
      </c>
      <c r="Y977" s="481"/>
      <c r="Z977" s="481"/>
      <c r="AA977" s="483">
        <f t="shared" si="320"/>
        <v>0</v>
      </c>
      <c r="AB977" s="554"/>
      <c r="AC977" s="526" t="str">
        <f t="shared" si="321"/>
        <v>2년이상</v>
      </c>
      <c r="AD977" s="520" t="str">
        <f t="shared" si="322"/>
        <v/>
      </c>
      <c r="AE977" s="527">
        <f t="shared" si="323"/>
        <v>0</v>
      </c>
      <c r="AF977" s="527">
        <f t="shared" si="324"/>
        <v>0</v>
      </c>
      <c r="AG977" s="485"/>
      <c r="AH977" s="485"/>
      <c r="AI977" s="404"/>
    </row>
    <row r="978" spans="1:35" ht="12.75" thickBot="1">
      <c r="A978" s="489" t="s">
        <v>408</v>
      </c>
      <c r="B978" s="498" t="b">
        <f>D971+D972+D973+D974+D976+D977=D978</f>
        <v>1</v>
      </c>
      <c r="C978" s="493" t="s">
        <v>477</v>
      </c>
      <c r="D978" s="494">
        <f>D970+D975</f>
        <v>0</v>
      </c>
      <c r="E978" s="494">
        <f>E970+E975</f>
        <v>0</v>
      </c>
      <c r="J978" s="551"/>
      <c r="K978" s="552"/>
      <c r="L978" s="551"/>
      <c r="M978" s="553"/>
      <c r="N978" s="553"/>
      <c r="O978" s="551"/>
      <c r="P978" s="553"/>
      <c r="Q978" s="524"/>
      <c r="R978" s="478">
        <f>IFERROR(INDEX(기초자산!M$6:M$408,MATCH(K978&amp;N978&amp;O978,기초자산!$A$6:$A$408,0),0),0)</f>
        <v>0</v>
      </c>
      <c r="S978" s="479">
        <f t="shared" si="318"/>
        <v>0</v>
      </c>
      <c r="T978" s="553"/>
      <c r="U978" s="471" t="s">
        <v>94</v>
      </c>
      <c r="V978" s="480">
        <f>IF(U978="한국 원화(KRW)",1,IF(OR(U978=환율!$A$6,U978=환율!$A$7),VLOOKUP(NAV!U978,환율!$A$6:$B$7,2,),IF(RIGHT(U978,5)="(100)",(VLOOKUP(NAV!U978,환율!$A$11:$B$65,2,))/100,VLOOKUP(NAV!U978,환율!$A$11:$B$65,2,))))</f>
        <v>1</v>
      </c>
      <c r="W978" s="481"/>
      <c r="X978" s="482">
        <f t="shared" si="319"/>
        <v>0</v>
      </c>
      <c r="Y978" s="481"/>
      <c r="Z978" s="481"/>
      <c r="AA978" s="483">
        <f t="shared" si="320"/>
        <v>0</v>
      </c>
      <c r="AB978" s="554"/>
      <c r="AC978" s="526" t="str">
        <f t="shared" si="321"/>
        <v>2년이상</v>
      </c>
      <c r="AD978" s="520" t="str">
        <f t="shared" si="322"/>
        <v/>
      </c>
      <c r="AE978" s="527">
        <f t="shared" si="323"/>
        <v>0</v>
      </c>
      <c r="AF978" s="527">
        <f t="shared" si="324"/>
        <v>0</v>
      </c>
      <c r="AG978" s="485"/>
      <c r="AH978" s="485"/>
      <c r="AI978" s="404"/>
    </row>
    <row r="979" spans="1:35" ht="12.75" thickBot="1">
      <c r="A979" s="492"/>
      <c r="B979" s="555" t="str">
        <f>B959&amp;C979</f>
        <v>SPC없음자본금</v>
      </c>
      <c r="C979" s="486" t="s">
        <v>535</v>
      </c>
      <c r="D979" s="487">
        <f>SUMIF(FS!$I$89:$I$119,개요!$B$301&amp;RIGHT(NAV!C979,3),FS!$L$89:$L$119)</f>
        <v>0</v>
      </c>
      <c r="E979" s="487">
        <f>D979</f>
        <v>0</v>
      </c>
      <c r="J979" s="551"/>
      <c r="K979" s="552"/>
      <c r="L979" s="551"/>
      <c r="M979" s="553"/>
      <c r="N979" s="553"/>
      <c r="O979" s="551"/>
      <c r="P979" s="553"/>
      <c r="Q979" s="524"/>
      <c r="R979" s="478">
        <f>IFERROR(INDEX(기초자산!M$6:M$408,MATCH(K979&amp;N979&amp;O979,기초자산!$A$6:$A$408,0),0),0)</f>
        <v>0</v>
      </c>
      <c r="S979" s="479">
        <f t="shared" si="318"/>
        <v>0</v>
      </c>
      <c r="T979" s="553"/>
      <c r="U979" s="471" t="s">
        <v>94</v>
      </c>
      <c r="V979" s="480">
        <f>IF(U979="한국 원화(KRW)",1,IF(OR(U979=환율!$A$6,U979=환율!$A$7),VLOOKUP(NAV!U979,환율!$A$6:$B$7,2,),IF(RIGHT(U979,5)="(100)",(VLOOKUP(NAV!U979,환율!$A$11:$B$65,2,))/100,VLOOKUP(NAV!U979,환율!$A$11:$B$65,2,))))</f>
        <v>1</v>
      </c>
      <c r="W979" s="481"/>
      <c r="X979" s="482">
        <f t="shared" si="319"/>
        <v>0</v>
      </c>
      <c r="Y979" s="481"/>
      <c r="Z979" s="481"/>
      <c r="AA979" s="483">
        <f t="shared" si="320"/>
        <v>0</v>
      </c>
      <c r="AB979" s="554"/>
      <c r="AC979" s="526" t="str">
        <f t="shared" si="321"/>
        <v>2년이상</v>
      </c>
      <c r="AD979" s="520" t="str">
        <f t="shared" si="322"/>
        <v/>
      </c>
      <c r="AE979" s="527">
        <f t="shared" si="323"/>
        <v>0</v>
      </c>
      <c r="AF979" s="527">
        <f t="shared" si="324"/>
        <v>0</v>
      </c>
      <c r="AG979" s="485"/>
      <c r="AH979" s="485"/>
      <c r="AI979" s="404"/>
    </row>
    <row r="980" spans="1:35" ht="12.75" thickBot="1">
      <c r="C980" s="486" t="s">
        <v>120</v>
      </c>
      <c r="D980" s="487">
        <f>SUMIF(FS!$I$89:$I$119,개요!$B$301&amp;RIGHT(NAV!C980,10),FS!$L$89:$L$119)</f>
        <v>0</v>
      </c>
      <c r="E980" s="487">
        <f>D980</f>
        <v>0</v>
      </c>
      <c r="J980" s="551"/>
      <c r="K980" s="552"/>
      <c r="L980" s="551"/>
      <c r="M980" s="553"/>
      <c r="N980" s="553"/>
      <c r="O980" s="551"/>
      <c r="P980" s="553"/>
      <c r="Q980" s="524"/>
      <c r="R980" s="478">
        <f>IFERROR(INDEX(기초자산!M$6:M$408,MATCH(K980&amp;N980&amp;O980,기초자산!$A$6:$A$408,0),0),0)</f>
        <v>0</v>
      </c>
      <c r="S980" s="479">
        <f t="shared" si="318"/>
        <v>0</v>
      </c>
      <c r="T980" s="553"/>
      <c r="U980" s="471" t="s">
        <v>94</v>
      </c>
      <c r="V980" s="480">
        <f>IF(U980="한국 원화(KRW)",1,IF(OR(U980=환율!$A$6,U980=환율!$A$7),VLOOKUP(NAV!U980,환율!$A$6:$B$7,2,),IF(RIGHT(U980,5)="(100)",(VLOOKUP(NAV!U980,환율!$A$11:$B$65,2,))/100,VLOOKUP(NAV!U980,환율!$A$11:$B$65,2,))))</f>
        <v>1</v>
      </c>
      <c r="W980" s="481"/>
      <c r="X980" s="482">
        <f t="shared" si="319"/>
        <v>0</v>
      </c>
      <c r="Y980" s="481"/>
      <c r="Z980" s="481"/>
      <c r="AA980" s="483">
        <f t="shared" si="320"/>
        <v>0</v>
      </c>
      <c r="AB980" s="554"/>
      <c r="AC980" s="526" t="str">
        <f t="shared" si="321"/>
        <v>2년이상</v>
      </c>
      <c r="AD980" s="520" t="str">
        <f t="shared" si="322"/>
        <v/>
      </c>
      <c r="AE980" s="527">
        <f t="shared" si="323"/>
        <v>0</v>
      </c>
      <c r="AF980" s="527">
        <f t="shared" si="324"/>
        <v>0</v>
      </c>
      <c r="AG980" s="485"/>
      <c r="AH980" s="485"/>
      <c r="AI980" s="404"/>
    </row>
    <row r="981" spans="1:35" ht="12.75" thickBot="1">
      <c r="A981" s="489"/>
      <c r="B981" s="415"/>
      <c r="C981" s="486" t="s">
        <v>122</v>
      </c>
      <c r="D981" s="487">
        <f>SUMIF(FS!$I$89:$I$119,개요!$B$301&amp;RIGHT(NAV!C981,8),FS!$L$89:$L$119)</f>
        <v>0</v>
      </c>
      <c r="E981" s="487">
        <f>D981</f>
        <v>0</v>
      </c>
      <c r="J981" s="551"/>
      <c r="K981" s="552"/>
      <c r="L981" s="551"/>
      <c r="M981" s="553"/>
      <c r="N981" s="553"/>
      <c r="O981" s="551"/>
      <c r="P981" s="553"/>
      <c r="Q981" s="524"/>
      <c r="R981" s="478">
        <f>IFERROR(INDEX(기초자산!M$6:M$408,MATCH(K981&amp;N981&amp;O981,기초자산!$A$6:$A$408,0),0),0)</f>
        <v>0</v>
      </c>
      <c r="S981" s="479">
        <f t="shared" si="318"/>
        <v>0</v>
      </c>
      <c r="T981" s="553"/>
      <c r="U981" s="471" t="s">
        <v>94</v>
      </c>
      <c r="V981" s="480">
        <f>IF(U981="한국 원화(KRW)",1,IF(OR(U981=환율!$A$6,U981=환율!$A$7),VLOOKUP(NAV!U981,환율!$A$6:$B$7,2,),IF(RIGHT(U981,5)="(100)",(VLOOKUP(NAV!U981,환율!$A$11:$B$65,2,))/100,VLOOKUP(NAV!U981,환율!$A$11:$B$65,2,))))</f>
        <v>1</v>
      </c>
      <c r="W981" s="481"/>
      <c r="X981" s="482">
        <f t="shared" si="319"/>
        <v>0</v>
      </c>
      <c r="Y981" s="481"/>
      <c r="Z981" s="481"/>
      <c r="AA981" s="483">
        <f t="shared" si="320"/>
        <v>0</v>
      </c>
      <c r="AB981" s="554"/>
      <c r="AC981" s="526" t="str">
        <f t="shared" si="321"/>
        <v>2년이상</v>
      </c>
      <c r="AD981" s="520" t="str">
        <f t="shared" si="322"/>
        <v/>
      </c>
      <c r="AE981" s="527">
        <f t="shared" si="323"/>
        <v>0</v>
      </c>
      <c r="AF981" s="527">
        <f t="shared" si="324"/>
        <v>0</v>
      </c>
      <c r="AG981" s="485"/>
      <c r="AH981" s="485"/>
      <c r="AI981" s="404"/>
    </row>
    <row r="982" spans="1:35" ht="12.75" thickBot="1">
      <c r="A982" s="489" t="s">
        <v>411</v>
      </c>
      <c r="B982" s="415" t="b">
        <f>D982=SUM(D979:D981)</f>
        <v>1</v>
      </c>
      <c r="C982" s="493" t="s">
        <v>79</v>
      </c>
      <c r="D982" s="494">
        <f>D969-D978</f>
        <v>0</v>
      </c>
      <c r="E982" s="494">
        <f>E969-E978</f>
        <v>0</v>
      </c>
      <c r="J982" s="551"/>
      <c r="K982" s="552"/>
      <c r="L982" s="551"/>
      <c r="M982" s="553"/>
      <c r="N982" s="553"/>
      <c r="O982" s="551"/>
      <c r="P982" s="553"/>
      <c r="Q982" s="524"/>
      <c r="R982" s="478">
        <f>IFERROR(INDEX(기초자산!M$6:M$408,MATCH(K982&amp;N982&amp;O982,기초자산!$A$6:$A$408,0),0),0)</f>
        <v>0</v>
      </c>
      <c r="S982" s="479">
        <f t="shared" si="318"/>
        <v>0</v>
      </c>
      <c r="T982" s="553"/>
      <c r="U982" s="471" t="s">
        <v>94</v>
      </c>
      <c r="V982" s="480">
        <f>IF(U982="한국 원화(KRW)",1,IF(OR(U982=환율!$A$6,U982=환율!$A$7),VLOOKUP(NAV!U982,환율!$A$6:$B$7,2,),IF(RIGHT(U982,5)="(100)",(VLOOKUP(NAV!U982,환율!$A$11:$B$65,2,))/100,VLOOKUP(NAV!U982,환율!$A$11:$B$65,2,))))</f>
        <v>1</v>
      </c>
      <c r="W982" s="481"/>
      <c r="X982" s="482">
        <f t="shared" si="319"/>
        <v>0</v>
      </c>
      <c r="Y982" s="481"/>
      <c r="Z982" s="481"/>
      <c r="AA982" s="483">
        <f t="shared" si="320"/>
        <v>0</v>
      </c>
      <c r="AB982" s="554"/>
      <c r="AC982" s="526" t="str">
        <f t="shared" si="321"/>
        <v>2년이상</v>
      </c>
      <c r="AD982" s="520" t="str">
        <f t="shared" si="322"/>
        <v/>
      </c>
      <c r="AE982" s="527">
        <f t="shared" si="323"/>
        <v>0</v>
      </c>
      <c r="AF982" s="527">
        <f t="shared" si="324"/>
        <v>0</v>
      </c>
      <c r="AG982" s="485"/>
      <c r="AH982" s="485"/>
      <c r="AI982" s="404"/>
    </row>
    <row r="983" spans="1:35" ht="12.75" thickBot="1">
      <c r="A983" s="489"/>
      <c r="B983" s="415"/>
      <c r="C983" s="486" t="s">
        <v>413</v>
      </c>
      <c r="D983" s="487">
        <v>0</v>
      </c>
      <c r="E983" s="499">
        <v>0</v>
      </c>
      <c r="J983" s="551"/>
      <c r="K983" s="552"/>
      <c r="L983" s="551"/>
      <c r="M983" s="553"/>
      <c r="N983" s="553"/>
      <c r="O983" s="551"/>
      <c r="P983" s="553"/>
      <c r="Q983" s="524"/>
      <c r="R983" s="478">
        <f>IFERROR(INDEX(기초자산!M$6:M$408,MATCH(K983&amp;N983&amp;O983,기초자산!$A$6:$A$408,0),0),0)</f>
        <v>0</v>
      </c>
      <c r="S983" s="479">
        <f t="shared" si="318"/>
        <v>0</v>
      </c>
      <c r="T983" s="553"/>
      <c r="U983" s="471" t="s">
        <v>94</v>
      </c>
      <c r="V983" s="480">
        <f>IF(U983="한국 원화(KRW)",1,IF(OR(U983=환율!$A$6,U983=환율!$A$7),VLOOKUP(NAV!U983,환율!$A$6:$B$7,2,),IF(RIGHT(U983,5)="(100)",(VLOOKUP(NAV!U983,환율!$A$11:$B$65,2,))/100,VLOOKUP(NAV!U983,환율!$A$11:$B$65,2,))))</f>
        <v>1</v>
      </c>
      <c r="W983" s="481"/>
      <c r="X983" s="482">
        <f t="shared" si="319"/>
        <v>0</v>
      </c>
      <c r="Y983" s="481"/>
      <c r="Z983" s="481"/>
      <c r="AA983" s="483">
        <f t="shared" si="320"/>
        <v>0</v>
      </c>
      <c r="AB983" s="554"/>
      <c r="AC983" s="526" t="str">
        <f t="shared" si="321"/>
        <v>2년이상</v>
      </c>
      <c r="AD983" s="520" t="str">
        <f t="shared" si="322"/>
        <v/>
      </c>
      <c r="AE983" s="527">
        <f t="shared" si="323"/>
        <v>0</v>
      </c>
      <c r="AF983" s="527">
        <f t="shared" si="324"/>
        <v>0</v>
      </c>
      <c r="AG983" s="485"/>
      <c r="AH983" s="485"/>
      <c r="AI983" s="404"/>
    </row>
    <row r="984" spans="1:35">
      <c r="A984" s="489"/>
      <c r="B984" s="415"/>
      <c r="C984" s="486" t="s">
        <v>414</v>
      </c>
      <c r="D984" s="487">
        <v>0</v>
      </c>
      <c r="E984" s="499">
        <v>0</v>
      </c>
      <c r="J984" s="495"/>
      <c r="K984" s="415"/>
      <c r="L984" s="495"/>
      <c r="M984" s="415"/>
      <c r="N984" s="415"/>
      <c r="O984" s="415"/>
      <c r="P984" s="415"/>
      <c r="Q984" s="422"/>
      <c r="R984" s="415"/>
      <c r="S984" s="415"/>
      <c r="T984" s="415"/>
      <c r="U984" s="415"/>
      <c r="V984" s="415"/>
      <c r="W984" s="422"/>
      <c r="X984" s="415"/>
      <c r="Y984" s="458"/>
      <c r="Z984" s="422"/>
      <c r="AA984" s="556"/>
      <c r="AB984" s="556"/>
      <c r="AC984" s="415"/>
      <c r="AE984" s="415"/>
      <c r="AI984" s="404"/>
    </row>
    <row r="985" spans="1:35">
      <c r="A985" s="489"/>
      <c r="B985" s="415"/>
      <c r="C985" s="493" t="s">
        <v>123</v>
      </c>
      <c r="D985" s="494">
        <f>D982+D983-D984</f>
        <v>0</v>
      </c>
      <c r="E985" s="494">
        <f>IF(E982+E983-E984&gt;0,E982+E983-E984,0)</f>
        <v>0</v>
      </c>
      <c r="J985" s="305"/>
      <c r="K985" s="415"/>
      <c r="L985" s="305"/>
      <c r="M985" s="415"/>
      <c r="N985" s="415"/>
      <c r="O985" s="415"/>
      <c r="S985" s="415"/>
      <c r="T985" s="415"/>
      <c r="U985" s="415"/>
      <c r="V985" s="415"/>
      <c r="Y985" s="458"/>
      <c r="AD985" s="557" t="str">
        <f>B959&amp;"순자산가치"</f>
        <v>SPC없음순자산가치</v>
      </c>
      <c r="AE985" s="529">
        <f>IF(E965+SUM(AE965:AE970)+SUM(AE973:AE983)-E978&gt;0,E965+SUM(AE965:AE970)+SUM(AE973:AE983)-E978,0)</f>
        <v>0</v>
      </c>
      <c r="AF985" s="529">
        <f>IF(E965+SUM(AF965:AF970)+SUM(AF973:AF983)-E978&gt;0,E965+SUM(AF965:AF970)+SUM(AF973:AF983)-E978,0)</f>
        <v>0</v>
      </c>
      <c r="AI985" s="404"/>
    </row>
    <row r="986" spans="1:35">
      <c r="A986" s="489"/>
      <c r="B986" s="558" t="str">
        <f>B959&amp;C986</f>
        <v>SPC없음보유지분율(%)</v>
      </c>
      <c r="C986" s="493" t="s">
        <v>416</v>
      </c>
      <c r="D986" s="559">
        <f>개요!$C$190</f>
        <v>0</v>
      </c>
      <c r="E986" s="494">
        <f>E985*D986</f>
        <v>0</v>
      </c>
      <c r="F986" s="560" t="s">
        <v>417</v>
      </c>
      <c r="G986" s="560"/>
      <c r="J986" s="495"/>
      <c r="K986" s="415"/>
      <c r="L986" s="495"/>
      <c r="M986" s="415"/>
      <c r="N986" s="415"/>
      <c r="O986" s="415"/>
      <c r="S986" s="415"/>
      <c r="T986" s="415"/>
      <c r="U986" s="415"/>
      <c r="V986" s="415"/>
      <c r="Y986" s="458"/>
      <c r="AD986" s="557" t="s">
        <v>272</v>
      </c>
      <c r="AE986" s="561">
        <f>$D986</f>
        <v>0</v>
      </c>
      <c r="AF986" s="561">
        <f>$D986</f>
        <v>0</v>
      </c>
      <c r="AI986" s="404"/>
    </row>
    <row r="987" spans="1:35">
      <c r="A987" s="489"/>
      <c r="B987" s="415"/>
      <c r="G987" s="503" t="s">
        <v>419</v>
      </c>
      <c r="I987" s="562"/>
      <c r="J987" s="495"/>
      <c r="K987" s="415"/>
      <c r="L987" s="495"/>
      <c r="M987" s="415"/>
      <c r="N987" s="415"/>
      <c r="O987" s="415"/>
      <c r="S987" s="415"/>
      <c r="T987" s="415"/>
      <c r="U987" s="415"/>
      <c r="V987" s="415"/>
      <c r="Y987" s="458"/>
      <c r="AD987" s="557" t="str">
        <f>B959&amp;"지분율 반영 순자산가치"</f>
        <v>SPC없음지분율 반영 순자산가치</v>
      </c>
      <c r="AE987" s="529">
        <f>AE985*AE986</f>
        <v>0</v>
      </c>
      <c r="AF987" s="529">
        <f>AF985*AF986</f>
        <v>0</v>
      </c>
      <c r="AI987" s="404"/>
    </row>
    <row r="988" spans="1:35">
      <c r="A988" s="489"/>
      <c r="D988" s="504" t="s">
        <v>43</v>
      </c>
      <c r="E988" s="505">
        <f>$C$7</f>
        <v>45473</v>
      </c>
      <c r="F988" s="506"/>
      <c r="G988" s="505"/>
      <c r="I988" s="563"/>
      <c r="J988" s="495"/>
      <c r="K988" s="415"/>
      <c r="L988" s="495"/>
      <c r="M988" s="415"/>
      <c r="N988" s="415"/>
      <c r="O988" s="415"/>
      <c r="S988" s="415"/>
      <c r="T988" s="415"/>
      <c r="U988" s="415"/>
      <c r="V988" s="415"/>
      <c r="Y988" s="422"/>
      <c r="AI988" s="404"/>
    </row>
    <row r="989" spans="1:35">
      <c r="D989" s="486" t="s">
        <v>79</v>
      </c>
      <c r="E989" s="487">
        <f>E985</f>
        <v>0</v>
      </c>
      <c r="F989" s="507" t="e">
        <f>E989/G989-1</f>
        <v>#DIV/0!</v>
      </c>
      <c r="G989" s="487"/>
      <c r="I989" s="564"/>
      <c r="J989" s="495"/>
      <c r="K989" s="415"/>
      <c r="L989" s="495"/>
      <c r="M989" s="415"/>
      <c r="S989" s="415"/>
      <c r="T989" s="415"/>
      <c r="U989" s="415"/>
      <c r="V989" s="415"/>
      <c r="Y989" s="422"/>
      <c r="AI989" s="404"/>
    </row>
    <row r="990" spans="1:35">
      <c r="A990" s="489"/>
      <c r="B990" s="415"/>
      <c r="D990" s="486" t="s">
        <v>272</v>
      </c>
      <c r="E990" s="565">
        <f>$D$986</f>
        <v>0</v>
      </c>
      <c r="F990" s="507"/>
      <c r="G990" s="565"/>
      <c r="I990" s="566"/>
      <c r="J990" s="305"/>
      <c r="K990" s="415"/>
      <c r="L990" s="305"/>
      <c r="M990" s="415"/>
      <c r="S990" s="415"/>
      <c r="T990" s="415"/>
      <c r="U990" s="415"/>
      <c r="V990" s="415"/>
      <c r="Y990" s="422"/>
      <c r="AI990" s="404"/>
    </row>
    <row r="991" spans="1:35">
      <c r="A991" s="489"/>
      <c r="B991" s="415"/>
      <c r="D991" s="567" t="s">
        <v>246</v>
      </c>
      <c r="E991" s="568">
        <f>E989*E990</f>
        <v>0</v>
      </c>
      <c r="F991" s="507" t="e">
        <f>E991/G991-1</f>
        <v>#DIV/0!</v>
      </c>
      <c r="G991" s="568"/>
      <c r="I991" s="564"/>
      <c r="AI991" s="404"/>
    </row>
    <row r="992" spans="1:35">
      <c r="E992" s="304" t="b">
        <f>E991=E986</f>
        <v>1</v>
      </c>
      <c r="AI992" s="404"/>
    </row>
    <row r="993" spans="1:35">
      <c r="F993" s="507"/>
      <c r="G993" s="507"/>
      <c r="AI993" s="404"/>
    </row>
    <row r="994" spans="1:35" ht="12.75" thickBot="1">
      <c r="A994" s="536"/>
      <c r="B994" s="536"/>
      <c r="C994" s="536"/>
      <c r="D994" s="536"/>
      <c r="E994" s="536"/>
      <c r="F994" s="572"/>
      <c r="G994" s="572"/>
      <c r="H994" s="536"/>
      <c r="I994" s="537"/>
      <c r="J994" s="536"/>
      <c r="K994" s="536"/>
      <c r="L994" s="536"/>
      <c r="M994" s="536"/>
      <c r="N994" s="536"/>
      <c r="O994" s="536"/>
      <c r="P994" s="536"/>
      <c r="Q994" s="540"/>
      <c r="R994" s="536"/>
      <c r="S994" s="536"/>
      <c r="T994" s="536"/>
      <c r="U994" s="536"/>
      <c r="V994" s="536"/>
      <c r="W994" s="540"/>
      <c r="X994" s="536"/>
      <c r="Y994" s="540"/>
      <c r="Z994" s="540"/>
      <c r="AA994" s="536"/>
      <c r="AB994" s="536"/>
      <c r="AC994" s="536"/>
      <c r="AD994" s="541"/>
      <c r="AE994" s="536"/>
      <c r="AF994" s="536"/>
      <c r="AG994" s="536"/>
      <c r="AH994" s="536"/>
      <c r="AI994" s="404"/>
    </row>
    <row r="995" spans="1:35" ht="12.75" thickTop="1">
      <c r="F995" s="507"/>
      <c r="G995" s="507"/>
      <c r="AI995" s="404"/>
    </row>
    <row r="996" spans="1:35" ht="12.75" thickBot="1">
      <c r="A996" s="459"/>
      <c r="B996" s="415"/>
      <c r="J996" s="428" t="s">
        <v>273</v>
      </c>
      <c r="K996" s="489"/>
      <c r="L996" s="497"/>
      <c r="M996" s="489"/>
      <c r="N996" s="415"/>
      <c r="O996" s="415"/>
      <c r="AI996" s="404"/>
    </row>
    <row r="997" spans="1:35" ht="12.75" thickBot="1">
      <c r="A997" s="542" t="s">
        <v>723</v>
      </c>
      <c r="B997" s="543" t="str">
        <f>IF(개요!$B$313="","SPC없음",개요!$B$313)</f>
        <v>SPC없음</v>
      </c>
      <c r="C997" s="454"/>
      <c r="J997" s="433"/>
      <c r="K997" s="434"/>
      <c r="L997" s="434"/>
      <c r="M997" s="434"/>
      <c r="N997" s="434"/>
      <c r="O997" s="434"/>
      <c r="P997" s="434"/>
      <c r="Q997" s="435"/>
      <c r="R997" s="434"/>
      <c r="S997" s="434"/>
      <c r="T997" s="434"/>
      <c r="U997" s="434"/>
      <c r="V997" s="436"/>
      <c r="AI997" s="404"/>
    </row>
    <row r="998" spans="1:35">
      <c r="B998" s="543" t="s">
        <v>260</v>
      </c>
      <c r="C998" s="569" t="str">
        <f>IF(개요!$C$314="","SPC없음",개요!$C$314)</f>
        <v>SPC없음</v>
      </c>
      <c r="J998" s="442"/>
      <c r="K998" s="151"/>
      <c r="L998" s="151"/>
      <c r="M998" s="151"/>
      <c r="N998" s="151"/>
      <c r="O998" s="151"/>
      <c r="P998" s="151"/>
      <c r="Q998" s="443"/>
      <c r="R998" s="151"/>
      <c r="S998" s="151"/>
      <c r="T998" s="151"/>
      <c r="U998" s="151"/>
      <c r="V998" s="444"/>
      <c r="AI998" s="404"/>
    </row>
    <row r="999" spans="1:35">
      <c r="B999" s="437" t="s">
        <v>43</v>
      </c>
      <c r="C999" s="570">
        <f>$C$7</f>
        <v>45473</v>
      </c>
      <c r="D999" s="546" t="b">
        <f>C999&gt;=C1000</f>
        <v>1</v>
      </c>
      <c r="J999" s="442"/>
      <c r="K999" s="151"/>
      <c r="L999" s="151"/>
      <c r="M999" s="151"/>
      <c r="N999" s="151"/>
      <c r="O999" s="151"/>
      <c r="P999" s="151"/>
      <c r="Q999" s="443"/>
      <c r="R999" s="151"/>
      <c r="S999" s="151"/>
      <c r="T999" s="151"/>
      <c r="U999" s="151"/>
      <c r="V999" s="444"/>
      <c r="AI999" s="404"/>
    </row>
    <row r="1000" spans="1:35" ht="12.75" thickBot="1">
      <c r="B1000" s="449" t="s">
        <v>371</v>
      </c>
      <c r="C1000" s="571">
        <f>FS!$R$88</f>
        <v>0</v>
      </c>
      <c r="J1000" s="453"/>
      <c r="K1000" s="454"/>
      <c r="L1000" s="454"/>
      <c r="M1000" s="454"/>
      <c r="N1000" s="454"/>
      <c r="O1000" s="454"/>
      <c r="P1000" s="454"/>
      <c r="Q1000" s="455"/>
      <c r="R1000" s="454"/>
      <c r="S1000" s="454"/>
      <c r="T1000" s="454"/>
      <c r="U1000" s="454"/>
      <c r="V1000" s="456"/>
      <c r="AI1000" s="404"/>
    </row>
    <row r="1001" spans="1:35">
      <c r="A1001" s="459"/>
      <c r="J1001" s="428" t="s">
        <v>372</v>
      </c>
      <c r="K1001" s="448"/>
      <c r="L1001" s="420"/>
      <c r="M1001" s="448"/>
      <c r="N1001" s="448"/>
      <c r="O1001" s="448"/>
      <c r="P1001" s="415"/>
      <c r="Q1001" s="422"/>
      <c r="R1001" s="415"/>
      <c r="S1001" s="415"/>
      <c r="T1001" s="415"/>
      <c r="U1001" s="415"/>
      <c r="V1001" s="415"/>
      <c r="W1001" s="422"/>
      <c r="Z1001" s="458"/>
      <c r="AE1001" s="803" t="s">
        <v>8</v>
      </c>
      <c r="AF1001" s="803"/>
      <c r="AG1001" s="460"/>
      <c r="AH1001" s="460"/>
      <c r="AI1001" s="404"/>
    </row>
    <row r="1002" spans="1:35" ht="12.75" thickBot="1">
      <c r="A1002" s="461" t="str">
        <f>IF(AND(B1003:B1029),"검증완료","검증필요")</f>
        <v>검증완료</v>
      </c>
      <c r="B1002" s="462" t="s">
        <v>38</v>
      </c>
      <c r="C1002" s="462" t="s">
        <v>9</v>
      </c>
      <c r="D1002" s="462" t="s">
        <v>10</v>
      </c>
      <c r="E1002" s="462" t="s">
        <v>11</v>
      </c>
      <c r="J1002" s="462" t="s">
        <v>375</v>
      </c>
      <c r="K1002" s="464" t="s">
        <v>0</v>
      </c>
      <c r="L1002" s="462" t="s">
        <v>260</v>
      </c>
      <c r="M1002" s="462" t="s">
        <v>456</v>
      </c>
      <c r="N1002" s="462" t="s">
        <v>91</v>
      </c>
      <c r="O1002" s="462" t="s">
        <v>1</v>
      </c>
      <c r="P1002" s="464" t="s">
        <v>380</v>
      </c>
      <c r="Q1002" s="465" t="s">
        <v>14</v>
      </c>
      <c r="R1002" s="466" t="s">
        <v>381</v>
      </c>
      <c r="S1002" s="466" t="s">
        <v>303</v>
      </c>
      <c r="T1002" s="462" t="s">
        <v>12</v>
      </c>
      <c r="U1002" s="462" t="s">
        <v>72</v>
      </c>
      <c r="V1002" s="462" t="s">
        <v>400</v>
      </c>
      <c r="W1002" s="465" t="s">
        <v>10</v>
      </c>
      <c r="X1002" s="462" t="s">
        <v>385</v>
      </c>
      <c r="Y1002" s="465" t="s">
        <v>125</v>
      </c>
      <c r="Z1002" s="465" t="s">
        <v>3522</v>
      </c>
      <c r="AA1002" s="464" t="s">
        <v>13</v>
      </c>
      <c r="AE1002" s="467" t="s">
        <v>3627</v>
      </c>
      <c r="AF1002" s="467" t="s">
        <v>3628</v>
      </c>
      <c r="AG1002" s="467" t="s">
        <v>3629</v>
      </c>
      <c r="AH1002" s="467" t="s">
        <v>3630</v>
      </c>
      <c r="AI1002" s="404"/>
    </row>
    <row r="1003" spans="1:35" ht="12.75" thickBot="1">
      <c r="A1003" s="415"/>
      <c r="B1003" s="415"/>
      <c r="C1003" s="468" t="s">
        <v>480</v>
      </c>
      <c r="D1003" s="469">
        <f>SUM(D1004:D1005)</f>
        <v>0</v>
      </c>
      <c r="E1003" s="469">
        <f>SUM(E1004:E1005)</f>
        <v>0</v>
      </c>
      <c r="J1003" s="476"/>
      <c r="K1003" s="472"/>
      <c r="L1003" s="473" t="str">
        <f>IF($J1003="","SPC 없음",VLOOKUP($J1003&amp;"SPC명",개요!$A$3:$E$1932,3,0))</f>
        <v>SPC 없음</v>
      </c>
      <c r="M1003" s="474" t="str">
        <f>IF($J1003="","SPC 없음",VLOOKUP($J1003&amp;"설정일",개요!$A$3:$E$1932,3,0))</f>
        <v>SPC 없음</v>
      </c>
      <c r="N1003" s="475" t="str">
        <f t="shared" ref="N1003:N1008" si="325">IF($J1003="","SPC 없음",VLOOKUP($J1003&amp;"자본금",$B$4:$E$2079,3,0)*VLOOKUP($J1003&amp;"보유지분율(%)",$B$4:$E$2079,3,0))</f>
        <v>SPC 없음</v>
      </c>
      <c r="O1003" s="471"/>
      <c r="P1003" s="476"/>
      <c r="Q1003" s="477"/>
      <c r="R1003" s="478"/>
      <c r="S1003" s="479" t="str">
        <f t="shared" ref="S1003:S1008" si="326">IF($J1003="","SPC 없음",IF(P1003="총액",IF(T1003="장부가액 준용",W1003,(VLOOKUP($J1003&amp;"보유지분율(%)",$B$4:$E$2079,4,0))*V1003),Q1003*R1003))</f>
        <v>SPC 없음</v>
      </c>
      <c r="T1003" s="471"/>
      <c r="U1003" s="471" t="s">
        <v>94</v>
      </c>
      <c r="V1003" s="480">
        <f>IF(U1003="한국 원화(KRW)",1,IF(OR(U1003=환율!$A$6,U1003=환율!$A$7),VLOOKUP(NAV!U1003,환율!$A$6:$B$7,2,),IF(RIGHT(U1003,5)="(100)",(VLOOKUP(NAV!U1003,환율!$A$11:$B$65,2,))/100,VLOOKUP(NAV!U1003,환율!$A$11:$B$65,2,))))</f>
        <v>1</v>
      </c>
      <c r="W1003" s="481"/>
      <c r="X1003" s="482">
        <f t="shared" ref="X1003:X1008" si="327">IFERROR(IF(P1003="만원당",10000,Y1003/Q1003),0)</f>
        <v>0</v>
      </c>
      <c r="Y1003" s="481"/>
      <c r="Z1003" s="481"/>
      <c r="AA1003" s="483">
        <f t="shared" ref="AA1003:AA1008" si="328">IFERROR(IF(Z1003="",S1003/W1003-1,S1003/Z1003-1),0)</f>
        <v>0</v>
      </c>
      <c r="AE1003" s="484" t="str">
        <f t="shared" ref="AE1003:AE1008" si="329">IF($J1003="","SPC 없음",IF(P1003="총액",(VLOOKUP($J1003&amp;"지분율 반영 순자산가치",$AD$4:$AH$4973,2,0))*V1003,AG1003*$Q1003))</f>
        <v>SPC 없음</v>
      </c>
      <c r="AF1003" s="484" t="str">
        <f t="shared" ref="AF1003:AF1008" si="330">IF($J1003="","SPC 없음",IF(P1003="총액",(VLOOKUP($J1003&amp;"지분율 반영 순자산가치",$AD$4:$AH$4973,3,0))*V1003,AH1003*$Q1003))</f>
        <v>SPC 없음</v>
      </c>
      <c r="AG1003" s="485"/>
      <c r="AH1003" s="485"/>
      <c r="AI1003" s="404"/>
    </row>
    <row r="1004" spans="1:35" ht="12.75" thickBot="1">
      <c r="A1004" s="415"/>
      <c r="B1004" s="415"/>
      <c r="C1004" s="486" t="s">
        <v>117</v>
      </c>
      <c r="D1004" s="487">
        <f>SUMIF(FS!$O$89:$O$119,개요!$B$313&amp;RIGHT(NAV!C1004,10),FS!$R$89:$R$119)</f>
        <v>0</v>
      </c>
      <c r="E1004" s="487">
        <f>D1004</f>
        <v>0</v>
      </c>
      <c r="J1004" s="476"/>
      <c r="K1004" s="472"/>
      <c r="L1004" s="473" t="str">
        <f>IF($J1004="","SPC 없음",VLOOKUP($J1004&amp;"SPC명",개요!$A$3:$E$1932,3,0))</f>
        <v>SPC 없음</v>
      </c>
      <c r="M1004" s="474" t="str">
        <f>IF($J1004="","SPC 없음",VLOOKUP($J1004&amp;"설정일",개요!$A$3:$E$1932,3,0))</f>
        <v>SPC 없음</v>
      </c>
      <c r="N1004" s="475" t="str">
        <f t="shared" si="325"/>
        <v>SPC 없음</v>
      </c>
      <c r="O1004" s="471"/>
      <c r="P1004" s="476"/>
      <c r="Q1004" s="477"/>
      <c r="R1004" s="478"/>
      <c r="S1004" s="479" t="str">
        <f t="shared" si="326"/>
        <v>SPC 없음</v>
      </c>
      <c r="T1004" s="471"/>
      <c r="U1004" s="471" t="s">
        <v>94</v>
      </c>
      <c r="V1004" s="480">
        <f>IF(U1004="한국 원화(KRW)",1,IF(OR(U1004=환율!$A$6,U1004=환율!$A$7),VLOOKUP(NAV!U1004,환율!$A$6:$B$7,2,),IF(RIGHT(U1004,5)="(100)",(VLOOKUP(NAV!U1004,환율!$A$11:$B$65,2,))/100,VLOOKUP(NAV!U1004,환율!$A$11:$B$65,2,))))</f>
        <v>1</v>
      </c>
      <c r="W1004" s="481"/>
      <c r="X1004" s="482">
        <f t="shared" si="327"/>
        <v>0</v>
      </c>
      <c r="Y1004" s="481"/>
      <c r="Z1004" s="481"/>
      <c r="AA1004" s="483">
        <f t="shared" si="328"/>
        <v>0</v>
      </c>
      <c r="AE1004" s="484" t="str">
        <f t="shared" si="329"/>
        <v>SPC 없음</v>
      </c>
      <c r="AF1004" s="484" t="str">
        <f t="shared" si="330"/>
        <v>SPC 없음</v>
      </c>
      <c r="AG1004" s="485"/>
      <c r="AH1004" s="485"/>
      <c r="AI1004" s="404"/>
    </row>
    <row r="1005" spans="1:35" ht="12.75" thickBot="1">
      <c r="A1005" s="415"/>
      <c r="B1005" s="415"/>
      <c r="C1005" s="486" t="s">
        <v>34</v>
      </c>
      <c r="D1005" s="487">
        <f>SUMIF(FS!$O$89:$O$119,개요!$B$313&amp;RIGHT(NAV!C1005,4),FS!$R$89:$R$119)</f>
        <v>0</v>
      </c>
      <c r="E1005" s="487">
        <f>D1005</f>
        <v>0</v>
      </c>
      <c r="J1005" s="476"/>
      <c r="K1005" s="472"/>
      <c r="L1005" s="473" t="str">
        <f>IF($J1005="","SPC 없음",VLOOKUP($J1005&amp;"SPC명",개요!$A$3:$E$1932,3,0))</f>
        <v>SPC 없음</v>
      </c>
      <c r="M1005" s="474" t="str">
        <f>IF($J1005="","SPC 없음",VLOOKUP($J1005&amp;"설정일",개요!$A$3:$E$1932,3,0))</f>
        <v>SPC 없음</v>
      </c>
      <c r="N1005" s="475" t="str">
        <f t="shared" si="325"/>
        <v>SPC 없음</v>
      </c>
      <c r="O1005" s="471"/>
      <c r="P1005" s="476"/>
      <c r="Q1005" s="477"/>
      <c r="R1005" s="478"/>
      <c r="S1005" s="479" t="str">
        <f t="shared" si="326"/>
        <v>SPC 없음</v>
      </c>
      <c r="T1005" s="471"/>
      <c r="U1005" s="471" t="s">
        <v>94</v>
      </c>
      <c r="V1005" s="480">
        <f>IF(U1005="한국 원화(KRW)",1,IF(OR(U1005=환율!$A$6,U1005=환율!$A$7),VLOOKUP(NAV!U1005,환율!$A$6:$B$7,2,),IF(RIGHT(U1005,5)="(100)",(VLOOKUP(NAV!U1005,환율!$A$11:$B$65,2,))/100,VLOOKUP(NAV!U1005,환율!$A$11:$B$65,2,))))</f>
        <v>1</v>
      </c>
      <c r="W1005" s="481"/>
      <c r="X1005" s="482">
        <f t="shared" si="327"/>
        <v>0</v>
      </c>
      <c r="Y1005" s="481"/>
      <c r="Z1005" s="481"/>
      <c r="AA1005" s="483">
        <f t="shared" si="328"/>
        <v>0</v>
      </c>
      <c r="AE1005" s="484" t="str">
        <f t="shared" si="329"/>
        <v>SPC 없음</v>
      </c>
      <c r="AF1005" s="484" t="str">
        <f t="shared" si="330"/>
        <v>SPC 없음</v>
      </c>
      <c r="AG1005" s="485"/>
      <c r="AH1005" s="485"/>
      <c r="AI1005" s="404"/>
    </row>
    <row r="1006" spans="1:35" ht="12.75" thickBot="1">
      <c r="A1006" s="489" t="s">
        <v>389</v>
      </c>
      <c r="B1006" s="490" t="b">
        <f>SUM(W1003:W1008,W1011:W1021)=D1006</f>
        <v>1</v>
      </c>
      <c r="C1006" s="468" t="s">
        <v>17</v>
      </c>
      <c r="D1006" s="469">
        <f>SUMIF(FS!$O$89:$O$119,개요!$B$313&amp;RIGHT(NAV!C1006,4),FS!$R$89:$R$119)</f>
        <v>0</v>
      </c>
      <c r="E1006" s="469">
        <f>SUM(S1003:S1008)+SUM(S1011:S1021)</f>
        <v>0</v>
      </c>
      <c r="J1006" s="476"/>
      <c r="K1006" s="472"/>
      <c r="L1006" s="473" t="str">
        <f>IF($J1006="","SPC 없음",VLOOKUP($J1006&amp;"SPC명",개요!$A$3:$E$1932,3,0))</f>
        <v>SPC 없음</v>
      </c>
      <c r="M1006" s="474" t="str">
        <f>IF($J1006="","SPC 없음",VLOOKUP($J1006&amp;"설정일",개요!$A$3:$E$1932,3,0))</f>
        <v>SPC 없음</v>
      </c>
      <c r="N1006" s="475" t="str">
        <f t="shared" si="325"/>
        <v>SPC 없음</v>
      </c>
      <c r="O1006" s="471"/>
      <c r="P1006" s="476"/>
      <c r="Q1006" s="477"/>
      <c r="R1006" s="478"/>
      <c r="S1006" s="479" t="str">
        <f t="shared" si="326"/>
        <v>SPC 없음</v>
      </c>
      <c r="T1006" s="471"/>
      <c r="U1006" s="471" t="s">
        <v>94</v>
      </c>
      <c r="V1006" s="480">
        <f>IF(U1006="한국 원화(KRW)",1,IF(OR(U1006=환율!$A$6,U1006=환율!$A$7),VLOOKUP(NAV!U1006,환율!$A$6:$B$7,2,),IF(RIGHT(U1006,5)="(100)",(VLOOKUP(NAV!U1006,환율!$A$11:$B$65,2,))/100,VLOOKUP(NAV!U1006,환율!$A$11:$B$65,2,))))</f>
        <v>1</v>
      </c>
      <c r="W1006" s="481"/>
      <c r="X1006" s="482">
        <f t="shared" si="327"/>
        <v>0</v>
      </c>
      <c r="Y1006" s="481"/>
      <c r="Z1006" s="481"/>
      <c r="AA1006" s="483">
        <f t="shared" si="328"/>
        <v>0</v>
      </c>
      <c r="AE1006" s="484" t="str">
        <f t="shared" si="329"/>
        <v>SPC 없음</v>
      </c>
      <c r="AF1006" s="484" t="str">
        <f t="shared" si="330"/>
        <v>SPC 없음</v>
      </c>
      <c r="AG1006" s="485"/>
      <c r="AH1006" s="485"/>
      <c r="AI1006" s="404"/>
    </row>
    <row r="1007" spans="1:35" ht="12.75" thickBot="1">
      <c r="A1007" s="492" t="s">
        <v>391</v>
      </c>
      <c r="B1007" s="415" t="b">
        <f>D1004+D1005+D1006=D1007</f>
        <v>1</v>
      </c>
      <c r="C1007" s="493" t="s">
        <v>479</v>
      </c>
      <c r="D1007" s="494">
        <f>D1003+D1006</f>
        <v>0</v>
      </c>
      <c r="E1007" s="494">
        <f>E1003+E1006</f>
        <v>0</v>
      </c>
      <c r="J1007" s="476"/>
      <c r="K1007" s="472"/>
      <c r="L1007" s="473" t="str">
        <f>IF($J1007="","SPC 없음",VLOOKUP($J1007&amp;"SPC명",개요!$A$3:$E$1932,3,0))</f>
        <v>SPC 없음</v>
      </c>
      <c r="M1007" s="474" t="str">
        <f>IF($J1007="","SPC 없음",VLOOKUP($J1007&amp;"설정일",개요!$A$3:$E$1932,3,0))</f>
        <v>SPC 없음</v>
      </c>
      <c r="N1007" s="475" t="str">
        <f t="shared" si="325"/>
        <v>SPC 없음</v>
      </c>
      <c r="O1007" s="471"/>
      <c r="P1007" s="476"/>
      <c r="Q1007" s="477"/>
      <c r="R1007" s="478"/>
      <c r="S1007" s="479" t="str">
        <f t="shared" si="326"/>
        <v>SPC 없음</v>
      </c>
      <c r="T1007" s="471"/>
      <c r="U1007" s="471" t="s">
        <v>94</v>
      </c>
      <c r="V1007" s="480">
        <f>IF(U1007="한국 원화(KRW)",1,IF(OR(U1007=환율!$A$6,U1007=환율!$A$7),VLOOKUP(NAV!U1007,환율!$A$6:$B$7,2,),IF(RIGHT(U1007,5)="(100)",(VLOOKUP(NAV!U1007,환율!$A$11:$B$65,2,))/100,VLOOKUP(NAV!U1007,환율!$A$11:$B$65,2,))))</f>
        <v>1</v>
      </c>
      <c r="W1007" s="481"/>
      <c r="X1007" s="482">
        <f t="shared" si="327"/>
        <v>0</v>
      </c>
      <c r="Y1007" s="481"/>
      <c r="Z1007" s="481"/>
      <c r="AA1007" s="483">
        <f t="shared" si="328"/>
        <v>0</v>
      </c>
      <c r="AE1007" s="484" t="str">
        <f t="shared" si="329"/>
        <v>SPC 없음</v>
      </c>
      <c r="AF1007" s="484" t="str">
        <f t="shared" si="330"/>
        <v>SPC 없음</v>
      </c>
      <c r="AG1007" s="485"/>
      <c r="AH1007" s="485"/>
      <c r="AI1007" s="404"/>
    </row>
    <row r="1008" spans="1:35" ht="12.75" thickBot="1">
      <c r="A1008" s="492"/>
      <c r="B1008" s="496"/>
      <c r="C1008" s="468" t="s">
        <v>18</v>
      </c>
      <c r="D1008" s="469">
        <f>SUM(D1009:D1012)</f>
        <v>0</v>
      </c>
      <c r="E1008" s="469">
        <f>SUM(E1009:E1012)</f>
        <v>0</v>
      </c>
      <c r="J1008" s="476"/>
      <c r="K1008" s="472"/>
      <c r="L1008" s="473" t="str">
        <f>IF($J1008="","SPC 없음",VLOOKUP($J1008&amp;"SPC명",개요!$A$3:$E$1932,3,0))</f>
        <v>SPC 없음</v>
      </c>
      <c r="M1008" s="474" t="str">
        <f>IF($J1008="","SPC 없음",VLOOKUP($J1008&amp;"설정일",개요!$A$3:$E$1932,3,0))</f>
        <v>SPC 없음</v>
      </c>
      <c r="N1008" s="475" t="str">
        <f t="shared" si="325"/>
        <v>SPC 없음</v>
      </c>
      <c r="O1008" s="471"/>
      <c r="P1008" s="476"/>
      <c r="Q1008" s="477"/>
      <c r="R1008" s="478"/>
      <c r="S1008" s="479" t="str">
        <f t="shared" si="326"/>
        <v>SPC 없음</v>
      </c>
      <c r="T1008" s="471"/>
      <c r="U1008" s="471" t="s">
        <v>94</v>
      </c>
      <c r="V1008" s="480">
        <f>IF(U1008="한국 원화(KRW)",1,IF(OR(U1008=환율!$A$6,U1008=환율!$A$7),VLOOKUP(NAV!U1008,환율!$A$6:$B$7,2,),IF(RIGHT(U1008,5)="(100)",(VLOOKUP(NAV!U1008,환율!$A$11:$B$65,2,))/100,VLOOKUP(NAV!U1008,환율!$A$11:$B$65,2,))))</f>
        <v>1</v>
      </c>
      <c r="W1008" s="481"/>
      <c r="X1008" s="482">
        <f t="shared" si="327"/>
        <v>0</v>
      </c>
      <c r="Y1008" s="481"/>
      <c r="Z1008" s="481"/>
      <c r="AA1008" s="483">
        <f t="shared" si="328"/>
        <v>0</v>
      </c>
      <c r="AE1008" s="484" t="str">
        <f t="shared" si="329"/>
        <v>SPC 없음</v>
      </c>
      <c r="AF1008" s="484" t="str">
        <f t="shared" si="330"/>
        <v>SPC 없음</v>
      </c>
      <c r="AG1008" s="485"/>
      <c r="AH1008" s="485"/>
      <c r="AI1008" s="404"/>
    </row>
    <row r="1009" spans="1:35">
      <c r="A1009" s="492"/>
      <c r="B1009" s="496"/>
      <c r="C1009" s="486" t="s">
        <v>392</v>
      </c>
      <c r="D1009" s="487">
        <f>SUMIF(FS!$O$89:$O$119,개요!$B$313&amp;RIGHT(NAV!C1009,5),FS!$R$89:$R$119)</f>
        <v>0</v>
      </c>
      <c r="E1009" s="487">
        <f>D1009</f>
        <v>0</v>
      </c>
      <c r="J1009" s="428" t="s">
        <v>276</v>
      </c>
      <c r="K1009" s="415"/>
      <c r="L1009" s="305"/>
      <c r="M1009" s="415"/>
      <c r="N1009" s="415"/>
      <c r="O1009" s="415"/>
      <c r="P1009" s="415"/>
      <c r="Q1009" s="422"/>
      <c r="R1009" s="415"/>
      <c r="S1009" s="415"/>
      <c r="T1009" s="415"/>
      <c r="U1009" s="415"/>
      <c r="W1009" s="517" t="b">
        <f>SUM(W1011:W1021)+SUM(W1003:W1008)=D1006</f>
        <v>1</v>
      </c>
      <c r="X1009" s="415"/>
      <c r="Y1009" s="422"/>
      <c r="Z1009" s="422"/>
      <c r="AA1009" s="459" t="str">
        <f>IF(OR(MAX(AA1003:AA1008,AA1011:AA1021)&gt;0.2,MIN(AA1003:AA1008,AA1011:AA1021)&lt;-0.2),"특이사항 확인","특이사항 없음")</f>
        <v>특이사항 없음</v>
      </c>
      <c r="AB1009" s="415"/>
      <c r="AF1009" s="415"/>
      <c r="AG1009" s="415"/>
      <c r="AI1009" s="404"/>
    </row>
    <row r="1010" spans="1:35" ht="12.75" thickBot="1">
      <c r="A1010" s="492"/>
      <c r="B1010" s="496"/>
      <c r="C1010" s="486" t="s">
        <v>36</v>
      </c>
      <c r="D1010" s="487">
        <f>SUMIF(FS!$O$89:$O$119,개요!$B$313&amp;RIGHT(NAV!C1010,3),FS!$R$89:$R$119)</f>
        <v>0</v>
      </c>
      <c r="E1010" s="487">
        <f t="shared" ref="E1010:E1011" si="331">D1010</f>
        <v>0</v>
      </c>
      <c r="I1010" s="518">
        <f>COUNTA(J1011:J1021)</f>
        <v>0</v>
      </c>
      <c r="J1010" s="548" t="s">
        <v>265</v>
      </c>
      <c r="K1010" s="548" t="s">
        <v>0</v>
      </c>
      <c r="L1010" s="548" t="s">
        <v>395</v>
      </c>
      <c r="M1010" s="548" t="s">
        <v>83</v>
      </c>
      <c r="N1010" s="548" t="s">
        <v>397</v>
      </c>
      <c r="O1010" s="548" t="s">
        <v>221</v>
      </c>
      <c r="P1010" s="548" t="s">
        <v>380</v>
      </c>
      <c r="Q1010" s="519" t="s">
        <v>14</v>
      </c>
      <c r="R1010" s="466" t="s">
        <v>299</v>
      </c>
      <c r="S1010" s="466" t="s">
        <v>3525</v>
      </c>
      <c r="T1010" s="549" t="s">
        <v>12</v>
      </c>
      <c r="U1010" s="548" t="s">
        <v>72</v>
      </c>
      <c r="V1010" s="548" t="s">
        <v>400</v>
      </c>
      <c r="W1010" s="550" t="s">
        <v>10</v>
      </c>
      <c r="X1010" s="549" t="s">
        <v>42</v>
      </c>
      <c r="Y1010" s="550" t="s">
        <v>300</v>
      </c>
      <c r="Z1010" s="550" t="s">
        <v>3523</v>
      </c>
      <c r="AA1010" s="548" t="s">
        <v>13</v>
      </c>
      <c r="AB1010" s="548" t="s">
        <v>15</v>
      </c>
      <c r="AC1010" s="548" t="s">
        <v>40</v>
      </c>
      <c r="AE1010" s="467" t="s">
        <v>3627</v>
      </c>
      <c r="AF1010" s="467" t="s">
        <v>3628</v>
      </c>
      <c r="AG1010" s="467" t="s">
        <v>3629</v>
      </c>
      <c r="AH1010" s="467" t="s">
        <v>3630</v>
      </c>
      <c r="AI1010" s="404"/>
    </row>
    <row r="1011" spans="1:35" ht="12.75" thickBot="1">
      <c r="A1011" s="492"/>
      <c r="B1011" s="496"/>
      <c r="C1011" s="486" t="s">
        <v>37</v>
      </c>
      <c r="D1011" s="487">
        <f>SUMIF(FS!$O$89:$O$119,개요!$B$313&amp;RIGHT(NAV!C1011,6),FS!$R$89:$R$119)</f>
        <v>0</v>
      </c>
      <c r="E1011" s="487">
        <f t="shared" si="331"/>
        <v>0</v>
      </c>
      <c r="J1011" s="551"/>
      <c r="K1011" s="552"/>
      <c r="L1011" s="551"/>
      <c r="M1011" s="553"/>
      <c r="N1011" s="553"/>
      <c r="O1011" s="551"/>
      <c r="P1011" s="553"/>
      <c r="Q1011" s="524"/>
      <c r="R1011" s="478">
        <f>IFERROR(INDEX(기초자산!M$6:M$408,MATCH(K1011&amp;N1011&amp;O1011,기초자산!$A$6:$A$408,0),0),0)</f>
        <v>0</v>
      </c>
      <c r="S1011" s="479">
        <f t="shared" ref="S1011:S1021" si="332">IFERROR(IF(T1011="취득원가 준용",Y1011,IF(T1011="장부가액 준용",W1011,IF(P1011="주당",R1011*Q1011*V1011,IF(RIGHT(U1011,5)="(100)",Y1011/1000*R1011*V1011,Y1011/10000*R1011*V1011)))),0)</f>
        <v>0</v>
      </c>
      <c r="T1011" s="553"/>
      <c r="U1011" s="471" t="s">
        <v>94</v>
      </c>
      <c r="V1011" s="480">
        <f>IF(U1011="한국 원화(KRW)",1,IF(OR(U1011=환율!$A$6,U1011=환율!$A$7),VLOOKUP(NAV!U1011,환율!$A$6:$B$7,2,),IF(RIGHT(U1011,5)="(100)",(VLOOKUP(NAV!U1011,환율!$A$11:$B$65,2,))/100,VLOOKUP(NAV!U1011,환율!$A$11:$B$65,2,))))</f>
        <v>1</v>
      </c>
      <c r="W1011" s="481"/>
      <c r="X1011" s="482">
        <f t="shared" ref="X1011:X1021" si="333">IFERROR(IF(P1011="만원당",10000,Y1011/Q1011),0)</f>
        <v>0</v>
      </c>
      <c r="Y1011" s="481"/>
      <c r="Z1011" s="481"/>
      <c r="AA1011" s="483">
        <f t="shared" ref="AA1011:AA1021" si="334">IFERROR(IF(Z1011="",S1011/W1011-1,S1011/Z1011-1),0)</f>
        <v>0</v>
      </c>
      <c r="AB1011" s="554"/>
      <c r="AC1011" s="526" t="str">
        <f t="shared" ref="AC1011:AC1021" si="335">IF(($C$7-AB1011)/365&gt;2,"2년이상","2년미만")</f>
        <v>2년이상</v>
      </c>
      <c r="AD1011" s="520" t="str">
        <f t="shared" ref="AD1011:AD1021" si="336">IF(OR(AA1011&gt;20%,AA1011&lt;-20%),"(1) Note 기재","")</f>
        <v/>
      </c>
      <c r="AE1011" s="527">
        <f>IF(OR(T1011="MTP",T1011="과거거래 이용법",T1011="취득원가 준용",T1011="장부가액 준용",T1011="상장종가 적용"),S1011,IF(P1011="주당",AG1011*Q1011*V1011,Y1011/10000*AG1011*V1011))</f>
        <v>0</v>
      </c>
      <c r="AF1011" s="527">
        <f>IF(OR(T1011="MTP",T1011="과거거래 이용법",T1011="취득원가 준용",T1011="장부가액 준용",T1011="상장종가 적용"),S1011,IF(P1011="주당",AH1011*Q1011*V1011,Y1011/10000*AH1011*V1011))</f>
        <v>0</v>
      </c>
      <c r="AG1011" s="485"/>
      <c r="AH1011" s="485"/>
      <c r="AI1011" s="404"/>
    </row>
    <row r="1012" spans="1:35" ht="12.75" thickBot="1">
      <c r="A1012" s="492"/>
      <c r="B1012" s="496"/>
      <c r="C1012" s="486" t="s">
        <v>405</v>
      </c>
      <c r="D1012" s="487">
        <f>SUMIF(FS!$O$89:$O$119,개요!$B$313&amp;RIGHT(NAV!C1012,7),FS!$R$89:$R$119)</f>
        <v>0</v>
      </c>
      <c r="E1012" s="487">
        <f>D1012</f>
        <v>0</v>
      </c>
      <c r="J1012" s="551"/>
      <c r="K1012" s="552"/>
      <c r="L1012" s="551"/>
      <c r="M1012" s="553"/>
      <c r="N1012" s="553"/>
      <c r="O1012" s="551"/>
      <c r="P1012" s="553"/>
      <c r="Q1012" s="524"/>
      <c r="R1012" s="478">
        <f>IFERROR(INDEX(기초자산!M$6:M$408,MATCH(K1012&amp;N1012&amp;O1012,기초자산!$A$6:$A$408,0),0),0)</f>
        <v>0</v>
      </c>
      <c r="S1012" s="479">
        <f t="shared" si="332"/>
        <v>0</v>
      </c>
      <c r="T1012" s="553"/>
      <c r="U1012" s="471" t="s">
        <v>94</v>
      </c>
      <c r="V1012" s="480">
        <f>IF(U1012="한국 원화(KRW)",1,IF(OR(U1012=환율!$A$6,U1012=환율!$A$7),VLOOKUP(NAV!U1012,환율!$A$6:$B$7,2,),IF(RIGHT(U1012,5)="(100)",(VLOOKUP(NAV!U1012,환율!$A$11:$B$65,2,))/100,VLOOKUP(NAV!U1012,환율!$A$11:$B$65,2,))))</f>
        <v>1</v>
      </c>
      <c r="W1012" s="481"/>
      <c r="X1012" s="482">
        <f t="shared" si="333"/>
        <v>0</v>
      </c>
      <c r="Y1012" s="481"/>
      <c r="Z1012" s="481"/>
      <c r="AA1012" s="483">
        <f t="shared" si="334"/>
        <v>0</v>
      </c>
      <c r="AB1012" s="554"/>
      <c r="AC1012" s="526" t="str">
        <f t="shared" si="335"/>
        <v>2년이상</v>
      </c>
      <c r="AD1012" s="520" t="str">
        <f t="shared" si="336"/>
        <v/>
      </c>
      <c r="AE1012" s="527">
        <f t="shared" ref="AE1012:AE1021" si="337">IF(OR(T1012="MTP",T1012="과거거래 이용법",T1012="취득원가 준용",T1012="장부가액 준용",T1012="상장종가 적용"),S1012,IF(P1012="주당",AG1012*Q1012*V1012,Y1012/10000*AG1012*V1012))</f>
        <v>0</v>
      </c>
      <c r="AF1012" s="527">
        <f t="shared" ref="AF1012:AF1021" si="338">IF(OR(T1012="MTP",T1012="과거거래 이용법",T1012="취득원가 준용",T1012="장부가액 준용",T1012="상장종가 적용"),S1012,IF(P1012="주당",AH1012*Q1012*V1012,Y1012/10000*AH1012*V1012))</f>
        <v>0</v>
      </c>
      <c r="AG1012" s="485"/>
      <c r="AH1012" s="485"/>
      <c r="AI1012" s="404"/>
    </row>
    <row r="1013" spans="1:35" ht="12.75" thickBot="1">
      <c r="A1013" s="492"/>
      <c r="B1013" s="496"/>
      <c r="C1013" s="468" t="s">
        <v>21</v>
      </c>
      <c r="D1013" s="469">
        <f>SUM(D1014:D1015)</f>
        <v>0</v>
      </c>
      <c r="E1013" s="469">
        <f>SUM(E1014:E1015)</f>
        <v>0</v>
      </c>
      <c r="J1013" s="551"/>
      <c r="K1013" s="552"/>
      <c r="L1013" s="551"/>
      <c r="M1013" s="553"/>
      <c r="N1013" s="553"/>
      <c r="O1013" s="551"/>
      <c r="P1013" s="553"/>
      <c r="Q1013" s="524"/>
      <c r="R1013" s="478">
        <f>IFERROR(INDEX(기초자산!M$6:M$408,MATCH(K1013&amp;N1013&amp;O1013,기초자산!$A$6:$A$408,0),0),0)</f>
        <v>0</v>
      </c>
      <c r="S1013" s="479">
        <f t="shared" si="332"/>
        <v>0</v>
      </c>
      <c r="T1013" s="553"/>
      <c r="U1013" s="471" t="s">
        <v>94</v>
      </c>
      <c r="V1013" s="480">
        <f>IF(U1013="한국 원화(KRW)",1,IF(OR(U1013=환율!$A$6,U1013=환율!$A$7),VLOOKUP(NAV!U1013,환율!$A$6:$B$7,2,),IF(RIGHT(U1013,5)="(100)",(VLOOKUP(NAV!U1013,환율!$A$11:$B$65,2,))/100,VLOOKUP(NAV!U1013,환율!$A$11:$B$65,2,))))</f>
        <v>1</v>
      </c>
      <c r="W1013" s="481"/>
      <c r="X1013" s="482">
        <f t="shared" si="333"/>
        <v>0</v>
      </c>
      <c r="Y1013" s="481"/>
      <c r="Z1013" s="481"/>
      <c r="AA1013" s="483">
        <f t="shared" si="334"/>
        <v>0</v>
      </c>
      <c r="AB1013" s="554"/>
      <c r="AC1013" s="526" t="str">
        <f t="shared" si="335"/>
        <v>2년이상</v>
      </c>
      <c r="AD1013" s="520" t="str">
        <f t="shared" si="336"/>
        <v/>
      </c>
      <c r="AE1013" s="527">
        <f t="shared" si="337"/>
        <v>0</v>
      </c>
      <c r="AF1013" s="527">
        <f t="shared" si="338"/>
        <v>0</v>
      </c>
      <c r="AG1013" s="485"/>
      <c r="AH1013" s="485"/>
      <c r="AI1013" s="404"/>
    </row>
    <row r="1014" spans="1:35" ht="12.75" thickBot="1">
      <c r="A1014" s="492"/>
      <c r="B1014" s="496"/>
      <c r="C1014" s="486" t="s">
        <v>406</v>
      </c>
      <c r="D1014" s="487">
        <f>SUMIF(FS!$O$89:$O$119,개요!$B$313&amp;RIGHT(NAV!C1014,3),FS!$R$89:$R$119)</f>
        <v>0</v>
      </c>
      <c r="E1014" s="487">
        <f>D1014</f>
        <v>0</v>
      </c>
      <c r="J1014" s="551"/>
      <c r="K1014" s="552"/>
      <c r="L1014" s="551"/>
      <c r="M1014" s="553"/>
      <c r="N1014" s="553"/>
      <c r="O1014" s="551"/>
      <c r="P1014" s="553"/>
      <c r="Q1014" s="524"/>
      <c r="R1014" s="478">
        <f>IFERROR(INDEX(기초자산!M$6:M$408,MATCH(K1014&amp;N1014&amp;O1014,기초자산!$A$6:$A$408,0),0),0)</f>
        <v>0</v>
      </c>
      <c r="S1014" s="479">
        <f t="shared" si="332"/>
        <v>0</v>
      </c>
      <c r="T1014" s="553"/>
      <c r="U1014" s="471" t="s">
        <v>94</v>
      </c>
      <c r="V1014" s="480">
        <f>IF(U1014="한국 원화(KRW)",1,IF(OR(U1014=환율!$A$6,U1014=환율!$A$7),VLOOKUP(NAV!U1014,환율!$A$6:$B$7,2,),IF(RIGHT(U1014,5)="(100)",(VLOOKUP(NAV!U1014,환율!$A$11:$B$65,2,))/100,VLOOKUP(NAV!U1014,환율!$A$11:$B$65,2,))))</f>
        <v>1</v>
      </c>
      <c r="W1014" s="481"/>
      <c r="X1014" s="482">
        <f t="shared" si="333"/>
        <v>0</v>
      </c>
      <c r="Y1014" s="481"/>
      <c r="Z1014" s="481"/>
      <c r="AA1014" s="483">
        <f t="shared" si="334"/>
        <v>0</v>
      </c>
      <c r="AB1014" s="554"/>
      <c r="AC1014" s="526" t="str">
        <f t="shared" si="335"/>
        <v>2년이상</v>
      </c>
      <c r="AD1014" s="520" t="str">
        <f t="shared" si="336"/>
        <v/>
      </c>
      <c r="AE1014" s="527">
        <f t="shared" si="337"/>
        <v>0</v>
      </c>
      <c r="AF1014" s="527">
        <f t="shared" si="338"/>
        <v>0</v>
      </c>
      <c r="AG1014" s="485"/>
      <c r="AH1014" s="485"/>
      <c r="AI1014" s="404"/>
    </row>
    <row r="1015" spans="1:35" ht="12.75" thickBot="1">
      <c r="A1015" s="492"/>
      <c r="B1015" s="496"/>
      <c r="C1015" s="486" t="s">
        <v>407</v>
      </c>
      <c r="D1015" s="487">
        <f>SUMIF(FS!$O$89:$O$119,개요!$B$313&amp;RIGHT(NAV!C1015,4),FS!$R$89:$R$119)</f>
        <v>0</v>
      </c>
      <c r="E1015" s="487">
        <f>D1015</f>
        <v>0</v>
      </c>
      <c r="J1015" s="551"/>
      <c r="K1015" s="552"/>
      <c r="L1015" s="551"/>
      <c r="M1015" s="553"/>
      <c r="N1015" s="553"/>
      <c r="O1015" s="551"/>
      <c r="P1015" s="553"/>
      <c r="Q1015" s="524"/>
      <c r="R1015" s="478">
        <f>IFERROR(INDEX(기초자산!M$6:M$408,MATCH(K1015&amp;N1015&amp;O1015,기초자산!$A$6:$A$408,0),0),0)</f>
        <v>0</v>
      </c>
      <c r="S1015" s="479">
        <f t="shared" si="332"/>
        <v>0</v>
      </c>
      <c r="T1015" s="553"/>
      <c r="U1015" s="471" t="s">
        <v>94</v>
      </c>
      <c r="V1015" s="480">
        <f>IF(U1015="한국 원화(KRW)",1,IF(OR(U1015=환율!$A$6,U1015=환율!$A$7),VLOOKUP(NAV!U1015,환율!$A$6:$B$7,2,),IF(RIGHT(U1015,5)="(100)",(VLOOKUP(NAV!U1015,환율!$A$11:$B$65,2,))/100,VLOOKUP(NAV!U1015,환율!$A$11:$B$65,2,))))</f>
        <v>1</v>
      </c>
      <c r="W1015" s="481"/>
      <c r="X1015" s="482">
        <f t="shared" si="333"/>
        <v>0</v>
      </c>
      <c r="Y1015" s="481"/>
      <c r="Z1015" s="481"/>
      <c r="AA1015" s="483">
        <f t="shared" si="334"/>
        <v>0</v>
      </c>
      <c r="AB1015" s="554"/>
      <c r="AC1015" s="526" t="str">
        <f t="shared" si="335"/>
        <v>2년이상</v>
      </c>
      <c r="AD1015" s="520" t="str">
        <f t="shared" si="336"/>
        <v/>
      </c>
      <c r="AE1015" s="527">
        <f t="shared" si="337"/>
        <v>0</v>
      </c>
      <c r="AF1015" s="527">
        <f t="shared" si="338"/>
        <v>0</v>
      </c>
      <c r="AG1015" s="485"/>
      <c r="AH1015" s="485"/>
      <c r="AI1015" s="404"/>
    </row>
    <row r="1016" spans="1:35" ht="12.75" thickBot="1">
      <c r="A1016" s="489" t="s">
        <v>408</v>
      </c>
      <c r="B1016" s="498" t="b">
        <f>D1009+D1010+D1011+D1012+D1014+D1015=D1016</f>
        <v>1</v>
      </c>
      <c r="C1016" s="493" t="s">
        <v>477</v>
      </c>
      <c r="D1016" s="494">
        <f>D1008+D1013</f>
        <v>0</v>
      </c>
      <c r="E1016" s="494">
        <f>E1008+E1013</f>
        <v>0</v>
      </c>
      <c r="J1016" s="551"/>
      <c r="K1016" s="552"/>
      <c r="L1016" s="551"/>
      <c r="M1016" s="553"/>
      <c r="N1016" s="553"/>
      <c r="O1016" s="551"/>
      <c r="P1016" s="553"/>
      <c r="Q1016" s="524"/>
      <c r="R1016" s="478">
        <f>IFERROR(INDEX(기초자산!M$6:M$408,MATCH(K1016&amp;N1016&amp;O1016,기초자산!$A$6:$A$408,0),0),0)</f>
        <v>0</v>
      </c>
      <c r="S1016" s="479">
        <f t="shared" si="332"/>
        <v>0</v>
      </c>
      <c r="T1016" s="553"/>
      <c r="U1016" s="471" t="s">
        <v>94</v>
      </c>
      <c r="V1016" s="480">
        <f>IF(U1016="한국 원화(KRW)",1,IF(OR(U1016=환율!$A$6,U1016=환율!$A$7),VLOOKUP(NAV!U1016,환율!$A$6:$B$7,2,),IF(RIGHT(U1016,5)="(100)",(VLOOKUP(NAV!U1016,환율!$A$11:$B$65,2,))/100,VLOOKUP(NAV!U1016,환율!$A$11:$B$65,2,))))</f>
        <v>1</v>
      </c>
      <c r="W1016" s="481"/>
      <c r="X1016" s="482">
        <f t="shared" si="333"/>
        <v>0</v>
      </c>
      <c r="Y1016" s="481"/>
      <c r="Z1016" s="481"/>
      <c r="AA1016" s="483">
        <f t="shared" si="334"/>
        <v>0</v>
      </c>
      <c r="AB1016" s="554"/>
      <c r="AC1016" s="526" t="str">
        <f t="shared" si="335"/>
        <v>2년이상</v>
      </c>
      <c r="AD1016" s="520" t="str">
        <f t="shared" si="336"/>
        <v/>
      </c>
      <c r="AE1016" s="527">
        <f t="shared" si="337"/>
        <v>0</v>
      </c>
      <c r="AF1016" s="527">
        <f t="shared" si="338"/>
        <v>0</v>
      </c>
      <c r="AG1016" s="485"/>
      <c r="AH1016" s="485"/>
      <c r="AI1016" s="404"/>
    </row>
    <row r="1017" spans="1:35" ht="12.75" thickBot="1">
      <c r="A1017" s="492"/>
      <c r="B1017" s="555" t="str">
        <f>B997&amp;C1017</f>
        <v>SPC없음자본금</v>
      </c>
      <c r="C1017" s="486" t="s">
        <v>35</v>
      </c>
      <c r="D1017" s="487">
        <f>SUMIF(FS!$O$89:$O$119,개요!$B$313&amp;RIGHT(NAV!C1017,3),FS!$R$89:$R$119)</f>
        <v>0</v>
      </c>
      <c r="E1017" s="487">
        <f>D1017</f>
        <v>0</v>
      </c>
      <c r="J1017" s="551"/>
      <c r="K1017" s="552"/>
      <c r="L1017" s="551"/>
      <c r="M1017" s="553"/>
      <c r="N1017" s="553"/>
      <c r="O1017" s="551"/>
      <c r="P1017" s="553"/>
      <c r="Q1017" s="524"/>
      <c r="R1017" s="478">
        <f>IFERROR(INDEX(기초자산!M$6:M$408,MATCH(K1017&amp;N1017&amp;O1017,기초자산!$A$6:$A$408,0),0),0)</f>
        <v>0</v>
      </c>
      <c r="S1017" s="479">
        <f t="shared" si="332"/>
        <v>0</v>
      </c>
      <c r="T1017" s="553"/>
      <c r="U1017" s="471" t="s">
        <v>94</v>
      </c>
      <c r="V1017" s="480">
        <f>IF(U1017="한국 원화(KRW)",1,IF(OR(U1017=환율!$A$6,U1017=환율!$A$7),VLOOKUP(NAV!U1017,환율!$A$6:$B$7,2,),IF(RIGHT(U1017,5)="(100)",(VLOOKUP(NAV!U1017,환율!$A$11:$B$65,2,))/100,VLOOKUP(NAV!U1017,환율!$A$11:$B$65,2,))))</f>
        <v>1</v>
      </c>
      <c r="W1017" s="481"/>
      <c r="X1017" s="482">
        <f t="shared" si="333"/>
        <v>0</v>
      </c>
      <c r="Y1017" s="481"/>
      <c r="Z1017" s="481"/>
      <c r="AA1017" s="483">
        <f t="shared" si="334"/>
        <v>0</v>
      </c>
      <c r="AB1017" s="554"/>
      <c r="AC1017" s="526" t="str">
        <f t="shared" si="335"/>
        <v>2년이상</v>
      </c>
      <c r="AD1017" s="520" t="str">
        <f t="shared" si="336"/>
        <v/>
      </c>
      <c r="AE1017" s="527">
        <f t="shared" si="337"/>
        <v>0</v>
      </c>
      <c r="AF1017" s="527">
        <f t="shared" si="338"/>
        <v>0</v>
      </c>
      <c r="AG1017" s="485"/>
      <c r="AH1017" s="485"/>
      <c r="AI1017" s="404"/>
    </row>
    <row r="1018" spans="1:35" ht="12.75" thickBot="1">
      <c r="C1018" s="486" t="s">
        <v>120</v>
      </c>
      <c r="D1018" s="487">
        <f>SUMIF(FS!$O$89:$O$119,개요!$B$313&amp;RIGHT(NAV!C1018,10),FS!$R$89:$R$119)</f>
        <v>0</v>
      </c>
      <c r="E1018" s="487">
        <f>D1018</f>
        <v>0</v>
      </c>
      <c r="J1018" s="551"/>
      <c r="K1018" s="552"/>
      <c r="L1018" s="551"/>
      <c r="M1018" s="553"/>
      <c r="N1018" s="553"/>
      <c r="O1018" s="551"/>
      <c r="P1018" s="553"/>
      <c r="Q1018" s="524"/>
      <c r="R1018" s="478">
        <f>IFERROR(INDEX(기초자산!M$6:M$408,MATCH(K1018&amp;N1018&amp;O1018,기초자산!$A$6:$A$408,0),0),0)</f>
        <v>0</v>
      </c>
      <c r="S1018" s="479">
        <f t="shared" si="332"/>
        <v>0</v>
      </c>
      <c r="T1018" s="553"/>
      <c r="U1018" s="471" t="s">
        <v>94</v>
      </c>
      <c r="V1018" s="480">
        <f>IF(U1018="한국 원화(KRW)",1,IF(OR(U1018=환율!$A$6,U1018=환율!$A$7),VLOOKUP(NAV!U1018,환율!$A$6:$B$7,2,),IF(RIGHT(U1018,5)="(100)",(VLOOKUP(NAV!U1018,환율!$A$11:$B$65,2,))/100,VLOOKUP(NAV!U1018,환율!$A$11:$B$65,2,))))</f>
        <v>1</v>
      </c>
      <c r="W1018" s="481"/>
      <c r="X1018" s="482">
        <f t="shared" si="333"/>
        <v>0</v>
      </c>
      <c r="Y1018" s="481"/>
      <c r="Z1018" s="481"/>
      <c r="AA1018" s="483">
        <f t="shared" si="334"/>
        <v>0</v>
      </c>
      <c r="AB1018" s="554"/>
      <c r="AC1018" s="526" t="str">
        <f t="shared" si="335"/>
        <v>2년이상</v>
      </c>
      <c r="AD1018" s="520" t="str">
        <f t="shared" si="336"/>
        <v/>
      </c>
      <c r="AE1018" s="527">
        <f t="shared" si="337"/>
        <v>0</v>
      </c>
      <c r="AF1018" s="527">
        <f t="shared" si="338"/>
        <v>0</v>
      </c>
      <c r="AG1018" s="485"/>
      <c r="AH1018" s="485"/>
      <c r="AI1018" s="404"/>
    </row>
    <row r="1019" spans="1:35" ht="12.75" thickBot="1">
      <c r="A1019" s="489"/>
      <c r="B1019" s="415"/>
      <c r="C1019" s="486" t="s">
        <v>122</v>
      </c>
      <c r="D1019" s="487">
        <f>SUMIF(FS!$O$89:$O$119,개요!$B$313&amp;RIGHT(NAV!C1019,8),FS!$R$89:$R$119)</f>
        <v>0</v>
      </c>
      <c r="E1019" s="487">
        <f>D1019</f>
        <v>0</v>
      </c>
      <c r="J1019" s="551"/>
      <c r="K1019" s="552"/>
      <c r="L1019" s="551"/>
      <c r="M1019" s="553"/>
      <c r="N1019" s="553"/>
      <c r="O1019" s="551"/>
      <c r="P1019" s="553"/>
      <c r="Q1019" s="524"/>
      <c r="R1019" s="478">
        <f>IFERROR(INDEX(기초자산!M$6:M$408,MATCH(K1019&amp;N1019&amp;O1019,기초자산!$A$6:$A$408,0),0),0)</f>
        <v>0</v>
      </c>
      <c r="S1019" s="479">
        <f t="shared" si="332"/>
        <v>0</v>
      </c>
      <c r="T1019" s="553"/>
      <c r="U1019" s="471" t="s">
        <v>94</v>
      </c>
      <c r="V1019" s="480">
        <f>IF(U1019="한국 원화(KRW)",1,IF(OR(U1019=환율!$A$6,U1019=환율!$A$7),VLOOKUP(NAV!U1019,환율!$A$6:$B$7,2,),IF(RIGHT(U1019,5)="(100)",(VLOOKUP(NAV!U1019,환율!$A$11:$B$65,2,))/100,VLOOKUP(NAV!U1019,환율!$A$11:$B$65,2,))))</f>
        <v>1</v>
      </c>
      <c r="W1019" s="481"/>
      <c r="X1019" s="482">
        <f t="shared" si="333"/>
        <v>0</v>
      </c>
      <c r="Y1019" s="481"/>
      <c r="Z1019" s="481"/>
      <c r="AA1019" s="483">
        <f t="shared" si="334"/>
        <v>0</v>
      </c>
      <c r="AB1019" s="554"/>
      <c r="AC1019" s="526" t="str">
        <f t="shared" si="335"/>
        <v>2년이상</v>
      </c>
      <c r="AD1019" s="520" t="str">
        <f t="shared" si="336"/>
        <v/>
      </c>
      <c r="AE1019" s="527">
        <f t="shared" si="337"/>
        <v>0</v>
      </c>
      <c r="AF1019" s="527">
        <f t="shared" si="338"/>
        <v>0</v>
      </c>
      <c r="AG1019" s="485"/>
      <c r="AH1019" s="485"/>
      <c r="AI1019" s="404"/>
    </row>
    <row r="1020" spans="1:35" ht="12.75" thickBot="1">
      <c r="A1020" s="489" t="s">
        <v>411</v>
      </c>
      <c r="B1020" s="415" t="b">
        <f>D1020=SUM(D1017:D1019)</f>
        <v>1</v>
      </c>
      <c r="C1020" s="493" t="s">
        <v>79</v>
      </c>
      <c r="D1020" s="494">
        <f>D1007-D1016</f>
        <v>0</v>
      </c>
      <c r="E1020" s="494">
        <f>E1007-E1016</f>
        <v>0</v>
      </c>
      <c r="J1020" s="551"/>
      <c r="K1020" s="552"/>
      <c r="L1020" s="551"/>
      <c r="M1020" s="553"/>
      <c r="N1020" s="553"/>
      <c r="O1020" s="551"/>
      <c r="P1020" s="553"/>
      <c r="Q1020" s="524"/>
      <c r="R1020" s="478">
        <f>IFERROR(INDEX(기초자산!M$6:M$408,MATCH(K1020&amp;N1020&amp;O1020,기초자산!$A$6:$A$408,0),0),0)</f>
        <v>0</v>
      </c>
      <c r="S1020" s="479">
        <f t="shared" si="332"/>
        <v>0</v>
      </c>
      <c r="T1020" s="553"/>
      <c r="U1020" s="471" t="s">
        <v>94</v>
      </c>
      <c r="V1020" s="480">
        <f>IF(U1020="한국 원화(KRW)",1,IF(OR(U1020=환율!$A$6,U1020=환율!$A$7),VLOOKUP(NAV!U1020,환율!$A$6:$B$7,2,),IF(RIGHT(U1020,5)="(100)",(VLOOKUP(NAV!U1020,환율!$A$11:$B$65,2,))/100,VLOOKUP(NAV!U1020,환율!$A$11:$B$65,2,))))</f>
        <v>1</v>
      </c>
      <c r="W1020" s="481"/>
      <c r="X1020" s="482">
        <f t="shared" si="333"/>
        <v>0</v>
      </c>
      <c r="Y1020" s="481"/>
      <c r="Z1020" s="481"/>
      <c r="AA1020" s="483">
        <f t="shared" si="334"/>
        <v>0</v>
      </c>
      <c r="AB1020" s="554"/>
      <c r="AC1020" s="526" t="str">
        <f t="shared" si="335"/>
        <v>2년이상</v>
      </c>
      <c r="AD1020" s="520" t="str">
        <f t="shared" si="336"/>
        <v/>
      </c>
      <c r="AE1020" s="527">
        <f t="shared" si="337"/>
        <v>0</v>
      </c>
      <c r="AF1020" s="527">
        <f t="shared" si="338"/>
        <v>0</v>
      </c>
      <c r="AG1020" s="485"/>
      <c r="AH1020" s="485"/>
      <c r="AI1020" s="404"/>
    </row>
    <row r="1021" spans="1:35" ht="12.75" thickBot="1">
      <c r="A1021" s="489"/>
      <c r="B1021" s="415"/>
      <c r="C1021" s="486" t="s">
        <v>413</v>
      </c>
      <c r="D1021" s="487">
        <v>0</v>
      </c>
      <c r="E1021" s="499">
        <v>0</v>
      </c>
      <c r="J1021" s="551"/>
      <c r="K1021" s="552"/>
      <c r="L1021" s="551"/>
      <c r="M1021" s="553"/>
      <c r="N1021" s="553"/>
      <c r="O1021" s="551"/>
      <c r="P1021" s="553"/>
      <c r="Q1021" s="524"/>
      <c r="R1021" s="478">
        <f>IFERROR(INDEX(기초자산!M$6:M$408,MATCH(K1021&amp;N1021&amp;O1021,기초자산!$A$6:$A$408,0),0),0)</f>
        <v>0</v>
      </c>
      <c r="S1021" s="479">
        <f t="shared" si="332"/>
        <v>0</v>
      </c>
      <c r="T1021" s="553"/>
      <c r="U1021" s="471" t="s">
        <v>94</v>
      </c>
      <c r="V1021" s="480">
        <f>IF(U1021="한국 원화(KRW)",1,IF(OR(U1021=환율!$A$6,U1021=환율!$A$7),VLOOKUP(NAV!U1021,환율!$A$6:$B$7,2,),IF(RIGHT(U1021,5)="(100)",(VLOOKUP(NAV!U1021,환율!$A$11:$B$65,2,))/100,VLOOKUP(NAV!U1021,환율!$A$11:$B$65,2,))))</f>
        <v>1</v>
      </c>
      <c r="W1021" s="481"/>
      <c r="X1021" s="482">
        <f t="shared" si="333"/>
        <v>0</v>
      </c>
      <c r="Y1021" s="481"/>
      <c r="Z1021" s="481"/>
      <c r="AA1021" s="483">
        <f t="shared" si="334"/>
        <v>0</v>
      </c>
      <c r="AB1021" s="554"/>
      <c r="AC1021" s="526" t="str">
        <f t="shared" si="335"/>
        <v>2년이상</v>
      </c>
      <c r="AD1021" s="520" t="str">
        <f t="shared" si="336"/>
        <v/>
      </c>
      <c r="AE1021" s="527">
        <f t="shared" si="337"/>
        <v>0</v>
      </c>
      <c r="AF1021" s="527">
        <f t="shared" si="338"/>
        <v>0</v>
      </c>
      <c r="AG1021" s="485"/>
      <c r="AH1021" s="485"/>
      <c r="AI1021" s="404"/>
    </row>
    <row r="1022" spans="1:35">
      <c r="A1022" s="489"/>
      <c r="B1022" s="415"/>
      <c r="C1022" s="486" t="s">
        <v>414</v>
      </c>
      <c r="D1022" s="487">
        <v>0</v>
      </c>
      <c r="E1022" s="499">
        <v>0</v>
      </c>
      <c r="J1022" s="495"/>
      <c r="K1022" s="415"/>
      <c r="L1022" s="495"/>
      <c r="M1022" s="415"/>
      <c r="N1022" s="415"/>
      <c r="O1022" s="415"/>
      <c r="P1022" s="415"/>
      <c r="Q1022" s="422"/>
      <c r="R1022" s="415"/>
      <c r="S1022" s="415"/>
      <c r="T1022" s="415"/>
      <c r="U1022" s="415"/>
      <c r="V1022" s="415"/>
      <c r="W1022" s="422"/>
      <c r="X1022" s="415"/>
      <c r="Y1022" s="458"/>
      <c r="Z1022" s="422"/>
      <c r="AA1022" s="556"/>
      <c r="AB1022" s="556"/>
      <c r="AC1022" s="415"/>
      <c r="AE1022" s="415"/>
      <c r="AI1022" s="404"/>
    </row>
    <row r="1023" spans="1:35">
      <c r="A1023" s="489"/>
      <c r="B1023" s="415"/>
      <c r="C1023" s="493" t="s">
        <v>123</v>
      </c>
      <c r="D1023" s="494">
        <f>D1020+D1021-D1022</f>
        <v>0</v>
      </c>
      <c r="E1023" s="494">
        <f>IF(E1020+E1021-E1022&gt;0,E1020+E1021-E1022,0)</f>
        <v>0</v>
      </c>
      <c r="J1023" s="305"/>
      <c r="K1023" s="415"/>
      <c r="L1023" s="305"/>
      <c r="M1023" s="415"/>
      <c r="N1023" s="415"/>
      <c r="O1023" s="415"/>
      <c r="S1023" s="415"/>
      <c r="T1023" s="415"/>
      <c r="U1023" s="415"/>
      <c r="V1023" s="415"/>
      <c r="Y1023" s="458"/>
      <c r="AD1023" s="557" t="str">
        <f>B997&amp;"순자산가치"</f>
        <v>SPC없음순자산가치</v>
      </c>
      <c r="AE1023" s="529">
        <f>IF(E1003+SUM(AE1003:AE1008)+SUM(AE1011:AE1021)-E1016&gt;0,E1003+SUM(AE1003:AE1008)+SUM(AE1011:AE1021)-E1016,0)</f>
        <v>0</v>
      </c>
      <c r="AF1023" s="529">
        <f>IF(E1003+SUM(AF1003:AF1008)+SUM(AF1011:AF1021)-E1016&gt;0,E1003+SUM(AF1003:AF1008)+SUM(AF1011:AF1021)-E1016,0)</f>
        <v>0</v>
      </c>
      <c r="AI1023" s="404"/>
    </row>
    <row r="1024" spans="1:35">
      <c r="A1024" s="489"/>
      <c r="B1024" s="558" t="str">
        <f>B997&amp;C1024</f>
        <v>SPC없음보유지분율(%)</v>
      </c>
      <c r="C1024" s="493" t="s">
        <v>416</v>
      </c>
      <c r="D1024" s="559">
        <f>개요!$C$202</f>
        <v>0</v>
      </c>
      <c r="E1024" s="494">
        <f>E1023*D1024</f>
        <v>0</v>
      </c>
      <c r="F1024" s="560" t="s">
        <v>417</v>
      </c>
      <c r="G1024" s="560"/>
      <c r="J1024" s="495"/>
      <c r="K1024" s="415"/>
      <c r="L1024" s="495"/>
      <c r="M1024" s="415"/>
      <c r="N1024" s="415"/>
      <c r="O1024" s="415"/>
      <c r="S1024" s="415"/>
      <c r="T1024" s="415"/>
      <c r="U1024" s="415"/>
      <c r="V1024" s="415"/>
      <c r="Y1024" s="458"/>
      <c r="AD1024" s="557" t="s">
        <v>272</v>
      </c>
      <c r="AE1024" s="561">
        <f>$D1024</f>
        <v>0</v>
      </c>
      <c r="AF1024" s="561">
        <f>$D1024</f>
        <v>0</v>
      </c>
      <c r="AI1024" s="404"/>
    </row>
    <row r="1025" spans="1:35">
      <c r="A1025" s="489"/>
      <c r="B1025" s="415"/>
      <c r="G1025" s="503" t="s">
        <v>419</v>
      </c>
      <c r="I1025" s="562"/>
      <c r="J1025" s="495"/>
      <c r="K1025" s="415"/>
      <c r="L1025" s="495"/>
      <c r="M1025" s="415"/>
      <c r="N1025" s="415"/>
      <c r="O1025" s="415"/>
      <c r="S1025" s="415"/>
      <c r="T1025" s="415"/>
      <c r="U1025" s="415"/>
      <c r="V1025" s="415"/>
      <c r="Y1025" s="458"/>
      <c r="AD1025" s="557" t="str">
        <f>B997&amp;"지분율 반영 순자산가치"</f>
        <v>SPC없음지분율 반영 순자산가치</v>
      </c>
      <c r="AE1025" s="529">
        <f>AE1023*AE1024</f>
        <v>0</v>
      </c>
      <c r="AF1025" s="529">
        <f>AF1023*AF1024</f>
        <v>0</v>
      </c>
      <c r="AI1025" s="404"/>
    </row>
    <row r="1026" spans="1:35">
      <c r="A1026" s="489"/>
      <c r="D1026" s="504" t="s">
        <v>43</v>
      </c>
      <c r="E1026" s="505">
        <f>$C$7</f>
        <v>45473</v>
      </c>
      <c r="F1026" s="506"/>
      <c r="G1026" s="505"/>
      <c r="I1026" s="563"/>
      <c r="J1026" s="495"/>
      <c r="K1026" s="415"/>
      <c r="L1026" s="495"/>
      <c r="M1026" s="415"/>
      <c r="N1026" s="415"/>
      <c r="O1026" s="415"/>
      <c r="S1026" s="415"/>
      <c r="T1026" s="415"/>
      <c r="U1026" s="415"/>
      <c r="V1026" s="415"/>
      <c r="Y1026" s="422"/>
      <c r="AI1026" s="404"/>
    </row>
    <row r="1027" spans="1:35">
      <c r="D1027" s="486" t="s">
        <v>79</v>
      </c>
      <c r="E1027" s="487">
        <f>E1023</f>
        <v>0</v>
      </c>
      <c r="F1027" s="507" t="e">
        <f>E1027/G1027-1</f>
        <v>#DIV/0!</v>
      </c>
      <c r="G1027" s="487"/>
      <c r="I1027" s="564"/>
      <c r="J1027" s="495"/>
      <c r="K1027" s="415"/>
      <c r="L1027" s="495"/>
      <c r="M1027" s="415"/>
      <c r="S1027" s="415"/>
      <c r="T1027" s="415"/>
      <c r="U1027" s="415"/>
      <c r="V1027" s="415"/>
      <c r="Y1027" s="422"/>
      <c r="AI1027" s="404"/>
    </row>
    <row r="1028" spans="1:35">
      <c r="A1028" s="489"/>
      <c r="B1028" s="415"/>
      <c r="D1028" s="486" t="s">
        <v>272</v>
      </c>
      <c r="E1028" s="565">
        <f>$D$1024</f>
        <v>0</v>
      </c>
      <c r="F1028" s="507"/>
      <c r="G1028" s="565"/>
      <c r="I1028" s="566"/>
      <c r="J1028" s="305"/>
      <c r="K1028" s="415"/>
      <c r="L1028" s="305"/>
      <c r="M1028" s="415"/>
      <c r="S1028" s="415"/>
      <c r="T1028" s="415"/>
      <c r="U1028" s="415"/>
      <c r="V1028" s="415"/>
      <c r="Y1028" s="422"/>
      <c r="AI1028" s="404"/>
    </row>
    <row r="1029" spans="1:35">
      <c r="A1029" s="489"/>
      <c r="B1029" s="415"/>
      <c r="D1029" s="567" t="s">
        <v>246</v>
      </c>
      <c r="E1029" s="568">
        <f>E1027*E1028</f>
        <v>0</v>
      </c>
      <c r="F1029" s="507" t="e">
        <f>E1029/G1029-1</f>
        <v>#DIV/0!</v>
      </c>
      <c r="G1029" s="568"/>
      <c r="I1029" s="564"/>
      <c r="AI1029" s="404"/>
    </row>
    <row r="1030" spans="1:35">
      <c r="E1030" s="304" t="b">
        <f>E1029=E1024</f>
        <v>1</v>
      </c>
      <c r="AI1030" s="404"/>
    </row>
    <row r="1031" spans="1:35">
      <c r="F1031" s="507"/>
      <c r="G1031" s="507"/>
      <c r="AI1031" s="404"/>
    </row>
    <row r="1032" spans="1:35" ht="12.75" thickBot="1">
      <c r="A1032" s="536"/>
      <c r="B1032" s="536"/>
      <c r="C1032" s="536"/>
      <c r="D1032" s="536"/>
      <c r="E1032" s="536"/>
      <c r="F1032" s="572"/>
      <c r="G1032" s="572"/>
      <c r="H1032" s="536"/>
      <c r="I1032" s="537"/>
      <c r="J1032" s="536"/>
      <c r="K1032" s="536"/>
      <c r="L1032" s="536"/>
      <c r="M1032" s="536"/>
      <c r="N1032" s="536"/>
      <c r="O1032" s="536"/>
      <c r="P1032" s="536"/>
      <c r="Q1032" s="540"/>
      <c r="R1032" s="536"/>
      <c r="S1032" s="536"/>
      <c r="T1032" s="536"/>
      <c r="U1032" s="536"/>
      <c r="V1032" s="536"/>
      <c r="W1032" s="540"/>
      <c r="X1032" s="536"/>
      <c r="Y1032" s="540"/>
      <c r="Z1032" s="540"/>
      <c r="AA1032" s="536"/>
      <c r="AB1032" s="536"/>
      <c r="AC1032" s="536"/>
      <c r="AD1032" s="541"/>
      <c r="AE1032" s="536"/>
      <c r="AF1032" s="536"/>
      <c r="AG1032" s="536"/>
      <c r="AH1032" s="536"/>
      <c r="AI1032" s="404"/>
    </row>
    <row r="1033" spans="1:35" ht="12.75" thickTop="1">
      <c r="F1033" s="507"/>
      <c r="G1033" s="507"/>
      <c r="AI1033" s="404"/>
    </row>
    <row r="1034" spans="1:35" ht="12.75" thickBot="1">
      <c r="A1034" s="459"/>
      <c r="B1034" s="415"/>
      <c r="J1034" s="428" t="s">
        <v>273</v>
      </c>
      <c r="K1034" s="489"/>
      <c r="L1034" s="497"/>
      <c r="M1034" s="489"/>
      <c r="N1034" s="415"/>
      <c r="O1034" s="415"/>
      <c r="AI1034" s="404"/>
    </row>
    <row r="1035" spans="1:35" ht="12.75" thickBot="1">
      <c r="A1035" s="542" t="s">
        <v>724</v>
      </c>
      <c r="B1035" s="543" t="str">
        <f>IF(개요!$B$325="","SPC없음",개요!$B$325)</f>
        <v>SPC없음</v>
      </c>
      <c r="C1035" s="454"/>
      <c r="J1035" s="433"/>
      <c r="K1035" s="434"/>
      <c r="L1035" s="434"/>
      <c r="M1035" s="434"/>
      <c r="N1035" s="434"/>
      <c r="O1035" s="434"/>
      <c r="P1035" s="434"/>
      <c r="Q1035" s="435"/>
      <c r="R1035" s="434"/>
      <c r="S1035" s="434"/>
      <c r="T1035" s="434"/>
      <c r="U1035" s="434"/>
      <c r="V1035" s="436"/>
      <c r="AI1035" s="404"/>
    </row>
    <row r="1036" spans="1:35">
      <c r="B1036" s="543" t="s">
        <v>260</v>
      </c>
      <c r="C1036" s="569" t="str">
        <f>IF(개요!$C$326="","SPC없음",개요!$C$326)</f>
        <v>SPC없음</v>
      </c>
      <c r="J1036" s="442"/>
      <c r="K1036" s="151"/>
      <c r="L1036" s="151"/>
      <c r="M1036" s="151"/>
      <c r="N1036" s="151"/>
      <c r="O1036" s="151"/>
      <c r="P1036" s="151"/>
      <c r="Q1036" s="443"/>
      <c r="R1036" s="151"/>
      <c r="S1036" s="151"/>
      <c r="T1036" s="151"/>
      <c r="U1036" s="151"/>
      <c r="V1036" s="444"/>
      <c r="AI1036" s="404"/>
    </row>
    <row r="1037" spans="1:35">
      <c r="B1037" s="437" t="s">
        <v>43</v>
      </c>
      <c r="C1037" s="570">
        <f>$C$7</f>
        <v>45473</v>
      </c>
      <c r="D1037" s="546" t="b">
        <f>C1037&gt;=C1038</f>
        <v>1</v>
      </c>
      <c r="J1037" s="442"/>
      <c r="K1037" s="151"/>
      <c r="L1037" s="151"/>
      <c r="M1037" s="151"/>
      <c r="N1037" s="151"/>
      <c r="O1037" s="151"/>
      <c r="P1037" s="151"/>
      <c r="Q1037" s="443"/>
      <c r="R1037" s="151"/>
      <c r="S1037" s="151"/>
      <c r="T1037" s="151"/>
      <c r="U1037" s="151"/>
      <c r="V1037" s="444"/>
      <c r="AI1037" s="404"/>
    </row>
    <row r="1038" spans="1:35" ht="12.75" thickBot="1">
      <c r="B1038" s="449" t="s">
        <v>371</v>
      </c>
      <c r="C1038" s="571">
        <f>FS!$X$88</f>
        <v>0</v>
      </c>
      <c r="J1038" s="453"/>
      <c r="K1038" s="454"/>
      <c r="L1038" s="454"/>
      <c r="M1038" s="454"/>
      <c r="N1038" s="454"/>
      <c r="O1038" s="454"/>
      <c r="P1038" s="454"/>
      <c r="Q1038" s="455"/>
      <c r="R1038" s="454"/>
      <c r="S1038" s="454"/>
      <c r="T1038" s="454"/>
      <c r="U1038" s="454"/>
      <c r="V1038" s="456"/>
      <c r="AI1038" s="404"/>
    </row>
    <row r="1039" spans="1:35">
      <c r="A1039" s="459"/>
      <c r="J1039" s="428" t="s">
        <v>372</v>
      </c>
      <c r="K1039" s="448"/>
      <c r="L1039" s="420"/>
      <c r="M1039" s="448"/>
      <c r="N1039" s="448"/>
      <c r="O1039" s="448"/>
      <c r="P1039" s="415"/>
      <c r="Q1039" s="422"/>
      <c r="R1039" s="415"/>
      <c r="S1039" s="415"/>
      <c r="T1039" s="415"/>
      <c r="U1039" s="415"/>
      <c r="V1039" s="415"/>
      <c r="W1039" s="422"/>
      <c r="Z1039" s="458"/>
      <c r="AE1039" s="803" t="s">
        <v>640</v>
      </c>
      <c r="AF1039" s="803"/>
      <c r="AG1039" s="460"/>
      <c r="AH1039" s="460"/>
      <c r="AI1039" s="404"/>
    </row>
    <row r="1040" spans="1:35" ht="12.75" thickBot="1">
      <c r="A1040" s="461" t="str">
        <f>IF(AND(B1041:B1067),"검증완료","검증필요")</f>
        <v>검증완료</v>
      </c>
      <c r="B1040" s="462" t="s">
        <v>38</v>
      </c>
      <c r="C1040" s="462" t="s">
        <v>642</v>
      </c>
      <c r="D1040" s="462" t="s">
        <v>258</v>
      </c>
      <c r="E1040" s="462" t="s">
        <v>455</v>
      </c>
      <c r="J1040" s="462" t="s">
        <v>375</v>
      </c>
      <c r="K1040" s="464" t="s">
        <v>376</v>
      </c>
      <c r="L1040" s="462" t="s">
        <v>260</v>
      </c>
      <c r="M1040" s="462" t="s">
        <v>255</v>
      </c>
      <c r="N1040" s="462" t="s">
        <v>91</v>
      </c>
      <c r="O1040" s="462" t="s">
        <v>256</v>
      </c>
      <c r="P1040" s="464" t="s">
        <v>380</v>
      </c>
      <c r="Q1040" s="465" t="s">
        <v>304</v>
      </c>
      <c r="R1040" s="466" t="s">
        <v>299</v>
      </c>
      <c r="S1040" s="466" t="s">
        <v>303</v>
      </c>
      <c r="T1040" s="462" t="s">
        <v>261</v>
      </c>
      <c r="U1040" s="462" t="s">
        <v>72</v>
      </c>
      <c r="V1040" s="462" t="s">
        <v>70</v>
      </c>
      <c r="W1040" s="465" t="s">
        <v>258</v>
      </c>
      <c r="X1040" s="462" t="s">
        <v>645</v>
      </c>
      <c r="Y1040" s="465" t="s">
        <v>125</v>
      </c>
      <c r="Z1040" s="465" t="s">
        <v>3522</v>
      </c>
      <c r="AA1040" s="464" t="s">
        <v>13</v>
      </c>
      <c r="AE1040" s="467" t="s">
        <v>3627</v>
      </c>
      <c r="AF1040" s="467" t="s">
        <v>3628</v>
      </c>
      <c r="AG1040" s="467" t="s">
        <v>3629</v>
      </c>
      <c r="AH1040" s="467" t="s">
        <v>3630</v>
      </c>
      <c r="AI1040" s="404"/>
    </row>
    <row r="1041" spans="1:35" ht="12.75" thickBot="1">
      <c r="A1041" s="415"/>
      <c r="B1041" s="415"/>
      <c r="C1041" s="468" t="s">
        <v>647</v>
      </c>
      <c r="D1041" s="469">
        <f>SUM(D1042:D1043)</f>
        <v>0</v>
      </c>
      <c r="E1041" s="469">
        <f>SUM(E1042:E1043)</f>
        <v>0</v>
      </c>
      <c r="J1041" s="476"/>
      <c r="K1041" s="472"/>
      <c r="L1041" s="473" t="str">
        <f>IF($J1041="","SPC 없음",VLOOKUP($J1041&amp;"SPC명",개요!$A$3:$E$1932,3,0))</f>
        <v>SPC 없음</v>
      </c>
      <c r="M1041" s="474" t="str">
        <f>IF($J1041="","SPC 없음",VLOOKUP($J1041&amp;"설정일",개요!$A$3:$E$1932,3,0))</f>
        <v>SPC 없음</v>
      </c>
      <c r="N1041" s="475" t="str">
        <f t="shared" ref="N1041:N1046" si="339">IF($J1041="","SPC 없음",VLOOKUP($J1041&amp;"자본금",$B$4:$E$2079,3,0)*VLOOKUP($J1041&amp;"보유지분율(%)",$B$4:$E$2079,3,0))</f>
        <v>SPC 없음</v>
      </c>
      <c r="O1041" s="471"/>
      <c r="P1041" s="476"/>
      <c r="Q1041" s="477"/>
      <c r="R1041" s="478"/>
      <c r="S1041" s="479" t="str">
        <f t="shared" ref="S1041:S1046" si="340">IF($J1041="","SPC 없음",IF(P1041="총액",IF(T1041="장부가액 준용",W1041,(VLOOKUP($J1041&amp;"보유지분율(%)",$B$4:$E$2079,4,0))*V1041),Q1041*R1041))</f>
        <v>SPC 없음</v>
      </c>
      <c r="T1041" s="471"/>
      <c r="U1041" s="471" t="s">
        <v>94</v>
      </c>
      <c r="V1041" s="480">
        <f>IF(U1041="한국 원화(KRW)",1,IF(OR(U1041=환율!$A$6,U1041=환율!$A$7),VLOOKUP(NAV!U1041,환율!$A$6:$B$7,2,),IF(RIGHT(U1041,5)="(100)",(VLOOKUP(NAV!U1041,환율!$A$11:$B$65,2,))/100,VLOOKUP(NAV!U1041,환율!$A$11:$B$65,2,))))</f>
        <v>1</v>
      </c>
      <c r="W1041" s="481"/>
      <c r="X1041" s="482">
        <f t="shared" ref="X1041:X1046" si="341">IFERROR(IF(P1041="만원당",10000,Y1041/Q1041),0)</f>
        <v>0</v>
      </c>
      <c r="Y1041" s="481"/>
      <c r="Z1041" s="481"/>
      <c r="AA1041" s="483">
        <f t="shared" ref="AA1041:AA1046" si="342">IFERROR(IF(Z1041="",S1041/W1041-1,S1041/Z1041-1),0)</f>
        <v>0</v>
      </c>
      <c r="AE1041" s="484" t="str">
        <f t="shared" ref="AE1041:AE1046" si="343">IF($J1041="","SPC 없음",IF(P1041="총액",(VLOOKUP($J1041&amp;"지분율 반영 순자산가치",$AD$4:$AH$4973,2,0))*V1041,AG1041*$Q1041))</f>
        <v>SPC 없음</v>
      </c>
      <c r="AF1041" s="484" t="str">
        <f t="shared" ref="AF1041:AF1046" si="344">IF($J1041="","SPC 없음",IF(P1041="총액",(VLOOKUP($J1041&amp;"지분율 반영 순자산가치",$AD$4:$AH$4973,3,0))*V1041,AH1041*$Q1041))</f>
        <v>SPC 없음</v>
      </c>
      <c r="AG1041" s="485"/>
      <c r="AH1041" s="485"/>
      <c r="AI1041" s="404"/>
    </row>
    <row r="1042" spans="1:35" ht="12.75" thickBot="1">
      <c r="A1042" s="415"/>
      <c r="B1042" s="415"/>
      <c r="C1042" s="486" t="s">
        <v>117</v>
      </c>
      <c r="D1042" s="487">
        <f>SUMIF(FS!$U$89:$U$119,개요!$B$325&amp;RIGHT(NAV!C1042,10),FS!$X$89:$X$119)</f>
        <v>0</v>
      </c>
      <c r="E1042" s="487">
        <f>D1042</f>
        <v>0</v>
      </c>
      <c r="J1042" s="476"/>
      <c r="K1042" s="472"/>
      <c r="L1042" s="473" t="str">
        <f>IF($J1042="","SPC 없음",VLOOKUP($J1042&amp;"SPC명",개요!$A$3:$E$1932,3,0))</f>
        <v>SPC 없음</v>
      </c>
      <c r="M1042" s="474" t="str">
        <f>IF($J1042="","SPC 없음",VLOOKUP($J1042&amp;"설정일",개요!$A$3:$E$1932,3,0))</f>
        <v>SPC 없음</v>
      </c>
      <c r="N1042" s="475" t="str">
        <f t="shared" si="339"/>
        <v>SPC 없음</v>
      </c>
      <c r="O1042" s="471"/>
      <c r="P1042" s="476"/>
      <c r="Q1042" s="477"/>
      <c r="R1042" s="478"/>
      <c r="S1042" s="479" t="str">
        <f t="shared" si="340"/>
        <v>SPC 없음</v>
      </c>
      <c r="T1042" s="471"/>
      <c r="U1042" s="471" t="s">
        <v>94</v>
      </c>
      <c r="V1042" s="480">
        <f>IF(U1042="한국 원화(KRW)",1,IF(OR(U1042=환율!$A$6,U1042=환율!$A$7),VLOOKUP(NAV!U1042,환율!$A$6:$B$7,2,),IF(RIGHT(U1042,5)="(100)",(VLOOKUP(NAV!U1042,환율!$A$11:$B$65,2,))/100,VLOOKUP(NAV!U1042,환율!$A$11:$B$65,2,))))</f>
        <v>1</v>
      </c>
      <c r="W1042" s="481"/>
      <c r="X1042" s="482">
        <f t="shared" si="341"/>
        <v>0</v>
      </c>
      <c r="Y1042" s="481"/>
      <c r="Z1042" s="481"/>
      <c r="AA1042" s="483">
        <f t="shared" si="342"/>
        <v>0</v>
      </c>
      <c r="AE1042" s="484" t="str">
        <f t="shared" si="343"/>
        <v>SPC 없음</v>
      </c>
      <c r="AF1042" s="484" t="str">
        <f t="shared" si="344"/>
        <v>SPC 없음</v>
      </c>
      <c r="AG1042" s="485"/>
      <c r="AH1042" s="485"/>
      <c r="AI1042" s="404"/>
    </row>
    <row r="1043" spans="1:35" ht="12.75" thickBot="1">
      <c r="A1043" s="415"/>
      <c r="B1043" s="415"/>
      <c r="C1043" s="486" t="s">
        <v>388</v>
      </c>
      <c r="D1043" s="487">
        <f>SUMIF(FS!$U$89:$U$119,개요!$B$325&amp;RIGHT(NAV!C1043,4),FS!$X$89:$X$119)</f>
        <v>0</v>
      </c>
      <c r="E1043" s="487">
        <f>D1043</f>
        <v>0</v>
      </c>
      <c r="J1043" s="476"/>
      <c r="K1043" s="472"/>
      <c r="L1043" s="473" t="str">
        <f>IF($J1043="","SPC 없음",VLOOKUP($J1043&amp;"SPC명",개요!$A$3:$E$1932,3,0))</f>
        <v>SPC 없음</v>
      </c>
      <c r="M1043" s="474" t="str">
        <f>IF($J1043="","SPC 없음",VLOOKUP($J1043&amp;"설정일",개요!$A$3:$E$1932,3,0))</f>
        <v>SPC 없음</v>
      </c>
      <c r="N1043" s="475" t="str">
        <f t="shared" si="339"/>
        <v>SPC 없음</v>
      </c>
      <c r="O1043" s="471"/>
      <c r="P1043" s="476"/>
      <c r="Q1043" s="477"/>
      <c r="R1043" s="478"/>
      <c r="S1043" s="479" t="str">
        <f t="shared" si="340"/>
        <v>SPC 없음</v>
      </c>
      <c r="T1043" s="471"/>
      <c r="U1043" s="471" t="s">
        <v>94</v>
      </c>
      <c r="V1043" s="480">
        <f>IF(U1043="한국 원화(KRW)",1,IF(OR(U1043=환율!$A$6,U1043=환율!$A$7),VLOOKUP(NAV!U1043,환율!$A$6:$B$7,2,),IF(RIGHT(U1043,5)="(100)",(VLOOKUP(NAV!U1043,환율!$A$11:$B$65,2,))/100,VLOOKUP(NAV!U1043,환율!$A$11:$B$65,2,))))</f>
        <v>1</v>
      </c>
      <c r="W1043" s="481"/>
      <c r="X1043" s="482">
        <f t="shared" si="341"/>
        <v>0</v>
      </c>
      <c r="Y1043" s="481"/>
      <c r="Z1043" s="481"/>
      <c r="AA1043" s="483">
        <f t="shared" si="342"/>
        <v>0</v>
      </c>
      <c r="AE1043" s="484" t="str">
        <f t="shared" si="343"/>
        <v>SPC 없음</v>
      </c>
      <c r="AF1043" s="484" t="str">
        <f t="shared" si="344"/>
        <v>SPC 없음</v>
      </c>
      <c r="AG1043" s="485"/>
      <c r="AH1043" s="485"/>
      <c r="AI1043" s="404"/>
    </row>
    <row r="1044" spans="1:35" ht="12.75" thickBot="1">
      <c r="A1044" s="489" t="s">
        <v>389</v>
      </c>
      <c r="B1044" s="490" t="b">
        <f>SUM(W1041:W1046,W1049:W1059)=D1044</f>
        <v>1</v>
      </c>
      <c r="C1044" s="468" t="s">
        <v>390</v>
      </c>
      <c r="D1044" s="469">
        <f>SUMIF(FS!$U$89:$U$119,개요!$B$325&amp;RIGHT(NAV!C1044,4),FS!$X$89:$X$119)</f>
        <v>0</v>
      </c>
      <c r="E1044" s="469">
        <f>SUM(S1041:S1046)+SUM(S1049:S1059)</f>
        <v>0</v>
      </c>
      <c r="J1044" s="476"/>
      <c r="K1044" s="472"/>
      <c r="L1044" s="473" t="str">
        <f>IF($J1044="","SPC 없음",VLOOKUP($J1044&amp;"SPC명",개요!$A$3:$E$1932,3,0))</f>
        <v>SPC 없음</v>
      </c>
      <c r="M1044" s="474" t="str">
        <f>IF($J1044="","SPC 없음",VLOOKUP($J1044&amp;"설정일",개요!$A$3:$E$1932,3,0))</f>
        <v>SPC 없음</v>
      </c>
      <c r="N1044" s="475" t="str">
        <f t="shared" si="339"/>
        <v>SPC 없음</v>
      </c>
      <c r="O1044" s="471"/>
      <c r="P1044" s="476"/>
      <c r="Q1044" s="477"/>
      <c r="R1044" s="478"/>
      <c r="S1044" s="479" t="str">
        <f t="shared" si="340"/>
        <v>SPC 없음</v>
      </c>
      <c r="T1044" s="471"/>
      <c r="U1044" s="471" t="s">
        <v>94</v>
      </c>
      <c r="V1044" s="480">
        <f>IF(U1044="한국 원화(KRW)",1,IF(OR(U1044=환율!$A$6,U1044=환율!$A$7),VLOOKUP(NAV!U1044,환율!$A$6:$B$7,2,),IF(RIGHT(U1044,5)="(100)",(VLOOKUP(NAV!U1044,환율!$A$11:$B$65,2,))/100,VLOOKUP(NAV!U1044,환율!$A$11:$B$65,2,))))</f>
        <v>1</v>
      </c>
      <c r="W1044" s="481"/>
      <c r="X1044" s="482">
        <f t="shared" si="341"/>
        <v>0</v>
      </c>
      <c r="Y1044" s="481"/>
      <c r="Z1044" s="481"/>
      <c r="AA1044" s="483">
        <f t="shared" si="342"/>
        <v>0</v>
      </c>
      <c r="AE1044" s="484" t="str">
        <f t="shared" si="343"/>
        <v>SPC 없음</v>
      </c>
      <c r="AF1044" s="484" t="str">
        <f t="shared" si="344"/>
        <v>SPC 없음</v>
      </c>
      <c r="AG1044" s="485"/>
      <c r="AH1044" s="485"/>
      <c r="AI1044" s="404"/>
    </row>
    <row r="1045" spans="1:35" ht="12.75" thickBot="1">
      <c r="A1045" s="492" t="s">
        <v>391</v>
      </c>
      <c r="B1045" s="415" t="b">
        <f>D1042+D1043+D1044=D1045</f>
        <v>1</v>
      </c>
      <c r="C1045" s="493" t="s">
        <v>487</v>
      </c>
      <c r="D1045" s="494">
        <f>D1041+D1044</f>
        <v>0</v>
      </c>
      <c r="E1045" s="494">
        <f>E1041+E1044</f>
        <v>0</v>
      </c>
      <c r="J1045" s="476"/>
      <c r="K1045" s="472"/>
      <c r="L1045" s="473" t="str">
        <f>IF($J1045="","SPC 없음",VLOOKUP($J1045&amp;"SPC명",개요!$A$3:$E$1932,3,0))</f>
        <v>SPC 없음</v>
      </c>
      <c r="M1045" s="474" t="str">
        <f>IF($J1045="","SPC 없음",VLOOKUP($J1045&amp;"설정일",개요!$A$3:$E$1932,3,0))</f>
        <v>SPC 없음</v>
      </c>
      <c r="N1045" s="475" t="str">
        <f t="shared" si="339"/>
        <v>SPC 없음</v>
      </c>
      <c r="O1045" s="471"/>
      <c r="P1045" s="476"/>
      <c r="Q1045" s="477"/>
      <c r="R1045" s="478"/>
      <c r="S1045" s="479" t="str">
        <f t="shared" si="340"/>
        <v>SPC 없음</v>
      </c>
      <c r="T1045" s="471"/>
      <c r="U1045" s="471" t="s">
        <v>94</v>
      </c>
      <c r="V1045" s="480">
        <f>IF(U1045="한국 원화(KRW)",1,IF(OR(U1045=환율!$A$6,U1045=환율!$A$7),VLOOKUP(NAV!U1045,환율!$A$6:$B$7,2,),IF(RIGHT(U1045,5)="(100)",(VLOOKUP(NAV!U1045,환율!$A$11:$B$65,2,))/100,VLOOKUP(NAV!U1045,환율!$A$11:$B$65,2,))))</f>
        <v>1</v>
      </c>
      <c r="W1045" s="481"/>
      <c r="X1045" s="482">
        <f t="shared" si="341"/>
        <v>0</v>
      </c>
      <c r="Y1045" s="481"/>
      <c r="Z1045" s="481"/>
      <c r="AA1045" s="483">
        <f t="shared" si="342"/>
        <v>0</v>
      </c>
      <c r="AE1045" s="484" t="str">
        <f t="shared" si="343"/>
        <v>SPC 없음</v>
      </c>
      <c r="AF1045" s="484" t="str">
        <f t="shared" si="344"/>
        <v>SPC 없음</v>
      </c>
      <c r="AG1045" s="485"/>
      <c r="AH1045" s="485"/>
      <c r="AI1045" s="404"/>
    </row>
    <row r="1046" spans="1:35" ht="12.75" thickBot="1">
      <c r="A1046" s="492"/>
      <c r="B1046" s="496"/>
      <c r="C1046" s="468" t="s">
        <v>659</v>
      </c>
      <c r="D1046" s="469">
        <f>SUM(D1047:D1050)</f>
        <v>0</v>
      </c>
      <c r="E1046" s="469">
        <f>SUM(E1047:E1050)</f>
        <v>0</v>
      </c>
      <c r="J1046" s="476"/>
      <c r="K1046" s="472"/>
      <c r="L1046" s="473" t="str">
        <f>IF($J1046="","SPC 없음",VLOOKUP($J1046&amp;"SPC명",개요!$A$3:$E$1932,3,0))</f>
        <v>SPC 없음</v>
      </c>
      <c r="M1046" s="474" t="str">
        <f>IF($J1046="","SPC 없음",VLOOKUP($J1046&amp;"설정일",개요!$A$3:$E$1932,3,0))</f>
        <v>SPC 없음</v>
      </c>
      <c r="N1046" s="475" t="str">
        <f t="shared" si="339"/>
        <v>SPC 없음</v>
      </c>
      <c r="O1046" s="471"/>
      <c r="P1046" s="476"/>
      <c r="Q1046" s="477"/>
      <c r="R1046" s="478"/>
      <c r="S1046" s="479" t="str">
        <f t="shared" si="340"/>
        <v>SPC 없음</v>
      </c>
      <c r="T1046" s="471"/>
      <c r="U1046" s="471" t="s">
        <v>94</v>
      </c>
      <c r="V1046" s="480">
        <f>IF(U1046="한국 원화(KRW)",1,IF(OR(U1046=환율!$A$6,U1046=환율!$A$7),VLOOKUP(NAV!U1046,환율!$A$6:$B$7,2,),IF(RIGHT(U1046,5)="(100)",(VLOOKUP(NAV!U1046,환율!$A$11:$B$65,2,))/100,VLOOKUP(NAV!U1046,환율!$A$11:$B$65,2,))))</f>
        <v>1</v>
      </c>
      <c r="W1046" s="481"/>
      <c r="X1046" s="482">
        <f t="shared" si="341"/>
        <v>0</v>
      </c>
      <c r="Y1046" s="481"/>
      <c r="Z1046" s="481"/>
      <c r="AA1046" s="483">
        <f t="shared" si="342"/>
        <v>0</v>
      </c>
      <c r="AE1046" s="484" t="str">
        <f t="shared" si="343"/>
        <v>SPC 없음</v>
      </c>
      <c r="AF1046" s="484" t="str">
        <f t="shared" si="344"/>
        <v>SPC 없음</v>
      </c>
      <c r="AG1046" s="485"/>
      <c r="AH1046" s="485"/>
      <c r="AI1046" s="404"/>
    </row>
    <row r="1047" spans="1:35">
      <c r="A1047" s="492"/>
      <c r="B1047" s="496"/>
      <c r="C1047" s="486" t="s">
        <v>392</v>
      </c>
      <c r="D1047" s="487">
        <f>SUMIF(FS!$U$89:$U$119,개요!$B$325&amp;RIGHT(NAV!C1047,5),FS!$X$89:$X$119)</f>
        <v>0</v>
      </c>
      <c r="E1047" s="487">
        <f>D1047</f>
        <v>0</v>
      </c>
      <c r="J1047" s="428" t="s">
        <v>276</v>
      </c>
      <c r="K1047" s="415"/>
      <c r="L1047" s="305"/>
      <c r="M1047" s="415"/>
      <c r="N1047" s="415"/>
      <c r="O1047" s="415"/>
      <c r="P1047" s="415"/>
      <c r="Q1047" s="422"/>
      <c r="R1047" s="415"/>
      <c r="S1047" s="415"/>
      <c r="T1047" s="415"/>
      <c r="U1047" s="415"/>
      <c r="W1047" s="517" t="b">
        <f>SUM(W1049:W1059)+SUM(W1041:W1046)=D1044</f>
        <v>1</v>
      </c>
      <c r="X1047" s="415"/>
      <c r="Y1047" s="422"/>
      <c r="Z1047" s="422"/>
      <c r="AA1047" s="459" t="str">
        <f>IF(OR(MAX(AA1041:AA1046,AA1049:AA1059)&gt;0.2,MIN(AA1041:AA1046,AA1049:AA1059)&lt;-0.2),"특이사항 확인","특이사항 없음")</f>
        <v>특이사항 없음</v>
      </c>
      <c r="AB1047" s="415"/>
      <c r="AF1047" s="415"/>
      <c r="AG1047" s="415"/>
      <c r="AI1047" s="404"/>
    </row>
    <row r="1048" spans="1:35" ht="12.75" thickBot="1">
      <c r="A1048" s="492"/>
      <c r="B1048" s="496"/>
      <c r="C1048" s="486" t="s">
        <v>36</v>
      </c>
      <c r="D1048" s="487">
        <f>SUMIF(FS!$U$89:$U$119,개요!$B$325&amp;RIGHT(NAV!C1048,3),FS!$X$89:$X$119)</f>
        <v>0</v>
      </c>
      <c r="E1048" s="487">
        <f t="shared" ref="E1048:E1049" si="345">D1048</f>
        <v>0</v>
      </c>
      <c r="I1048" s="518">
        <f>COUNTA(J1049:J1059)</f>
        <v>0</v>
      </c>
      <c r="J1048" s="548" t="s">
        <v>265</v>
      </c>
      <c r="K1048" s="548" t="s">
        <v>376</v>
      </c>
      <c r="L1048" s="548" t="s">
        <v>528</v>
      </c>
      <c r="M1048" s="548" t="s">
        <v>83</v>
      </c>
      <c r="N1048" s="548" t="s">
        <v>397</v>
      </c>
      <c r="O1048" s="548" t="s">
        <v>221</v>
      </c>
      <c r="P1048" s="548" t="s">
        <v>380</v>
      </c>
      <c r="Q1048" s="519" t="s">
        <v>14</v>
      </c>
      <c r="R1048" s="466" t="s">
        <v>299</v>
      </c>
      <c r="S1048" s="466" t="s">
        <v>3525</v>
      </c>
      <c r="T1048" s="549" t="s">
        <v>12</v>
      </c>
      <c r="U1048" s="548" t="s">
        <v>72</v>
      </c>
      <c r="V1048" s="548" t="s">
        <v>70</v>
      </c>
      <c r="W1048" s="550" t="s">
        <v>258</v>
      </c>
      <c r="X1048" s="549" t="s">
        <v>42</v>
      </c>
      <c r="Y1048" s="550" t="s">
        <v>652</v>
      </c>
      <c r="Z1048" s="550" t="s">
        <v>3523</v>
      </c>
      <c r="AA1048" s="548" t="s">
        <v>13</v>
      </c>
      <c r="AB1048" s="548" t="s">
        <v>440</v>
      </c>
      <c r="AC1048" s="548" t="s">
        <v>40</v>
      </c>
      <c r="AE1048" s="467" t="s">
        <v>3627</v>
      </c>
      <c r="AF1048" s="467" t="s">
        <v>3628</v>
      </c>
      <c r="AG1048" s="467" t="s">
        <v>3629</v>
      </c>
      <c r="AH1048" s="467" t="s">
        <v>3630</v>
      </c>
      <c r="AI1048" s="404"/>
    </row>
    <row r="1049" spans="1:35" ht="12.75" thickBot="1">
      <c r="A1049" s="492"/>
      <c r="B1049" s="496"/>
      <c r="C1049" s="486" t="s">
        <v>37</v>
      </c>
      <c r="D1049" s="487">
        <f>SUMIF(FS!$U$89:$U$119,개요!$B$325&amp;RIGHT(NAV!C1049,6),FS!$X$89:$X$119)</f>
        <v>0</v>
      </c>
      <c r="E1049" s="487">
        <f t="shared" si="345"/>
        <v>0</v>
      </c>
      <c r="J1049" s="551"/>
      <c r="K1049" s="552"/>
      <c r="L1049" s="551"/>
      <c r="M1049" s="553"/>
      <c r="N1049" s="553"/>
      <c r="O1049" s="551"/>
      <c r="P1049" s="553"/>
      <c r="Q1049" s="524"/>
      <c r="R1049" s="478">
        <f>IFERROR(INDEX(기초자산!M$6:M$408,MATCH(K1049&amp;N1049&amp;O1049,기초자산!$A$6:$A$408,0),0),0)</f>
        <v>0</v>
      </c>
      <c r="S1049" s="479">
        <f t="shared" ref="S1049:S1059" si="346">IFERROR(IF(T1049="취득원가 준용",Y1049,IF(T1049="장부가액 준용",W1049,IF(P1049="주당",R1049*Q1049*V1049,IF(RIGHT(U1049,5)="(100)",Y1049/1000*R1049*V1049,Y1049/10000*R1049*V1049)))),0)</f>
        <v>0</v>
      </c>
      <c r="T1049" s="553"/>
      <c r="U1049" s="471" t="s">
        <v>94</v>
      </c>
      <c r="V1049" s="480">
        <f>IF(U1049="한국 원화(KRW)",1,IF(OR(U1049=환율!$A$6,U1049=환율!$A$7),VLOOKUP(NAV!U1049,환율!$A$6:$B$7,2,),IF(RIGHT(U1049,5)="(100)",(VLOOKUP(NAV!U1049,환율!$A$11:$B$65,2,))/100,VLOOKUP(NAV!U1049,환율!$A$11:$B$65,2,))))</f>
        <v>1</v>
      </c>
      <c r="W1049" s="481"/>
      <c r="X1049" s="482">
        <f t="shared" ref="X1049:X1059" si="347">IFERROR(IF(P1049="만원당",10000,Y1049/Q1049),0)</f>
        <v>0</v>
      </c>
      <c r="Y1049" s="481"/>
      <c r="Z1049" s="481"/>
      <c r="AA1049" s="483">
        <f t="shared" ref="AA1049:AA1059" si="348">IFERROR(IF(Z1049="",S1049/W1049-1,S1049/Z1049-1),0)</f>
        <v>0</v>
      </c>
      <c r="AB1049" s="554"/>
      <c r="AC1049" s="526" t="str">
        <f t="shared" ref="AC1049:AC1059" si="349">IF(($C$7-AB1049)/365&gt;2,"2년이상","2년미만")</f>
        <v>2년이상</v>
      </c>
      <c r="AD1049" s="520" t="str">
        <f t="shared" ref="AD1049:AD1059" si="350">IF(OR(AA1049&gt;20%,AA1049&lt;-20%),"(1) Note 기재","")</f>
        <v/>
      </c>
      <c r="AE1049" s="527">
        <f>IF(OR(T1049="MTP",T1049="과거거래 이용법",T1049="취득원가 준용",T1049="장부가액 준용",T1049="상장종가 적용"),S1049,IF(P1049="주당",AG1049*Q1049*V1049,Y1049/10000*AG1049*V1049))</f>
        <v>0</v>
      </c>
      <c r="AF1049" s="527">
        <f>IF(OR(T1049="MTP",T1049="과거거래 이용법",T1049="취득원가 준용",T1049="장부가액 준용",T1049="상장종가 적용"),S1049,IF(P1049="주당",AH1049*Q1049*V1049,Y1049/10000*AH1049*V1049))</f>
        <v>0</v>
      </c>
      <c r="AG1049" s="485"/>
      <c r="AH1049" s="485"/>
      <c r="AI1049" s="404"/>
    </row>
    <row r="1050" spans="1:35" ht="12.75" thickBot="1">
      <c r="A1050" s="492"/>
      <c r="B1050" s="496"/>
      <c r="C1050" s="486" t="s">
        <v>405</v>
      </c>
      <c r="D1050" s="487">
        <f>SUMIF(FS!$U$89:$U$119,개요!$B$325&amp;RIGHT(NAV!C1050,7),FS!$X$89:$X$119)</f>
        <v>0</v>
      </c>
      <c r="E1050" s="487">
        <f>D1050</f>
        <v>0</v>
      </c>
      <c r="J1050" s="551"/>
      <c r="K1050" s="552"/>
      <c r="L1050" s="551"/>
      <c r="M1050" s="553"/>
      <c r="N1050" s="553"/>
      <c r="O1050" s="551"/>
      <c r="P1050" s="553"/>
      <c r="Q1050" s="524"/>
      <c r="R1050" s="478">
        <f>IFERROR(INDEX(기초자산!M$6:M$408,MATCH(K1050&amp;N1050&amp;O1050,기초자산!$A$6:$A$408,0),0),0)</f>
        <v>0</v>
      </c>
      <c r="S1050" s="479">
        <f t="shared" si="346"/>
        <v>0</v>
      </c>
      <c r="T1050" s="553"/>
      <c r="U1050" s="471" t="s">
        <v>94</v>
      </c>
      <c r="V1050" s="480">
        <f>IF(U1050="한국 원화(KRW)",1,IF(OR(U1050=환율!$A$6,U1050=환율!$A$7),VLOOKUP(NAV!U1050,환율!$A$6:$B$7,2,),IF(RIGHT(U1050,5)="(100)",(VLOOKUP(NAV!U1050,환율!$A$11:$B$65,2,))/100,VLOOKUP(NAV!U1050,환율!$A$11:$B$65,2,))))</f>
        <v>1</v>
      </c>
      <c r="W1050" s="481"/>
      <c r="X1050" s="482">
        <f t="shared" si="347"/>
        <v>0</v>
      </c>
      <c r="Y1050" s="481"/>
      <c r="Z1050" s="481"/>
      <c r="AA1050" s="483">
        <f t="shared" si="348"/>
        <v>0</v>
      </c>
      <c r="AB1050" s="554"/>
      <c r="AC1050" s="526" t="str">
        <f t="shared" si="349"/>
        <v>2년이상</v>
      </c>
      <c r="AD1050" s="520" t="str">
        <f t="shared" si="350"/>
        <v/>
      </c>
      <c r="AE1050" s="527">
        <f t="shared" ref="AE1050:AE1059" si="351">IF(OR(T1050="MTP",T1050="과거거래 이용법",T1050="취득원가 준용",T1050="장부가액 준용",T1050="상장종가 적용"),S1050,IF(P1050="주당",AG1050*Q1050*V1050,Y1050/10000*AG1050*V1050))</f>
        <v>0</v>
      </c>
      <c r="AF1050" s="527">
        <f t="shared" ref="AF1050:AF1059" si="352">IF(OR(T1050="MTP",T1050="과거거래 이용법",T1050="취득원가 준용",T1050="장부가액 준용",T1050="상장종가 적용"),S1050,IF(P1050="주당",AH1050*Q1050*V1050,Y1050/10000*AH1050*V1050))</f>
        <v>0</v>
      </c>
      <c r="AG1050" s="485"/>
      <c r="AH1050" s="485"/>
      <c r="AI1050" s="404"/>
    </row>
    <row r="1051" spans="1:35" ht="12.75" thickBot="1">
      <c r="A1051" s="492"/>
      <c r="B1051" s="496"/>
      <c r="C1051" s="468" t="s">
        <v>442</v>
      </c>
      <c r="D1051" s="469">
        <f>SUM(D1052:D1053)</f>
        <v>0</v>
      </c>
      <c r="E1051" s="469">
        <f>SUM(E1052:E1053)</f>
        <v>0</v>
      </c>
      <c r="J1051" s="551"/>
      <c r="K1051" s="552"/>
      <c r="L1051" s="551"/>
      <c r="M1051" s="553"/>
      <c r="N1051" s="553"/>
      <c r="O1051" s="551"/>
      <c r="P1051" s="553"/>
      <c r="Q1051" s="524"/>
      <c r="R1051" s="478">
        <f>IFERROR(INDEX(기초자산!M$6:M$408,MATCH(K1051&amp;N1051&amp;O1051,기초자산!$A$6:$A$408,0),0),0)</f>
        <v>0</v>
      </c>
      <c r="S1051" s="479">
        <f t="shared" si="346"/>
        <v>0</v>
      </c>
      <c r="T1051" s="553"/>
      <c r="U1051" s="471" t="s">
        <v>94</v>
      </c>
      <c r="V1051" s="480">
        <f>IF(U1051="한국 원화(KRW)",1,IF(OR(U1051=환율!$A$6,U1051=환율!$A$7),VLOOKUP(NAV!U1051,환율!$A$6:$B$7,2,),IF(RIGHT(U1051,5)="(100)",(VLOOKUP(NAV!U1051,환율!$A$11:$B$65,2,))/100,VLOOKUP(NAV!U1051,환율!$A$11:$B$65,2,))))</f>
        <v>1</v>
      </c>
      <c r="W1051" s="481"/>
      <c r="X1051" s="482">
        <f t="shared" si="347"/>
        <v>0</v>
      </c>
      <c r="Y1051" s="481"/>
      <c r="Z1051" s="481"/>
      <c r="AA1051" s="483">
        <f t="shared" si="348"/>
        <v>0</v>
      </c>
      <c r="AB1051" s="554"/>
      <c r="AC1051" s="526" t="str">
        <f t="shared" si="349"/>
        <v>2년이상</v>
      </c>
      <c r="AD1051" s="520" t="str">
        <f t="shared" si="350"/>
        <v/>
      </c>
      <c r="AE1051" s="527">
        <f t="shared" si="351"/>
        <v>0</v>
      </c>
      <c r="AF1051" s="527">
        <f t="shared" si="352"/>
        <v>0</v>
      </c>
      <c r="AG1051" s="485"/>
      <c r="AH1051" s="485"/>
      <c r="AI1051" s="404"/>
    </row>
    <row r="1052" spans="1:35" ht="12.75" thickBot="1">
      <c r="A1052" s="492"/>
      <c r="B1052" s="496"/>
      <c r="C1052" s="486" t="s">
        <v>406</v>
      </c>
      <c r="D1052" s="487">
        <f>SUMIF(FS!$U$89:$U$119,개요!$B$325&amp;RIGHT(NAV!C1052,3),FS!$X$89:$X$119)</f>
        <v>0</v>
      </c>
      <c r="E1052" s="487">
        <f>D1052</f>
        <v>0</v>
      </c>
      <c r="J1052" s="551"/>
      <c r="K1052" s="552"/>
      <c r="L1052" s="551"/>
      <c r="M1052" s="553"/>
      <c r="N1052" s="553"/>
      <c r="O1052" s="551"/>
      <c r="P1052" s="553"/>
      <c r="Q1052" s="524"/>
      <c r="R1052" s="478">
        <f>IFERROR(INDEX(기초자산!M$6:M$408,MATCH(K1052&amp;N1052&amp;O1052,기초자산!$A$6:$A$408,0),0),0)</f>
        <v>0</v>
      </c>
      <c r="S1052" s="479">
        <f t="shared" si="346"/>
        <v>0</v>
      </c>
      <c r="T1052" s="553"/>
      <c r="U1052" s="471" t="s">
        <v>94</v>
      </c>
      <c r="V1052" s="480">
        <f>IF(U1052="한국 원화(KRW)",1,IF(OR(U1052=환율!$A$6,U1052=환율!$A$7),VLOOKUP(NAV!U1052,환율!$A$6:$B$7,2,),IF(RIGHT(U1052,5)="(100)",(VLOOKUP(NAV!U1052,환율!$A$11:$B$65,2,))/100,VLOOKUP(NAV!U1052,환율!$A$11:$B$65,2,))))</f>
        <v>1</v>
      </c>
      <c r="W1052" s="481"/>
      <c r="X1052" s="482">
        <f t="shared" si="347"/>
        <v>0</v>
      </c>
      <c r="Y1052" s="481"/>
      <c r="Z1052" s="481"/>
      <c r="AA1052" s="483">
        <f t="shared" si="348"/>
        <v>0</v>
      </c>
      <c r="AB1052" s="554"/>
      <c r="AC1052" s="526" t="str">
        <f t="shared" si="349"/>
        <v>2년이상</v>
      </c>
      <c r="AD1052" s="520" t="str">
        <f t="shared" si="350"/>
        <v/>
      </c>
      <c r="AE1052" s="527">
        <f t="shared" si="351"/>
        <v>0</v>
      </c>
      <c r="AF1052" s="527">
        <f t="shared" si="352"/>
        <v>0</v>
      </c>
      <c r="AG1052" s="485"/>
      <c r="AH1052" s="485"/>
      <c r="AI1052" s="404"/>
    </row>
    <row r="1053" spans="1:35" ht="12.75" thickBot="1">
      <c r="A1053" s="492"/>
      <c r="B1053" s="496"/>
      <c r="C1053" s="486" t="s">
        <v>407</v>
      </c>
      <c r="D1053" s="487">
        <f>SUMIF(FS!$U$89:$U$119,개요!$B$325&amp;RIGHT(NAV!C1053,4),FS!$X$89:$X$119)</f>
        <v>0</v>
      </c>
      <c r="E1053" s="487">
        <f>D1053</f>
        <v>0</v>
      </c>
      <c r="J1053" s="551"/>
      <c r="K1053" s="552"/>
      <c r="L1053" s="551"/>
      <c r="M1053" s="553"/>
      <c r="N1053" s="553"/>
      <c r="O1053" s="551"/>
      <c r="P1053" s="553"/>
      <c r="Q1053" s="524"/>
      <c r="R1053" s="478">
        <f>IFERROR(INDEX(기초자산!M$6:M$408,MATCH(K1053&amp;N1053&amp;O1053,기초자산!$A$6:$A$408,0),0),0)</f>
        <v>0</v>
      </c>
      <c r="S1053" s="479">
        <f t="shared" si="346"/>
        <v>0</v>
      </c>
      <c r="T1053" s="553"/>
      <c r="U1053" s="471" t="s">
        <v>94</v>
      </c>
      <c r="V1053" s="480">
        <f>IF(U1053="한국 원화(KRW)",1,IF(OR(U1053=환율!$A$6,U1053=환율!$A$7),VLOOKUP(NAV!U1053,환율!$A$6:$B$7,2,),IF(RIGHT(U1053,5)="(100)",(VLOOKUP(NAV!U1053,환율!$A$11:$B$65,2,))/100,VLOOKUP(NAV!U1053,환율!$A$11:$B$65,2,))))</f>
        <v>1</v>
      </c>
      <c r="W1053" s="481"/>
      <c r="X1053" s="482">
        <f t="shared" si="347"/>
        <v>0</v>
      </c>
      <c r="Y1053" s="481"/>
      <c r="Z1053" s="481"/>
      <c r="AA1053" s="483">
        <f t="shared" si="348"/>
        <v>0</v>
      </c>
      <c r="AB1053" s="554"/>
      <c r="AC1053" s="526" t="str">
        <f t="shared" si="349"/>
        <v>2년이상</v>
      </c>
      <c r="AD1053" s="520" t="str">
        <f t="shared" si="350"/>
        <v/>
      </c>
      <c r="AE1053" s="527">
        <f t="shared" si="351"/>
        <v>0</v>
      </c>
      <c r="AF1053" s="527">
        <f t="shared" si="352"/>
        <v>0</v>
      </c>
      <c r="AG1053" s="485"/>
      <c r="AH1053" s="485"/>
      <c r="AI1053" s="404"/>
    </row>
    <row r="1054" spans="1:35" ht="12.75" thickBot="1">
      <c r="A1054" s="489" t="s">
        <v>408</v>
      </c>
      <c r="B1054" s="498" t="b">
        <f>D1047+D1048+D1049+D1050+D1052+D1053=D1054</f>
        <v>1</v>
      </c>
      <c r="C1054" s="493" t="s">
        <v>477</v>
      </c>
      <c r="D1054" s="494">
        <f>D1046+D1051</f>
        <v>0</v>
      </c>
      <c r="E1054" s="494">
        <f>E1046+E1051</f>
        <v>0</v>
      </c>
      <c r="J1054" s="551"/>
      <c r="K1054" s="552"/>
      <c r="L1054" s="551"/>
      <c r="M1054" s="553"/>
      <c r="N1054" s="553"/>
      <c r="O1054" s="551"/>
      <c r="P1054" s="553"/>
      <c r="Q1054" s="524"/>
      <c r="R1054" s="478">
        <f>IFERROR(INDEX(기초자산!M$6:M$408,MATCH(K1054&amp;N1054&amp;O1054,기초자산!$A$6:$A$408,0),0),0)</f>
        <v>0</v>
      </c>
      <c r="S1054" s="479">
        <f t="shared" si="346"/>
        <v>0</v>
      </c>
      <c r="T1054" s="553"/>
      <c r="U1054" s="471" t="s">
        <v>94</v>
      </c>
      <c r="V1054" s="480">
        <f>IF(U1054="한국 원화(KRW)",1,IF(OR(U1054=환율!$A$6,U1054=환율!$A$7),VLOOKUP(NAV!U1054,환율!$A$6:$B$7,2,),IF(RIGHT(U1054,5)="(100)",(VLOOKUP(NAV!U1054,환율!$A$11:$B$65,2,))/100,VLOOKUP(NAV!U1054,환율!$A$11:$B$65,2,))))</f>
        <v>1</v>
      </c>
      <c r="W1054" s="481"/>
      <c r="X1054" s="482">
        <f t="shared" si="347"/>
        <v>0</v>
      </c>
      <c r="Y1054" s="481"/>
      <c r="Z1054" s="481"/>
      <c r="AA1054" s="483">
        <f t="shared" si="348"/>
        <v>0</v>
      </c>
      <c r="AB1054" s="554"/>
      <c r="AC1054" s="526" t="str">
        <f t="shared" si="349"/>
        <v>2년이상</v>
      </c>
      <c r="AD1054" s="520" t="str">
        <f t="shared" si="350"/>
        <v/>
      </c>
      <c r="AE1054" s="527">
        <f t="shared" si="351"/>
        <v>0</v>
      </c>
      <c r="AF1054" s="527">
        <f t="shared" si="352"/>
        <v>0</v>
      </c>
      <c r="AG1054" s="485"/>
      <c r="AH1054" s="485"/>
      <c r="AI1054" s="404"/>
    </row>
    <row r="1055" spans="1:35" ht="12.75" thickBot="1">
      <c r="A1055" s="492"/>
      <c r="B1055" s="555" t="str">
        <f>B1035&amp;C1055</f>
        <v>SPC없음자본금</v>
      </c>
      <c r="C1055" s="486" t="s">
        <v>535</v>
      </c>
      <c r="D1055" s="487">
        <f>SUMIF(FS!$U$89:$U$119,개요!$B$325&amp;RIGHT(NAV!C1055,3),FS!$X$89:$X$119)</f>
        <v>0</v>
      </c>
      <c r="E1055" s="487">
        <f>D1055</f>
        <v>0</v>
      </c>
      <c r="J1055" s="551"/>
      <c r="K1055" s="552"/>
      <c r="L1055" s="551"/>
      <c r="M1055" s="553"/>
      <c r="N1055" s="553"/>
      <c r="O1055" s="551"/>
      <c r="P1055" s="553"/>
      <c r="Q1055" s="524"/>
      <c r="R1055" s="478">
        <f>IFERROR(INDEX(기초자산!M$6:M$408,MATCH(K1055&amp;N1055&amp;O1055,기초자산!$A$6:$A$408,0),0),0)</f>
        <v>0</v>
      </c>
      <c r="S1055" s="479">
        <f t="shared" si="346"/>
        <v>0</v>
      </c>
      <c r="T1055" s="553"/>
      <c r="U1055" s="471" t="s">
        <v>94</v>
      </c>
      <c r="V1055" s="480">
        <f>IF(U1055="한국 원화(KRW)",1,IF(OR(U1055=환율!$A$6,U1055=환율!$A$7),VLOOKUP(NAV!U1055,환율!$A$6:$B$7,2,),IF(RIGHT(U1055,5)="(100)",(VLOOKUP(NAV!U1055,환율!$A$11:$B$65,2,))/100,VLOOKUP(NAV!U1055,환율!$A$11:$B$65,2,))))</f>
        <v>1</v>
      </c>
      <c r="W1055" s="481"/>
      <c r="X1055" s="482">
        <f t="shared" si="347"/>
        <v>0</v>
      </c>
      <c r="Y1055" s="481"/>
      <c r="Z1055" s="481"/>
      <c r="AA1055" s="483">
        <f t="shared" si="348"/>
        <v>0</v>
      </c>
      <c r="AB1055" s="554"/>
      <c r="AC1055" s="526" t="str">
        <f t="shared" si="349"/>
        <v>2년이상</v>
      </c>
      <c r="AD1055" s="520" t="str">
        <f t="shared" si="350"/>
        <v/>
      </c>
      <c r="AE1055" s="527">
        <f t="shared" si="351"/>
        <v>0</v>
      </c>
      <c r="AF1055" s="527">
        <f t="shared" si="352"/>
        <v>0</v>
      </c>
      <c r="AG1055" s="485"/>
      <c r="AH1055" s="485"/>
      <c r="AI1055" s="404"/>
    </row>
    <row r="1056" spans="1:35" ht="12.75" thickBot="1">
      <c r="C1056" s="486" t="s">
        <v>120</v>
      </c>
      <c r="D1056" s="487">
        <f>SUMIF(FS!$U$89:$U$119,개요!$B$325&amp;RIGHT(NAV!C1056,10),FS!$X$89:$X$119)</f>
        <v>0</v>
      </c>
      <c r="E1056" s="487">
        <f>D1056</f>
        <v>0</v>
      </c>
      <c r="J1056" s="551"/>
      <c r="K1056" s="552"/>
      <c r="L1056" s="551"/>
      <c r="M1056" s="553"/>
      <c r="N1056" s="553"/>
      <c r="O1056" s="551"/>
      <c r="P1056" s="553"/>
      <c r="Q1056" s="524"/>
      <c r="R1056" s="478">
        <f>IFERROR(INDEX(기초자산!M$6:M$408,MATCH(K1056&amp;N1056&amp;O1056,기초자산!$A$6:$A$408,0),0),0)</f>
        <v>0</v>
      </c>
      <c r="S1056" s="479">
        <f t="shared" si="346"/>
        <v>0</v>
      </c>
      <c r="T1056" s="553"/>
      <c r="U1056" s="471" t="s">
        <v>94</v>
      </c>
      <c r="V1056" s="480">
        <f>IF(U1056="한국 원화(KRW)",1,IF(OR(U1056=환율!$A$6,U1056=환율!$A$7),VLOOKUP(NAV!U1056,환율!$A$6:$B$7,2,),IF(RIGHT(U1056,5)="(100)",(VLOOKUP(NAV!U1056,환율!$A$11:$B$65,2,))/100,VLOOKUP(NAV!U1056,환율!$A$11:$B$65,2,))))</f>
        <v>1</v>
      </c>
      <c r="W1056" s="481"/>
      <c r="X1056" s="482">
        <f t="shared" si="347"/>
        <v>0</v>
      </c>
      <c r="Y1056" s="481"/>
      <c r="Z1056" s="481"/>
      <c r="AA1056" s="483">
        <f t="shared" si="348"/>
        <v>0</v>
      </c>
      <c r="AB1056" s="554"/>
      <c r="AC1056" s="526" t="str">
        <f t="shared" si="349"/>
        <v>2년이상</v>
      </c>
      <c r="AD1056" s="520" t="str">
        <f t="shared" si="350"/>
        <v/>
      </c>
      <c r="AE1056" s="527">
        <f t="shared" si="351"/>
        <v>0</v>
      </c>
      <c r="AF1056" s="527">
        <f t="shared" si="352"/>
        <v>0</v>
      </c>
      <c r="AG1056" s="485"/>
      <c r="AH1056" s="485"/>
      <c r="AI1056" s="404"/>
    </row>
    <row r="1057" spans="1:35" ht="12.75" thickBot="1">
      <c r="A1057" s="489"/>
      <c r="B1057" s="415"/>
      <c r="C1057" s="486" t="s">
        <v>122</v>
      </c>
      <c r="D1057" s="487">
        <f>SUMIF(FS!$U$89:$U$119,개요!$B$325&amp;RIGHT(NAV!C1057,8),FS!$X$89:$X$119)</f>
        <v>0</v>
      </c>
      <c r="E1057" s="487">
        <f>D1057</f>
        <v>0</v>
      </c>
      <c r="J1057" s="551"/>
      <c r="K1057" s="552"/>
      <c r="L1057" s="551"/>
      <c r="M1057" s="553"/>
      <c r="N1057" s="553"/>
      <c r="O1057" s="551"/>
      <c r="P1057" s="553"/>
      <c r="Q1057" s="524"/>
      <c r="R1057" s="478">
        <f>IFERROR(INDEX(기초자산!M$6:M$408,MATCH(K1057&amp;N1057&amp;O1057,기초자산!$A$6:$A$408,0),0),0)</f>
        <v>0</v>
      </c>
      <c r="S1057" s="479">
        <f t="shared" si="346"/>
        <v>0</v>
      </c>
      <c r="T1057" s="553"/>
      <c r="U1057" s="471" t="s">
        <v>94</v>
      </c>
      <c r="V1057" s="480">
        <f>IF(U1057="한국 원화(KRW)",1,IF(OR(U1057=환율!$A$6,U1057=환율!$A$7),VLOOKUP(NAV!U1057,환율!$A$6:$B$7,2,),IF(RIGHT(U1057,5)="(100)",(VLOOKUP(NAV!U1057,환율!$A$11:$B$65,2,))/100,VLOOKUP(NAV!U1057,환율!$A$11:$B$65,2,))))</f>
        <v>1</v>
      </c>
      <c r="W1057" s="481"/>
      <c r="X1057" s="482">
        <f t="shared" si="347"/>
        <v>0</v>
      </c>
      <c r="Y1057" s="481"/>
      <c r="Z1057" s="481"/>
      <c r="AA1057" s="483">
        <f t="shared" si="348"/>
        <v>0</v>
      </c>
      <c r="AB1057" s="554"/>
      <c r="AC1057" s="526" t="str">
        <f t="shared" si="349"/>
        <v>2년이상</v>
      </c>
      <c r="AD1057" s="520" t="str">
        <f t="shared" si="350"/>
        <v/>
      </c>
      <c r="AE1057" s="527">
        <f t="shared" si="351"/>
        <v>0</v>
      </c>
      <c r="AF1057" s="527">
        <f t="shared" si="352"/>
        <v>0</v>
      </c>
      <c r="AG1057" s="485"/>
      <c r="AH1057" s="485"/>
      <c r="AI1057" s="404"/>
    </row>
    <row r="1058" spans="1:35" ht="12.75" thickBot="1">
      <c r="A1058" s="489" t="s">
        <v>411</v>
      </c>
      <c r="B1058" s="415" t="b">
        <f>D1058=SUM(D1055:D1057)</f>
        <v>1</v>
      </c>
      <c r="C1058" s="493" t="s">
        <v>484</v>
      </c>
      <c r="D1058" s="494">
        <f>D1045-D1054</f>
        <v>0</v>
      </c>
      <c r="E1058" s="494">
        <f>E1045-E1054</f>
        <v>0</v>
      </c>
      <c r="J1058" s="551"/>
      <c r="K1058" s="552"/>
      <c r="L1058" s="551"/>
      <c r="M1058" s="553"/>
      <c r="N1058" s="553"/>
      <c r="O1058" s="551"/>
      <c r="P1058" s="553"/>
      <c r="Q1058" s="524"/>
      <c r="R1058" s="478">
        <f>IFERROR(INDEX(기초자산!M$6:M$408,MATCH(K1058&amp;N1058&amp;O1058,기초자산!$A$6:$A$408,0),0),0)</f>
        <v>0</v>
      </c>
      <c r="S1058" s="479">
        <f t="shared" si="346"/>
        <v>0</v>
      </c>
      <c r="T1058" s="553"/>
      <c r="U1058" s="471" t="s">
        <v>94</v>
      </c>
      <c r="V1058" s="480">
        <f>IF(U1058="한국 원화(KRW)",1,IF(OR(U1058=환율!$A$6,U1058=환율!$A$7),VLOOKUP(NAV!U1058,환율!$A$6:$B$7,2,),IF(RIGHT(U1058,5)="(100)",(VLOOKUP(NAV!U1058,환율!$A$11:$B$65,2,))/100,VLOOKUP(NAV!U1058,환율!$A$11:$B$65,2,))))</f>
        <v>1</v>
      </c>
      <c r="W1058" s="481"/>
      <c r="X1058" s="482">
        <f t="shared" si="347"/>
        <v>0</v>
      </c>
      <c r="Y1058" s="481"/>
      <c r="Z1058" s="481"/>
      <c r="AA1058" s="483">
        <f t="shared" si="348"/>
        <v>0</v>
      </c>
      <c r="AB1058" s="554"/>
      <c r="AC1058" s="526" t="str">
        <f t="shared" si="349"/>
        <v>2년이상</v>
      </c>
      <c r="AD1058" s="520" t="str">
        <f t="shared" si="350"/>
        <v/>
      </c>
      <c r="AE1058" s="527">
        <f t="shared" si="351"/>
        <v>0</v>
      </c>
      <c r="AF1058" s="527">
        <f t="shared" si="352"/>
        <v>0</v>
      </c>
      <c r="AG1058" s="485"/>
      <c r="AH1058" s="485"/>
      <c r="AI1058" s="404"/>
    </row>
    <row r="1059" spans="1:35" ht="12.75" thickBot="1">
      <c r="A1059" s="489"/>
      <c r="B1059" s="415"/>
      <c r="C1059" s="486" t="s">
        <v>537</v>
      </c>
      <c r="D1059" s="487">
        <v>0</v>
      </c>
      <c r="E1059" s="499">
        <v>0</v>
      </c>
      <c r="J1059" s="551"/>
      <c r="K1059" s="552"/>
      <c r="L1059" s="551"/>
      <c r="M1059" s="553"/>
      <c r="N1059" s="553"/>
      <c r="O1059" s="551"/>
      <c r="P1059" s="553"/>
      <c r="Q1059" s="524"/>
      <c r="R1059" s="478">
        <f>IFERROR(INDEX(기초자산!M$6:M$408,MATCH(K1059&amp;N1059&amp;O1059,기초자산!$A$6:$A$408,0),0),0)</f>
        <v>0</v>
      </c>
      <c r="S1059" s="479">
        <f t="shared" si="346"/>
        <v>0</v>
      </c>
      <c r="T1059" s="553"/>
      <c r="U1059" s="471" t="s">
        <v>94</v>
      </c>
      <c r="V1059" s="480">
        <f>IF(U1059="한국 원화(KRW)",1,IF(OR(U1059=환율!$A$6,U1059=환율!$A$7),VLOOKUP(NAV!U1059,환율!$A$6:$B$7,2,),IF(RIGHT(U1059,5)="(100)",(VLOOKUP(NAV!U1059,환율!$A$11:$B$65,2,))/100,VLOOKUP(NAV!U1059,환율!$A$11:$B$65,2,))))</f>
        <v>1</v>
      </c>
      <c r="W1059" s="481"/>
      <c r="X1059" s="482">
        <f t="shared" si="347"/>
        <v>0</v>
      </c>
      <c r="Y1059" s="481"/>
      <c r="Z1059" s="481"/>
      <c r="AA1059" s="483">
        <f t="shared" si="348"/>
        <v>0</v>
      </c>
      <c r="AB1059" s="554"/>
      <c r="AC1059" s="526" t="str">
        <f t="shared" si="349"/>
        <v>2년이상</v>
      </c>
      <c r="AD1059" s="520" t="str">
        <f t="shared" si="350"/>
        <v/>
      </c>
      <c r="AE1059" s="527">
        <f t="shared" si="351"/>
        <v>0</v>
      </c>
      <c r="AF1059" s="527">
        <f t="shared" si="352"/>
        <v>0</v>
      </c>
      <c r="AG1059" s="485"/>
      <c r="AH1059" s="485"/>
      <c r="AI1059" s="404"/>
    </row>
    <row r="1060" spans="1:35">
      <c r="A1060" s="489"/>
      <c r="B1060" s="415"/>
      <c r="C1060" s="486" t="s">
        <v>414</v>
      </c>
      <c r="D1060" s="487">
        <v>0</v>
      </c>
      <c r="E1060" s="499">
        <v>0</v>
      </c>
      <c r="J1060" s="495"/>
      <c r="K1060" s="415"/>
      <c r="L1060" s="495"/>
      <c r="M1060" s="415"/>
      <c r="N1060" s="415"/>
      <c r="O1060" s="415"/>
      <c r="P1060" s="415"/>
      <c r="Q1060" s="422"/>
      <c r="R1060" s="415"/>
      <c r="S1060" s="415"/>
      <c r="T1060" s="415"/>
      <c r="U1060" s="415"/>
      <c r="V1060" s="415"/>
      <c r="W1060" s="422"/>
      <c r="X1060" s="415"/>
      <c r="Y1060" s="458"/>
      <c r="Z1060" s="422"/>
      <c r="AA1060" s="556"/>
      <c r="AB1060" s="556"/>
      <c r="AC1060" s="415"/>
      <c r="AE1060" s="415"/>
      <c r="AI1060" s="404"/>
    </row>
    <row r="1061" spans="1:35">
      <c r="A1061" s="489"/>
      <c r="B1061" s="415"/>
      <c r="C1061" s="493" t="s">
        <v>123</v>
      </c>
      <c r="D1061" s="494">
        <f>D1058+D1059-D1060</f>
        <v>0</v>
      </c>
      <c r="E1061" s="494">
        <f>IF(E1058+E1059-E1060&gt;0,E1058+E1059-E1060,0)</f>
        <v>0</v>
      </c>
      <c r="J1061" s="305"/>
      <c r="K1061" s="415"/>
      <c r="L1061" s="305"/>
      <c r="M1061" s="415"/>
      <c r="N1061" s="415"/>
      <c r="O1061" s="415"/>
      <c r="S1061" s="415"/>
      <c r="T1061" s="415"/>
      <c r="U1061" s="415"/>
      <c r="V1061" s="415"/>
      <c r="Y1061" s="458"/>
      <c r="AD1061" s="557" t="str">
        <f>B1035&amp;"순자산가치"</f>
        <v>SPC없음순자산가치</v>
      </c>
      <c r="AE1061" s="529">
        <f>IF(E1041+SUM(AE1041:AE1046)+SUM(AE1049:AE1059)-E1054&gt;0,E1041+SUM(AE1041:AE1046)+SUM(AE1049:AE1059)-E1054,0)</f>
        <v>0</v>
      </c>
      <c r="AF1061" s="529">
        <f>IF(E1041+SUM(AF1041:AF1046)+SUM(AF1049:AF1059)-E1054&gt;0,E1041+SUM(AF1041:AF1046)+SUM(AF1049:AF1059)-E1054,0)</f>
        <v>0</v>
      </c>
      <c r="AI1061" s="404"/>
    </row>
    <row r="1062" spans="1:35">
      <c r="A1062" s="489"/>
      <c r="B1062" s="558" t="str">
        <f>B1035&amp;C1062</f>
        <v>SPC없음보유지분율(%)</v>
      </c>
      <c r="C1062" s="493" t="s">
        <v>485</v>
      </c>
      <c r="D1062" s="559">
        <f>개요!$C$214</f>
        <v>0</v>
      </c>
      <c r="E1062" s="494">
        <f>E1061*D1062</f>
        <v>0</v>
      </c>
      <c r="F1062" s="560" t="s">
        <v>417</v>
      </c>
      <c r="G1062" s="560"/>
      <c r="J1062" s="495"/>
      <c r="K1062" s="415"/>
      <c r="L1062" s="495"/>
      <c r="M1062" s="415"/>
      <c r="N1062" s="415"/>
      <c r="O1062" s="415"/>
      <c r="S1062" s="415"/>
      <c r="T1062" s="415"/>
      <c r="U1062" s="415"/>
      <c r="V1062" s="415"/>
      <c r="Y1062" s="458"/>
      <c r="AD1062" s="557" t="s">
        <v>272</v>
      </c>
      <c r="AE1062" s="561">
        <f>$D1062</f>
        <v>0</v>
      </c>
      <c r="AF1062" s="561">
        <f>$D1062</f>
        <v>0</v>
      </c>
      <c r="AI1062" s="404"/>
    </row>
    <row r="1063" spans="1:35">
      <c r="A1063" s="489"/>
      <c r="B1063" s="415"/>
      <c r="G1063" s="503" t="s">
        <v>419</v>
      </c>
      <c r="I1063" s="562"/>
      <c r="J1063" s="495"/>
      <c r="K1063" s="415"/>
      <c r="L1063" s="495"/>
      <c r="M1063" s="415"/>
      <c r="N1063" s="415"/>
      <c r="O1063" s="415"/>
      <c r="S1063" s="415"/>
      <c r="T1063" s="415"/>
      <c r="U1063" s="415"/>
      <c r="V1063" s="415"/>
      <c r="Y1063" s="458"/>
      <c r="AD1063" s="557" t="str">
        <f>B1035&amp;"지분율 반영 순자산가치"</f>
        <v>SPC없음지분율 반영 순자산가치</v>
      </c>
      <c r="AE1063" s="529">
        <f>AE1061*AE1062</f>
        <v>0</v>
      </c>
      <c r="AF1063" s="529">
        <f>AF1061*AF1062</f>
        <v>0</v>
      </c>
      <c r="AI1063" s="404"/>
    </row>
    <row r="1064" spans="1:35">
      <c r="A1064" s="489"/>
      <c r="D1064" s="504" t="s">
        <v>43</v>
      </c>
      <c r="E1064" s="505">
        <f>$C$7</f>
        <v>45473</v>
      </c>
      <c r="F1064" s="506"/>
      <c r="G1064" s="505"/>
      <c r="I1064" s="563"/>
      <c r="J1064" s="495"/>
      <c r="K1064" s="415"/>
      <c r="L1064" s="495"/>
      <c r="M1064" s="415"/>
      <c r="N1064" s="415"/>
      <c r="O1064" s="415"/>
      <c r="S1064" s="415"/>
      <c r="T1064" s="415"/>
      <c r="U1064" s="415"/>
      <c r="V1064" s="415"/>
      <c r="Y1064" s="422"/>
      <c r="AI1064" s="404"/>
    </row>
    <row r="1065" spans="1:35">
      <c r="D1065" s="486" t="s">
        <v>484</v>
      </c>
      <c r="E1065" s="487">
        <f>E1061</f>
        <v>0</v>
      </c>
      <c r="F1065" s="507" t="e">
        <f>E1065/G1065-1</f>
        <v>#DIV/0!</v>
      </c>
      <c r="G1065" s="487"/>
      <c r="I1065" s="564"/>
      <c r="J1065" s="495"/>
      <c r="K1065" s="415"/>
      <c r="L1065" s="495"/>
      <c r="M1065" s="415"/>
      <c r="S1065" s="415"/>
      <c r="T1065" s="415"/>
      <c r="U1065" s="415"/>
      <c r="V1065" s="415"/>
      <c r="Y1065" s="422"/>
      <c r="AI1065" s="404"/>
    </row>
    <row r="1066" spans="1:35">
      <c r="A1066" s="489"/>
      <c r="B1066" s="415"/>
      <c r="D1066" s="486" t="s">
        <v>272</v>
      </c>
      <c r="E1066" s="565">
        <f>$D$1062</f>
        <v>0</v>
      </c>
      <c r="F1066" s="507"/>
      <c r="G1066" s="565"/>
      <c r="I1066" s="566"/>
      <c r="J1066" s="305"/>
      <c r="K1066" s="415"/>
      <c r="L1066" s="305"/>
      <c r="M1066" s="415"/>
      <c r="S1066" s="415"/>
      <c r="T1066" s="415"/>
      <c r="U1066" s="415"/>
      <c r="V1066" s="415"/>
      <c r="Y1066" s="422"/>
      <c r="AI1066" s="404"/>
    </row>
    <row r="1067" spans="1:35">
      <c r="A1067" s="489"/>
      <c r="B1067" s="415"/>
      <c r="D1067" s="567" t="s">
        <v>246</v>
      </c>
      <c r="E1067" s="568">
        <f>E1065*E1066</f>
        <v>0</v>
      </c>
      <c r="F1067" s="507" t="e">
        <f>E1067/G1067-1</f>
        <v>#DIV/0!</v>
      </c>
      <c r="G1067" s="568"/>
      <c r="I1067" s="564"/>
      <c r="AI1067" s="404"/>
    </row>
    <row r="1068" spans="1:35">
      <c r="E1068" s="304" t="b">
        <f>E1067=E1062</f>
        <v>1</v>
      </c>
      <c r="AI1068" s="404"/>
    </row>
    <row r="1069" spans="1:35">
      <c r="F1069" s="507"/>
      <c r="G1069" s="507"/>
      <c r="AI1069" s="404"/>
    </row>
    <row r="1070" spans="1:35" ht="12.75" thickBot="1">
      <c r="A1070" s="536"/>
      <c r="B1070" s="536"/>
      <c r="C1070" s="536"/>
      <c r="D1070" s="536"/>
      <c r="E1070" s="536"/>
      <c r="F1070" s="572"/>
      <c r="G1070" s="572"/>
      <c r="H1070" s="536"/>
      <c r="I1070" s="537"/>
      <c r="J1070" s="536"/>
      <c r="K1070" s="536"/>
      <c r="L1070" s="536"/>
      <c r="M1070" s="536"/>
      <c r="N1070" s="536"/>
      <c r="O1070" s="536"/>
      <c r="P1070" s="536"/>
      <c r="Q1070" s="540"/>
      <c r="R1070" s="536"/>
      <c r="S1070" s="536"/>
      <c r="T1070" s="536"/>
      <c r="U1070" s="536"/>
      <c r="V1070" s="536"/>
      <c r="W1070" s="540"/>
      <c r="X1070" s="536"/>
      <c r="Y1070" s="540"/>
      <c r="Z1070" s="540"/>
      <c r="AA1070" s="536"/>
      <c r="AB1070" s="536"/>
      <c r="AC1070" s="536"/>
      <c r="AD1070" s="541"/>
      <c r="AE1070" s="536"/>
      <c r="AF1070" s="536"/>
      <c r="AG1070" s="536"/>
      <c r="AH1070" s="536"/>
      <c r="AI1070" s="404"/>
    </row>
    <row r="1071" spans="1:35" ht="12.75" thickTop="1">
      <c r="F1071" s="507"/>
      <c r="G1071" s="507"/>
      <c r="AI1071" s="404"/>
    </row>
    <row r="1072" spans="1:35" ht="12.75" thickBot="1">
      <c r="A1072" s="459"/>
      <c r="B1072" s="415"/>
      <c r="J1072" s="428" t="s">
        <v>273</v>
      </c>
      <c r="K1072" s="489"/>
      <c r="L1072" s="497"/>
      <c r="M1072" s="489"/>
      <c r="N1072" s="415"/>
      <c r="O1072" s="415"/>
      <c r="AI1072" s="404"/>
    </row>
    <row r="1073" spans="1:35" ht="12.75" thickBot="1">
      <c r="A1073" s="542" t="s">
        <v>738</v>
      </c>
      <c r="B1073" s="543" t="str">
        <f>IF(개요!$B$337="","SPC없음",개요!$B$337)</f>
        <v>SPC없음</v>
      </c>
      <c r="C1073" s="454"/>
      <c r="J1073" s="433"/>
      <c r="K1073" s="434"/>
      <c r="L1073" s="434"/>
      <c r="M1073" s="434"/>
      <c r="N1073" s="434"/>
      <c r="O1073" s="434"/>
      <c r="P1073" s="434"/>
      <c r="Q1073" s="435"/>
      <c r="R1073" s="434"/>
      <c r="S1073" s="434"/>
      <c r="T1073" s="434"/>
      <c r="U1073" s="434"/>
      <c r="V1073" s="436"/>
      <c r="AI1073" s="404"/>
    </row>
    <row r="1074" spans="1:35">
      <c r="B1074" s="543" t="s">
        <v>260</v>
      </c>
      <c r="C1074" s="569" t="str">
        <f>IF(개요!$C$338="","SPC없음",개요!$C$338)</f>
        <v>SPC없음</v>
      </c>
      <c r="J1074" s="442"/>
      <c r="K1074" s="151"/>
      <c r="L1074" s="151"/>
      <c r="M1074" s="151"/>
      <c r="N1074" s="151"/>
      <c r="O1074" s="151"/>
      <c r="P1074" s="151"/>
      <c r="Q1074" s="443"/>
      <c r="R1074" s="151"/>
      <c r="S1074" s="151"/>
      <c r="T1074" s="151"/>
      <c r="U1074" s="151"/>
      <c r="V1074" s="444"/>
      <c r="AI1074" s="404"/>
    </row>
    <row r="1075" spans="1:35">
      <c r="B1075" s="437" t="s">
        <v>43</v>
      </c>
      <c r="C1075" s="570">
        <f>$C$7</f>
        <v>45473</v>
      </c>
      <c r="D1075" s="546" t="b">
        <f>C1075&gt;=C1076</f>
        <v>1</v>
      </c>
      <c r="J1075" s="442"/>
      <c r="K1075" s="151"/>
      <c r="L1075" s="151"/>
      <c r="M1075" s="151"/>
      <c r="N1075" s="151"/>
      <c r="O1075" s="151"/>
      <c r="P1075" s="151"/>
      <c r="Q1075" s="443"/>
      <c r="R1075" s="151"/>
      <c r="S1075" s="151"/>
      <c r="T1075" s="151"/>
      <c r="U1075" s="151"/>
      <c r="V1075" s="444"/>
      <c r="AI1075" s="404"/>
    </row>
    <row r="1076" spans="1:35" ht="12.75" thickBot="1">
      <c r="B1076" s="449" t="s">
        <v>371</v>
      </c>
      <c r="C1076" s="571">
        <f>FS!$AD$88</f>
        <v>0</v>
      </c>
      <c r="J1076" s="453"/>
      <c r="K1076" s="454"/>
      <c r="L1076" s="454"/>
      <c r="M1076" s="454"/>
      <c r="N1076" s="454"/>
      <c r="O1076" s="454"/>
      <c r="P1076" s="454"/>
      <c r="Q1076" s="455"/>
      <c r="R1076" s="454"/>
      <c r="S1076" s="454"/>
      <c r="T1076" s="454"/>
      <c r="U1076" s="454"/>
      <c r="V1076" s="456"/>
      <c r="AI1076" s="404"/>
    </row>
    <row r="1077" spans="1:35">
      <c r="A1077" s="459"/>
      <c r="J1077" s="428" t="s">
        <v>372</v>
      </c>
      <c r="K1077" s="448"/>
      <c r="L1077" s="420"/>
      <c r="M1077" s="448"/>
      <c r="N1077" s="448"/>
      <c r="O1077" s="448"/>
      <c r="P1077" s="415"/>
      <c r="Q1077" s="422"/>
      <c r="R1077" s="415"/>
      <c r="S1077" s="415"/>
      <c r="T1077" s="415"/>
      <c r="U1077" s="415"/>
      <c r="V1077" s="415"/>
      <c r="W1077" s="422"/>
      <c r="Z1077" s="458"/>
      <c r="AE1077" s="803" t="s">
        <v>8</v>
      </c>
      <c r="AF1077" s="803"/>
      <c r="AG1077" s="460"/>
      <c r="AH1077" s="460"/>
      <c r="AI1077" s="404"/>
    </row>
    <row r="1078" spans="1:35" ht="12.75" thickBot="1">
      <c r="A1078" s="461" t="str">
        <f>IF(AND(B1079:B1105),"검증완료","검증필요")</f>
        <v>검증완료</v>
      </c>
      <c r="B1078" s="462" t="s">
        <v>38</v>
      </c>
      <c r="C1078" s="462" t="s">
        <v>9</v>
      </c>
      <c r="D1078" s="462" t="s">
        <v>374</v>
      </c>
      <c r="E1078" s="462" t="s">
        <v>455</v>
      </c>
      <c r="J1078" s="462" t="s">
        <v>375</v>
      </c>
      <c r="K1078" s="464" t="s">
        <v>376</v>
      </c>
      <c r="L1078" s="462" t="s">
        <v>260</v>
      </c>
      <c r="M1078" s="462" t="s">
        <v>255</v>
      </c>
      <c r="N1078" s="462" t="s">
        <v>91</v>
      </c>
      <c r="O1078" s="462" t="s">
        <v>1</v>
      </c>
      <c r="P1078" s="464" t="s">
        <v>380</v>
      </c>
      <c r="Q1078" s="465" t="s">
        <v>14</v>
      </c>
      <c r="R1078" s="466" t="s">
        <v>299</v>
      </c>
      <c r="S1078" s="466" t="s">
        <v>303</v>
      </c>
      <c r="T1078" s="462" t="s">
        <v>261</v>
      </c>
      <c r="U1078" s="462" t="s">
        <v>72</v>
      </c>
      <c r="V1078" s="462" t="s">
        <v>70</v>
      </c>
      <c r="W1078" s="465" t="s">
        <v>10</v>
      </c>
      <c r="X1078" s="462" t="s">
        <v>385</v>
      </c>
      <c r="Y1078" s="465" t="s">
        <v>694</v>
      </c>
      <c r="Z1078" s="465" t="s">
        <v>3522</v>
      </c>
      <c r="AA1078" s="464" t="s">
        <v>13</v>
      </c>
      <c r="AE1078" s="467" t="s">
        <v>3627</v>
      </c>
      <c r="AF1078" s="467" t="s">
        <v>3628</v>
      </c>
      <c r="AG1078" s="467" t="s">
        <v>3629</v>
      </c>
      <c r="AH1078" s="467" t="s">
        <v>3630</v>
      </c>
      <c r="AI1078" s="404"/>
    </row>
    <row r="1079" spans="1:35" ht="12.75" thickBot="1">
      <c r="A1079" s="415"/>
      <c r="B1079" s="415"/>
      <c r="C1079" s="468" t="s">
        <v>480</v>
      </c>
      <c r="D1079" s="469">
        <f>SUM(D1080:D1081)</f>
        <v>0</v>
      </c>
      <c r="E1079" s="469">
        <f>SUM(E1080:E1081)</f>
        <v>0</v>
      </c>
      <c r="J1079" s="476"/>
      <c r="K1079" s="472"/>
      <c r="L1079" s="473" t="str">
        <f>IF($J1079="","SPC 없음",VLOOKUP($J1079&amp;"SPC명",개요!$A$3:$E$1932,3,0))</f>
        <v>SPC 없음</v>
      </c>
      <c r="M1079" s="474" t="str">
        <f>IF($J1079="","SPC 없음",VLOOKUP($J1079&amp;"설정일",개요!$A$3:$E$1932,3,0))</f>
        <v>SPC 없음</v>
      </c>
      <c r="N1079" s="475" t="str">
        <f t="shared" ref="N1079:N1084" si="353">IF($J1079="","SPC 없음",VLOOKUP($J1079&amp;"자본금",$B$4:$E$2079,3,0)*VLOOKUP($J1079&amp;"보유지분율(%)",$B$4:$E$2079,3,0))</f>
        <v>SPC 없음</v>
      </c>
      <c r="O1079" s="471"/>
      <c r="P1079" s="476"/>
      <c r="Q1079" s="477"/>
      <c r="R1079" s="478"/>
      <c r="S1079" s="479" t="str">
        <f t="shared" ref="S1079:S1084" si="354">IF($J1079="","SPC 없음",IF(P1079="총액",IF(T1079="장부가액 준용",W1079,(VLOOKUP($J1079&amp;"보유지분율(%)",$B$4:$E$2079,4,0))*V1079),Q1079*R1079))</f>
        <v>SPC 없음</v>
      </c>
      <c r="T1079" s="471"/>
      <c r="U1079" s="471" t="s">
        <v>94</v>
      </c>
      <c r="V1079" s="480">
        <f>IF(U1079="한국 원화(KRW)",1,IF(OR(U1079=환율!$A$6,U1079=환율!$A$7),VLOOKUP(NAV!U1079,환율!$A$6:$B$7,2,),IF(RIGHT(U1079,5)="(100)",(VLOOKUP(NAV!U1079,환율!$A$11:$B$65,2,))/100,VLOOKUP(NAV!U1079,환율!$A$11:$B$65,2,))))</f>
        <v>1</v>
      </c>
      <c r="W1079" s="481"/>
      <c r="X1079" s="482">
        <f t="shared" ref="X1079:X1084" si="355">IFERROR(IF(P1079="만원당",10000,Y1079/Q1079),0)</f>
        <v>0</v>
      </c>
      <c r="Y1079" s="481"/>
      <c r="Z1079" s="481"/>
      <c r="AA1079" s="483">
        <f t="shared" ref="AA1079:AA1084" si="356">IFERROR(IF(Z1079="",S1079/W1079-1,S1079/Z1079-1),0)</f>
        <v>0</v>
      </c>
      <c r="AE1079" s="484" t="str">
        <f t="shared" ref="AE1079:AE1084" si="357">IF($J1079="","SPC 없음",IF(P1079="총액",(VLOOKUP($J1079&amp;"지분율 반영 순자산가치",$AD$4:$AH$4973,2,0))*V1079,AG1079*$Q1079))</f>
        <v>SPC 없음</v>
      </c>
      <c r="AF1079" s="484" t="str">
        <f t="shared" ref="AF1079:AF1084" si="358">IF($J1079="","SPC 없음",IF(P1079="총액",(VLOOKUP($J1079&amp;"지분율 반영 순자산가치",$AD$4:$AH$4973,3,0))*V1079,AH1079*$Q1079))</f>
        <v>SPC 없음</v>
      </c>
      <c r="AG1079" s="485"/>
      <c r="AH1079" s="485"/>
      <c r="AI1079" s="404"/>
    </row>
    <row r="1080" spans="1:35" ht="12.75" thickBot="1">
      <c r="A1080" s="415"/>
      <c r="B1080" s="415"/>
      <c r="C1080" s="486" t="s">
        <v>117</v>
      </c>
      <c r="D1080" s="487">
        <f>SUMIF(FS!$AA$89:$AA$119,개요!$B$337&amp;RIGHT(NAV!C1080,10),FS!$AD$89:$AD$119)</f>
        <v>0</v>
      </c>
      <c r="E1080" s="487">
        <f>D1080</f>
        <v>0</v>
      </c>
      <c r="J1080" s="476"/>
      <c r="K1080" s="472"/>
      <c r="L1080" s="473" t="str">
        <f>IF($J1080="","SPC 없음",VLOOKUP($J1080&amp;"SPC명",개요!$A$3:$E$1932,3,0))</f>
        <v>SPC 없음</v>
      </c>
      <c r="M1080" s="474" t="str">
        <f>IF($J1080="","SPC 없음",VLOOKUP($J1080&amp;"설정일",개요!$A$3:$E$1932,3,0))</f>
        <v>SPC 없음</v>
      </c>
      <c r="N1080" s="475" t="str">
        <f t="shared" si="353"/>
        <v>SPC 없음</v>
      </c>
      <c r="O1080" s="471"/>
      <c r="P1080" s="476"/>
      <c r="Q1080" s="477"/>
      <c r="R1080" s="478"/>
      <c r="S1080" s="479" t="str">
        <f t="shared" si="354"/>
        <v>SPC 없음</v>
      </c>
      <c r="T1080" s="471"/>
      <c r="U1080" s="471" t="s">
        <v>94</v>
      </c>
      <c r="V1080" s="480">
        <f>IF(U1080="한국 원화(KRW)",1,IF(OR(U1080=환율!$A$6,U1080=환율!$A$7),VLOOKUP(NAV!U1080,환율!$A$6:$B$7,2,),IF(RIGHT(U1080,5)="(100)",(VLOOKUP(NAV!U1080,환율!$A$11:$B$65,2,))/100,VLOOKUP(NAV!U1080,환율!$A$11:$B$65,2,))))</f>
        <v>1</v>
      </c>
      <c r="W1080" s="481"/>
      <c r="X1080" s="482">
        <f t="shared" si="355"/>
        <v>0</v>
      </c>
      <c r="Y1080" s="481"/>
      <c r="Z1080" s="481"/>
      <c r="AA1080" s="483">
        <f t="shared" si="356"/>
        <v>0</v>
      </c>
      <c r="AE1080" s="484" t="str">
        <f t="shared" si="357"/>
        <v>SPC 없음</v>
      </c>
      <c r="AF1080" s="484" t="str">
        <f t="shared" si="358"/>
        <v>SPC 없음</v>
      </c>
      <c r="AG1080" s="485"/>
      <c r="AH1080" s="485"/>
      <c r="AI1080" s="404"/>
    </row>
    <row r="1081" spans="1:35" ht="12.75" thickBot="1">
      <c r="A1081" s="415"/>
      <c r="B1081" s="415"/>
      <c r="C1081" s="486" t="s">
        <v>388</v>
      </c>
      <c r="D1081" s="487">
        <f>SUMIF(FS!$AA$89:$AA$119,개요!$B$337&amp;RIGHT(NAV!C1081,4),FS!$AD$89:$AD$119)</f>
        <v>0</v>
      </c>
      <c r="E1081" s="487">
        <f>D1081</f>
        <v>0</v>
      </c>
      <c r="J1081" s="476"/>
      <c r="K1081" s="472"/>
      <c r="L1081" s="473" t="str">
        <f>IF($J1081="","SPC 없음",VLOOKUP($J1081&amp;"SPC명",개요!$A$3:$E$1932,3,0))</f>
        <v>SPC 없음</v>
      </c>
      <c r="M1081" s="474" t="str">
        <f>IF($J1081="","SPC 없음",VLOOKUP($J1081&amp;"설정일",개요!$A$3:$E$1932,3,0))</f>
        <v>SPC 없음</v>
      </c>
      <c r="N1081" s="475" t="str">
        <f t="shared" si="353"/>
        <v>SPC 없음</v>
      </c>
      <c r="O1081" s="471"/>
      <c r="P1081" s="476"/>
      <c r="Q1081" s="477"/>
      <c r="R1081" s="478"/>
      <c r="S1081" s="479" t="str">
        <f t="shared" si="354"/>
        <v>SPC 없음</v>
      </c>
      <c r="T1081" s="471"/>
      <c r="U1081" s="471" t="s">
        <v>94</v>
      </c>
      <c r="V1081" s="480">
        <f>IF(U1081="한국 원화(KRW)",1,IF(OR(U1081=환율!$A$6,U1081=환율!$A$7),VLOOKUP(NAV!U1081,환율!$A$6:$B$7,2,),IF(RIGHT(U1081,5)="(100)",(VLOOKUP(NAV!U1081,환율!$A$11:$B$65,2,))/100,VLOOKUP(NAV!U1081,환율!$A$11:$B$65,2,))))</f>
        <v>1</v>
      </c>
      <c r="W1081" s="481"/>
      <c r="X1081" s="482">
        <f t="shared" si="355"/>
        <v>0</v>
      </c>
      <c r="Y1081" s="481"/>
      <c r="Z1081" s="481"/>
      <c r="AA1081" s="483">
        <f t="shared" si="356"/>
        <v>0</v>
      </c>
      <c r="AE1081" s="484" t="str">
        <f t="shared" si="357"/>
        <v>SPC 없음</v>
      </c>
      <c r="AF1081" s="484" t="str">
        <f t="shared" si="358"/>
        <v>SPC 없음</v>
      </c>
      <c r="AG1081" s="485"/>
      <c r="AH1081" s="485"/>
      <c r="AI1081" s="404"/>
    </row>
    <row r="1082" spans="1:35" ht="12.75" thickBot="1">
      <c r="A1082" s="489" t="s">
        <v>389</v>
      </c>
      <c r="B1082" s="490" t="b">
        <f>SUM(W1079:W1084,W1087:W1097)=D1082</f>
        <v>1</v>
      </c>
      <c r="C1082" s="468" t="s">
        <v>390</v>
      </c>
      <c r="D1082" s="469">
        <f>SUMIF(FS!$AA$89:$AA$119,개요!$B$337&amp;RIGHT(NAV!C1082,4),FS!$AD$89:$AD$119)</f>
        <v>0</v>
      </c>
      <c r="E1082" s="469">
        <f>SUM(S1079:S1084)+SUM(S1087:S1097)</f>
        <v>0</v>
      </c>
      <c r="J1082" s="476"/>
      <c r="K1082" s="472"/>
      <c r="L1082" s="473" t="str">
        <f>IF($J1082="","SPC 없음",VLOOKUP($J1082&amp;"SPC명",개요!$A$3:$E$1932,3,0))</f>
        <v>SPC 없음</v>
      </c>
      <c r="M1082" s="474" t="str">
        <f>IF($J1082="","SPC 없음",VLOOKUP($J1082&amp;"설정일",개요!$A$3:$E$1932,3,0))</f>
        <v>SPC 없음</v>
      </c>
      <c r="N1082" s="475" t="str">
        <f t="shared" si="353"/>
        <v>SPC 없음</v>
      </c>
      <c r="O1082" s="471"/>
      <c r="P1082" s="476"/>
      <c r="Q1082" s="477"/>
      <c r="R1082" s="478"/>
      <c r="S1082" s="479" t="str">
        <f t="shared" si="354"/>
        <v>SPC 없음</v>
      </c>
      <c r="T1082" s="471"/>
      <c r="U1082" s="471" t="s">
        <v>94</v>
      </c>
      <c r="V1082" s="480">
        <f>IF(U1082="한국 원화(KRW)",1,IF(OR(U1082=환율!$A$6,U1082=환율!$A$7),VLOOKUP(NAV!U1082,환율!$A$6:$B$7,2,),IF(RIGHT(U1082,5)="(100)",(VLOOKUP(NAV!U1082,환율!$A$11:$B$65,2,))/100,VLOOKUP(NAV!U1082,환율!$A$11:$B$65,2,))))</f>
        <v>1</v>
      </c>
      <c r="W1082" s="481"/>
      <c r="X1082" s="482">
        <f t="shared" si="355"/>
        <v>0</v>
      </c>
      <c r="Y1082" s="481"/>
      <c r="Z1082" s="481"/>
      <c r="AA1082" s="483">
        <f t="shared" si="356"/>
        <v>0</v>
      </c>
      <c r="AE1082" s="484" t="str">
        <f t="shared" si="357"/>
        <v>SPC 없음</v>
      </c>
      <c r="AF1082" s="484" t="str">
        <f t="shared" si="358"/>
        <v>SPC 없음</v>
      </c>
      <c r="AG1082" s="485"/>
      <c r="AH1082" s="485"/>
      <c r="AI1082" s="404"/>
    </row>
    <row r="1083" spans="1:35" ht="12.75" thickBot="1">
      <c r="A1083" s="492" t="s">
        <v>391</v>
      </c>
      <c r="B1083" s="415" t="b">
        <f>D1080+D1081+D1082=D1083</f>
        <v>1</v>
      </c>
      <c r="C1083" s="493" t="s">
        <v>479</v>
      </c>
      <c r="D1083" s="494">
        <f>D1079+D1082</f>
        <v>0</v>
      </c>
      <c r="E1083" s="494">
        <f>E1079+E1082</f>
        <v>0</v>
      </c>
      <c r="J1083" s="476"/>
      <c r="K1083" s="472"/>
      <c r="L1083" s="473" t="str">
        <f>IF($J1083="","SPC 없음",VLOOKUP($J1083&amp;"SPC명",개요!$A$3:$E$1932,3,0))</f>
        <v>SPC 없음</v>
      </c>
      <c r="M1083" s="474" t="str">
        <f>IF($J1083="","SPC 없음",VLOOKUP($J1083&amp;"설정일",개요!$A$3:$E$1932,3,0))</f>
        <v>SPC 없음</v>
      </c>
      <c r="N1083" s="475" t="str">
        <f t="shared" si="353"/>
        <v>SPC 없음</v>
      </c>
      <c r="O1083" s="471"/>
      <c r="P1083" s="476"/>
      <c r="Q1083" s="477"/>
      <c r="R1083" s="478"/>
      <c r="S1083" s="479" t="str">
        <f t="shared" si="354"/>
        <v>SPC 없음</v>
      </c>
      <c r="T1083" s="471"/>
      <c r="U1083" s="471" t="s">
        <v>94</v>
      </c>
      <c r="V1083" s="480">
        <f>IF(U1083="한국 원화(KRW)",1,IF(OR(U1083=환율!$A$6,U1083=환율!$A$7),VLOOKUP(NAV!U1083,환율!$A$6:$B$7,2,),IF(RIGHT(U1083,5)="(100)",(VLOOKUP(NAV!U1083,환율!$A$11:$B$65,2,))/100,VLOOKUP(NAV!U1083,환율!$A$11:$B$65,2,))))</f>
        <v>1</v>
      </c>
      <c r="W1083" s="481"/>
      <c r="X1083" s="482">
        <f t="shared" si="355"/>
        <v>0</v>
      </c>
      <c r="Y1083" s="481"/>
      <c r="Z1083" s="481"/>
      <c r="AA1083" s="483">
        <f t="shared" si="356"/>
        <v>0</v>
      </c>
      <c r="AE1083" s="484" t="str">
        <f t="shared" si="357"/>
        <v>SPC 없음</v>
      </c>
      <c r="AF1083" s="484" t="str">
        <f t="shared" si="358"/>
        <v>SPC 없음</v>
      </c>
      <c r="AG1083" s="485"/>
      <c r="AH1083" s="485"/>
      <c r="AI1083" s="404"/>
    </row>
    <row r="1084" spans="1:35" ht="12.75" thickBot="1">
      <c r="A1084" s="492"/>
      <c r="B1084" s="496"/>
      <c r="C1084" s="468" t="s">
        <v>18</v>
      </c>
      <c r="D1084" s="469">
        <f>SUM(D1085:D1088)</f>
        <v>0</v>
      </c>
      <c r="E1084" s="469">
        <f>SUM(E1085:E1088)</f>
        <v>0</v>
      </c>
      <c r="J1084" s="476"/>
      <c r="K1084" s="472"/>
      <c r="L1084" s="473" t="str">
        <f>IF($J1084="","SPC 없음",VLOOKUP($J1084&amp;"SPC명",개요!$A$3:$E$1932,3,0))</f>
        <v>SPC 없음</v>
      </c>
      <c r="M1084" s="474" t="str">
        <f>IF($J1084="","SPC 없음",VLOOKUP($J1084&amp;"설정일",개요!$A$3:$E$1932,3,0))</f>
        <v>SPC 없음</v>
      </c>
      <c r="N1084" s="475" t="str">
        <f t="shared" si="353"/>
        <v>SPC 없음</v>
      </c>
      <c r="O1084" s="471"/>
      <c r="P1084" s="476"/>
      <c r="Q1084" s="477"/>
      <c r="R1084" s="478"/>
      <c r="S1084" s="479" t="str">
        <f t="shared" si="354"/>
        <v>SPC 없음</v>
      </c>
      <c r="T1084" s="471"/>
      <c r="U1084" s="471" t="s">
        <v>94</v>
      </c>
      <c r="V1084" s="480">
        <f>IF(U1084="한국 원화(KRW)",1,IF(OR(U1084=환율!$A$6,U1084=환율!$A$7),VLOOKUP(NAV!U1084,환율!$A$6:$B$7,2,),IF(RIGHT(U1084,5)="(100)",(VLOOKUP(NAV!U1084,환율!$A$11:$B$65,2,))/100,VLOOKUP(NAV!U1084,환율!$A$11:$B$65,2,))))</f>
        <v>1</v>
      </c>
      <c r="W1084" s="481"/>
      <c r="X1084" s="482">
        <f t="shared" si="355"/>
        <v>0</v>
      </c>
      <c r="Y1084" s="481"/>
      <c r="Z1084" s="481"/>
      <c r="AA1084" s="483">
        <f t="shared" si="356"/>
        <v>0</v>
      </c>
      <c r="AE1084" s="484" t="str">
        <f t="shared" si="357"/>
        <v>SPC 없음</v>
      </c>
      <c r="AF1084" s="484" t="str">
        <f t="shared" si="358"/>
        <v>SPC 없음</v>
      </c>
      <c r="AG1084" s="485"/>
      <c r="AH1084" s="485"/>
      <c r="AI1084" s="404"/>
    </row>
    <row r="1085" spans="1:35">
      <c r="A1085" s="492"/>
      <c r="B1085" s="496"/>
      <c r="C1085" s="486" t="s">
        <v>392</v>
      </c>
      <c r="D1085" s="487">
        <f>SUMIF(FS!$AA$89:$AA$119,개요!$B$337&amp;RIGHT(NAV!C1085,5),FS!$AD$89:$AD$119)</f>
        <v>0</v>
      </c>
      <c r="E1085" s="487">
        <f>D1085</f>
        <v>0</v>
      </c>
      <c r="J1085" s="428" t="s">
        <v>276</v>
      </c>
      <c r="K1085" s="415"/>
      <c r="L1085" s="305"/>
      <c r="M1085" s="415"/>
      <c r="N1085" s="415"/>
      <c r="O1085" s="415"/>
      <c r="P1085" s="415"/>
      <c r="Q1085" s="422"/>
      <c r="R1085" s="415"/>
      <c r="S1085" s="415"/>
      <c r="T1085" s="415"/>
      <c r="U1085" s="415"/>
      <c r="W1085" s="517" t="b">
        <f>SUM(W1087:W1097)+SUM(W1079:W1084)=D1082</f>
        <v>1</v>
      </c>
      <c r="X1085" s="415"/>
      <c r="Y1085" s="422"/>
      <c r="Z1085" s="422"/>
      <c r="AA1085" s="459" t="str">
        <f>IF(OR(MAX(AA1079:AA1084,AA1087:AA1097)&gt;0.2,MIN(AA1079:AA1084,AA1087:AA1097)&lt;-0.2),"특이사항 확인","특이사항 없음")</f>
        <v>특이사항 없음</v>
      </c>
      <c r="AB1085" s="415"/>
      <c r="AF1085" s="415"/>
      <c r="AG1085" s="415"/>
      <c r="AI1085" s="404"/>
    </row>
    <row r="1086" spans="1:35" ht="12.75" thickBot="1">
      <c r="A1086" s="492"/>
      <c r="B1086" s="496"/>
      <c r="C1086" s="486" t="s">
        <v>36</v>
      </c>
      <c r="D1086" s="487">
        <f>SUMIF(FS!$AA$89:$AA$119,개요!$B$337&amp;RIGHT(NAV!C1086,3),FS!$AD$89:$AD$119)</f>
        <v>0</v>
      </c>
      <c r="E1086" s="487">
        <f t="shared" ref="E1086:E1087" si="359">D1086</f>
        <v>0</v>
      </c>
      <c r="I1086" s="518">
        <f>COUNTA(J1087:J1097)</f>
        <v>0</v>
      </c>
      <c r="J1086" s="548" t="s">
        <v>265</v>
      </c>
      <c r="K1086" s="548" t="s">
        <v>376</v>
      </c>
      <c r="L1086" s="548" t="s">
        <v>395</v>
      </c>
      <c r="M1086" s="548" t="s">
        <v>83</v>
      </c>
      <c r="N1086" s="548" t="s">
        <v>397</v>
      </c>
      <c r="O1086" s="548" t="s">
        <v>221</v>
      </c>
      <c r="P1086" s="548" t="s">
        <v>380</v>
      </c>
      <c r="Q1086" s="519" t="s">
        <v>14</v>
      </c>
      <c r="R1086" s="466" t="s">
        <v>299</v>
      </c>
      <c r="S1086" s="466" t="s">
        <v>3525</v>
      </c>
      <c r="T1086" s="549" t="s">
        <v>261</v>
      </c>
      <c r="U1086" s="548" t="s">
        <v>72</v>
      </c>
      <c r="V1086" s="548" t="s">
        <v>70</v>
      </c>
      <c r="W1086" s="550" t="s">
        <v>258</v>
      </c>
      <c r="X1086" s="549" t="s">
        <v>42</v>
      </c>
      <c r="Y1086" s="550" t="s">
        <v>300</v>
      </c>
      <c r="Z1086" s="550" t="s">
        <v>3523</v>
      </c>
      <c r="AA1086" s="548" t="s">
        <v>13</v>
      </c>
      <c r="AB1086" s="548" t="s">
        <v>15</v>
      </c>
      <c r="AC1086" s="548" t="s">
        <v>40</v>
      </c>
      <c r="AE1086" s="467" t="s">
        <v>3627</v>
      </c>
      <c r="AF1086" s="467" t="s">
        <v>3628</v>
      </c>
      <c r="AG1086" s="467" t="s">
        <v>3629</v>
      </c>
      <c r="AH1086" s="467" t="s">
        <v>3630</v>
      </c>
      <c r="AI1086" s="404"/>
    </row>
    <row r="1087" spans="1:35" ht="12.75" thickBot="1">
      <c r="A1087" s="492"/>
      <c r="B1087" s="496"/>
      <c r="C1087" s="486" t="s">
        <v>37</v>
      </c>
      <c r="D1087" s="487">
        <f>SUMIF(FS!$AA$89:$AA$119,개요!$B$337&amp;RIGHT(NAV!C1087,6),FS!$AD$89:$AD$119)</f>
        <v>0</v>
      </c>
      <c r="E1087" s="487">
        <f t="shared" si="359"/>
        <v>0</v>
      </c>
      <c r="J1087" s="551"/>
      <c r="K1087" s="552"/>
      <c r="L1087" s="551"/>
      <c r="M1087" s="553"/>
      <c r="N1087" s="553"/>
      <c r="O1087" s="551"/>
      <c r="P1087" s="553"/>
      <c r="Q1087" s="524"/>
      <c r="R1087" s="478">
        <f>IFERROR(INDEX(기초자산!M$6:M$408,MATCH(K1087&amp;N1087&amp;O1087,기초자산!$A$6:$A$408,0),0),0)</f>
        <v>0</v>
      </c>
      <c r="S1087" s="479">
        <f t="shared" ref="S1087:S1097" si="360">IFERROR(IF(T1087="취득원가 준용",Y1087,IF(T1087="장부가액 준용",W1087,IF(P1087="주당",R1087*Q1087*V1087,IF(RIGHT(U1087,5)="(100)",Y1087/1000*R1087*V1087,Y1087/10000*R1087*V1087)))),0)</f>
        <v>0</v>
      </c>
      <c r="T1087" s="553"/>
      <c r="U1087" s="471" t="s">
        <v>94</v>
      </c>
      <c r="V1087" s="480">
        <f>IF(U1087="한국 원화(KRW)",1,IF(OR(U1087=환율!$A$6,U1087=환율!$A$7),VLOOKUP(NAV!U1087,환율!$A$6:$B$7,2,),IF(RIGHT(U1087,5)="(100)",(VLOOKUP(NAV!U1087,환율!$A$11:$B$65,2,))/100,VLOOKUP(NAV!U1087,환율!$A$11:$B$65,2,))))</f>
        <v>1</v>
      </c>
      <c r="W1087" s="481"/>
      <c r="X1087" s="482">
        <f t="shared" ref="X1087:X1097" si="361">IFERROR(IF(P1087="만원당",10000,Y1087/Q1087),0)</f>
        <v>0</v>
      </c>
      <c r="Y1087" s="481"/>
      <c r="Z1087" s="481"/>
      <c r="AA1087" s="483">
        <f t="shared" ref="AA1087:AA1097" si="362">IFERROR(IF(Z1087="",S1087/W1087-1,S1087/Z1087-1),0)</f>
        <v>0</v>
      </c>
      <c r="AB1087" s="554"/>
      <c r="AC1087" s="526" t="str">
        <f t="shared" ref="AC1087:AC1097" si="363">IF(($C$7-AB1087)/365&gt;2,"2년이상","2년미만")</f>
        <v>2년이상</v>
      </c>
      <c r="AD1087" s="520" t="str">
        <f t="shared" ref="AD1087:AD1097" si="364">IF(OR(AA1087&gt;20%,AA1087&lt;-20%),"(1) Note 기재","")</f>
        <v/>
      </c>
      <c r="AE1087" s="527">
        <f>IF(OR(T1087="MTP",T1087="과거거래 이용법",T1087="취득원가 준용",T1087="장부가액 준용",T1087="상장종가 적용"),S1087,IF(P1087="주당",AG1087*Q1087*V1087,Y1087/10000*AG1087*V1087))</f>
        <v>0</v>
      </c>
      <c r="AF1087" s="527">
        <f>IF(OR(T1087="MTP",T1087="과거거래 이용법",T1087="취득원가 준용",T1087="장부가액 준용",T1087="상장종가 적용"),S1087,IF(P1087="주당",AH1087*Q1087*V1087,Y1087/10000*AH1087*V1087))</f>
        <v>0</v>
      </c>
      <c r="AG1087" s="485"/>
      <c r="AH1087" s="485"/>
      <c r="AI1087" s="404"/>
    </row>
    <row r="1088" spans="1:35" ht="12.75" thickBot="1">
      <c r="A1088" s="492"/>
      <c r="B1088" s="496"/>
      <c r="C1088" s="486" t="s">
        <v>405</v>
      </c>
      <c r="D1088" s="487">
        <f>SUMIF(FS!$AA$89:$AA$119,개요!$B$337&amp;RIGHT(NAV!C1088,7),FS!$AD$89:$AD$119)</f>
        <v>0</v>
      </c>
      <c r="E1088" s="487">
        <f>D1088</f>
        <v>0</v>
      </c>
      <c r="J1088" s="551"/>
      <c r="K1088" s="552"/>
      <c r="L1088" s="551"/>
      <c r="M1088" s="553"/>
      <c r="N1088" s="553"/>
      <c r="O1088" s="551"/>
      <c r="P1088" s="553"/>
      <c r="Q1088" s="524"/>
      <c r="R1088" s="478">
        <f>IFERROR(INDEX(기초자산!M$6:M$408,MATCH(K1088&amp;N1088&amp;O1088,기초자산!$A$6:$A$408,0),0),0)</f>
        <v>0</v>
      </c>
      <c r="S1088" s="479">
        <f t="shared" si="360"/>
        <v>0</v>
      </c>
      <c r="T1088" s="553"/>
      <c r="U1088" s="471" t="s">
        <v>94</v>
      </c>
      <c r="V1088" s="480">
        <f>IF(U1088="한국 원화(KRW)",1,IF(OR(U1088=환율!$A$6,U1088=환율!$A$7),VLOOKUP(NAV!U1088,환율!$A$6:$B$7,2,),IF(RIGHT(U1088,5)="(100)",(VLOOKUP(NAV!U1088,환율!$A$11:$B$65,2,))/100,VLOOKUP(NAV!U1088,환율!$A$11:$B$65,2,))))</f>
        <v>1</v>
      </c>
      <c r="W1088" s="481"/>
      <c r="X1088" s="482">
        <f t="shared" si="361"/>
        <v>0</v>
      </c>
      <c r="Y1088" s="481"/>
      <c r="Z1088" s="481"/>
      <c r="AA1088" s="483">
        <f t="shared" si="362"/>
        <v>0</v>
      </c>
      <c r="AB1088" s="554"/>
      <c r="AC1088" s="526" t="str">
        <f t="shared" si="363"/>
        <v>2년이상</v>
      </c>
      <c r="AD1088" s="520" t="str">
        <f t="shared" si="364"/>
        <v/>
      </c>
      <c r="AE1088" s="527">
        <f t="shared" ref="AE1088:AE1097" si="365">IF(OR(T1088="MTP",T1088="과거거래 이용법",T1088="취득원가 준용",T1088="장부가액 준용",T1088="상장종가 적용"),S1088,IF(P1088="주당",AG1088*Q1088*V1088,Y1088/10000*AG1088*V1088))</f>
        <v>0</v>
      </c>
      <c r="AF1088" s="527">
        <f t="shared" ref="AF1088:AF1097" si="366">IF(OR(T1088="MTP",T1088="과거거래 이용법",T1088="취득원가 준용",T1088="장부가액 준용",T1088="상장종가 적용"),S1088,IF(P1088="주당",AH1088*Q1088*V1088,Y1088/10000*AH1088*V1088))</f>
        <v>0</v>
      </c>
      <c r="AG1088" s="485"/>
      <c r="AH1088" s="485"/>
      <c r="AI1088" s="404"/>
    </row>
    <row r="1089" spans="1:35" ht="12.75" thickBot="1">
      <c r="A1089" s="492"/>
      <c r="B1089" s="496"/>
      <c r="C1089" s="468" t="s">
        <v>442</v>
      </c>
      <c r="D1089" s="469">
        <f>SUM(D1090:D1091)</f>
        <v>0</v>
      </c>
      <c r="E1089" s="469">
        <f>SUM(E1090:E1091)</f>
        <v>0</v>
      </c>
      <c r="J1089" s="551"/>
      <c r="K1089" s="552"/>
      <c r="L1089" s="551"/>
      <c r="M1089" s="553"/>
      <c r="N1089" s="553"/>
      <c r="O1089" s="551"/>
      <c r="P1089" s="553"/>
      <c r="Q1089" s="524"/>
      <c r="R1089" s="478">
        <f>IFERROR(INDEX(기초자산!M$6:M$408,MATCH(K1089&amp;N1089&amp;O1089,기초자산!$A$6:$A$408,0),0),0)</f>
        <v>0</v>
      </c>
      <c r="S1089" s="479">
        <f t="shared" si="360"/>
        <v>0</v>
      </c>
      <c r="T1089" s="553"/>
      <c r="U1089" s="471" t="s">
        <v>94</v>
      </c>
      <c r="V1089" s="480">
        <f>IF(U1089="한국 원화(KRW)",1,IF(OR(U1089=환율!$A$6,U1089=환율!$A$7),VLOOKUP(NAV!U1089,환율!$A$6:$B$7,2,),IF(RIGHT(U1089,5)="(100)",(VLOOKUP(NAV!U1089,환율!$A$11:$B$65,2,))/100,VLOOKUP(NAV!U1089,환율!$A$11:$B$65,2,))))</f>
        <v>1</v>
      </c>
      <c r="W1089" s="481"/>
      <c r="X1089" s="482">
        <f t="shared" si="361"/>
        <v>0</v>
      </c>
      <c r="Y1089" s="481"/>
      <c r="Z1089" s="481"/>
      <c r="AA1089" s="483">
        <f t="shared" si="362"/>
        <v>0</v>
      </c>
      <c r="AB1089" s="554"/>
      <c r="AC1089" s="526" t="str">
        <f t="shared" si="363"/>
        <v>2년이상</v>
      </c>
      <c r="AD1089" s="520" t="str">
        <f t="shared" si="364"/>
        <v/>
      </c>
      <c r="AE1089" s="527">
        <f t="shared" si="365"/>
        <v>0</v>
      </c>
      <c r="AF1089" s="527">
        <f t="shared" si="366"/>
        <v>0</v>
      </c>
      <c r="AG1089" s="485"/>
      <c r="AH1089" s="485"/>
      <c r="AI1089" s="404"/>
    </row>
    <row r="1090" spans="1:35" ht="12.75" thickBot="1">
      <c r="A1090" s="492"/>
      <c r="B1090" s="496"/>
      <c r="C1090" s="486" t="s">
        <v>406</v>
      </c>
      <c r="D1090" s="487">
        <f>SUMIF(FS!$AA$89:$AA$119,개요!$B$337&amp;RIGHT(NAV!C1090,3),FS!$AD$89:$AD$119)</f>
        <v>0</v>
      </c>
      <c r="E1090" s="487">
        <f>D1090</f>
        <v>0</v>
      </c>
      <c r="J1090" s="551"/>
      <c r="K1090" s="552"/>
      <c r="L1090" s="551"/>
      <c r="M1090" s="553"/>
      <c r="N1090" s="553"/>
      <c r="O1090" s="551"/>
      <c r="P1090" s="553"/>
      <c r="Q1090" s="524"/>
      <c r="R1090" s="478">
        <f>IFERROR(INDEX(기초자산!M$6:M$408,MATCH(K1090&amp;N1090&amp;O1090,기초자산!$A$6:$A$408,0),0),0)</f>
        <v>0</v>
      </c>
      <c r="S1090" s="479">
        <f t="shared" si="360"/>
        <v>0</v>
      </c>
      <c r="T1090" s="553"/>
      <c r="U1090" s="471" t="s">
        <v>94</v>
      </c>
      <c r="V1090" s="480">
        <f>IF(U1090="한국 원화(KRW)",1,IF(OR(U1090=환율!$A$6,U1090=환율!$A$7),VLOOKUP(NAV!U1090,환율!$A$6:$B$7,2,),IF(RIGHT(U1090,5)="(100)",(VLOOKUP(NAV!U1090,환율!$A$11:$B$65,2,))/100,VLOOKUP(NAV!U1090,환율!$A$11:$B$65,2,))))</f>
        <v>1</v>
      </c>
      <c r="W1090" s="481"/>
      <c r="X1090" s="482">
        <f t="shared" si="361"/>
        <v>0</v>
      </c>
      <c r="Y1090" s="481"/>
      <c r="Z1090" s="481"/>
      <c r="AA1090" s="483">
        <f t="shared" si="362"/>
        <v>0</v>
      </c>
      <c r="AB1090" s="554"/>
      <c r="AC1090" s="526" t="str">
        <f t="shared" si="363"/>
        <v>2년이상</v>
      </c>
      <c r="AD1090" s="520" t="str">
        <f t="shared" si="364"/>
        <v/>
      </c>
      <c r="AE1090" s="527">
        <f t="shared" si="365"/>
        <v>0</v>
      </c>
      <c r="AF1090" s="527">
        <f t="shared" si="366"/>
        <v>0</v>
      </c>
      <c r="AG1090" s="485"/>
      <c r="AH1090" s="485"/>
      <c r="AI1090" s="404"/>
    </row>
    <row r="1091" spans="1:35" ht="12.75" thickBot="1">
      <c r="A1091" s="492"/>
      <c r="B1091" s="496"/>
      <c r="C1091" s="486" t="s">
        <v>407</v>
      </c>
      <c r="D1091" s="487">
        <f>SUMIF(FS!$AA$89:$AA$119,개요!$B$337&amp;RIGHT(NAV!C1091,4),FS!$AD$89:$AD$119)</f>
        <v>0</v>
      </c>
      <c r="E1091" s="487">
        <f>D1091</f>
        <v>0</v>
      </c>
      <c r="J1091" s="551"/>
      <c r="K1091" s="552"/>
      <c r="L1091" s="551"/>
      <c r="M1091" s="553"/>
      <c r="N1091" s="553"/>
      <c r="O1091" s="551"/>
      <c r="P1091" s="553"/>
      <c r="Q1091" s="524"/>
      <c r="R1091" s="478">
        <f>IFERROR(INDEX(기초자산!M$6:M$408,MATCH(K1091&amp;N1091&amp;O1091,기초자산!$A$6:$A$408,0),0),0)</f>
        <v>0</v>
      </c>
      <c r="S1091" s="479">
        <f t="shared" si="360"/>
        <v>0</v>
      </c>
      <c r="T1091" s="553"/>
      <c r="U1091" s="471" t="s">
        <v>94</v>
      </c>
      <c r="V1091" s="480">
        <f>IF(U1091="한국 원화(KRW)",1,IF(OR(U1091=환율!$A$6,U1091=환율!$A$7),VLOOKUP(NAV!U1091,환율!$A$6:$B$7,2,),IF(RIGHT(U1091,5)="(100)",(VLOOKUP(NAV!U1091,환율!$A$11:$B$65,2,))/100,VLOOKUP(NAV!U1091,환율!$A$11:$B$65,2,))))</f>
        <v>1</v>
      </c>
      <c r="W1091" s="481"/>
      <c r="X1091" s="482">
        <f t="shared" si="361"/>
        <v>0</v>
      </c>
      <c r="Y1091" s="481"/>
      <c r="Z1091" s="481"/>
      <c r="AA1091" s="483">
        <f t="shared" si="362"/>
        <v>0</v>
      </c>
      <c r="AB1091" s="554"/>
      <c r="AC1091" s="526" t="str">
        <f t="shared" si="363"/>
        <v>2년이상</v>
      </c>
      <c r="AD1091" s="520" t="str">
        <f t="shared" si="364"/>
        <v/>
      </c>
      <c r="AE1091" s="527">
        <f t="shared" si="365"/>
        <v>0</v>
      </c>
      <c r="AF1091" s="527">
        <f t="shared" si="366"/>
        <v>0</v>
      </c>
      <c r="AG1091" s="485"/>
      <c r="AH1091" s="485"/>
      <c r="AI1091" s="404"/>
    </row>
    <row r="1092" spans="1:35" ht="12.75" thickBot="1">
      <c r="A1092" s="489" t="s">
        <v>408</v>
      </c>
      <c r="B1092" s="498" t="b">
        <f>D1085+D1086+D1087+D1088+D1090+D1091=D1092</f>
        <v>1</v>
      </c>
      <c r="C1092" s="493" t="s">
        <v>477</v>
      </c>
      <c r="D1092" s="494">
        <f>D1084+D1089</f>
        <v>0</v>
      </c>
      <c r="E1092" s="494">
        <f>E1084+E1089</f>
        <v>0</v>
      </c>
      <c r="J1092" s="551"/>
      <c r="K1092" s="552"/>
      <c r="L1092" s="551"/>
      <c r="M1092" s="553"/>
      <c r="N1092" s="553"/>
      <c r="O1092" s="551"/>
      <c r="P1092" s="553"/>
      <c r="Q1092" s="524"/>
      <c r="R1092" s="478">
        <f>IFERROR(INDEX(기초자산!M$6:M$408,MATCH(K1092&amp;N1092&amp;O1092,기초자산!$A$6:$A$408,0),0),0)</f>
        <v>0</v>
      </c>
      <c r="S1092" s="479">
        <f t="shared" si="360"/>
        <v>0</v>
      </c>
      <c r="T1092" s="553"/>
      <c r="U1092" s="471" t="s">
        <v>94</v>
      </c>
      <c r="V1092" s="480">
        <f>IF(U1092="한국 원화(KRW)",1,IF(OR(U1092=환율!$A$6,U1092=환율!$A$7),VLOOKUP(NAV!U1092,환율!$A$6:$B$7,2,),IF(RIGHT(U1092,5)="(100)",(VLOOKUP(NAV!U1092,환율!$A$11:$B$65,2,))/100,VLOOKUP(NAV!U1092,환율!$A$11:$B$65,2,))))</f>
        <v>1</v>
      </c>
      <c r="W1092" s="481"/>
      <c r="X1092" s="482">
        <f t="shared" si="361"/>
        <v>0</v>
      </c>
      <c r="Y1092" s="481"/>
      <c r="Z1092" s="481"/>
      <c r="AA1092" s="483">
        <f t="shared" si="362"/>
        <v>0</v>
      </c>
      <c r="AB1092" s="554"/>
      <c r="AC1092" s="526" t="str">
        <f t="shared" si="363"/>
        <v>2년이상</v>
      </c>
      <c r="AD1092" s="520" t="str">
        <f t="shared" si="364"/>
        <v/>
      </c>
      <c r="AE1092" s="527">
        <f t="shared" si="365"/>
        <v>0</v>
      </c>
      <c r="AF1092" s="527">
        <f t="shared" si="366"/>
        <v>0</v>
      </c>
      <c r="AG1092" s="485"/>
      <c r="AH1092" s="485"/>
      <c r="AI1092" s="404"/>
    </row>
    <row r="1093" spans="1:35" ht="12.75" thickBot="1">
      <c r="A1093" s="492"/>
      <c r="B1093" s="555" t="str">
        <f>B1073&amp;C1093</f>
        <v>SPC없음자본금</v>
      </c>
      <c r="C1093" s="486" t="s">
        <v>35</v>
      </c>
      <c r="D1093" s="487">
        <f>SUMIF(FS!$AA$89:$AA$119,개요!$B$337&amp;RIGHT(NAV!C1093,3),FS!$AD$89:$AD$119)</f>
        <v>0</v>
      </c>
      <c r="E1093" s="487">
        <f>D1093</f>
        <v>0</v>
      </c>
      <c r="J1093" s="551"/>
      <c r="K1093" s="552"/>
      <c r="L1093" s="551"/>
      <c r="M1093" s="553"/>
      <c r="N1093" s="553"/>
      <c r="O1093" s="551"/>
      <c r="P1093" s="553"/>
      <c r="Q1093" s="524"/>
      <c r="R1093" s="478">
        <f>IFERROR(INDEX(기초자산!M$6:M$408,MATCH(K1093&amp;N1093&amp;O1093,기초자산!$A$6:$A$408,0),0),0)</f>
        <v>0</v>
      </c>
      <c r="S1093" s="479">
        <f t="shared" si="360"/>
        <v>0</v>
      </c>
      <c r="T1093" s="553"/>
      <c r="U1093" s="471" t="s">
        <v>94</v>
      </c>
      <c r="V1093" s="480">
        <f>IF(U1093="한국 원화(KRW)",1,IF(OR(U1093=환율!$A$6,U1093=환율!$A$7),VLOOKUP(NAV!U1093,환율!$A$6:$B$7,2,),IF(RIGHT(U1093,5)="(100)",(VLOOKUP(NAV!U1093,환율!$A$11:$B$65,2,))/100,VLOOKUP(NAV!U1093,환율!$A$11:$B$65,2,))))</f>
        <v>1</v>
      </c>
      <c r="W1093" s="481"/>
      <c r="X1093" s="482">
        <f t="shared" si="361"/>
        <v>0</v>
      </c>
      <c r="Y1093" s="481"/>
      <c r="Z1093" s="481"/>
      <c r="AA1093" s="483">
        <f t="shared" si="362"/>
        <v>0</v>
      </c>
      <c r="AB1093" s="554"/>
      <c r="AC1093" s="526" t="str">
        <f t="shared" si="363"/>
        <v>2년이상</v>
      </c>
      <c r="AD1093" s="520" t="str">
        <f t="shared" si="364"/>
        <v/>
      </c>
      <c r="AE1093" s="527">
        <f t="shared" si="365"/>
        <v>0</v>
      </c>
      <c r="AF1093" s="527">
        <f t="shared" si="366"/>
        <v>0</v>
      </c>
      <c r="AG1093" s="485"/>
      <c r="AH1093" s="485"/>
      <c r="AI1093" s="404"/>
    </row>
    <row r="1094" spans="1:35" ht="12.75" thickBot="1">
      <c r="C1094" s="486" t="s">
        <v>120</v>
      </c>
      <c r="D1094" s="487">
        <f>SUMIF(FS!$AA$89:$AA$119,개요!$B$337&amp;RIGHT(NAV!C1094,10),FS!$AD$89:$AD$119)</f>
        <v>0</v>
      </c>
      <c r="E1094" s="487">
        <f>D1094</f>
        <v>0</v>
      </c>
      <c r="J1094" s="551"/>
      <c r="K1094" s="552"/>
      <c r="L1094" s="551"/>
      <c r="M1094" s="553"/>
      <c r="N1094" s="553"/>
      <c r="O1094" s="551"/>
      <c r="P1094" s="553"/>
      <c r="Q1094" s="524"/>
      <c r="R1094" s="478">
        <f>IFERROR(INDEX(기초자산!M$6:M$408,MATCH(K1094&amp;N1094&amp;O1094,기초자산!$A$6:$A$408,0),0),0)</f>
        <v>0</v>
      </c>
      <c r="S1094" s="479">
        <f t="shared" si="360"/>
        <v>0</v>
      </c>
      <c r="T1094" s="553"/>
      <c r="U1094" s="471" t="s">
        <v>94</v>
      </c>
      <c r="V1094" s="480">
        <f>IF(U1094="한국 원화(KRW)",1,IF(OR(U1094=환율!$A$6,U1094=환율!$A$7),VLOOKUP(NAV!U1094,환율!$A$6:$B$7,2,),IF(RIGHT(U1094,5)="(100)",(VLOOKUP(NAV!U1094,환율!$A$11:$B$65,2,))/100,VLOOKUP(NAV!U1094,환율!$A$11:$B$65,2,))))</f>
        <v>1</v>
      </c>
      <c r="W1094" s="481"/>
      <c r="X1094" s="482">
        <f t="shared" si="361"/>
        <v>0</v>
      </c>
      <c r="Y1094" s="481"/>
      <c r="Z1094" s="481"/>
      <c r="AA1094" s="483">
        <f t="shared" si="362"/>
        <v>0</v>
      </c>
      <c r="AB1094" s="554"/>
      <c r="AC1094" s="526" t="str">
        <f t="shared" si="363"/>
        <v>2년이상</v>
      </c>
      <c r="AD1094" s="520" t="str">
        <f t="shared" si="364"/>
        <v/>
      </c>
      <c r="AE1094" s="527">
        <f t="shared" si="365"/>
        <v>0</v>
      </c>
      <c r="AF1094" s="527">
        <f t="shared" si="366"/>
        <v>0</v>
      </c>
      <c r="AG1094" s="485"/>
      <c r="AH1094" s="485"/>
      <c r="AI1094" s="404"/>
    </row>
    <row r="1095" spans="1:35" ht="12.75" thickBot="1">
      <c r="A1095" s="489"/>
      <c r="B1095" s="415"/>
      <c r="C1095" s="486" t="s">
        <v>122</v>
      </c>
      <c r="D1095" s="487">
        <f>SUMIF(FS!$AA$89:$AA$119,개요!$B$337&amp;RIGHT(NAV!C1095,8),FS!$AD$89:$AD$119)</f>
        <v>0</v>
      </c>
      <c r="E1095" s="487">
        <f>D1095</f>
        <v>0</v>
      </c>
      <c r="J1095" s="551"/>
      <c r="K1095" s="552"/>
      <c r="L1095" s="551"/>
      <c r="M1095" s="553"/>
      <c r="N1095" s="553"/>
      <c r="O1095" s="551"/>
      <c r="P1095" s="553"/>
      <c r="Q1095" s="524"/>
      <c r="R1095" s="478">
        <f>IFERROR(INDEX(기초자산!M$6:M$408,MATCH(K1095&amp;N1095&amp;O1095,기초자산!$A$6:$A$408,0),0),0)</f>
        <v>0</v>
      </c>
      <c r="S1095" s="479">
        <f t="shared" si="360"/>
        <v>0</v>
      </c>
      <c r="T1095" s="553"/>
      <c r="U1095" s="471" t="s">
        <v>94</v>
      </c>
      <c r="V1095" s="480">
        <f>IF(U1095="한국 원화(KRW)",1,IF(OR(U1095=환율!$A$6,U1095=환율!$A$7),VLOOKUP(NAV!U1095,환율!$A$6:$B$7,2,),IF(RIGHT(U1095,5)="(100)",(VLOOKUP(NAV!U1095,환율!$A$11:$B$65,2,))/100,VLOOKUP(NAV!U1095,환율!$A$11:$B$65,2,))))</f>
        <v>1</v>
      </c>
      <c r="W1095" s="481"/>
      <c r="X1095" s="482">
        <f t="shared" si="361"/>
        <v>0</v>
      </c>
      <c r="Y1095" s="481"/>
      <c r="Z1095" s="481"/>
      <c r="AA1095" s="483">
        <f t="shared" si="362"/>
        <v>0</v>
      </c>
      <c r="AB1095" s="554"/>
      <c r="AC1095" s="526" t="str">
        <f t="shared" si="363"/>
        <v>2년이상</v>
      </c>
      <c r="AD1095" s="520" t="str">
        <f t="shared" si="364"/>
        <v/>
      </c>
      <c r="AE1095" s="527">
        <f t="shared" si="365"/>
        <v>0</v>
      </c>
      <c r="AF1095" s="527">
        <f t="shared" si="366"/>
        <v>0</v>
      </c>
      <c r="AG1095" s="485"/>
      <c r="AH1095" s="485"/>
      <c r="AI1095" s="404"/>
    </row>
    <row r="1096" spans="1:35" ht="12.75" thickBot="1">
      <c r="A1096" s="489" t="s">
        <v>411</v>
      </c>
      <c r="B1096" s="415" t="b">
        <f>D1096=SUM(D1093:D1095)</f>
        <v>1</v>
      </c>
      <c r="C1096" s="493" t="s">
        <v>79</v>
      </c>
      <c r="D1096" s="494">
        <f>D1083-D1092</f>
        <v>0</v>
      </c>
      <c r="E1096" s="494">
        <f>E1083-E1092</f>
        <v>0</v>
      </c>
      <c r="J1096" s="551"/>
      <c r="K1096" s="552"/>
      <c r="L1096" s="551"/>
      <c r="M1096" s="553"/>
      <c r="N1096" s="553"/>
      <c r="O1096" s="551"/>
      <c r="P1096" s="553"/>
      <c r="Q1096" s="524"/>
      <c r="R1096" s="478">
        <f>IFERROR(INDEX(기초자산!M$6:M$408,MATCH(K1096&amp;N1096&amp;O1096,기초자산!$A$6:$A$408,0),0),0)</f>
        <v>0</v>
      </c>
      <c r="S1096" s="479">
        <f t="shared" si="360"/>
        <v>0</v>
      </c>
      <c r="T1096" s="553"/>
      <c r="U1096" s="471" t="s">
        <v>94</v>
      </c>
      <c r="V1096" s="480">
        <f>IF(U1096="한국 원화(KRW)",1,IF(OR(U1096=환율!$A$6,U1096=환율!$A$7),VLOOKUP(NAV!U1096,환율!$A$6:$B$7,2,),IF(RIGHT(U1096,5)="(100)",(VLOOKUP(NAV!U1096,환율!$A$11:$B$65,2,))/100,VLOOKUP(NAV!U1096,환율!$A$11:$B$65,2,))))</f>
        <v>1</v>
      </c>
      <c r="W1096" s="481"/>
      <c r="X1096" s="482">
        <f t="shared" si="361"/>
        <v>0</v>
      </c>
      <c r="Y1096" s="481"/>
      <c r="Z1096" s="481"/>
      <c r="AA1096" s="483">
        <f t="shared" si="362"/>
        <v>0</v>
      </c>
      <c r="AB1096" s="554"/>
      <c r="AC1096" s="526" t="str">
        <f t="shared" si="363"/>
        <v>2년이상</v>
      </c>
      <c r="AD1096" s="520" t="str">
        <f t="shared" si="364"/>
        <v/>
      </c>
      <c r="AE1096" s="527">
        <f t="shared" si="365"/>
        <v>0</v>
      </c>
      <c r="AF1096" s="527">
        <f t="shared" si="366"/>
        <v>0</v>
      </c>
      <c r="AG1096" s="485"/>
      <c r="AH1096" s="485"/>
      <c r="AI1096" s="404"/>
    </row>
    <row r="1097" spans="1:35" ht="12.75" thickBot="1">
      <c r="A1097" s="489"/>
      <c r="B1097" s="415"/>
      <c r="C1097" s="486" t="s">
        <v>413</v>
      </c>
      <c r="D1097" s="487">
        <v>0</v>
      </c>
      <c r="E1097" s="499">
        <v>0</v>
      </c>
      <c r="J1097" s="551"/>
      <c r="K1097" s="552"/>
      <c r="L1097" s="551"/>
      <c r="M1097" s="553"/>
      <c r="N1097" s="553"/>
      <c r="O1097" s="551"/>
      <c r="P1097" s="553"/>
      <c r="Q1097" s="524"/>
      <c r="R1097" s="478">
        <f>IFERROR(INDEX(기초자산!M$6:M$408,MATCH(K1097&amp;N1097&amp;O1097,기초자산!$A$6:$A$408,0),0),0)</f>
        <v>0</v>
      </c>
      <c r="S1097" s="479">
        <f t="shared" si="360"/>
        <v>0</v>
      </c>
      <c r="T1097" s="553"/>
      <c r="U1097" s="471" t="s">
        <v>94</v>
      </c>
      <c r="V1097" s="480">
        <f>IF(U1097="한국 원화(KRW)",1,IF(OR(U1097=환율!$A$6,U1097=환율!$A$7),VLOOKUP(NAV!U1097,환율!$A$6:$B$7,2,),IF(RIGHT(U1097,5)="(100)",(VLOOKUP(NAV!U1097,환율!$A$11:$B$65,2,))/100,VLOOKUP(NAV!U1097,환율!$A$11:$B$65,2,))))</f>
        <v>1</v>
      </c>
      <c r="W1097" s="481"/>
      <c r="X1097" s="482">
        <f t="shared" si="361"/>
        <v>0</v>
      </c>
      <c r="Y1097" s="481"/>
      <c r="Z1097" s="481"/>
      <c r="AA1097" s="483">
        <f t="shared" si="362"/>
        <v>0</v>
      </c>
      <c r="AB1097" s="554"/>
      <c r="AC1097" s="526" t="str">
        <f t="shared" si="363"/>
        <v>2년이상</v>
      </c>
      <c r="AD1097" s="520" t="str">
        <f t="shared" si="364"/>
        <v/>
      </c>
      <c r="AE1097" s="527">
        <f t="shared" si="365"/>
        <v>0</v>
      </c>
      <c r="AF1097" s="527">
        <f t="shared" si="366"/>
        <v>0</v>
      </c>
      <c r="AG1097" s="485"/>
      <c r="AH1097" s="485"/>
      <c r="AI1097" s="404"/>
    </row>
    <row r="1098" spans="1:35">
      <c r="A1098" s="489"/>
      <c r="B1098" s="415"/>
      <c r="C1098" s="486" t="s">
        <v>414</v>
      </c>
      <c r="D1098" s="487">
        <v>0</v>
      </c>
      <c r="E1098" s="499">
        <v>0</v>
      </c>
      <c r="J1098" s="495"/>
      <c r="K1098" s="415"/>
      <c r="L1098" s="495"/>
      <c r="M1098" s="415"/>
      <c r="N1098" s="415"/>
      <c r="O1098" s="415"/>
      <c r="P1098" s="415"/>
      <c r="Q1098" s="422"/>
      <c r="R1098" s="415"/>
      <c r="S1098" s="415"/>
      <c r="T1098" s="415"/>
      <c r="U1098" s="415"/>
      <c r="V1098" s="415"/>
      <c r="W1098" s="422"/>
      <c r="X1098" s="415"/>
      <c r="Y1098" s="458"/>
      <c r="Z1098" s="422"/>
      <c r="AA1098" s="556"/>
      <c r="AB1098" s="556"/>
      <c r="AC1098" s="415"/>
      <c r="AE1098" s="415"/>
      <c r="AI1098" s="404"/>
    </row>
    <row r="1099" spans="1:35">
      <c r="A1099" s="489"/>
      <c r="B1099" s="415"/>
      <c r="C1099" s="493" t="s">
        <v>123</v>
      </c>
      <c r="D1099" s="494">
        <f>D1096+D1097-D1098</f>
        <v>0</v>
      </c>
      <c r="E1099" s="494">
        <f>IF(E1096+E1097-E1098&gt;0,E1096+E1097-E1098,0)</f>
        <v>0</v>
      </c>
      <c r="J1099" s="305"/>
      <c r="K1099" s="415"/>
      <c r="L1099" s="305"/>
      <c r="M1099" s="415"/>
      <c r="N1099" s="415"/>
      <c r="O1099" s="415"/>
      <c r="S1099" s="415"/>
      <c r="T1099" s="415"/>
      <c r="U1099" s="415"/>
      <c r="V1099" s="415"/>
      <c r="Y1099" s="458"/>
      <c r="AD1099" s="557" t="str">
        <f>B1073&amp;"순자산가치"</f>
        <v>SPC없음순자산가치</v>
      </c>
      <c r="AE1099" s="529">
        <f>IF(E1079+SUM(AE1079:AE1084)+SUM(AE1087:AE1097)-E1092&gt;0,E1079+SUM(AE1079:AE1084)+SUM(AE1087:AE1097)-E1092,0)</f>
        <v>0</v>
      </c>
      <c r="AF1099" s="529">
        <f>IF(E1079+SUM(AF1079:AF1084)+SUM(AF1087:AF1097)-E1092&gt;0,E1079+SUM(AF1079:AF1084)+SUM(AF1087:AF1097)-E1092,0)</f>
        <v>0</v>
      </c>
      <c r="AI1099" s="404"/>
    </row>
    <row r="1100" spans="1:35">
      <c r="A1100" s="489"/>
      <c r="B1100" s="558" t="str">
        <f>B1073&amp;C1100</f>
        <v>SPC없음보유지분율(%)</v>
      </c>
      <c r="C1100" s="493" t="s">
        <v>416</v>
      </c>
      <c r="D1100" s="559">
        <f>개요!$C$226</f>
        <v>0</v>
      </c>
      <c r="E1100" s="494">
        <f>E1099*D1100</f>
        <v>0</v>
      </c>
      <c r="F1100" s="560" t="s">
        <v>417</v>
      </c>
      <c r="G1100" s="560"/>
      <c r="J1100" s="495"/>
      <c r="K1100" s="415"/>
      <c r="L1100" s="495"/>
      <c r="M1100" s="415"/>
      <c r="N1100" s="415"/>
      <c r="O1100" s="415"/>
      <c r="S1100" s="415"/>
      <c r="T1100" s="415"/>
      <c r="U1100" s="415"/>
      <c r="V1100" s="415"/>
      <c r="Y1100" s="458"/>
      <c r="AD1100" s="557" t="s">
        <v>272</v>
      </c>
      <c r="AE1100" s="561">
        <f>$D1100</f>
        <v>0</v>
      </c>
      <c r="AF1100" s="561">
        <f>$D1100</f>
        <v>0</v>
      </c>
      <c r="AI1100" s="404"/>
    </row>
    <row r="1101" spans="1:35">
      <c r="A1101" s="489"/>
      <c r="B1101" s="415"/>
      <c r="G1101" s="503" t="s">
        <v>419</v>
      </c>
      <c r="I1101" s="562"/>
      <c r="J1101" s="495"/>
      <c r="K1101" s="415"/>
      <c r="L1101" s="495"/>
      <c r="M1101" s="415"/>
      <c r="N1101" s="415"/>
      <c r="O1101" s="415"/>
      <c r="S1101" s="415"/>
      <c r="T1101" s="415"/>
      <c r="U1101" s="415"/>
      <c r="V1101" s="415"/>
      <c r="Y1101" s="458"/>
      <c r="AD1101" s="557" t="str">
        <f>B1073&amp;"지분율 반영 순자산가치"</f>
        <v>SPC없음지분율 반영 순자산가치</v>
      </c>
      <c r="AE1101" s="529">
        <f>AE1099*AE1100</f>
        <v>0</v>
      </c>
      <c r="AF1101" s="529">
        <f>AF1099*AF1100</f>
        <v>0</v>
      </c>
      <c r="AI1101" s="404"/>
    </row>
    <row r="1102" spans="1:35">
      <c r="A1102" s="489"/>
      <c r="D1102" s="504" t="s">
        <v>43</v>
      </c>
      <c r="E1102" s="505">
        <f>$C$7</f>
        <v>45473</v>
      </c>
      <c r="F1102" s="506"/>
      <c r="G1102" s="505"/>
      <c r="I1102" s="563"/>
      <c r="J1102" s="495"/>
      <c r="K1102" s="415"/>
      <c r="L1102" s="495"/>
      <c r="M1102" s="415"/>
      <c r="N1102" s="415"/>
      <c r="O1102" s="415"/>
      <c r="S1102" s="415"/>
      <c r="T1102" s="415"/>
      <c r="U1102" s="415"/>
      <c r="V1102" s="415"/>
      <c r="Y1102" s="422"/>
      <c r="AI1102" s="404"/>
    </row>
    <row r="1103" spans="1:35">
      <c r="D1103" s="486" t="s">
        <v>79</v>
      </c>
      <c r="E1103" s="487">
        <f>E1099</f>
        <v>0</v>
      </c>
      <c r="F1103" s="507" t="e">
        <f>E1103/G1103-1</f>
        <v>#DIV/0!</v>
      </c>
      <c r="G1103" s="487"/>
      <c r="I1103" s="564"/>
      <c r="J1103" s="495"/>
      <c r="K1103" s="415"/>
      <c r="L1103" s="495"/>
      <c r="M1103" s="415"/>
      <c r="S1103" s="415"/>
      <c r="T1103" s="415"/>
      <c r="U1103" s="415"/>
      <c r="V1103" s="415"/>
      <c r="Y1103" s="422"/>
      <c r="AI1103" s="404"/>
    </row>
    <row r="1104" spans="1:35">
      <c r="A1104" s="489"/>
      <c r="B1104" s="415"/>
      <c r="D1104" s="486" t="s">
        <v>272</v>
      </c>
      <c r="E1104" s="565">
        <f>$D$1100</f>
        <v>0</v>
      </c>
      <c r="F1104" s="507"/>
      <c r="G1104" s="565"/>
      <c r="I1104" s="566"/>
      <c r="J1104" s="305"/>
      <c r="K1104" s="415"/>
      <c r="L1104" s="305"/>
      <c r="M1104" s="415"/>
      <c r="S1104" s="415"/>
      <c r="T1104" s="415"/>
      <c r="U1104" s="415"/>
      <c r="V1104" s="415"/>
      <c r="Y1104" s="422"/>
      <c r="AI1104" s="404"/>
    </row>
    <row r="1105" spans="1:35">
      <c r="A1105" s="489"/>
      <c r="B1105" s="415"/>
      <c r="D1105" s="567" t="s">
        <v>716</v>
      </c>
      <c r="E1105" s="568">
        <f>E1103*E1104</f>
        <v>0</v>
      </c>
      <c r="F1105" s="507" t="e">
        <f>E1105/G1105-1</f>
        <v>#DIV/0!</v>
      </c>
      <c r="G1105" s="568"/>
      <c r="I1105" s="564"/>
      <c r="AI1105" s="404"/>
    </row>
    <row r="1106" spans="1:35">
      <c r="E1106" s="304" t="b">
        <f>E1105=E1100</f>
        <v>1</v>
      </c>
      <c r="AI1106" s="404"/>
    </row>
    <row r="1107" spans="1:35">
      <c r="F1107" s="507"/>
      <c r="G1107" s="507"/>
      <c r="AI1107" s="404"/>
    </row>
    <row r="1108" spans="1:35" ht="12.75" thickBot="1">
      <c r="A1108" s="536"/>
      <c r="B1108" s="536"/>
      <c r="C1108" s="536"/>
      <c r="D1108" s="536"/>
      <c r="E1108" s="536"/>
      <c r="F1108" s="572"/>
      <c r="G1108" s="572"/>
      <c r="H1108" s="536"/>
      <c r="I1108" s="537"/>
      <c r="J1108" s="536"/>
      <c r="K1108" s="536"/>
      <c r="L1108" s="536"/>
      <c r="M1108" s="536"/>
      <c r="N1108" s="536"/>
      <c r="O1108" s="536"/>
      <c r="P1108" s="536"/>
      <c r="Q1108" s="540"/>
      <c r="R1108" s="536"/>
      <c r="S1108" s="536"/>
      <c r="T1108" s="536"/>
      <c r="U1108" s="536"/>
      <c r="V1108" s="536"/>
      <c r="W1108" s="540"/>
      <c r="X1108" s="536"/>
      <c r="Y1108" s="540"/>
      <c r="Z1108" s="540"/>
      <c r="AA1108" s="536"/>
      <c r="AB1108" s="536"/>
      <c r="AC1108" s="536"/>
      <c r="AD1108" s="541"/>
      <c r="AE1108" s="536"/>
      <c r="AF1108" s="536"/>
      <c r="AG1108" s="536"/>
      <c r="AH1108" s="536"/>
      <c r="AI1108" s="404"/>
    </row>
    <row r="1109" spans="1:35" ht="12.75" thickTop="1">
      <c r="F1109" s="507"/>
      <c r="G1109" s="507"/>
      <c r="AI1109" s="404"/>
    </row>
    <row r="1110" spans="1:35" ht="12.75" thickBot="1">
      <c r="A1110" s="459"/>
      <c r="B1110" s="415"/>
      <c r="J1110" s="428" t="s">
        <v>273</v>
      </c>
      <c r="K1110" s="489"/>
      <c r="L1110" s="497"/>
      <c r="M1110" s="489"/>
      <c r="N1110" s="415"/>
      <c r="O1110" s="415"/>
      <c r="AI1110" s="404"/>
    </row>
    <row r="1111" spans="1:35" ht="12.75" thickBot="1">
      <c r="A1111" s="542" t="s">
        <v>739</v>
      </c>
      <c r="B1111" s="543" t="str">
        <f>IF(개요!$B$349="","SPC없음",개요!$B$349)</f>
        <v>SPC없음</v>
      </c>
      <c r="C1111" s="454"/>
      <c r="J1111" s="433"/>
      <c r="K1111" s="434"/>
      <c r="L1111" s="434"/>
      <c r="M1111" s="434"/>
      <c r="N1111" s="434"/>
      <c r="O1111" s="434"/>
      <c r="P1111" s="434"/>
      <c r="Q1111" s="435"/>
      <c r="R1111" s="434"/>
      <c r="S1111" s="434"/>
      <c r="T1111" s="434"/>
      <c r="U1111" s="434"/>
      <c r="V1111" s="436"/>
      <c r="AI1111" s="404"/>
    </row>
    <row r="1112" spans="1:35">
      <c r="B1112" s="543" t="s">
        <v>260</v>
      </c>
      <c r="C1112" s="569" t="str">
        <f>IF(개요!$C$350="","SPC없음",개요!$C$350)</f>
        <v>SPC없음</v>
      </c>
      <c r="J1112" s="442"/>
      <c r="K1112" s="151"/>
      <c r="L1112" s="151"/>
      <c r="M1112" s="151"/>
      <c r="N1112" s="151"/>
      <c r="O1112" s="151"/>
      <c r="P1112" s="151"/>
      <c r="Q1112" s="443"/>
      <c r="R1112" s="151"/>
      <c r="S1112" s="151"/>
      <c r="T1112" s="151"/>
      <c r="U1112" s="151"/>
      <c r="V1112" s="444"/>
      <c r="AI1112" s="404"/>
    </row>
    <row r="1113" spans="1:35">
      <c r="B1113" s="437" t="s">
        <v>43</v>
      </c>
      <c r="C1113" s="570">
        <f>$C$7</f>
        <v>45473</v>
      </c>
      <c r="D1113" s="546" t="b">
        <f>C1113&gt;=C1114</f>
        <v>1</v>
      </c>
      <c r="J1113" s="442"/>
      <c r="K1113" s="151"/>
      <c r="L1113" s="151"/>
      <c r="M1113" s="151"/>
      <c r="N1113" s="151"/>
      <c r="O1113" s="151"/>
      <c r="P1113" s="151"/>
      <c r="Q1113" s="443"/>
      <c r="R1113" s="151"/>
      <c r="S1113" s="151"/>
      <c r="T1113" s="151"/>
      <c r="U1113" s="151"/>
      <c r="V1113" s="444"/>
      <c r="AI1113" s="404"/>
    </row>
    <row r="1114" spans="1:35" ht="12.75" thickBot="1">
      <c r="B1114" s="449" t="s">
        <v>371</v>
      </c>
      <c r="C1114" s="571">
        <f>FS!$AJ$88</f>
        <v>0</v>
      </c>
      <c r="J1114" s="453"/>
      <c r="K1114" s="454"/>
      <c r="L1114" s="454"/>
      <c r="M1114" s="454"/>
      <c r="N1114" s="454"/>
      <c r="O1114" s="454"/>
      <c r="P1114" s="454"/>
      <c r="Q1114" s="455"/>
      <c r="R1114" s="454"/>
      <c r="S1114" s="454"/>
      <c r="T1114" s="454"/>
      <c r="U1114" s="454"/>
      <c r="V1114" s="456"/>
      <c r="AI1114" s="404"/>
    </row>
    <row r="1115" spans="1:35">
      <c r="A1115" s="459"/>
      <c r="J1115" s="428" t="s">
        <v>372</v>
      </c>
      <c r="K1115" s="448"/>
      <c r="L1115" s="420"/>
      <c r="M1115" s="448"/>
      <c r="N1115" s="448"/>
      <c r="O1115" s="448"/>
      <c r="P1115" s="415"/>
      <c r="Q1115" s="422"/>
      <c r="R1115" s="415"/>
      <c r="S1115" s="415"/>
      <c r="T1115" s="415"/>
      <c r="U1115" s="415"/>
      <c r="V1115" s="415"/>
      <c r="W1115" s="422"/>
      <c r="Z1115" s="458"/>
      <c r="AE1115" s="803" t="s">
        <v>8</v>
      </c>
      <c r="AF1115" s="803"/>
      <c r="AG1115" s="460"/>
      <c r="AH1115" s="460"/>
      <c r="AI1115" s="404"/>
    </row>
    <row r="1116" spans="1:35" ht="12.75" thickBot="1">
      <c r="A1116" s="461" t="str">
        <f>IF(AND(B1117:B1143),"검증완료","검증필요")</f>
        <v>검증완료</v>
      </c>
      <c r="B1116" s="462" t="s">
        <v>38</v>
      </c>
      <c r="C1116" s="462" t="s">
        <v>9</v>
      </c>
      <c r="D1116" s="462" t="s">
        <v>10</v>
      </c>
      <c r="E1116" s="462" t="s">
        <v>11</v>
      </c>
      <c r="J1116" s="462" t="s">
        <v>375</v>
      </c>
      <c r="K1116" s="464" t="s">
        <v>0</v>
      </c>
      <c r="L1116" s="462" t="s">
        <v>260</v>
      </c>
      <c r="M1116" s="462" t="s">
        <v>456</v>
      </c>
      <c r="N1116" s="462" t="s">
        <v>91</v>
      </c>
      <c r="O1116" s="462" t="s">
        <v>1</v>
      </c>
      <c r="P1116" s="464" t="s">
        <v>380</v>
      </c>
      <c r="Q1116" s="465" t="s">
        <v>14</v>
      </c>
      <c r="R1116" s="466" t="s">
        <v>381</v>
      </c>
      <c r="S1116" s="466" t="s">
        <v>303</v>
      </c>
      <c r="T1116" s="462" t="s">
        <v>12</v>
      </c>
      <c r="U1116" s="462" t="s">
        <v>72</v>
      </c>
      <c r="V1116" s="462" t="s">
        <v>400</v>
      </c>
      <c r="W1116" s="465" t="s">
        <v>10</v>
      </c>
      <c r="X1116" s="462" t="s">
        <v>385</v>
      </c>
      <c r="Y1116" s="465" t="s">
        <v>125</v>
      </c>
      <c r="Z1116" s="465" t="s">
        <v>3522</v>
      </c>
      <c r="AA1116" s="464" t="s">
        <v>13</v>
      </c>
      <c r="AE1116" s="467" t="s">
        <v>3627</v>
      </c>
      <c r="AF1116" s="467" t="s">
        <v>3628</v>
      </c>
      <c r="AG1116" s="467" t="s">
        <v>3629</v>
      </c>
      <c r="AH1116" s="467" t="s">
        <v>3630</v>
      </c>
      <c r="AI1116" s="404"/>
    </row>
    <row r="1117" spans="1:35" ht="12.75" thickBot="1">
      <c r="A1117" s="415"/>
      <c r="B1117" s="415"/>
      <c r="C1117" s="468" t="s">
        <v>480</v>
      </c>
      <c r="D1117" s="469">
        <f>SUM(D1118:D1119)</f>
        <v>0</v>
      </c>
      <c r="E1117" s="469">
        <f>SUM(E1118:E1119)</f>
        <v>0</v>
      </c>
      <c r="J1117" s="476"/>
      <c r="K1117" s="472"/>
      <c r="L1117" s="473" t="str">
        <f>IF($J1117="","SPC 없음",VLOOKUP($J1117&amp;"SPC명",개요!$A$3:$E$1932,3,0))</f>
        <v>SPC 없음</v>
      </c>
      <c r="M1117" s="474" t="str">
        <f>IF($J1117="","SPC 없음",VLOOKUP($J1117&amp;"설정일",개요!$A$3:$E$1932,3,0))</f>
        <v>SPC 없음</v>
      </c>
      <c r="N1117" s="475" t="str">
        <f t="shared" ref="N1117:N1122" si="367">IF($J1117="","SPC 없음",VLOOKUP($J1117&amp;"자본금",$B$4:$E$2079,3,0)*VLOOKUP($J1117&amp;"보유지분율(%)",$B$4:$E$2079,3,0))</f>
        <v>SPC 없음</v>
      </c>
      <c r="O1117" s="471"/>
      <c r="P1117" s="476"/>
      <c r="Q1117" s="477"/>
      <c r="R1117" s="478"/>
      <c r="S1117" s="479" t="str">
        <f t="shared" ref="S1117:S1122" si="368">IF($J1117="","SPC 없음",IF(P1117="총액",IF(T1117="장부가액 준용",W1117,(VLOOKUP($J1117&amp;"보유지분율(%)",$B$4:$E$2079,4,0))*V1117),Q1117*R1117))</f>
        <v>SPC 없음</v>
      </c>
      <c r="T1117" s="471"/>
      <c r="U1117" s="471" t="s">
        <v>94</v>
      </c>
      <c r="V1117" s="480">
        <f>IF(U1117="한국 원화(KRW)",1,IF(OR(U1117=환율!$A$6,U1117=환율!$A$7),VLOOKUP(NAV!U1117,환율!$A$6:$B$7,2,),IF(RIGHT(U1117,5)="(100)",(VLOOKUP(NAV!U1117,환율!$A$11:$B$65,2,))/100,VLOOKUP(NAV!U1117,환율!$A$11:$B$65,2,))))</f>
        <v>1</v>
      </c>
      <c r="W1117" s="481"/>
      <c r="X1117" s="482">
        <f t="shared" ref="X1117:X1122" si="369">IFERROR(IF(P1117="만원당",10000,Y1117/Q1117),0)</f>
        <v>0</v>
      </c>
      <c r="Y1117" s="481"/>
      <c r="Z1117" s="481"/>
      <c r="AA1117" s="483">
        <f t="shared" ref="AA1117:AA1122" si="370">IFERROR(IF(Z1117="",S1117/W1117-1,S1117/Z1117-1),0)</f>
        <v>0</v>
      </c>
      <c r="AE1117" s="484" t="str">
        <f t="shared" ref="AE1117:AE1122" si="371">IF($J1117="","SPC 없음",IF(P1117="총액",(VLOOKUP($J1117&amp;"지분율 반영 순자산가치",$AD$4:$AH$4973,2,0))*V1117,AG1117*$Q1117))</f>
        <v>SPC 없음</v>
      </c>
      <c r="AF1117" s="484" t="str">
        <f t="shared" ref="AF1117:AF1122" si="372">IF($J1117="","SPC 없음",IF(P1117="총액",(VLOOKUP($J1117&amp;"지분율 반영 순자산가치",$AD$4:$AH$4973,3,0))*V1117,AH1117*$Q1117))</f>
        <v>SPC 없음</v>
      </c>
      <c r="AG1117" s="485"/>
      <c r="AH1117" s="485"/>
      <c r="AI1117" s="404"/>
    </row>
    <row r="1118" spans="1:35" ht="12.75" thickBot="1">
      <c r="A1118" s="415"/>
      <c r="B1118" s="415"/>
      <c r="C1118" s="486" t="s">
        <v>117</v>
      </c>
      <c r="D1118" s="487">
        <f>SUMIF(FS!$AG$89:$AG$119,개요!$B$357&amp;RIGHT(NAV!C1118,10),FS!$AJ$89:$AJ$119)</f>
        <v>0</v>
      </c>
      <c r="E1118" s="487">
        <f>D1118</f>
        <v>0</v>
      </c>
      <c r="J1118" s="476"/>
      <c r="K1118" s="472"/>
      <c r="L1118" s="473" t="str">
        <f>IF($J1118="","SPC 없음",VLOOKUP($J1118&amp;"SPC명",개요!$A$3:$E$1932,3,0))</f>
        <v>SPC 없음</v>
      </c>
      <c r="M1118" s="474" t="str">
        <f>IF($J1118="","SPC 없음",VLOOKUP($J1118&amp;"설정일",개요!$A$3:$E$1932,3,0))</f>
        <v>SPC 없음</v>
      </c>
      <c r="N1118" s="475" t="str">
        <f t="shared" si="367"/>
        <v>SPC 없음</v>
      </c>
      <c r="O1118" s="471"/>
      <c r="P1118" s="476"/>
      <c r="Q1118" s="477"/>
      <c r="R1118" s="478"/>
      <c r="S1118" s="479" t="str">
        <f t="shared" si="368"/>
        <v>SPC 없음</v>
      </c>
      <c r="T1118" s="471"/>
      <c r="U1118" s="471" t="s">
        <v>94</v>
      </c>
      <c r="V1118" s="480">
        <f>IF(U1118="한국 원화(KRW)",1,IF(OR(U1118=환율!$A$6,U1118=환율!$A$7),VLOOKUP(NAV!U1118,환율!$A$6:$B$7,2,),IF(RIGHT(U1118,5)="(100)",(VLOOKUP(NAV!U1118,환율!$A$11:$B$65,2,))/100,VLOOKUP(NAV!U1118,환율!$A$11:$B$65,2,))))</f>
        <v>1</v>
      </c>
      <c r="W1118" s="481"/>
      <c r="X1118" s="482">
        <f t="shared" si="369"/>
        <v>0</v>
      </c>
      <c r="Y1118" s="481"/>
      <c r="Z1118" s="481"/>
      <c r="AA1118" s="483">
        <f t="shared" si="370"/>
        <v>0</v>
      </c>
      <c r="AE1118" s="484" t="str">
        <f t="shared" si="371"/>
        <v>SPC 없음</v>
      </c>
      <c r="AF1118" s="484" t="str">
        <f t="shared" si="372"/>
        <v>SPC 없음</v>
      </c>
      <c r="AG1118" s="485"/>
      <c r="AH1118" s="485"/>
      <c r="AI1118" s="404"/>
    </row>
    <row r="1119" spans="1:35" ht="12.75" thickBot="1">
      <c r="A1119" s="415"/>
      <c r="B1119" s="415"/>
      <c r="C1119" s="486" t="s">
        <v>34</v>
      </c>
      <c r="D1119" s="487">
        <f>SUMIF(FS!$AG$89:$AG$119,개요!$B$357&amp;RIGHT(NAV!C1119,4),FS!$AJ$89:$AJ$119)</f>
        <v>0</v>
      </c>
      <c r="E1119" s="487">
        <f>D1119</f>
        <v>0</v>
      </c>
      <c r="J1119" s="476"/>
      <c r="K1119" s="472"/>
      <c r="L1119" s="473" t="str">
        <f>IF($J1119="","SPC 없음",VLOOKUP($J1119&amp;"SPC명",개요!$A$3:$E$1932,3,0))</f>
        <v>SPC 없음</v>
      </c>
      <c r="M1119" s="474" t="str">
        <f>IF($J1119="","SPC 없음",VLOOKUP($J1119&amp;"설정일",개요!$A$3:$E$1932,3,0))</f>
        <v>SPC 없음</v>
      </c>
      <c r="N1119" s="475" t="str">
        <f t="shared" si="367"/>
        <v>SPC 없음</v>
      </c>
      <c r="O1119" s="471"/>
      <c r="P1119" s="476"/>
      <c r="Q1119" s="477"/>
      <c r="R1119" s="478"/>
      <c r="S1119" s="479" t="str">
        <f t="shared" si="368"/>
        <v>SPC 없음</v>
      </c>
      <c r="T1119" s="471"/>
      <c r="U1119" s="471" t="s">
        <v>94</v>
      </c>
      <c r="V1119" s="480">
        <f>IF(U1119="한국 원화(KRW)",1,IF(OR(U1119=환율!$A$6,U1119=환율!$A$7),VLOOKUP(NAV!U1119,환율!$A$6:$B$7,2,),IF(RIGHT(U1119,5)="(100)",(VLOOKUP(NAV!U1119,환율!$A$11:$B$65,2,))/100,VLOOKUP(NAV!U1119,환율!$A$11:$B$65,2,))))</f>
        <v>1</v>
      </c>
      <c r="W1119" s="481"/>
      <c r="X1119" s="482">
        <f t="shared" si="369"/>
        <v>0</v>
      </c>
      <c r="Y1119" s="481"/>
      <c r="Z1119" s="481"/>
      <c r="AA1119" s="483">
        <f t="shared" si="370"/>
        <v>0</v>
      </c>
      <c r="AE1119" s="484" t="str">
        <f t="shared" si="371"/>
        <v>SPC 없음</v>
      </c>
      <c r="AF1119" s="484" t="str">
        <f t="shared" si="372"/>
        <v>SPC 없음</v>
      </c>
      <c r="AG1119" s="485"/>
      <c r="AH1119" s="485"/>
      <c r="AI1119" s="404"/>
    </row>
    <row r="1120" spans="1:35" ht="12.75" thickBot="1">
      <c r="A1120" s="489" t="s">
        <v>389</v>
      </c>
      <c r="B1120" s="490" t="b">
        <f>SUM(W1117:W1122,W1125:W1135)=D1120</f>
        <v>1</v>
      </c>
      <c r="C1120" s="468" t="s">
        <v>17</v>
      </c>
      <c r="D1120" s="469">
        <f>SUMIF(FS!$AG$89:$AG$119,개요!$B$357&amp;RIGHT(NAV!C1120,4),FS!$AJ$89:$AJ$119)</f>
        <v>0</v>
      </c>
      <c r="E1120" s="469">
        <f>SUM(S1117:S1122)+SUM(S1125:S1135)</f>
        <v>0</v>
      </c>
      <c r="J1120" s="476"/>
      <c r="K1120" s="472"/>
      <c r="L1120" s="473" t="str">
        <f>IF($J1120="","SPC 없음",VLOOKUP($J1120&amp;"SPC명",개요!$A$3:$E$1932,3,0))</f>
        <v>SPC 없음</v>
      </c>
      <c r="M1120" s="474" t="str">
        <f>IF($J1120="","SPC 없음",VLOOKUP($J1120&amp;"설정일",개요!$A$3:$E$1932,3,0))</f>
        <v>SPC 없음</v>
      </c>
      <c r="N1120" s="475" t="str">
        <f t="shared" si="367"/>
        <v>SPC 없음</v>
      </c>
      <c r="O1120" s="471"/>
      <c r="P1120" s="476"/>
      <c r="Q1120" s="477"/>
      <c r="R1120" s="478"/>
      <c r="S1120" s="479" t="str">
        <f t="shared" si="368"/>
        <v>SPC 없음</v>
      </c>
      <c r="T1120" s="471"/>
      <c r="U1120" s="471" t="s">
        <v>94</v>
      </c>
      <c r="V1120" s="480">
        <f>IF(U1120="한국 원화(KRW)",1,IF(OR(U1120=환율!$A$6,U1120=환율!$A$7),VLOOKUP(NAV!U1120,환율!$A$6:$B$7,2,),IF(RIGHT(U1120,5)="(100)",(VLOOKUP(NAV!U1120,환율!$A$11:$B$65,2,))/100,VLOOKUP(NAV!U1120,환율!$A$11:$B$65,2,))))</f>
        <v>1</v>
      </c>
      <c r="W1120" s="481"/>
      <c r="X1120" s="482">
        <f t="shared" si="369"/>
        <v>0</v>
      </c>
      <c r="Y1120" s="481"/>
      <c r="Z1120" s="481"/>
      <c r="AA1120" s="483">
        <f t="shared" si="370"/>
        <v>0</v>
      </c>
      <c r="AE1120" s="484" t="str">
        <f t="shared" si="371"/>
        <v>SPC 없음</v>
      </c>
      <c r="AF1120" s="484" t="str">
        <f t="shared" si="372"/>
        <v>SPC 없음</v>
      </c>
      <c r="AG1120" s="485"/>
      <c r="AH1120" s="485"/>
      <c r="AI1120" s="404"/>
    </row>
    <row r="1121" spans="1:35" ht="12.75" thickBot="1">
      <c r="A1121" s="492" t="s">
        <v>391</v>
      </c>
      <c r="B1121" s="415" t="b">
        <f>D1118+D1119+D1120=D1121</f>
        <v>1</v>
      </c>
      <c r="C1121" s="493" t="s">
        <v>479</v>
      </c>
      <c r="D1121" s="494">
        <f>D1117+D1120</f>
        <v>0</v>
      </c>
      <c r="E1121" s="494">
        <f>E1117+E1120</f>
        <v>0</v>
      </c>
      <c r="J1121" s="476"/>
      <c r="K1121" s="472"/>
      <c r="L1121" s="473" t="str">
        <f>IF($J1121="","SPC 없음",VLOOKUP($J1121&amp;"SPC명",개요!$A$3:$E$1932,3,0))</f>
        <v>SPC 없음</v>
      </c>
      <c r="M1121" s="474" t="str">
        <f>IF($J1121="","SPC 없음",VLOOKUP($J1121&amp;"설정일",개요!$A$3:$E$1932,3,0))</f>
        <v>SPC 없음</v>
      </c>
      <c r="N1121" s="475" t="str">
        <f t="shared" si="367"/>
        <v>SPC 없음</v>
      </c>
      <c r="O1121" s="471"/>
      <c r="P1121" s="476"/>
      <c r="Q1121" s="477"/>
      <c r="R1121" s="478"/>
      <c r="S1121" s="479" t="str">
        <f t="shared" si="368"/>
        <v>SPC 없음</v>
      </c>
      <c r="T1121" s="471"/>
      <c r="U1121" s="471" t="s">
        <v>94</v>
      </c>
      <c r="V1121" s="480">
        <f>IF(U1121="한국 원화(KRW)",1,IF(OR(U1121=환율!$A$6,U1121=환율!$A$7),VLOOKUP(NAV!U1121,환율!$A$6:$B$7,2,),IF(RIGHT(U1121,5)="(100)",(VLOOKUP(NAV!U1121,환율!$A$11:$B$65,2,))/100,VLOOKUP(NAV!U1121,환율!$A$11:$B$65,2,))))</f>
        <v>1</v>
      </c>
      <c r="W1121" s="481"/>
      <c r="X1121" s="482">
        <f t="shared" si="369"/>
        <v>0</v>
      </c>
      <c r="Y1121" s="481"/>
      <c r="Z1121" s="481"/>
      <c r="AA1121" s="483">
        <f t="shared" si="370"/>
        <v>0</v>
      </c>
      <c r="AE1121" s="484" t="str">
        <f t="shared" si="371"/>
        <v>SPC 없음</v>
      </c>
      <c r="AF1121" s="484" t="str">
        <f t="shared" si="372"/>
        <v>SPC 없음</v>
      </c>
      <c r="AG1121" s="485"/>
      <c r="AH1121" s="485"/>
      <c r="AI1121" s="404"/>
    </row>
    <row r="1122" spans="1:35" ht="12.75" thickBot="1">
      <c r="A1122" s="492"/>
      <c r="B1122" s="496"/>
      <c r="C1122" s="468" t="s">
        <v>18</v>
      </c>
      <c r="D1122" s="469">
        <f>SUM(D1123:D1126)</f>
        <v>0</v>
      </c>
      <c r="E1122" s="469">
        <f>SUM(E1123:E1126)</f>
        <v>0</v>
      </c>
      <c r="J1122" s="476"/>
      <c r="K1122" s="472"/>
      <c r="L1122" s="473" t="str">
        <f>IF($J1122="","SPC 없음",VLOOKUP($J1122&amp;"SPC명",개요!$A$3:$E$1932,3,0))</f>
        <v>SPC 없음</v>
      </c>
      <c r="M1122" s="474" t="str">
        <f>IF($J1122="","SPC 없음",VLOOKUP($J1122&amp;"설정일",개요!$A$3:$E$1932,3,0))</f>
        <v>SPC 없음</v>
      </c>
      <c r="N1122" s="475" t="str">
        <f t="shared" si="367"/>
        <v>SPC 없음</v>
      </c>
      <c r="O1122" s="471"/>
      <c r="P1122" s="476"/>
      <c r="Q1122" s="477"/>
      <c r="R1122" s="478"/>
      <c r="S1122" s="479" t="str">
        <f t="shared" si="368"/>
        <v>SPC 없음</v>
      </c>
      <c r="T1122" s="471"/>
      <c r="U1122" s="471" t="s">
        <v>94</v>
      </c>
      <c r="V1122" s="480">
        <f>IF(U1122="한국 원화(KRW)",1,IF(OR(U1122=환율!$A$6,U1122=환율!$A$7),VLOOKUP(NAV!U1122,환율!$A$6:$B$7,2,),IF(RIGHT(U1122,5)="(100)",(VLOOKUP(NAV!U1122,환율!$A$11:$B$65,2,))/100,VLOOKUP(NAV!U1122,환율!$A$11:$B$65,2,))))</f>
        <v>1</v>
      </c>
      <c r="W1122" s="481"/>
      <c r="X1122" s="482">
        <f t="shared" si="369"/>
        <v>0</v>
      </c>
      <c r="Y1122" s="481"/>
      <c r="Z1122" s="481"/>
      <c r="AA1122" s="483">
        <f t="shared" si="370"/>
        <v>0</v>
      </c>
      <c r="AE1122" s="484" t="str">
        <f t="shared" si="371"/>
        <v>SPC 없음</v>
      </c>
      <c r="AF1122" s="484" t="str">
        <f t="shared" si="372"/>
        <v>SPC 없음</v>
      </c>
      <c r="AG1122" s="485"/>
      <c r="AH1122" s="485"/>
      <c r="AI1122" s="404"/>
    </row>
    <row r="1123" spans="1:35">
      <c r="A1123" s="492"/>
      <c r="B1123" s="496"/>
      <c r="C1123" s="486" t="s">
        <v>392</v>
      </c>
      <c r="D1123" s="487">
        <f>SUMIF(FS!$AG$89:$AG$119,개요!$B$357&amp;RIGHT(NAV!C1123,5),FS!$AJ$89:$AJ$119)</f>
        <v>0</v>
      </c>
      <c r="E1123" s="487">
        <f>D1123</f>
        <v>0</v>
      </c>
      <c r="J1123" s="428" t="s">
        <v>276</v>
      </c>
      <c r="K1123" s="573"/>
      <c r="L1123" s="305"/>
      <c r="M1123" s="415"/>
      <c r="N1123" s="415"/>
      <c r="O1123" s="415"/>
      <c r="P1123" s="415"/>
      <c r="Q1123" s="422"/>
      <c r="R1123" s="415"/>
      <c r="S1123" s="415"/>
      <c r="T1123" s="415"/>
      <c r="U1123" s="415"/>
      <c r="W1123" s="517" t="b">
        <f>SUM(W1125:W1135)+SUM(W1117:W1122)=D1120</f>
        <v>1</v>
      </c>
      <c r="X1123" s="415"/>
      <c r="Y1123" s="422"/>
      <c r="Z1123" s="422"/>
      <c r="AA1123" s="459" t="str">
        <f>IF(OR(MAX(AA1117:AA1122,AA1125:AA1135)&gt;0.2,MIN(AA1117:AA1122,AA1125:AA1135)&lt;-0.2),"특이사항 확인","특이사항 없음")</f>
        <v>특이사항 없음</v>
      </c>
      <c r="AB1123" s="415"/>
      <c r="AF1123" s="415"/>
      <c r="AG1123" s="415"/>
      <c r="AI1123" s="404"/>
    </row>
    <row r="1124" spans="1:35" ht="12.75" thickBot="1">
      <c r="A1124" s="492"/>
      <c r="B1124" s="496"/>
      <c r="C1124" s="486" t="s">
        <v>36</v>
      </c>
      <c r="D1124" s="487">
        <f>SUMIF(FS!$AG$89:$AG$119,개요!$B$357&amp;RIGHT(NAV!C1124,3),FS!$AJ$89:$AJ$119)</f>
        <v>0</v>
      </c>
      <c r="E1124" s="487">
        <f t="shared" ref="E1124:E1125" si="373">D1124</f>
        <v>0</v>
      </c>
      <c r="I1124" s="518">
        <f>COUNTA(J1125:J1135)</f>
        <v>0</v>
      </c>
      <c r="J1124" s="548" t="s">
        <v>265</v>
      </c>
      <c r="K1124" s="548" t="s">
        <v>0</v>
      </c>
      <c r="L1124" s="548" t="s">
        <v>395</v>
      </c>
      <c r="M1124" s="548" t="s">
        <v>83</v>
      </c>
      <c r="N1124" s="548" t="s">
        <v>397</v>
      </c>
      <c r="O1124" s="548" t="s">
        <v>221</v>
      </c>
      <c r="P1124" s="548" t="s">
        <v>380</v>
      </c>
      <c r="Q1124" s="519" t="s">
        <v>14</v>
      </c>
      <c r="R1124" s="466" t="s">
        <v>299</v>
      </c>
      <c r="S1124" s="466" t="s">
        <v>3525</v>
      </c>
      <c r="T1124" s="549" t="s">
        <v>12</v>
      </c>
      <c r="U1124" s="548" t="s">
        <v>72</v>
      </c>
      <c r="V1124" s="548" t="s">
        <v>400</v>
      </c>
      <c r="W1124" s="550" t="s">
        <v>10</v>
      </c>
      <c r="X1124" s="549" t="s">
        <v>42</v>
      </c>
      <c r="Y1124" s="550" t="s">
        <v>300</v>
      </c>
      <c r="Z1124" s="550" t="s">
        <v>3523</v>
      </c>
      <c r="AA1124" s="548" t="s">
        <v>13</v>
      </c>
      <c r="AB1124" s="548" t="s">
        <v>15</v>
      </c>
      <c r="AC1124" s="548" t="s">
        <v>40</v>
      </c>
      <c r="AE1124" s="467" t="s">
        <v>3627</v>
      </c>
      <c r="AF1124" s="467" t="s">
        <v>3628</v>
      </c>
      <c r="AG1124" s="467" t="s">
        <v>3629</v>
      </c>
      <c r="AH1124" s="467" t="s">
        <v>3630</v>
      </c>
      <c r="AI1124" s="404"/>
    </row>
    <row r="1125" spans="1:35" ht="12.75" thickBot="1">
      <c r="A1125" s="492"/>
      <c r="B1125" s="496"/>
      <c r="C1125" s="486" t="s">
        <v>37</v>
      </c>
      <c r="D1125" s="487">
        <f>SUMIF(FS!$AG$89:$AG$119,개요!$B$357&amp;RIGHT(NAV!C1125,6),FS!$AJ$89:$AJ$119)</f>
        <v>0</v>
      </c>
      <c r="E1125" s="487">
        <f t="shared" si="373"/>
        <v>0</v>
      </c>
      <c r="J1125" s="551"/>
      <c r="K1125" s="552"/>
      <c r="L1125" s="551"/>
      <c r="M1125" s="553"/>
      <c r="N1125" s="553"/>
      <c r="O1125" s="551"/>
      <c r="P1125" s="553"/>
      <c r="Q1125" s="524"/>
      <c r="R1125" s="478">
        <f>IFERROR(INDEX(기초자산!M$6:M$408,MATCH(K1125&amp;N1125&amp;O1125,기초자산!$A$6:$A$408,0),0),0)</f>
        <v>0</v>
      </c>
      <c r="S1125" s="479">
        <f t="shared" ref="S1125:S1135" si="374">IFERROR(IF(T1125="취득원가 준용",Y1125,IF(T1125="장부가액 준용",W1125,IF(P1125="주당",R1125*Q1125*V1125,IF(RIGHT(U1125,5)="(100)",Y1125/1000*R1125*V1125,Y1125/10000*R1125*V1125)))),0)</f>
        <v>0</v>
      </c>
      <c r="T1125" s="553"/>
      <c r="U1125" s="471" t="s">
        <v>94</v>
      </c>
      <c r="V1125" s="480">
        <f>IF(U1125="한국 원화(KRW)",1,IF(OR(U1125=환율!$A$6,U1125=환율!$A$7),VLOOKUP(NAV!U1125,환율!$A$6:$B$7,2,),IF(RIGHT(U1125,5)="(100)",(VLOOKUP(NAV!U1125,환율!$A$11:$B$65,2,))/100,VLOOKUP(NAV!U1125,환율!$A$11:$B$65,2,))))</f>
        <v>1</v>
      </c>
      <c r="W1125" s="481"/>
      <c r="X1125" s="482">
        <f t="shared" ref="X1125:X1135" si="375">IFERROR(IF(P1125="만원당",10000,Y1125/Q1125),0)</f>
        <v>0</v>
      </c>
      <c r="Y1125" s="481"/>
      <c r="Z1125" s="481"/>
      <c r="AA1125" s="483">
        <f t="shared" ref="AA1125:AA1135" si="376">IFERROR(IF(Z1125="",S1125/W1125-1,S1125/Z1125-1),0)</f>
        <v>0</v>
      </c>
      <c r="AB1125" s="554"/>
      <c r="AC1125" s="526" t="str">
        <f t="shared" ref="AC1125:AC1135" si="377">IF(($C$7-AB1125)/365&gt;2,"2년이상","2년미만")</f>
        <v>2년이상</v>
      </c>
      <c r="AD1125" s="520" t="str">
        <f t="shared" ref="AD1125:AD1135" si="378">IF(OR(AA1125&gt;20%,AA1125&lt;-20%),"(1) Note 기재","")</f>
        <v/>
      </c>
      <c r="AE1125" s="527">
        <f>IF(OR(T1125="MTP",T1125="과거거래 이용법",T1125="취득원가 준용",T1125="장부가액 준용",T1125="상장종가 적용"),S1125,IF(P1125="주당",AG1125*Q1125*V1125,Y1125/10000*AG1125*V1125))</f>
        <v>0</v>
      </c>
      <c r="AF1125" s="527">
        <f>IF(OR(T1125="MTP",T1125="과거거래 이용법",T1125="취득원가 준용",T1125="장부가액 준용",T1125="상장종가 적용"),S1125,IF(P1125="주당",AH1125*Q1125*V1125,Y1125/10000*AH1125*V1125))</f>
        <v>0</v>
      </c>
      <c r="AG1125" s="485"/>
      <c r="AH1125" s="485"/>
      <c r="AI1125" s="404"/>
    </row>
    <row r="1126" spans="1:35" ht="12.75" thickBot="1">
      <c r="A1126" s="492"/>
      <c r="B1126" s="496"/>
      <c r="C1126" s="486" t="s">
        <v>405</v>
      </c>
      <c r="D1126" s="487">
        <f>SUMIF(FS!$AG$89:$AG$119,개요!$B$357&amp;RIGHT(NAV!C1126,7),FS!$AJ$89:$AJ$119)</f>
        <v>0</v>
      </c>
      <c r="E1126" s="487">
        <f>D1126</f>
        <v>0</v>
      </c>
      <c r="J1126" s="551"/>
      <c r="K1126" s="552"/>
      <c r="L1126" s="551"/>
      <c r="M1126" s="553"/>
      <c r="N1126" s="553"/>
      <c r="O1126" s="551"/>
      <c r="P1126" s="553"/>
      <c r="Q1126" s="524"/>
      <c r="R1126" s="478">
        <f>IFERROR(INDEX(기초자산!M$6:M$408,MATCH(K1126&amp;N1126&amp;O1126,기초자산!$A$6:$A$408,0),0),0)</f>
        <v>0</v>
      </c>
      <c r="S1126" s="479">
        <f t="shared" si="374"/>
        <v>0</v>
      </c>
      <c r="T1126" s="553"/>
      <c r="U1126" s="471" t="s">
        <v>94</v>
      </c>
      <c r="V1126" s="480">
        <f>IF(U1126="한국 원화(KRW)",1,IF(OR(U1126=환율!$A$6,U1126=환율!$A$7),VLOOKUP(NAV!U1126,환율!$A$6:$B$7,2,),IF(RIGHT(U1126,5)="(100)",(VLOOKUP(NAV!U1126,환율!$A$11:$B$65,2,))/100,VLOOKUP(NAV!U1126,환율!$A$11:$B$65,2,))))</f>
        <v>1</v>
      </c>
      <c r="W1126" s="481"/>
      <c r="X1126" s="482">
        <f t="shared" si="375"/>
        <v>0</v>
      </c>
      <c r="Y1126" s="481"/>
      <c r="Z1126" s="481"/>
      <c r="AA1126" s="483">
        <f t="shared" si="376"/>
        <v>0</v>
      </c>
      <c r="AB1126" s="554"/>
      <c r="AC1126" s="526" t="str">
        <f t="shared" si="377"/>
        <v>2년이상</v>
      </c>
      <c r="AD1126" s="520" t="str">
        <f t="shared" si="378"/>
        <v/>
      </c>
      <c r="AE1126" s="527">
        <f t="shared" ref="AE1126:AE1135" si="379">IF(OR(T1126="MTP",T1126="과거거래 이용법",T1126="취득원가 준용",T1126="장부가액 준용",T1126="상장종가 적용"),S1126,IF(P1126="주당",AG1126*Q1126*V1126,Y1126/10000*AG1126*V1126))</f>
        <v>0</v>
      </c>
      <c r="AF1126" s="527">
        <f t="shared" ref="AF1126:AF1135" si="380">IF(OR(T1126="MTP",T1126="과거거래 이용법",T1126="취득원가 준용",T1126="장부가액 준용",T1126="상장종가 적용"),S1126,IF(P1126="주당",AH1126*Q1126*V1126,Y1126/10000*AH1126*V1126))</f>
        <v>0</v>
      </c>
      <c r="AG1126" s="485"/>
      <c r="AH1126" s="485"/>
      <c r="AI1126" s="404"/>
    </row>
    <row r="1127" spans="1:35" ht="12.75" thickBot="1">
      <c r="A1127" s="492"/>
      <c r="B1127" s="496"/>
      <c r="C1127" s="468" t="s">
        <v>21</v>
      </c>
      <c r="D1127" s="469">
        <f>SUM(D1128:D1129)</f>
        <v>0</v>
      </c>
      <c r="E1127" s="469">
        <f>SUM(E1128:E1129)</f>
        <v>0</v>
      </c>
      <c r="J1127" s="551"/>
      <c r="K1127" s="552"/>
      <c r="L1127" s="551"/>
      <c r="M1127" s="553"/>
      <c r="N1127" s="553"/>
      <c r="O1127" s="551"/>
      <c r="P1127" s="553"/>
      <c r="Q1127" s="524"/>
      <c r="R1127" s="478">
        <f>IFERROR(INDEX(기초자산!M$6:M$408,MATCH(K1127&amp;N1127&amp;O1127,기초자산!$A$6:$A$408,0),0),0)</f>
        <v>0</v>
      </c>
      <c r="S1127" s="479">
        <f t="shared" si="374"/>
        <v>0</v>
      </c>
      <c r="T1127" s="553"/>
      <c r="U1127" s="471" t="s">
        <v>94</v>
      </c>
      <c r="V1127" s="480">
        <f>IF(U1127="한국 원화(KRW)",1,IF(OR(U1127=환율!$A$6,U1127=환율!$A$7),VLOOKUP(NAV!U1127,환율!$A$6:$B$7,2,),IF(RIGHT(U1127,5)="(100)",(VLOOKUP(NAV!U1127,환율!$A$11:$B$65,2,))/100,VLOOKUP(NAV!U1127,환율!$A$11:$B$65,2,))))</f>
        <v>1</v>
      </c>
      <c r="W1127" s="481"/>
      <c r="X1127" s="482">
        <f t="shared" si="375"/>
        <v>0</v>
      </c>
      <c r="Y1127" s="481"/>
      <c r="Z1127" s="481"/>
      <c r="AA1127" s="483">
        <f t="shared" si="376"/>
        <v>0</v>
      </c>
      <c r="AB1127" s="554"/>
      <c r="AC1127" s="526" t="str">
        <f t="shared" si="377"/>
        <v>2년이상</v>
      </c>
      <c r="AD1127" s="520" t="str">
        <f t="shared" si="378"/>
        <v/>
      </c>
      <c r="AE1127" s="527">
        <f t="shared" si="379"/>
        <v>0</v>
      </c>
      <c r="AF1127" s="527">
        <f t="shared" si="380"/>
        <v>0</v>
      </c>
      <c r="AG1127" s="485"/>
      <c r="AH1127" s="485"/>
      <c r="AI1127" s="404"/>
    </row>
    <row r="1128" spans="1:35" ht="12.75" thickBot="1">
      <c r="A1128" s="492"/>
      <c r="B1128" s="496"/>
      <c r="C1128" s="486" t="s">
        <v>406</v>
      </c>
      <c r="D1128" s="487">
        <f>SUMIF(FS!$AG$89:$AG$119,개요!$B$357&amp;RIGHT(NAV!C1128,3),FS!$AJ$89:$AJ$119)</f>
        <v>0</v>
      </c>
      <c r="E1128" s="487">
        <f>D1128</f>
        <v>0</v>
      </c>
      <c r="J1128" s="551"/>
      <c r="K1128" s="552"/>
      <c r="L1128" s="551"/>
      <c r="M1128" s="553"/>
      <c r="N1128" s="553"/>
      <c r="O1128" s="551"/>
      <c r="P1128" s="553"/>
      <c r="Q1128" s="524"/>
      <c r="R1128" s="478">
        <f>IFERROR(INDEX(기초자산!M$6:M$408,MATCH(K1128&amp;N1128&amp;O1128,기초자산!$A$6:$A$408,0),0),0)</f>
        <v>0</v>
      </c>
      <c r="S1128" s="479">
        <f t="shared" si="374"/>
        <v>0</v>
      </c>
      <c r="T1128" s="553"/>
      <c r="U1128" s="471" t="s">
        <v>94</v>
      </c>
      <c r="V1128" s="480">
        <f>IF(U1128="한국 원화(KRW)",1,IF(OR(U1128=환율!$A$6,U1128=환율!$A$7),VLOOKUP(NAV!U1128,환율!$A$6:$B$7,2,),IF(RIGHT(U1128,5)="(100)",(VLOOKUP(NAV!U1128,환율!$A$11:$B$65,2,))/100,VLOOKUP(NAV!U1128,환율!$A$11:$B$65,2,))))</f>
        <v>1</v>
      </c>
      <c r="W1128" s="481"/>
      <c r="X1128" s="482">
        <f t="shared" si="375"/>
        <v>0</v>
      </c>
      <c r="Y1128" s="481"/>
      <c r="Z1128" s="481"/>
      <c r="AA1128" s="483">
        <f t="shared" si="376"/>
        <v>0</v>
      </c>
      <c r="AB1128" s="554"/>
      <c r="AC1128" s="526" t="str">
        <f t="shared" si="377"/>
        <v>2년이상</v>
      </c>
      <c r="AD1128" s="520" t="str">
        <f t="shared" si="378"/>
        <v/>
      </c>
      <c r="AE1128" s="527">
        <f t="shared" si="379"/>
        <v>0</v>
      </c>
      <c r="AF1128" s="527">
        <f t="shared" si="380"/>
        <v>0</v>
      </c>
      <c r="AG1128" s="485"/>
      <c r="AH1128" s="485"/>
      <c r="AI1128" s="404"/>
    </row>
    <row r="1129" spans="1:35" ht="12.75" thickBot="1">
      <c r="A1129" s="492"/>
      <c r="B1129" s="496"/>
      <c r="C1129" s="486" t="s">
        <v>407</v>
      </c>
      <c r="D1129" s="487">
        <f>SUMIF(FS!$AG$89:$AG$119,개요!$B$357&amp;RIGHT(NAV!C1129,4),FS!$AJ$89:$AJ$119)</f>
        <v>0</v>
      </c>
      <c r="E1129" s="487">
        <f>D1129</f>
        <v>0</v>
      </c>
      <c r="J1129" s="551"/>
      <c r="K1129" s="552"/>
      <c r="L1129" s="551"/>
      <c r="M1129" s="553"/>
      <c r="N1129" s="553"/>
      <c r="O1129" s="551"/>
      <c r="P1129" s="553"/>
      <c r="Q1129" s="524"/>
      <c r="R1129" s="478">
        <f>IFERROR(INDEX(기초자산!M$6:M$408,MATCH(K1129&amp;N1129&amp;O1129,기초자산!$A$6:$A$408,0),0),0)</f>
        <v>0</v>
      </c>
      <c r="S1129" s="479">
        <f t="shared" si="374"/>
        <v>0</v>
      </c>
      <c r="T1129" s="553"/>
      <c r="U1129" s="471" t="s">
        <v>94</v>
      </c>
      <c r="V1129" s="480">
        <f>IF(U1129="한국 원화(KRW)",1,IF(OR(U1129=환율!$A$6,U1129=환율!$A$7),VLOOKUP(NAV!U1129,환율!$A$6:$B$7,2,),IF(RIGHT(U1129,5)="(100)",(VLOOKUP(NAV!U1129,환율!$A$11:$B$65,2,))/100,VLOOKUP(NAV!U1129,환율!$A$11:$B$65,2,))))</f>
        <v>1</v>
      </c>
      <c r="W1129" s="481"/>
      <c r="X1129" s="482">
        <f t="shared" si="375"/>
        <v>0</v>
      </c>
      <c r="Y1129" s="481"/>
      <c r="Z1129" s="481"/>
      <c r="AA1129" s="483">
        <f t="shared" si="376"/>
        <v>0</v>
      </c>
      <c r="AB1129" s="554"/>
      <c r="AC1129" s="526" t="str">
        <f t="shared" si="377"/>
        <v>2년이상</v>
      </c>
      <c r="AD1129" s="520" t="str">
        <f t="shared" si="378"/>
        <v/>
      </c>
      <c r="AE1129" s="527">
        <f t="shared" si="379"/>
        <v>0</v>
      </c>
      <c r="AF1129" s="527">
        <f t="shared" si="380"/>
        <v>0</v>
      </c>
      <c r="AG1129" s="485"/>
      <c r="AH1129" s="485"/>
      <c r="AI1129" s="404"/>
    </row>
    <row r="1130" spans="1:35" ht="12.75" thickBot="1">
      <c r="A1130" s="489" t="s">
        <v>408</v>
      </c>
      <c r="B1130" s="498" t="b">
        <f>D1123+D1124+D1125+D1126+D1128+D1129=D1130</f>
        <v>1</v>
      </c>
      <c r="C1130" s="493" t="s">
        <v>477</v>
      </c>
      <c r="D1130" s="494">
        <f>D1122+D1127</f>
        <v>0</v>
      </c>
      <c r="E1130" s="494">
        <f>E1122+E1127</f>
        <v>0</v>
      </c>
      <c r="J1130" s="551"/>
      <c r="K1130" s="552"/>
      <c r="L1130" s="551"/>
      <c r="M1130" s="553"/>
      <c r="N1130" s="553"/>
      <c r="O1130" s="551"/>
      <c r="P1130" s="553"/>
      <c r="Q1130" s="524"/>
      <c r="R1130" s="478">
        <f>IFERROR(INDEX(기초자산!M$6:M$408,MATCH(K1130&amp;N1130&amp;O1130,기초자산!$A$6:$A$408,0),0),0)</f>
        <v>0</v>
      </c>
      <c r="S1130" s="479">
        <f t="shared" si="374"/>
        <v>0</v>
      </c>
      <c r="T1130" s="553"/>
      <c r="U1130" s="471" t="s">
        <v>94</v>
      </c>
      <c r="V1130" s="480">
        <f>IF(U1130="한국 원화(KRW)",1,IF(OR(U1130=환율!$A$6,U1130=환율!$A$7),VLOOKUP(NAV!U1130,환율!$A$6:$B$7,2,),IF(RIGHT(U1130,5)="(100)",(VLOOKUP(NAV!U1130,환율!$A$11:$B$65,2,))/100,VLOOKUP(NAV!U1130,환율!$A$11:$B$65,2,))))</f>
        <v>1</v>
      </c>
      <c r="W1130" s="481"/>
      <c r="X1130" s="482">
        <f t="shared" si="375"/>
        <v>0</v>
      </c>
      <c r="Y1130" s="481"/>
      <c r="Z1130" s="481"/>
      <c r="AA1130" s="483">
        <f t="shared" si="376"/>
        <v>0</v>
      </c>
      <c r="AB1130" s="554"/>
      <c r="AC1130" s="526" t="str">
        <f t="shared" si="377"/>
        <v>2년이상</v>
      </c>
      <c r="AD1130" s="520" t="str">
        <f t="shared" si="378"/>
        <v/>
      </c>
      <c r="AE1130" s="527">
        <f t="shared" si="379"/>
        <v>0</v>
      </c>
      <c r="AF1130" s="527">
        <f t="shared" si="380"/>
        <v>0</v>
      </c>
      <c r="AG1130" s="485"/>
      <c r="AH1130" s="485"/>
      <c r="AI1130" s="404"/>
    </row>
    <row r="1131" spans="1:35" ht="12.75" thickBot="1">
      <c r="A1131" s="492"/>
      <c r="B1131" s="555" t="str">
        <f>B1111&amp;C1131</f>
        <v>SPC없음자본금</v>
      </c>
      <c r="C1131" s="486" t="s">
        <v>35</v>
      </c>
      <c r="D1131" s="487">
        <f>SUMIF(FS!$AG$89:$AG$119,개요!$B$357&amp;RIGHT(NAV!C1131,3),FS!$AJ$89:$AJ$119)</f>
        <v>0</v>
      </c>
      <c r="E1131" s="487">
        <f>D1131</f>
        <v>0</v>
      </c>
      <c r="J1131" s="551"/>
      <c r="K1131" s="552"/>
      <c r="L1131" s="551"/>
      <c r="M1131" s="553"/>
      <c r="N1131" s="553"/>
      <c r="O1131" s="551"/>
      <c r="P1131" s="553"/>
      <c r="Q1131" s="524"/>
      <c r="R1131" s="478">
        <f>IFERROR(INDEX(기초자산!M$6:M$408,MATCH(K1131&amp;N1131&amp;O1131,기초자산!$A$6:$A$408,0),0),0)</f>
        <v>0</v>
      </c>
      <c r="S1131" s="479">
        <f t="shared" si="374"/>
        <v>0</v>
      </c>
      <c r="T1131" s="553"/>
      <c r="U1131" s="471" t="s">
        <v>94</v>
      </c>
      <c r="V1131" s="480">
        <f>IF(U1131="한국 원화(KRW)",1,IF(OR(U1131=환율!$A$6,U1131=환율!$A$7),VLOOKUP(NAV!U1131,환율!$A$6:$B$7,2,),IF(RIGHT(U1131,5)="(100)",(VLOOKUP(NAV!U1131,환율!$A$11:$B$65,2,))/100,VLOOKUP(NAV!U1131,환율!$A$11:$B$65,2,))))</f>
        <v>1</v>
      </c>
      <c r="W1131" s="481"/>
      <c r="X1131" s="482">
        <f t="shared" si="375"/>
        <v>0</v>
      </c>
      <c r="Y1131" s="481"/>
      <c r="Z1131" s="481"/>
      <c r="AA1131" s="483">
        <f t="shared" si="376"/>
        <v>0</v>
      </c>
      <c r="AB1131" s="554"/>
      <c r="AC1131" s="526" t="str">
        <f t="shared" si="377"/>
        <v>2년이상</v>
      </c>
      <c r="AD1131" s="520" t="str">
        <f t="shared" si="378"/>
        <v/>
      </c>
      <c r="AE1131" s="527">
        <f t="shared" si="379"/>
        <v>0</v>
      </c>
      <c r="AF1131" s="527">
        <f t="shared" si="380"/>
        <v>0</v>
      </c>
      <c r="AG1131" s="485"/>
      <c r="AH1131" s="485"/>
      <c r="AI1131" s="404"/>
    </row>
    <row r="1132" spans="1:35" ht="12.75" thickBot="1">
      <c r="C1132" s="486" t="s">
        <v>120</v>
      </c>
      <c r="D1132" s="487">
        <f>SUMIF(FS!$AG$89:$AG$119,개요!$B$357&amp;RIGHT(NAV!C1132,10),FS!$AJ$89:$AJ$119)</f>
        <v>0</v>
      </c>
      <c r="E1132" s="487">
        <f>D1132</f>
        <v>0</v>
      </c>
      <c r="J1132" s="551"/>
      <c r="K1132" s="552"/>
      <c r="L1132" s="551"/>
      <c r="M1132" s="553"/>
      <c r="N1132" s="553"/>
      <c r="O1132" s="551"/>
      <c r="P1132" s="553"/>
      <c r="Q1132" s="524"/>
      <c r="R1132" s="478">
        <f>IFERROR(INDEX(기초자산!M$6:M$408,MATCH(K1132&amp;N1132&amp;O1132,기초자산!$A$6:$A$408,0),0),0)</f>
        <v>0</v>
      </c>
      <c r="S1132" s="479">
        <f t="shared" si="374"/>
        <v>0</v>
      </c>
      <c r="T1132" s="553"/>
      <c r="U1132" s="471" t="s">
        <v>94</v>
      </c>
      <c r="V1132" s="480">
        <f>IF(U1132="한국 원화(KRW)",1,IF(OR(U1132=환율!$A$6,U1132=환율!$A$7),VLOOKUP(NAV!U1132,환율!$A$6:$B$7,2,),IF(RIGHT(U1132,5)="(100)",(VLOOKUP(NAV!U1132,환율!$A$11:$B$65,2,))/100,VLOOKUP(NAV!U1132,환율!$A$11:$B$65,2,))))</f>
        <v>1</v>
      </c>
      <c r="W1132" s="481"/>
      <c r="X1132" s="482">
        <f t="shared" si="375"/>
        <v>0</v>
      </c>
      <c r="Y1132" s="481"/>
      <c r="Z1132" s="481"/>
      <c r="AA1132" s="483">
        <f t="shared" si="376"/>
        <v>0</v>
      </c>
      <c r="AB1132" s="554"/>
      <c r="AC1132" s="526" t="str">
        <f t="shared" si="377"/>
        <v>2년이상</v>
      </c>
      <c r="AD1132" s="520" t="str">
        <f t="shared" si="378"/>
        <v/>
      </c>
      <c r="AE1132" s="527">
        <f t="shared" si="379"/>
        <v>0</v>
      </c>
      <c r="AF1132" s="527">
        <f t="shared" si="380"/>
        <v>0</v>
      </c>
      <c r="AG1132" s="485"/>
      <c r="AH1132" s="485"/>
      <c r="AI1132" s="404"/>
    </row>
    <row r="1133" spans="1:35" ht="12.75" thickBot="1">
      <c r="A1133" s="489"/>
      <c r="B1133" s="415"/>
      <c r="C1133" s="486" t="s">
        <v>122</v>
      </c>
      <c r="D1133" s="487">
        <f>SUMIF(FS!$AG$89:$AG$119,개요!$B$357&amp;RIGHT(NAV!C1133,8),FS!$AJ$89:$AJ$119)</f>
        <v>0</v>
      </c>
      <c r="E1133" s="487">
        <f>D1133</f>
        <v>0</v>
      </c>
      <c r="J1133" s="551"/>
      <c r="K1133" s="552"/>
      <c r="L1133" s="551"/>
      <c r="M1133" s="553"/>
      <c r="N1133" s="553"/>
      <c r="O1133" s="551"/>
      <c r="P1133" s="553"/>
      <c r="Q1133" s="524"/>
      <c r="R1133" s="478">
        <f>IFERROR(INDEX(기초자산!M$6:M$408,MATCH(K1133&amp;N1133&amp;O1133,기초자산!$A$6:$A$408,0),0),0)</f>
        <v>0</v>
      </c>
      <c r="S1133" s="479">
        <f t="shared" si="374"/>
        <v>0</v>
      </c>
      <c r="T1133" s="553"/>
      <c r="U1133" s="471" t="s">
        <v>94</v>
      </c>
      <c r="V1133" s="480">
        <f>IF(U1133="한국 원화(KRW)",1,IF(OR(U1133=환율!$A$6,U1133=환율!$A$7),VLOOKUP(NAV!U1133,환율!$A$6:$B$7,2,),IF(RIGHT(U1133,5)="(100)",(VLOOKUP(NAV!U1133,환율!$A$11:$B$65,2,))/100,VLOOKUP(NAV!U1133,환율!$A$11:$B$65,2,))))</f>
        <v>1</v>
      </c>
      <c r="W1133" s="481"/>
      <c r="X1133" s="482">
        <f t="shared" si="375"/>
        <v>0</v>
      </c>
      <c r="Y1133" s="481"/>
      <c r="Z1133" s="481"/>
      <c r="AA1133" s="483">
        <f t="shared" si="376"/>
        <v>0</v>
      </c>
      <c r="AB1133" s="554"/>
      <c r="AC1133" s="526" t="str">
        <f t="shared" si="377"/>
        <v>2년이상</v>
      </c>
      <c r="AD1133" s="520" t="str">
        <f t="shared" si="378"/>
        <v/>
      </c>
      <c r="AE1133" s="527">
        <f t="shared" si="379"/>
        <v>0</v>
      </c>
      <c r="AF1133" s="527">
        <f t="shared" si="380"/>
        <v>0</v>
      </c>
      <c r="AG1133" s="485"/>
      <c r="AH1133" s="485"/>
      <c r="AI1133" s="404"/>
    </row>
    <row r="1134" spans="1:35" ht="12.75" thickBot="1">
      <c r="A1134" s="489" t="s">
        <v>411</v>
      </c>
      <c r="B1134" s="415" t="b">
        <f>D1134=SUM(D1131:D1133)</f>
        <v>1</v>
      </c>
      <c r="C1134" s="493" t="s">
        <v>79</v>
      </c>
      <c r="D1134" s="494">
        <f>D1121-D1130</f>
        <v>0</v>
      </c>
      <c r="E1134" s="494">
        <f>E1121-E1130</f>
        <v>0</v>
      </c>
      <c r="J1134" s="551"/>
      <c r="K1134" s="552"/>
      <c r="L1134" s="551"/>
      <c r="M1134" s="553"/>
      <c r="N1134" s="553"/>
      <c r="O1134" s="551"/>
      <c r="P1134" s="553"/>
      <c r="Q1134" s="524"/>
      <c r="R1134" s="478">
        <f>IFERROR(INDEX(기초자산!M$6:M$408,MATCH(K1134&amp;N1134&amp;O1134,기초자산!$A$6:$A$408,0),0),0)</f>
        <v>0</v>
      </c>
      <c r="S1134" s="479">
        <f t="shared" si="374"/>
        <v>0</v>
      </c>
      <c r="T1134" s="553"/>
      <c r="U1134" s="471" t="s">
        <v>94</v>
      </c>
      <c r="V1134" s="480">
        <f>IF(U1134="한국 원화(KRW)",1,IF(OR(U1134=환율!$A$6,U1134=환율!$A$7),VLOOKUP(NAV!U1134,환율!$A$6:$B$7,2,),IF(RIGHT(U1134,5)="(100)",(VLOOKUP(NAV!U1134,환율!$A$11:$B$65,2,))/100,VLOOKUP(NAV!U1134,환율!$A$11:$B$65,2,))))</f>
        <v>1</v>
      </c>
      <c r="W1134" s="481"/>
      <c r="X1134" s="482">
        <f t="shared" si="375"/>
        <v>0</v>
      </c>
      <c r="Y1134" s="481"/>
      <c r="Z1134" s="481"/>
      <c r="AA1134" s="483">
        <f t="shared" si="376"/>
        <v>0</v>
      </c>
      <c r="AB1134" s="554"/>
      <c r="AC1134" s="526" t="str">
        <f t="shared" si="377"/>
        <v>2년이상</v>
      </c>
      <c r="AD1134" s="520" t="str">
        <f t="shared" si="378"/>
        <v/>
      </c>
      <c r="AE1134" s="527">
        <f t="shared" si="379"/>
        <v>0</v>
      </c>
      <c r="AF1134" s="527">
        <f t="shared" si="380"/>
        <v>0</v>
      </c>
      <c r="AG1134" s="485"/>
      <c r="AH1134" s="485"/>
      <c r="AI1134" s="404"/>
    </row>
    <row r="1135" spans="1:35" ht="12.75" thickBot="1">
      <c r="A1135" s="489"/>
      <c r="B1135" s="415"/>
      <c r="C1135" s="486" t="s">
        <v>413</v>
      </c>
      <c r="D1135" s="487">
        <v>0</v>
      </c>
      <c r="E1135" s="499">
        <v>0</v>
      </c>
      <c r="J1135" s="551"/>
      <c r="K1135" s="552"/>
      <c r="L1135" s="551"/>
      <c r="M1135" s="553"/>
      <c r="N1135" s="553"/>
      <c r="O1135" s="551"/>
      <c r="P1135" s="553"/>
      <c r="Q1135" s="524"/>
      <c r="R1135" s="478">
        <f>IFERROR(INDEX(기초자산!M$6:M$408,MATCH(K1135&amp;N1135&amp;O1135,기초자산!$A$6:$A$408,0),0),0)</f>
        <v>0</v>
      </c>
      <c r="S1135" s="479">
        <f t="shared" si="374"/>
        <v>0</v>
      </c>
      <c r="T1135" s="553"/>
      <c r="U1135" s="471" t="s">
        <v>94</v>
      </c>
      <c r="V1135" s="480">
        <f>IF(U1135="한국 원화(KRW)",1,IF(OR(U1135=환율!$A$6,U1135=환율!$A$7),VLOOKUP(NAV!U1135,환율!$A$6:$B$7,2,),IF(RIGHT(U1135,5)="(100)",(VLOOKUP(NAV!U1135,환율!$A$11:$B$65,2,))/100,VLOOKUP(NAV!U1135,환율!$A$11:$B$65,2,))))</f>
        <v>1</v>
      </c>
      <c r="W1135" s="481"/>
      <c r="X1135" s="482">
        <f t="shared" si="375"/>
        <v>0</v>
      </c>
      <c r="Y1135" s="481"/>
      <c r="Z1135" s="481"/>
      <c r="AA1135" s="483">
        <f t="shared" si="376"/>
        <v>0</v>
      </c>
      <c r="AB1135" s="554"/>
      <c r="AC1135" s="526" t="str">
        <f t="shared" si="377"/>
        <v>2년이상</v>
      </c>
      <c r="AD1135" s="520" t="str">
        <f t="shared" si="378"/>
        <v/>
      </c>
      <c r="AE1135" s="527">
        <f t="shared" si="379"/>
        <v>0</v>
      </c>
      <c r="AF1135" s="527">
        <f t="shared" si="380"/>
        <v>0</v>
      </c>
      <c r="AG1135" s="485"/>
      <c r="AH1135" s="485"/>
      <c r="AI1135" s="404"/>
    </row>
    <row r="1136" spans="1:35">
      <c r="A1136" s="489"/>
      <c r="B1136" s="415"/>
      <c r="C1136" s="486" t="s">
        <v>414</v>
      </c>
      <c r="D1136" s="487">
        <v>0</v>
      </c>
      <c r="E1136" s="499">
        <v>0</v>
      </c>
      <c r="J1136" s="495"/>
      <c r="K1136" s="415"/>
      <c r="L1136" s="495"/>
      <c r="M1136" s="415"/>
      <c r="N1136" s="415"/>
      <c r="O1136" s="415"/>
      <c r="P1136" s="415"/>
      <c r="Q1136" s="422"/>
      <c r="R1136" s="415"/>
      <c r="S1136" s="415"/>
      <c r="T1136" s="415"/>
      <c r="U1136" s="415"/>
      <c r="V1136" s="415"/>
      <c r="W1136" s="422"/>
      <c r="X1136" s="415"/>
      <c r="Y1136" s="458"/>
      <c r="Z1136" s="422"/>
      <c r="AA1136" s="556"/>
      <c r="AB1136" s="556"/>
      <c r="AC1136" s="415"/>
      <c r="AE1136" s="415"/>
      <c r="AI1136" s="404"/>
    </row>
    <row r="1137" spans="1:35">
      <c r="A1137" s="489"/>
      <c r="B1137" s="415"/>
      <c r="C1137" s="493" t="s">
        <v>123</v>
      </c>
      <c r="D1137" s="494">
        <f>D1134+D1135-D1136</f>
        <v>0</v>
      </c>
      <c r="E1137" s="494">
        <f>IF(E1134+E1135-E1136&gt;0,E1134+E1135-E1136,0)</f>
        <v>0</v>
      </c>
      <c r="J1137" s="305"/>
      <c r="K1137" s="415"/>
      <c r="L1137" s="305"/>
      <c r="M1137" s="415"/>
      <c r="N1137" s="415"/>
      <c r="O1137" s="415"/>
      <c r="S1137" s="415"/>
      <c r="T1137" s="415"/>
      <c r="U1137" s="415"/>
      <c r="V1137" s="415"/>
      <c r="Y1137" s="458"/>
      <c r="AD1137" s="557" t="str">
        <f>B1111&amp;"순자산가치"</f>
        <v>SPC없음순자산가치</v>
      </c>
      <c r="AE1137" s="529">
        <f>IF(E1117+SUM(AE1117:AE1122)+SUM(AE1125:AE1135)-E1130&gt;0,E1117+SUM(AE1117:AE1122)+SUM(AE1125:AE1135)-E1130,0)</f>
        <v>0</v>
      </c>
      <c r="AF1137" s="529">
        <f>IF(E1117+SUM(AF1117:AF1122)+SUM(AF1125:AF1135)-E1130&gt;0,E1117+SUM(AF1117:AF1122)+SUM(AF1125:AF1135)-E1130,0)</f>
        <v>0</v>
      </c>
      <c r="AI1137" s="404"/>
    </row>
    <row r="1138" spans="1:35">
      <c r="A1138" s="489"/>
      <c r="B1138" s="558" t="str">
        <f>B1111&amp;C1138</f>
        <v>SPC없음보유지분율(%)</v>
      </c>
      <c r="C1138" s="493" t="s">
        <v>416</v>
      </c>
      <c r="D1138" s="559">
        <f>개요!$C$238</f>
        <v>0</v>
      </c>
      <c r="E1138" s="494">
        <f>E1137*D1138</f>
        <v>0</v>
      </c>
      <c r="F1138" s="560" t="s">
        <v>417</v>
      </c>
      <c r="G1138" s="560"/>
      <c r="J1138" s="495"/>
      <c r="K1138" s="415"/>
      <c r="L1138" s="495"/>
      <c r="M1138" s="415"/>
      <c r="N1138" s="415"/>
      <c r="O1138" s="415"/>
      <c r="S1138" s="415"/>
      <c r="T1138" s="415"/>
      <c r="U1138" s="415"/>
      <c r="V1138" s="415"/>
      <c r="Y1138" s="458"/>
      <c r="AD1138" s="557" t="s">
        <v>272</v>
      </c>
      <c r="AE1138" s="561">
        <f>$D1138</f>
        <v>0</v>
      </c>
      <c r="AF1138" s="561">
        <f>$D1138</f>
        <v>0</v>
      </c>
      <c r="AI1138" s="404"/>
    </row>
    <row r="1139" spans="1:35">
      <c r="A1139" s="489"/>
      <c r="B1139" s="415"/>
      <c r="G1139" s="503" t="s">
        <v>419</v>
      </c>
      <c r="I1139" s="562"/>
      <c r="J1139" s="495"/>
      <c r="K1139" s="415"/>
      <c r="L1139" s="495"/>
      <c r="M1139" s="415"/>
      <c r="N1139" s="415"/>
      <c r="O1139" s="415"/>
      <c r="S1139" s="415"/>
      <c r="T1139" s="415"/>
      <c r="U1139" s="415"/>
      <c r="V1139" s="415"/>
      <c r="Y1139" s="458"/>
      <c r="AD1139" s="557" t="str">
        <f>B1111&amp;"지분율 반영 순자산가치"</f>
        <v>SPC없음지분율 반영 순자산가치</v>
      </c>
      <c r="AE1139" s="529">
        <f>AE1137*AE1138</f>
        <v>0</v>
      </c>
      <c r="AF1139" s="529">
        <f>AF1137*AF1138</f>
        <v>0</v>
      </c>
      <c r="AI1139" s="404"/>
    </row>
    <row r="1140" spans="1:35">
      <c r="A1140" s="489"/>
      <c r="D1140" s="504" t="s">
        <v>43</v>
      </c>
      <c r="E1140" s="505">
        <f>$C$7</f>
        <v>45473</v>
      </c>
      <c r="F1140" s="506"/>
      <c r="G1140" s="505"/>
      <c r="I1140" s="563"/>
      <c r="J1140" s="495"/>
      <c r="K1140" s="415"/>
      <c r="L1140" s="495"/>
      <c r="M1140" s="415"/>
      <c r="N1140" s="415"/>
      <c r="O1140" s="415"/>
      <c r="S1140" s="415"/>
      <c r="T1140" s="415"/>
      <c r="U1140" s="415"/>
      <c r="V1140" s="415"/>
      <c r="Y1140" s="422"/>
      <c r="AI1140" s="404"/>
    </row>
    <row r="1141" spans="1:35">
      <c r="D1141" s="486" t="s">
        <v>79</v>
      </c>
      <c r="E1141" s="487">
        <f>E1137</f>
        <v>0</v>
      </c>
      <c r="F1141" s="507" t="e">
        <f>E1141/G1141-1</f>
        <v>#DIV/0!</v>
      </c>
      <c r="G1141" s="487"/>
      <c r="I1141" s="564"/>
      <c r="J1141" s="495"/>
      <c r="K1141" s="415"/>
      <c r="L1141" s="495"/>
      <c r="M1141" s="415"/>
      <c r="S1141" s="415"/>
      <c r="T1141" s="415"/>
      <c r="U1141" s="415"/>
      <c r="V1141" s="415"/>
      <c r="Y1141" s="422"/>
      <c r="AI1141" s="404"/>
    </row>
    <row r="1142" spans="1:35">
      <c r="A1142" s="489"/>
      <c r="B1142" s="415"/>
      <c r="D1142" s="486" t="s">
        <v>272</v>
      </c>
      <c r="E1142" s="565">
        <f>$D$1138</f>
        <v>0</v>
      </c>
      <c r="F1142" s="507"/>
      <c r="G1142" s="565"/>
      <c r="I1142" s="566"/>
      <c r="J1142" s="305"/>
      <c r="K1142" s="415"/>
      <c r="L1142" s="305"/>
      <c r="M1142" s="415"/>
      <c r="S1142" s="415"/>
      <c r="T1142" s="415"/>
      <c r="U1142" s="415"/>
      <c r="V1142" s="415"/>
      <c r="Y1142" s="422"/>
      <c r="AI1142" s="404"/>
    </row>
    <row r="1143" spans="1:35">
      <c r="A1143" s="489"/>
      <c r="B1143" s="415"/>
      <c r="D1143" s="567" t="s">
        <v>246</v>
      </c>
      <c r="E1143" s="568">
        <f>E1141*E1142</f>
        <v>0</v>
      </c>
      <c r="F1143" s="507" t="e">
        <f>E1143/G1143-1</f>
        <v>#DIV/0!</v>
      </c>
      <c r="G1143" s="568"/>
      <c r="I1143" s="564"/>
      <c r="AI1143" s="404"/>
    </row>
    <row r="1144" spans="1:35">
      <c r="E1144" s="304" t="b">
        <f>E1143=E1138</f>
        <v>1</v>
      </c>
      <c r="AI1144" s="404"/>
    </row>
    <row r="1145" spans="1:35">
      <c r="F1145" s="507"/>
      <c r="G1145" s="507"/>
      <c r="AI1145" s="404"/>
    </row>
    <row r="1146" spans="1:35" ht="12.75" thickBot="1">
      <c r="A1146" s="536"/>
      <c r="B1146" s="536"/>
      <c r="C1146" s="536"/>
      <c r="D1146" s="536"/>
      <c r="E1146" s="536"/>
      <c r="F1146" s="572"/>
      <c r="G1146" s="572"/>
      <c r="H1146" s="536"/>
      <c r="I1146" s="537"/>
      <c r="J1146" s="536"/>
      <c r="K1146" s="536"/>
      <c r="L1146" s="536"/>
      <c r="M1146" s="536"/>
      <c r="N1146" s="536"/>
      <c r="O1146" s="536"/>
      <c r="P1146" s="536"/>
      <c r="Q1146" s="540"/>
      <c r="R1146" s="536"/>
      <c r="S1146" s="536"/>
      <c r="T1146" s="536"/>
      <c r="U1146" s="536"/>
      <c r="V1146" s="536"/>
      <c r="W1146" s="540"/>
      <c r="X1146" s="536"/>
      <c r="Y1146" s="540"/>
      <c r="Z1146" s="540"/>
      <c r="AA1146" s="536"/>
      <c r="AB1146" s="536"/>
      <c r="AC1146" s="536"/>
      <c r="AD1146" s="541"/>
      <c r="AE1146" s="536"/>
      <c r="AF1146" s="536"/>
      <c r="AG1146" s="536"/>
      <c r="AH1146" s="536"/>
      <c r="AI1146" s="404"/>
    </row>
    <row r="1147" spans="1:35" ht="12.75" thickTop="1">
      <c r="F1147" s="507"/>
      <c r="G1147" s="507"/>
      <c r="AI1147" s="404"/>
    </row>
    <row r="1148" spans="1:35" ht="12.75" thickBot="1">
      <c r="A1148" s="459"/>
      <c r="B1148" s="415"/>
      <c r="J1148" s="428" t="s">
        <v>273</v>
      </c>
      <c r="K1148" s="489"/>
      <c r="L1148" s="497"/>
      <c r="M1148" s="489"/>
      <c r="N1148" s="415"/>
      <c r="O1148" s="415"/>
      <c r="AI1148" s="404"/>
    </row>
    <row r="1149" spans="1:35" ht="12.75" thickBot="1">
      <c r="A1149" s="542" t="s">
        <v>740</v>
      </c>
      <c r="B1149" s="543" t="str">
        <f>IF(개요!$B$361="","SPC없음",개요!$B$361)</f>
        <v>SPC없음</v>
      </c>
      <c r="C1149" s="454"/>
      <c r="J1149" s="433"/>
      <c r="K1149" s="434"/>
      <c r="L1149" s="434"/>
      <c r="M1149" s="434"/>
      <c r="N1149" s="434"/>
      <c r="O1149" s="434"/>
      <c r="P1149" s="434"/>
      <c r="Q1149" s="435"/>
      <c r="R1149" s="434"/>
      <c r="S1149" s="434"/>
      <c r="T1149" s="434"/>
      <c r="U1149" s="434"/>
      <c r="V1149" s="436"/>
      <c r="AI1149" s="404"/>
    </row>
    <row r="1150" spans="1:35">
      <c r="B1150" s="543" t="s">
        <v>260</v>
      </c>
      <c r="C1150" s="569" t="str">
        <f>IF(개요!$C$362="","SPC없음",개요!$C$362)</f>
        <v>SPC없음</v>
      </c>
      <c r="J1150" s="442"/>
      <c r="K1150" s="151"/>
      <c r="L1150" s="151"/>
      <c r="M1150" s="151"/>
      <c r="N1150" s="151"/>
      <c r="O1150" s="151"/>
      <c r="P1150" s="151"/>
      <c r="Q1150" s="443"/>
      <c r="R1150" s="151"/>
      <c r="S1150" s="151"/>
      <c r="T1150" s="151"/>
      <c r="U1150" s="151"/>
      <c r="V1150" s="444"/>
      <c r="AI1150" s="404"/>
    </row>
    <row r="1151" spans="1:35">
      <c r="B1151" s="437" t="s">
        <v>43</v>
      </c>
      <c r="C1151" s="570">
        <f>$C$7</f>
        <v>45473</v>
      </c>
      <c r="D1151" s="546" t="b">
        <f>C1151&gt;=C1152</f>
        <v>1</v>
      </c>
      <c r="J1151" s="442"/>
      <c r="K1151" s="151"/>
      <c r="L1151" s="151"/>
      <c r="M1151" s="151"/>
      <c r="N1151" s="151"/>
      <c r="O1151" s="151"/>
      <c r="P1151" s="151"/>
      <c r="Q1151" s="443"/>
      <c r="R1151" s="151"/>
      <c r="S1151" s="151"/>
      <c r="T1151" s="151"/>
      <c r="U1151" s="151"/>
      <c r="V1151" s="444"/>
      <c r="AI1151" s="404"/>
    </row>
    <row r="1152" spans="1:35" ht="12.75" thickBot="1">
      <c r="B1152" s="449" t="s">
        <v>371</v>
      </c>
      <c r="C1152" s="571">
        <f>FS!$AP$88</f>
        <v>0</v>
      </c>
      <c r="J1152" s="453"/>
      <c r="K1152" s="454"/>
      <c r="L1152" s="454"/>
      <c r="M1152" s="454"/>
      <c r="N1152" s="454"/>
      <c r="O1152" s="454"/>
      <c r="P1152" s="454"/>
      <c r="Q1152" s="455"/>
      <c r="R1152" s="454"/>
      <c r="S1152" s="454"/>
      <c r="T1152" s="454"/>
      <c r="U1152" s="454"/>
      <c r="V1152" s="456"/>
      <c r="AI1152" s="404"/>
    </row>
    <row r="1153" spans="1:35">
      <c r="A1153" s="459"/>
      <c r="J1153" s="428" t="s">
        <v>372</v>
      </c>
      <c r="K1153" s="448"/>
      <c r="L1153" s="420"/>
      <c r="M1153" s="448"/>
      <c r="N1153" s="448"/>
      <c r="O1153" s="448"/>
      <c r="P1153" s="415"/>
      <c r="Q1153" s="422"/>
      <c r="R1153" s="415"/>
      <c r="S1153" s="415"/>
      <c r="T1153" s="415"/>
      <c r="U1153" s="415"/>
      <c r="V1153" s="415"/>
      <c r="W1153" s="422"/>
      <c r="Z1153" s="458"/>
      <c r="AE1153" s="803" t="s">
        <v>8</v>
      </c>
      <c r="AF1153" s="803"/>
      <c r="AG1153" s="460"/>
      <c r="AH1153" s="460"/>
      <c r="AI1153" s="404"/>
    </row>
    <row r="1154" spans="1:35" ht="12.75" thickBot="1">
      <c r="A1154" s="461" t="str">
        <f>IF(AND(B1155:B1181),"검증완료","검증필요")</f>
        <v>검증완료</v>
      </c>
      <c r="B1154" s="462" t="s">
        <v>38</v>
      </c>
      <c r="C1154" s="462" t="s">
        <v>9</v>
      </c>
      <c r="D1154" s="462" t="s">
        <v>10</v>
      </c>
      <c r="E1154" s="462" t="s">
        <v>11</v>
      </c>
      <c r="J1154" s="462" t="s">
        <v>375</v>
      </c>
      <c r="K1154" s="464" t="s">
        <v>0</v>
      </c>
      <c r="L1154" s="462" t="s">
        <v>260</v>
      </c>
      <c r="M1154" s="462" t="s">
        <v>456</v>
      </c>
      <c r="N1154" s="462" t="s">
        <v>91</v>
      </c>
      <c r="O1154" s="462" t="s">
        <v>1</v>
      </c>
      <c r="P1154" s="464" t="s">
        <v>380</v>
      </c>
      <c r="Q1154" s="465" t="s">
        <v>14</v>
      </c>
      <c r="R1154" s="466" t="s">
        <v>381</v>
      </c>
      <c r="S1154" s="466" t="s">
        <v>303</v>
      </c>
      <c r="T1154" s="462" t="s">
        <v>12</v>
      </c>
      <c r="U1154" s="462" t="s">
        <v>72</v>
      </c>
      <c r="V1154" s="462" t="s">
        <v>70</v>
      </c>
      <c r="W1154" s="465" t="s">
        <v>10</v>
      </c>
      <c r="X1154" s="462" t="s">
        <v>385</v>
      </c>
      <c r="Y1154" s="465" t="s">
        <v>125</v>
      </c>
      <c r="Z1154" s="465" t="s">
        <v>3522</v>
      </c>
      <c r="AA1154" s="464" t="s">
        <v>13</v>
      </c>
      <c r="AE1154" s="467" t="s">
        <v>3627</v>
      </c>
      <c r="AF1154" s="467" t="s">
        <v>3628</v>
      </c>
      <c r="AG1154" s="467" t="s">
        <v>3629</v>
      </c>
      <c r="AH1154" s="467" t="s">
        <v>3630</v>
      </c>
      <c r="AI1154" s="404"/>
    </row>
    <row r="1155" spans="1:35" ht="12.75" thickBot="1">
      <c r="A1155" s="415"/>
      <c r="B1155" s="415"/>
      <c r="C1155" s="468" t="s">
        <v>480</v>
      </c>
      <c r="D1155" s="469">
        <f>SUM(D1156:D1157)</f>
        <v>0</v>
      </c>
      <c r="E1155" s="469">
        <f>SUM(E1156:E1157)</f>
        <v>0</v>
      </c>
      <c r="J1155" s="476"/>
      <c r="K1155" s="472"/>
      <c r="L1155" s="473" t="str">
        <f>IF($J1155="","SPC 없음",VLOOKUP($J1155&amp;"SPC명",개요!$A$3:$E$1932,3,0))</f>
        <v>SPC 없음</v>
      </c>
      <c r="M1155" s="474" t="str">
        <f>IF($J1155="","SPC 없음",VLOOKUP($J1155&amp;"설정일",개요!$A$3:$E$1932,3,0))</f>
        <v>SPC 없음</v>
      </c>
      <c r="N1155" s="475" t="str">
        <f t="shared" ref="N1155:N1160" si="381">IF($J1155="","SPC 없음",VLOOKUP($J1155&amp;"자본금",$B$4:$E$2079,3,0)*VLOOKUP($J1155&amp;"보유지분율(%)",$B$4:$E$2079,3,0))</f>
        <v>SPC 없음</v>
      </c>
      <c r="O1155" s="471"/>
      <c r="P1155" s="476"/>
      <c r="Q1155" s="477"/>
      <c r="R1155" s="478"/>
      <c r="S1155" s="479" t="str">
        <f t="shared" ref="S1155:S1160" si="382">IF($J1155="","SPC 없음",IF(P1155="총액",IF(T1155="장부가액 준용",W1155,(VLOOKUP($J1155&amp;"보유지분율(%)",$B$4:$E$2079,4,0))*V1155),Q1155*R1155))</f>
        <v>SPC 없음</v>
      </c>
      <c r="T1155" s="471"/>
      <c r="U1155" s="471" t="s">
        <v>94</v>
      </c>
      <c r="V1155" s="480">
        <f>IF(U1155="한국 원화(KRW)",1,IF(OR(U1155=환율!$A$6,U1155=환율!$A$7),VLOOKUP(NAV!U1155,환율!$A$6:$B$7,2,),IF(RIGHT(U1155,5)="(100)",(VLOOKUP(NAV!U1155,환율!$A$11:$B$65,2,))/100,VLOOKUP(NAV!U1155,환율!$A$11:$B$65,2,))))</f>
        <v>1</v>
      </c>
      <c r="W1155" s="481"/>
      <c r="X1155" s="482">
        <f t="shared" ref="X1155:X1160" si="383">IFERROR(IF(P1155="만원당",10000,Y1155/Q1155),0)</f>
        <v>0</v>
      </c>
      <c r="Y1155" s="481"/>
      <c r="Z1155" s="481"/>
      <c r="AA1155" s="483">
        <f t="shared" ref="AA1155:AA1160" si="384">IFERROR(IF(Z1155="",S1155/W1155-1,S1155/Z1155-1),0)</f>
        <v>0</v>
      </c>
      <c r="AE1155" s="484" t="str">
        <f t="shared" ref="AE1155:AE1160" si="385">IF($J1155="","SPC 없음",IF(P1155="총액",(VLOOKUP($J1155&amp;"지분율 반영 순자산가치",$AD$4:$AH$4973,2,0))*V1155,AG1155*$Q1155))</f>
        <v>SPC 없음</v>
      </c>
      <c r="AF1155" s="484" t="str">
        <f t="shared" ref="AF1155:AF1160" si="386">IF($J1155="","SPC 없음",IF(P1155="총액",(VLOOKUP($J1155&amp;"지분율 반영 순자산가치",$AD$4:$AH$4973,3,0))*V1155,AH1155*$Q1155))</f>
        <v>SPC 없음</v>
      </c>
      <c r="AG1155" s="485"/>
      <c r="AH1155" s="485"/>
      <c r="AI1155" s="404"/>
    </row>
    <row r="1156" spans="1:35" ht="12.75" thickBot="1">
      <c r="A1156" s="415"/>
      <c r="B1156" s="415"/>
      <c r="C1156" s="486" t="s">
        <v>117</v>
      </c>
      <c r="D1156" s="487">
        <f>SUMIF(FS!$AM$89:$AM$119,개요!$B$361&amp;RIGHT(NAV!C1156,10),FS!$AP$89:$AP$119)</f>
        <v>0</v>
      </c>
      <c r="E1156" s="487">
        <f>D1156</f>
        <v>0</v>
      </c>
      <c r="J1156" s="476"/>
      <c r="K1156" s="472"/>
      <c r="L1156" s="473" t="str">
        <f>IF($J1156="","SPC 없음",VLOOKUP($J1156&amp;"SPC명",개요!$A$3:$E$1932,3,0))</f>
        <v>SPC 없음</v>
      </c>
      <c r="M1156" s="474" t="str">
        <f>IF($J1156="","SPC 없음",VLOOKUP($J1156&amp;"설정일",개요!$A$3:$E$1932,3,0))</f>
        <v>SPC 없음</v>
      </c>
      <c r="N1156" s="475" t="str">
        <f t="shared" si="381"/>
        <v>SPC 없음</v>
      </c>
      <c r="O1156" s="471"/>
      <c r="P1156" s="476"/>
      <c r="Q1156" s="477"/>
      <c r="R1156" s="478"/>
      <c r="S1156" s="479" t="str">
        <f t="shared" si="382"/>
        <v>SPC 없음</v>
      </c>
      <c r="T1156" s="471"/>
      <c r="U1156" s="471" t="s">
        <v>94</v>
      </c>
      <c r="V1156" s="480">
        <f>IF(U1156="한국 원화(KRW)",1,IF(OR(U1156=환율!$A$6,U1156=환율!$A$7),VLOOKUP(NAV!U1156,환율!$A$6:$B$7,2,),IF(RIGHT(U1156,5)="(100)",(VLOOKUP(NAV!U1156,환율!$A$11:$B$65,2,))/100,VLOOKUP(NAV!U1156,환율!$A$11:$B$65,2,))))</f>
        <v>1</v>
      </c>
      <c r="W1156" s="481"/>
      <c r="X1156" s="482">
        <f t="shared" si="383"/>
        <v>0</v>
      </c>
      <c r="Y1156" s="481"/>
      <c r="Z1156" s="481"/>
      <c r="AA1156" s="483">
        <f t="shared" si="384"/>
        <v>0</v>
      </c>
      <c r="AE1156" s="484" t="str">
        <f t="shared" si="385"/>
        <v>SPC 없음</v>
      </c>
      <c r="AF1156" s="484" t="str">
        <f t="shared" si="386"/>
        <v>SPC 없음</v>
      </c>
      <c r="AG1156" s="485"/>
      <c r="AH1156" s="485"/>
      <c r="AI1156" s="404"/>
    </row>
    <row r="1157" spans="1:35" ht="12.75" thickBot="1">
      <c r="A1157" s="415"/>
      <c r="B1157" s="415"/>
      <c r="C1157" s="486" t="s">
        <v>34</v>
      </c>
      <c r="D1157" s="487">
        <f>SUMIF(FS!$AM$89:$AM$119,개요!$B$361&amp;RIGHT(NAV!C1157,4),FS!$AP$89:$AP$119)</f>
        <v>0</v>
      </c>
      <c r="E1157" s="487">
        <f>D1157</f>
        <v>0</v>
      </c>
      <c r="J1157" s="476"/>
      <c r="K1157" s="472"/>
      <c r="L1157" s="473" t="str">
        <f>IF($J1157="","SPC 없음",VLOOKUP($J1157&amp;"SPC명",개요!$A$3:$E$1932,3,0))</f>
        <v>SPC 없음</v>
      </c>
      <c r="M1157" s="474" t="str">
        <f>IF($J1157="","SPC 없음",VLOOKUP($J1157&amp;"설정일",개요!$A$3:$E$1932,3,0))</f>
        <v>SPC 없음</v>
      </c>
      <c r="N1157" s="475" t="str">
        <f t="shared" si="381"/>
        <v>SPC 없음</v>
      </c>
      <c r="O1157" s="471"/>
      <c r="P1157" s="476"/>
      <c r="Q1157" s="477"/>
      <c r="R1157" s="478"/>
      <c r="S1157" s="479" t="str">
        <f t="shared" si="382"/>
        <v>SPC 없음</v>
      </c>
      <c r="T1157" s="471"/>
      <c r="U1157" s="471" t="s">
        <v>94</v>
      </c>
      <c r="V1157" s="480">
        <f>IF(U1157="한국 원화(KRW)",1,IF(OR(U1157=환율!$A$6,U1157=환율!$A$7),VLOOKUP(NAV!U1157,환율!$A$6:$B$7,2,),IF(RIGHT(U1157,5)="(100)",(VLOOKUP(NAV!U1157,환율!$A$11:$B$65,2,))/100,VLOOKUP(NAV!U1157,환율!$A$11:$B$65,2,))))</f>
        <v>1</v>
      </c>
      <c r="W1157" s="481"/>
      <c r="X1157" s="482">
        <f t="shared" si="383"/>
        <v>0</v>
      </c>
      <c r="Y1157" s="481"/>
      <c r="Z1157" s="481"/>
      <c r="AA1157" s="483">
        <f t="shared" si="384"/>
        <v>0</v>
      </c>
      <c r="AE1157" s="484" t="str">
        <f t="shared" si="385"/>
        <v>SPC 없음</v>
      </c>
      <c r="AF1157" s="484" t="str">
        <f t="shared" si="386"/>
        <v>SPC 없음</v>
      </c>
      <c r="AG1157" s="485"/>
      <c r="AH1157" s="485"/>
      <c r="AI1157" s="404"/>
    </row>
    <row r="1158" spans="1:35" ht="12.75" thickBot="1">
      <c r="A1158" s="489" t="s">
        <v>389</v>
      </c>
      <c r="B1158" s="490" t="b">
        <f>SUM(W1155:W1160,W1163:W1173)=D1158</f>
        <v>1</v>
      </c>
      <c r="C1158" s="468" t="s">
        <v>17</v>
      </c>
      <c r="D1158" s="469">
        <f>SUMIF(FS!$AM$89:$AM$119,개요!$B$361&amp;RIGHT(NAV!C1158,4),FS!$AP$89:$AP$119)</f>
        <v>0</v>
      </c>
      <c r="E1158" s="469">
        <f>SUM(S1155:S1160)+SUM(S1163:S1173)</f>
        <v>0</v>
      </c>
      <c r="J1158" s="476"/>
      <c r="K1158" s="472"/>
      <c r="L1158" s="473" t="str">
        <f>IF($J1158="","SPC 없음",VLOOKUP($J1158&amp;"SPC명",개요!$A$3:$E$1932,3,0))</f>
        <v>SPC 없음</v>
      </c>
      <c r="M1158" s="474" t="str">
        <f>IF($J1158="","SPC 없음",VLOOKUP($J1158&amp;"설정일",개요!$A$3:$E$1932,3,0))</f>
        <v>SPC 없음</v>
      </c>
      <c r="N1158" s="475" t="str">
        <f t="shared" si="381"/>
        <v>SPC 없음</v>
      </c>
      <c r="O1158" s="471"/>
      <c r="P1158" s="476"/>
      <c r="Q1158" s="477"/>
      <c r="R1158" s="478"/>
      <c r="S1158" s="479" t="str">
        <f t="shared" si="382"/>
        <v>SPC 없음</v>
      </c>
      <c r="T1158" s="471"/>
      <c r="U1158" s="471" t="s">
        <v>94</v>
      </c>
      <c r="V1158" s="480">
        <f>IF(U1158="한국 원화(KRW)",1,IF(OR(U1158=환율!$A$6,U1158=환율!$A$7),VLOOKUP(NAV!U1158,환율!$A$6:$B$7,2,),IF(RIGHT(U1158,5)="(100)",(VLOOKUP(NAV!U1158,환율!$A$11:$B$65,2,))/100,VLOOKUP(NAV!U1158,환율!$A$11:$B$65,2,))))</f>
        <v>1</v>
      </c>
      <c r="W1158" s="481"/>
      <c r="X1158" s="482">
        <f t="shared" si="383"/>
        <v>0</v>
      </c>
      <c r="Y1158" s="481"/>
      <c r="Z1158" s="481"/>
      <c r="AA1158" s="483">
        <f t="shared" si="384"/>
        <v>0</v>
      </c>
      <c r="AE1158" s="484" t="str">
        <f t="shared" si="385"/>
        <v>SPC 없음</v>
      </c>
      <c r="AF1158" s="484" t="str">
        <f t="shared" si="386"/>
        <v>SPC 없음</v>
      </c>
      <c r="AG1158" s="485"/>
      <c r="AH1158" s="485"/>
      <c r="AI1158" s="404"/>
    </row>
    <row r="1159" spans="1:35" ht="12.75" thickBot="1">
      <c r="A1159" s="492" t="s">
        <v>391</v>
      </c>
      <c r="B1159" s="415" t="b">
        <f>D1156+D1157+D1158=D1159</f>
        <v>1</v>
      </c>
      <c r="C1159" s="493" t="s">
        <v>479</v>
      </c>
      <c r="D1159" s="494">
        <f>D1155+D1158</f>
        <v>0</v>
      </c>
      <c r="E1159" s="494">
        <f>E1155+E1158</f>
        <v>0</v>
      </c>
      <c r="J1159" s="476"/>
      <c r="K1159" s="472"/>
      <c r="L1159" s="473" t="str">
        <f>IF($J1159="","SPC 없음",VLOOKUP($J1159&amp;"SPC명",개요!$A$3:$E$1932,3,0))</f>
        <v>SPC 없음</v>
      </c>
      <c r="M1159" s="474" t="str">
        <f>IF($J1159="","SPC 없음",VLOOKUP($J1159&amp;"설정일",개요!$A$3:$E$1932,3,0))</f>
        <v>SPC 없음</v>
      </c>
      <c r="N1159" s="475" t="str">
        <f t="shared" si="381"/>
        <v>SPC 없음</v>
      </c>
      <c r="O1159" s="471"/>
      <c r="P1159" s="476"/>
      <c r="Q1159" s="477"/>
      <c r="R1159" s="478"/>
      <c r="S1159" s="479" t="str">
        <f t="shared" si="382"/>
        <v>SPC 없음</v>
      </c>
      <c r="T1159" s="471"/>
      <c r="U1159" s="471" t="s">
        <v>94</v>
      </c>
      <c r="V1159" s="480">
        <f>IF(U1159="한국 원화(KRW)",1,IF(OR(U1159=환율!$A$6,U1159=환율!$A$7),VLOOKUP(NAV!U1159,환율!$A$6:$B$7,2,),IF(RIGHT(U1159,5)="(100)",(VLOOKUP(NAV!U1159,환율!$A$11:$B$65,2,))/100,VLOOKUP(NAV!U1159,환율!$A$11:$B$65,2,))))</f>
        <v>1</v>
      </c>
      <c r="W1159" s="481"/>
      <c r="X1159" s="482">
        <f t="shared" si="383"/>
        <v>0</v>
      </c>
      <c r="Y1159" s="481"/>
      <c r="Z1159" s="481"/>
      <c r="AA1159" s="483">
        <f t="shared" si="384"/>
        <v>0</v>
      </c>
      <c r="AE1159" s="484" t="str">
        <f t="shared" si="385"/>
        <v>SPC 없음</v>
      </c>
      <c r="AF1159" s="484" t="str">
        <f t="shared" si="386"/>
        <v>SPC 없음</v>
      </c>
      <c r="AG1159" s="485"/>
      <c r="AH1159" s="485"/>
      <c r="AI1159" s="404"/>
    </row>
    <row r="1160" spans="1:35" ht="12.75" thickBot="1">
      <c r="A1160" s="492"/>
      <c r="B1160" s="496"/>
      <c r="C1160" s="468" t="s">
        <v>18</v>
      </c>
      <c r="D1160" s="469">
        <f>SUM(D1161:D1164)</f>
        <v>0</v>
      </c>
      <c r="E1160" s="469">
        <f>SUM(E1161:E1164)</f>
        <v>0</v>
      </c>
      <c r="J1160" s="476"/>
      <c r="K1160" s="472"/>
      <c r="L1160" s="473" t="str">
        <f>IF($J1160="","SPC 없음",VLOOKUP($J1160&amp;"SPC명",개요!$A$3:$E$1932,3,0))</f>
        <v>SPC 없음</v>
      </c>
      <c r="M1160" s="474" t="str">
        <f>IF($J1160="","SPC 없음",VLOOKUP($J1160&amp;"설정일",개요!$A$3:$E$1932,3,0))</f>
        <v>SPC 없음</v>
      </c>
      <c r="N1160" s="475" t="str">
        <f t="shared" si="381"/>
        <v>SPC 없음</v>
      </c>
      <c r="O1160" s="471"/>
      <c r="P1160" s="476"/>
      <c r="Q1160" s="477"/>
      <c r="R1160" s="478"/>
      <c r="S1160" s="479" t="str">
        <f t="shared" si="382"/>
        <v>SPC 없음</v>
      </c>
      <c r="T1160" s="471"/>
      <c r="U1160" s="471" t="s">
        <v>94</v>
      </c>
      <c r="V1160" s="480">
        <f>IF(U1160="한국 원화(KRW)",1,IF(OR(U1160=환율!$A$6,U1160=환율!$A$7),VLOOKUP(NAV!U1160,환율!$A$6:$B$7,2,),IF(RIGHT(U1160,5)="(100)",(VLOOKUP(NAV!U1160,환율!$A$11:$B$65,2,))/100,VLOOKUP(NAV!U1160,환율!$A$11:$B$65,2,))))</f>
        <v>1</v>
      </c>
      <c r="W1160" s="481"/>
      <c r="X1160" s="482">
        <f t="shared" si="383"/>
        <v>0</v>
      </c>
      <c r="Y1160" s="481"/>
      <c r="Z1160" s="481"/>
      <c r="AA1160" s="483">
        <f t="shared" si="384"/>
        <v>0</v>
      </c>
      <c r="AE1160" s="484" t="str">
        <f t="shared" si="385"/>
        <v>SPC 없음</v>
      </c>
      <c r="AF1160" s="484" t="str">
        <f t="shared" si="386"/>
        <v>SPC 없음</v>
      </c>
      <c r="AG1160" s="485"/>
      <c r="AH1160" s="485"/>
      <c r="AI1160" s="404"/>
    </row>
    <row r="1161" spans="1:35">
      <c r="A1161" s="492"/>
      <c r="B1161" s="496"/>
      <c r="C1161" s="486" t="s">
        <v>392</v>
      </c>
      <c r="D1161" s="487">
        <f>SUMIF(FS!$AM$89:$AM$119,개요!$B$361&amp;RIGHT(NAV!C1161,5),FS!$AP$89:$AP$119)</f>
        <v>0</v>
      </c>
      <c r="E1161" s="487">
        <f>D1161</f>
        <v>0</v>
      </c>
      <c r="J1161" s="428" t="s">
        <v>276</v>
      </c>
      <c r="K1161" s="415"/>
      <c r="L1161" s="305"/>
      <c r="M1161" s="415"/>
      <c r="N1161" s="415"/>
      <c r="O1161" s="415"/>
      <c r="P1161" s="415"/>
      <c r="Q1161" s="422"/>
      <c r="R1161" s="415"/>
      <c r="S1161" s="415"/>
      <c r="T1161" s="415"/>
      <c r="U1161" s="415"/>
      <c r="W1161" s="517" t="b">
        <f>SUM(W1163:W1173)+SUM(W1155:W1160)=D1158</f>
        <v>1</v>
      </c>
      <c r="X1161" s="415"/>
      <c r="Y1161" s="422"/>
      <c r="Z1161" s="422"/>
      <c r="AA1161" s="459" t="str">
        <f>IF(OR(MAX(AA1155:AA1160,AA1163:AA1173)&gt;0.2,MIN(AA1155:AA1160,AA1163:AA1173)&lt;-0.2),"특이사항 확인","특이사항 없음")</f>
        <v>특이사항 없음</v>
      </c>
      <c r="AB1161" s="415"/>
      <c r="AF1161" s="415"/>
      <c r="AG1161" s="415"/>
      <c r="AI1161" s="404"/>
    </row>
    <row r="1162" spans="1:35" ht="12.75" thickBot="1">
      <c r="A1162" s="492"/>
      <c r="B1162" s="496"/>
      <c r="C1162" s="486" t="s">
        <v>36</v>
      </c>
      <c r="D1162" s="487">
        <f>SUMIF(FS!$AM$89:$AM$119,개요!$B$361&amp;RIGHT(NAV!C1162,3),FS!$AP$89:$AP$119)</f>
        <v>0</v>
      </c>
      <c r="E1162" s="487">
        <f t="shared" ref="E1162:E1163" si="387">D1162</f>
        <v>0</v>
      </c>
      <c r="I1162" s="518">
        <f>COUNTA(J1163:J1173)</f>
        <v>0</v>
      </c>
      <c r="J1162" s="548" t="s">
        <v>265</v>
      </c>
      <c r="K1162" s="548" t="s">
        <v>0</v>
      </c>
      <c r="L1162" s="548" t="s">
        <v>395</v>
      </c>
      <c r="M1162" s="548" t="s">
        <v>83</v>
      </c>
      <c r="N1162" s="548" t="s">
        <v>397</v>
      </c>
      <c r="O1162" s="548" t="s">
        <v>221</v>
      </c>
      <c r="P1162" s="548" t="s">
        <v>380</v>
      </c>
      <c r="Q1162" s="519" t="s">
        <v>14</v>
      </c>
      <c r="R1162" s="466" t="s">
        <v>299</v>
      </c>
      <c r="S1162" s="466" t="s">
        <v>3525</v>
      </c>
      <c r="T1162" s="549" t="s">
        <v>12</v>
      </c>
      <c r="U1162" s="548" t="s">
        <v>72</v>
      </c>
      <c r="V1162" s="548" t="s">
        <v>70</v>
      </c>
      <c r="W1162" s="550" t="s">
        <v>10</v>
      </c>
      <c r="X1162" s="549" t="s">
        <v>42</v>
      </c>
      <c r="Y1162" s="550" t="s">
        <v>300</v>
      </c>
      <c r="Z1162" s="550" t="s">
        <v>3523</v>
      </c>
      <c r="AA1162" s="548" t="s">
        <v>13</v>
      </c>
      <c r="AB1162" s="548" t="s">
        <v>15</v>
      </c>
      <c r="AC1162" s="548" t="s">
        <v>40</v>
      </c>
      <c r="AE1162" s="467" t="s">
        <v>3627</v>
      </c>
      <c r="AF1162" s="467" t="s">
        <v>3628</v>
      </c>
      <c r="AG1162" s="467" t="s">
        <v>3629</v>
      </c>
      <c r="AH1162" s="467" t="s">
        <v>3630</v>
      </c>
      <c r="AI1162" s="404"/>
    </row>
    <row r="1163" spans="1:35" ht="12.75" thickBot="1">
      <c r="A1163" s="492"/>
      <c r="B1163" s="496"/>
      <c r="C1163" s="486" t="s">
        <v>37</v>
      </c>
      <c r="D1163" s="487">
        <f>SUMIF(FS!$AM$89:$AM$119,개요!$B$361&amp;RIGHT(NAV!C1163,6),FS!$AP$89:$AP$119)</f>
        <v>0</v>
      </c>
      <c r="E1163" s="487">
        <f t="shared" si="387"/>
        <v>0</v>
      </c>
      <c r="J1163" s="551"/>
      <c r="K1163" s="552"/>
      <c r="L1163" s="551"/>
      <c r="M1163" s="553"/>
      <c r="N1163" s="553"/>
      <c r="O1163" s="551"/>
      <c r="P1163" s="553"/>
      <c r="Q1163" s="524"/>
      <c r="R1163" s="478">
        <f>IFERROR(INDEX(기초자산!M$6:M$408,MATCH(K1163&amp;N1163&amp;O1163,기초자산!$A$6:$A$408,0),0),0)</f>
        <v>0</v>
      </c>
      <c r="S1163" s="479">
        <f t="shared" ref="S1163:S1173" si="388">IFERROR(IF(T1163="취득원가 준용",Y1163,IF(T1163="장부가액 준용",W1163,IF(P1163="주당",R1163*Q1163*V1163,IF(RIGHT(U1163,5)="(100)",Y1163/1000*R1163*V1163,Y1163/10000*R1163*V1163)))),0)</f>
        <v>0</v>
      </c>
      <c r="T1163" s="553"/>
      <c r="U1163" s="471" t="s">
        <v>94</v>
      </c>
      <c r="V1163" s="480">
        <f>IF(U1163="한국 원화(KRW)",1,IF(OR(U1163=환율!$A$6,U1163=환율!$A$7),VLOOKUP(NAV!U1163,환율!$A$6:$B$7,2,),IF(RIGHT(U1163,5)="(100)",(VLOOKUP(NAV!U1163,환율!$A$11:$B$65,2,))/100,VLOOKUP(NAV!U1163,환율!$A$11:$B$65,2,))))</f>
        <v>1</v>
      </c>
      <c r="W1163" s="481"/>
      <c r="X1163" s="482">
        <f t="shared" ref="X1163:X1173" si="389">IFERROR(IF(P1163="만원당",10000,Y1163/Q1163),0)</f>
        <v>0</v>
      </c>
      <c r="Y1163" s="481"/>
      <c r="Z1163" s="481"/>
      <c r="AA1163" s="483">
        <f t="shared" ref="AA1163:AA1173" si="390">IFERROR(IF(Z1163="",S1163/W1163-1,S1163/Z1163-1),0)</f>
        <v>0</v>
      </c>
      <c r="AB1163" s="554"/>
      <c r="AC1163" s="526" t="str">
        <f t="shared" ref="AC1163:AC1173" si="391">IF(($C$7-AB1163)/365&gt;2,"2년이상","2년미만")</f>
        <v>2년이상</v>
      </c>
      <c r="AD1163" s="520" t="str">
        <f t="shared" ref="AD1163:AD1173" si="392">IF(OR(AA1163&gt;20%,AA1163&lt;-20%),"(1) Note 기재","")</f>
        <v/>
      </c>
      <c r="AE1163" s="527">
        <f>IF(OR(T1163="MTP",T1163="과거거래 이용법",T1163="취득원가 준용",T1163="장부가액 준용",T1163="상장종가 적용"),S1163,IF(P1163="주당",AG1163*Q1163*V1163,Y1163/10000*AG1163*V1163))</f>
        <v>0</v>
      </c>
      <c r="AF1163" s="527">
        <f>IF(OR(T1163="MTP",T1163="과거거래 이용법",T1163="취득원가 준용",T1163="장부가액 준용",T1163="상장종가 적용"),S1163,IF(P1163="주당",AH1163*Q1163*V1163,Y1163/10000*AH1163*V1163))</f>
        <v>0</v>
      </c>
      <c r="AG1163" s="485"/>
      <c r="AH1163" s="485"/>
      <c r="AI1163" s="404"/>
    </row>
    <row r="1164" spans="1:35" ht="12.75" thickBot="1">
      <c r="A1164" s="492"/>
      <c r="B1164" s="496"/>
      <c r="C1164" s="486" t="s">
        <v>405</v>
      </c>
      <c r="D1164" s="487">
        <f>SUMIF(FS!$AM$89:$AM$119,개요!$B$361&amp;RIGHT(NAV!C1164,7),FS!$AP$89:$AP$119)</f>
        <v>0</v>
      </c>
      <c r="E1164" s="487">
        <f>D1164</f>
        <v>0</v>
      </c>
      <c r="J1164" s="551"/>
      <c r="K1164" s="552"/>
      <c r="L1164" s="551"/>
      <c r="M1164" s="553"/>
      <c r="N1164" s="553"/>
      <c r="O1164" s="551"/>
      <c r="P1164" s="553"/>
      <c r="Q1164" s="524"/>
      <c r="R1164" s="478">
        <f>IFERROR(INDEX(기초자산!M$6:M$408,MATCH(K1164&amp;N1164&amp;O1164,기초자산!$A$6:$A$408,0),0),0)</f>
        <v>0</v>
      </c>
      <c r="S1164" s="479">
        <f t="shared" si="388"/>
        <v>0</v>
      </c>
      <c r="T1164" s="553"/>
      <c r="U1164" s="471" t="s">
        <v>94</v>
      </c>
      <c r="V1164" s="480">
        <f>IF(U1164="한국 원화(KRW)",1,IF(OR(U1164=환율!$A$6,U1164=환율!$A$7),VLOOKUP(NAV!U1164,환율!$A$6:$B$7,2,),IF(RIGHT(U1164,5)="(100)",(VLOOKUP(NAV!U1164,환율!$A$11:$B$65,2,))/100,VLOOKUP(NAV!U1164,환율!$A$11:$B$65,2,))))</f>
        <v>1</v>
      </c>
      <c r="W1164" s="481"/>
      <c r="X1164" s="482">
        <f t="shared" si="389"/>
        <v>0</v>
      </c>
      <c r="Y1164" s="481"/>
      <c r="Z1164" s="481"/>
      <c r="AA1164" s="483">
        <f t="shared" si="390"/>
        <v>0</v>
      </c>
      <c r="AB1164" s="554"/>
      <c r="AC1164" s="526" t="str">
        <f t="shared" si="391"/>
        <v>2년이상</v>
      </c>
      <c r="AD1164" s="520" t="str">
        <f t="shared" si="392"/>
        <v/>
      </c>
      <c r="AE1164" s="527">
        <f t="shared" ref="AE1164:AE1173" si="393">IF(OR(T1164="MTP",T1164="과거거래 이용법",T1164="취득원가 준용",T1164="장부가액 준용",T1164="상장종가 적용"),S1164,IF(P1164="주당",AG1164*Q1164*V1164,Y1164/10000*AG1164*V1164))</f>
        <v>0</v>
      </c>
      <c r="AF1164" s="527">
        <f t="shared" ref="AF1164:AF1173" si="394">IF(OR(T1164="MTP",T1164="과거거래 이용법",T1164="취득원가 준용",T1164="장부가액 준용",T1164="상장종가 적용"),S1164,IF(P1164="주당",AH1164*Q1164*V1164,Y1164/10000*AH1164*V1164))</f>
        <v>0</v>
      </c>
      <c r="AG1164" s="485"/>
      <c r="AH1164" s="485"/>
      <c r="AI1164" s="404"/>
    </row>
    <row r="1165" spans="1:35" ht="12.75" thickBot="1">
      <c r="A1165" s="492"/>
      <c r="B1165" s="496"/>
      <c r="C1165" s="468" t="s">
        <v>21</v>
      </c>
      <c r="D1165" s="469">
        <f>SUM(D1166:D1167)</f>
        <v>0</v>
      </c>
      <c r="E1165" s="469">
        <f>SUM(E1166:E1167)</f>
        <v>0</v>
      </c>
      <c r="J1165" s="551"/>
      <c r="K1165" s="552"/>
      <c r="L1165" s="551"/>
      <c r="M1165" s="553"/>
      <c r="N1165" s="553"/>
      <c r="O1165" s="551"/>
      <c r="P1165" s="553"/>
      <c r="Q1165" s="524"/>
      <c r="R1165" s="478">
        <f>IFERROR(INDEX(기초자산!M$6:M$408,MATCH(K1165&amp;N1165&amp;O1165,기초자산!$A$6:$A$408,0),0),0)</f>
        <v>0</v>
      </c>
      <c r="S1165" s="479">
        <f t="shared" si="388"/>
        <v>0</v>
      </c>
      <c r="T1165" s="553"/>
      <c r="U1165" s="471" t="s">
        <v>94</v>
      </c>
      <c r="V1165" s="480">
        <f>IF(U1165="한국 원화(KRW)",1,IF(OR(U1165=환율!$A$6,U1165=환율!$A$7),VLOOKUP(NAV!U1165,환율!$A$6:$B$7,2,),IF(RIGHT(U1165,5)="(100)",(VLOOKUP(NAV!U1165,환율!$A$11:$B$65,2,))/100,VLOOKUP(NAV!U1165,환율!$A$11:$B$65,2,))))</f>
        <v>1</v>
      </c>
      <c r="W1165" s="481"/>
      <c r="X1165" s="482">
        <f t="shared" si="389"/>
        <v>0</v>
      </c>
      <c r="Y1165" s="481"/>
      <c r="Z1165" s="481"/>
      <c r="AA1165" s="483">
        <f t="shared" si="390"/>
        <v>0</v>
      </c>
      <c r="AB1165" s="554"/>
      <c r="AC1165" s="526" t="str">
        <f t="shared" si="391"/>
        <v>2년이상</v>
      </c>
      <c r="AD1165" s="520" t="str">
        <f t="shared" si="392"/>
        <v/>
      </c>
      <c r="AE1165" s="527">
        <f t="shared" si="393"/>
        <v>0</v>
      </c>
      <c r="AF1165" s="527">
        <f t="shared" si="394"/>
        <v>0</v>
      </c>
      <c r="AG1165" s="485"/>
      <c r="AH1165" s="485"/>
      <c r="AI1165" s="404"/>
    </row>
    <row r="1166" spans="1:35" ht="12.75" thickBot="1">
      <c r="A1166" s="492"/>
      <c r="B1166" s="496"/>
      <c r="C1166" s="486" t="s">
        <v>406</v>
      </c>
      <c r="D1166" s="487">
        <f>SUMIF(FS!$AM$89:$AM$119,개요!$B$361&amp;RIGHT(NAV!C1166,3),FS!$AP$89:$AP$119)</f>
        <v>0</v>
      </c>
      <c r="E1166" s="487">
        <f>D1166</f>
        <v>0</v>
      </c>
      <c r="J1166" s="551"/>
      <c r="K1166" s="552"/>
      <c r="L1166" s="551"/>
      <c r="M1166" s="553"/>
      <c r="N1166" s="553"/>
      <c r="O1166" s="551"/>
      <c r="P1166" s="553"/>
      <c r="Q1166" s="524"/>
      <c r="R1166" s="478">
        <f>IFERROR(INDEX(기초자산!M$6:M$408,MATCH(K1166&amp;N1166&amp;O1166,기초자산!$A$6:$A$408,0),0),0)</f>
        <v>0</v>
      </c>
      <c r="S1166" s="479">
        <f t="shared" si="388"/>
        <v>0</v>
      </c>
      <c r="T1166" s="553"/>
      <c r="U1166" s="471" t="s">
        <v>94</v>
      </c>
      <c r="V1166" s="480">
        <f>IF(U1166="한국 원화(KRW)",1,IF(OR(U1166=환율!$A$6,U1166=환율!$A$7),VLOOKUP(NAV!U1166,환율!$A$6:$B$7,2,),IF(RIGHT(U1166,5)="(100)",(VLOOKUP(NAV!U1166,환율!$A$11:$B$65,2,))/100,VLOOKUP(NAV!U1166,환율!$A$11:$B$65,2,))))</f>
        <v>1</v>
      </c>
      <c r="W1166" s="481"/>
      <c r="X1166" s="482">
        <f t="shared" si="389"/>
        <v>0</v>
      </c>
      <c r="Y1166" s="481"/>
      <c r="Z1166" s="481"/>
      <c r="AA1166" s="483">
        <f t="shared" si="390"/>
        <v>0</v>
      </c>
      <c r="AB1166" s="554"/>
      <c r="AC1166" s="526" t="str">
        <f t="shared" si="391"/>
        <v>2년이상</v>
      </c>
      <c r="AD1166" s="520" t="str">
        <f t="shared" si="392"/>
        <v/>
      </c>
      <c r="AE1166" s="527">
        <f t="shared" si="393"/>
        <v>0</v>
      </c>
      <c r="AF1166" s="527">
        <f t="shared" si="394"/>
        <v>0</v>
      </c>
      <c r="AG1166" s="485"/>
      <c r="AH1166" s="485"/>
      <c r="AI1166" s="404"/>
    </row>
    <row r="1167" spans="1:35" ht="12.75" thickBot="1">
      <c r="A1167" s="492"/>
      <c r="B1167" s="496"/>
      <c r="C1167" s="486" t="s">
        <v>407</v>
      </c>
      <c r="D1167" s="487">
        <f>SUMIF(FS!$AM$89:$AM$119,개요!$B$361&amp;RIGHT(NAV!C1167,4),FS!$AP$89:$AP$119)</f>
        <v>0</v>
      </c>
      <c r="E1167" s="487">
        <f>D1167</f>
        <v>0</v>
      </c>
      <c r="J1167" s="551"/>
      <c r="K1167" s="552"/>
      <c r="L1167" s="551"/>
      <c r="M1167" s="553"/>
      <c r="N1167" s="553"/>
      <c r="O1167" s="551"/>
      <c r="P1167" s="553"/>
      <c r="Q1167" s="524"/>
      <c r="R1167" s="478">
        <f>IFERROR(INDEX(기초자산!M$6:M$408,MATCH(K1167&amp;N1167&amp;O1167,기초자산!$A$6:$A$408,0),0),0)</f>
        <v>0</v>
      </c>
      <c r="S1167" s="479">
        <f t="shared" si="388"/>
        <v>0</v>
      </c>
      <c r="T1167" s="553"/>
      <c r="U1167" s="471" t="s">
        <v>94</v>
      </c>
      <c r="V1167" s="480">
        <f>IF(U1167="한국 원화(KRW)",1,IF(OR(U1167=환율!$A$6,U1167=환율!$A$7),VLOOKUP(NAV!U1167,환율!$A$6:$B$7,2,),IF(RIGHT(U1167,5)="(100)",(VLOOKUP(NAV!U1167,환율!$A$11:$B$65,2,))/100,VLOOKUP(NAV!U1167,환율!$A$11:$B$65,2,))))</f>
        <v>1</v>
      </c>
      <c r="W1167" s="481"/>
      <c r="X1167" s="482">
        <f t="shared" si="389"/>
        <v>0</v>
      </c>
      <c r="Y1167" s="481"/>
      <c r="Z1167" s="481"/>
      <c r="AA1167" s="483">
        <f t="shared" si="390"/>
        <v>0</v>
      </c>
      <c r="AB1167" s="554"/>
      <c r="AC1167" s="526" t="str">
        <f t="shared" si="391"/>
        <v>2년이상</v>
      </c>
      <c r="AD1167" s="520" t="str">
        <f t="shared" si="392"/>
        <v/>
      </c>
      <c r="AE1167" s="527">
        <f t="shared" si="393"/>
        <v>0</v>
      </c>
      <c r="AF1167" s="527">
        <f t="shared" si="394"/>
        <v>0</v>
      </c>
      <c r="AG1167" s="485"/>
      <c r="AH1167" s="485"/>
      <c r="AI1167" s="404"/>
    </row>
    <row r="1168" spans="1:35" ht="12.75" thickBot="1">
      <c r="A1168" s="489" t="s">
        <v>408</v>
      </c>
      <c r="B1168" s="498" t="b">
        <f>D1161+D1162+D1163+D1164+D1166+D1167=D1168</f>
        <v>1</v>
      </c>
      <c r="C1168" s="493" t="s">
        <v>477</v>
      </c>
      <c r="D1168" s="494">
        <f>D1160+D1165</f>
        <v>0</v>
      </c>
      <c r="E1168" s="494">
        <f>E1160+E1165</f>
        <v>0</v>
      </c>
      <c r="J1168" s="551"/>
      <c r="K1168" s="552"/>
      <c r="L1168" s="551"/>
      <c r="M1168" s="553"/>
      <c r="N1168" s="553"/>
      <c r="O1168" s="551"/>
      <c r="P1168" s="553"/>
      <c r="Q1168" s="524"/>
      <c r="R1168" s="478">
        <f>IFERROR(INDEX(기초자산!M$6:M$408,MATCH(K1168&amp;N1168&amp;O1168,기초자산!$A$6:$A$408,0),0),0)</f>
        <v>0</v>
      </c>
      <c r="S1168" s="479">
        <f t="shared" si="388"/>
        <v>0</v>
      </c>
      <c r="T1168" s="553"/>
      <c r="U1168" s="471" t="s">
        <v>94</v>
      </c>
      <c r="V1168" s="480">
        <f>IF(U1168="한국 원화(KRW)",1,IF(OR(U1168=환율!$A$6,U1168=환율!$A$7),VLOOKUP(NAV!U1168,환율!$A$6:$B$7,2,),IF(RIGHT(U1168,5)="(100)",(VLOOKUP(NAV!U1168,환율!$A$11:$B$65,2,))/100,VLOOKUP(NAV!U1168,환율!$A$11:$B$65,2,))))</f>
        <v>1</v>
      </c>
      <c r="W1168" s="481"/>
      <c r="X1168" s="482">
        <f t="shared" si="389"/>
        <v>0</v>
      </c>
      <c r="Y1168" s="481"/>
      <c r="Z1168" s="481"/>
      <c r="AA1168" s="483">
        <f t="shared" si="390"/>
        <v>0</v>
      </c>
      <c r="AB1168" s="554"/>
      <c r="AC1168" s="526" t="str">
        <f t="shared" si="391"/>
        <v>2년이상</v>
      </c>
      <c r="AD1168" s="520" t="str">
        <f t="shared" si="392"/>
        <v/>
      </c>
      <c r="AE1168" s="527">
        <f t="shared" si="393"/>
        <v>0</v>
      </c>
      <c r="AF1168" s="527">
        <f t="shared" si="394"/>
        <v>0</v>
      </c>
      <c r="AG1168" s="485"/>
      <c r="AH1168" s="485"/>
      <c r="AI1168" s="404"/>
    </row>
    <row r="1169" spans="1:35" ht="12.75" thickBot="1">
      <c r="A1169" s="492"/>
      <c r="B1169" s="555" t="str">
        <f>B1149&amp;C1169</f>
        <v>SPC없음자본금</v>
      </c>
      <c r="C1169" s="486" t="s">
        <v>35</v>
      </c>
      <c r="D1169" s="487">
        <f>SUMIF(FS!$AM$89:$AM$119,개요!$B$361&amp;RIGHT(NAV!C1169,3),FS!$AP$89:$AP$119)</f>
        <v>0</v>
      </c>
      <c r="E1169" s="487">
        <f>D1169</f>
        <v>0</v>
      </c>
      <c r="J1169" s="551"/>
      <c r="K1169" s="552"/>
      <c r="L1169" s="551"/>
      <c r="M1169" s="553"/>
      <c r="N1169" s="553"/>
      <c r="O1169" s="551"/>
      <c r="P1169" s="553"/>
      <c r="Q1169" s="524"/>
      <c r="R1169" s="478">
        <f>IFERROR(INDEX(기초자산!M$6:M$408,MATCH(K1169&amp;N1169&amp;O1169,기초자산!$A$6:$A$408,0),0),0)</f>
        <v>0</v>
      </c>
      <c r="S1169" s="479">
        <f t="shared" si="388"/>
        <v>0</v>
      </c>
      <c r="T1169" s="553"/>
      <c r="U1169" s="471" t="s">
        <v>94</v>
      </c>
      <c r="V1169" s="480">
        <f>IF(U1169="한국 원화(KRW)",1,IF(OR(U1169=환율!$A$6,U1169=환율!$A$7),VLOOKUP(NAV!U1169,환율!$A$6:$B$7,2,),IF(RIGHT(U1169,5)="(100)",(VLOOKUP(NAV!U1169,환율!$A$11:$B$65,2,))/100,VLOOKUP(NAV!U1169,환율!$A$11:$B$65,2,))))</f>
        <v>1</v>
      </c>
      <c r="W1169" s="481"/>
      <c r="X1169" s="482">
        <f t="shared" si="389"/>
        <v>0</v>
      </c>
      <c r="Y1169" s="481"/>
      <c r="Z1169" s="481"/>
      <c r="AA1169" s="483">
        <f t="shared" si="390"/>
        <v>0</v>
      </c>
      <c r="AB1169" s="554"/>
      <c r="AC1169" s="526" t="str">
        <f t="shared" si="391"/>
        <v>2년이상</v>
      </c>
      <c r="AD1169" s="520" t="str">
        <f t="shared" si="392"/>
        <v/>
      </c>
      <c r="AE1169" s="527">
        <f t="shared" si="393"/>
        <v>0</v>
      </c>
      <c r="AF1169" s="527">
        <f t="shared" si="394"/>
        <v>0</v>
      </c>
      <c r="AG1169" s="485"/>
      <c r="AH1169" s="485"/>
      <c r="AI1169" s="404"/>
    </row>
    <row r="1170" spans="1:35" ht="12.75" thickBot="1">
      <c r="C1170" s="486" t="s">
        <v>120</v>
      </c>
      <c r="D1170" s="487">
        <f>SUMIF(FS!$AM$89:$AM$119,개요!$B$361&amp;RIGHT(NAV!C1170,10),FS!$AP$89:$AP$119)</f>
        <v>0</v>
      </c>
      <c r="E1170" s="487">
        <f>D1170</f>
        <v>0</v>
      </c>
      <c r="J1170" s="551"/>
      <c r="K1170" s="552"/>
      <c r="L1170" s="551"/>
      <c r="M1170" s="553"/>
      <c r="N1170" s="553"/>
      <c r="O1170" s="551"/>
      <c r="P1170" s="553"/>
      <c r="Q1170" s="524"/>
      <c r="R1170" s="478">
        <f>IFERROR(INDEX(기초자산!M$6:M$408,MATCH(K1170&amp;N1170&amp;O1170,기초자산!$A$6:$A$408,0),0),0)</f>
        <v>0</v>
      </c>
      <c r="S1170" s="479">
        <f t="shared" si="388"/>
        <v>0</v>
      </c>
      <c r="T1170" s="553"/>
      <c r="U1170" s="471" t="s">
        <v>94</v>
      </c>
      <c r="V1170" s="480">
        <f>IF(U1170="한국 원화(KRW)",1,IF(OR(U1170=환율!$A$6,U1170=환율!$A$7),VLOOKUP(NAV!U1170,환율!$A$6:$B$7,2,),IF(RIGHT(U1170,5)="(100)",(VLOOKUP(NAV!U1170,환율!$A$11:$B$65,2,))/100,VLOOKUP(NAV!U1170,환율!$A$11:$B$65,2,))))</f>
        <v>1</v>
      </c>
      <c r="W1170" s="481"/>
      <c r="X1170" s="482">
        <f t="shared" si="389"/>
        <v>0</v>
      </c>
      <c r="Y1170" s="481"/>
      <c r="Z1170" s="481"/>
      <c r="AA1170" s="483">
        <f t="shared" si="390"/>
        <v>0</v>
      </c>
      <c r="AB1170" s="554"/>
      <c r="AC1170" s="526" t="str">
        <f t="shared" si="391"/>
        <v>2년이상</v>
      </c>
      <c r="AD1170" s="520" t="str">
        <f t="shared" si="392"/>
        <v/>
      </c>
      <c r="AE1170" s="527">
        <f t="shared" si="393"/>
        <v>0</v>
      </c>
      <c r="AF1170" s="527">
        <f t="shared" si="394"/>
        <v>0</v>
      </c>
      <c r="AG1170" s="485"/>
      <c r="AH1170" s="485"/>
      <c r="AI1170" s="404"/>
    </row>
    <row r="1171" spans="1:35" ht="12.75" thickBot="1">
      <c r="A1171" s="489"/>
      <c r="B1171" s="415"/>
      <c r="C1171" s="486" t="s">
        <v>122</v>
      </c>
      <c r="D1171" s="487">
        <f>SUMIF(FS!$AM$89:$AM$119,개요!$B$361&amp;RIGHT(NAV!C1171,8),FS!$AP$89:$AP$119)</f>
        <v>0</v>
      </c>
      <c r="E1171" s="487">
        <f>D1171</f>
        <v>0</v>
      </c>
      <c r="J1171" s="551"/>
      <c r="K1171" s="552"/>
      <c r="L1171" s="551"/>
      <c r="M1171" s="553"/>
      <c r="N1171" s="553"/>
      <c r="O1171" s="551"/>
      <c r="P1171" s="553"/>
      <c r="Q1171" s="524"/>
      <c r="R1171" s="478">
        <f>IFERROR(INDEX(기초자산!M$6:M$408,MATCH(K1171&amp;N1171&amp;O1171,기초자산!$A$6:$A$408,0),0),0)</f>
        <v>0</v>
      </c>
      <c r="S1171" s="479">
        <f t="shared" si="388"/>
        <v>0</v>
      </c>
      <c r="T1171" s="553"/>
      <c r="U1171" s="471" t="s">
        <v>94</v>
      </c>
      <c r="V1171" s="480">
        <f>IF(U1171="한국 원화(KRW)",1,IF(OR(U1171=환율!$A$6,U1171=환율!$A$7),VLOOKUP(NAV!U1171,환율!$A$6:$B$7,2,),IF(RIGHT(U1171,5)="(100)",(VLOOKUP(NAV!U1171,환율!$A$11:$B$65,2,))/100,VLOOKUP(NAV!U1171,환율!$A$11:$B$65,2,))))</f>
        <v>1</v>
      </c>
      <c r="W1171" s="481"/>
      <c r="X1171" s="482">
        <f t="shared" si="389"/>
        <v>0</v>
      </c>
      <c r="Y1171" s="481"/>
      <c r="Z1171" s="481"/>
      <c r="AA1171" s="483">
        <f t="shared" si="390"/>
        <v>0</v>
      </c>
      <c r="AB1171" s="554"/>
      <c r="AC1171" s="526" t="str">
        <f t="shared" si="391"/>
        <v>2년이상</v>
      </c>
      <c r="AD1171" s="520" t="str">
        <f t="shared" si="392"/>
        <v/>
      </c>
      <c r="AE1171" s="527">
        <f t="shared" si="393"/>
        <v>0</v>
      </c>
      <c r="AF1171" s="527">
        <f t="shared" si="394"/>
        <v>0</v>
      </c>
      <c r="AG1171" s="485"/>
      <c r="AH1171" s="485"/>
      <c r="AI1171" s="404"/>
    </row>
    <row r="1172" spans="1:35" ht="12.75" thickBot="1">
      <c r="A1172" s="489" t="s">
        <v>411</v>
      </c>
      <c r="B1172" s="415" t="b">
        <f>D1172=SUM(D1169:D1171)</f>
        <v>1</v>
      </c>
      <c r="C1172" s="493" t="s">
        <v>79</v>
      </c>
      <c r="D1172" s="494">
        <f>D1159-D1168</f>
        <v>0</v>
      </c>
      <c r="E1172" s="494">
        <f>E1159-E1168</f>
        <v>0</v>
      </c>
      <c r="J1172" s="551"/>
      <c r="K1172" s="552"/>
      <c r="L1172" s="551"/>
      <c r="M1172" s="553"/>
      <c r="N1172" s="553"/>
      <c r="O1172" s="551"/>
      <c r="P1172" s="553"/>
      <c r="Q1172" s="524"/>
      <c r="R1172" s="478">
        <f>IFERROR(INDEX(기초자산!M$6:M$408,MATCH(K1172&amp;N1172&amp;O1172,기초자산!$A$6:$A$408,0),0),0)</f>
        <v>0</v>
      </c>
      <c r="S1172" s="479">
        <f t="shared" si="388"/>
        <v>0</v>
      </c>
      <c r="T1172" s="553"/>
      <c r="U1172" s="471" t="s">
        <v>94</v>
      </c>
      <c r="V1172" s="480">
        <f>IF(U1172="한국 원화(KRW)",1,IF(OR(U1172=환율!$A$6,U1172=환율!$A$7),VLOOKUP(NAV!U1172,환율!$A$6:$B$7,2,),IF(RIGHT(U1172,5)="(100)",(VLOOKUP(NAV!U1172,환율!$A$11:$B$65,2,))/100,VLOOKUP(NAV!U1172,환율!$A$11:$B$65,2,))))</f>
        <v>1</v>
      </c>
      <c r="W1172" s="481"/>
      <c r="X1172" s="482">
        <f t="shared" si="389"/>
        <v>0</v>
      </c>
      <c r="Y1172" s="481"/>
      <c r="Z1172" s="481"/>
      <c r="AA1172" s="483">
        <f t="shared" si="390"/>
        <v>0</v>
      </c>
      <c r="AB1172" s="554"/>
      <c r="AC1172" s="526" t="str">
        <f t="shared" si="391"/>
        <v>2년이상</v>
      </c>
      <c r="AD1172" s="520" t="str">
        <f t="shared" si="392"/>
        <v/>
      </c>
      <c r="AE1172" s="527">
        <f t="shared" si="393"/>
        <v>0</v>
      </c>
      <c r="AF1172" s="527">
        <f t="shared" si="394"/>
        <v>0</v>
      </c>
      <c r="AG1172" s="485"/>
      <c r="AH1172" s="485"/>
      <c r="AI1172" s="404"/>
    </row>
    <row r="1173" spans="1:35" ht="12.75" thickBot="1">
      <c r="A1173" s="489"/>
      <c r="B1173" s="415"/>
      <c r="C1173" s="486" t="s">
        <v>413</v>
      </c>
      <c r="D1173" s="487">
        <v>0</v>
      </c>
      <c r="E1173" s="499">
        <v>0</v>
      </c>
      <c r="J1173" s="551"/>
      <c r="K1173" s="552"/>
      <c r="L1173" s="551"/>
      <c r="M1173" s="553"/>
      <c r="N1173" s="553"/>
      <c r="O1173" s="551"/>
      <c r="P1173" s="553"/>
      <c r="Q1173" s="524"/>
      <c r="R1173" s="478">
        <f>IFERROR(INDEX(기초자산!M$6:M$408,MATCH(K1173&amp;N1173&amp;O1173,기초자산!$A$6:$A$408,0),0),0)</f>
        <v>0</v>
      </c>
      <c r="S1173" s="479">
        <f t="shared" si="388"/>
        <v>0</v>
      </c>
      <c r="T1173" s="553"/>
      <c r="U1173" s="471" t="s">
        <v>94</v>
      </c>
      <c r="V1173" s="480">
        <f>IF(U1173="한국 원화(KRW)",1,IF(OR(U1173=환율!$A$6,U1173=환율!$A$7),VLOOKUP(NAV!U1173,환율!$A$6:$B$7,2,),IF(RIGHT(U1173,5)="(100)",(VLOOKUP(NAV!U1173,환율!$A$11:$B$65,2,))/100,VLOOKUP(NAV!U1173,환율!$A$11:$B$65,2,))))</f>
        <v>1</v>
      </c>
      <c r="W1173" s="481"/>
      <c r="X1173" s="482">
        <f t="shared" si="389"/>
        <v>0</v>
      </c>
      <c r="Y1173" s="481"/>
      <c r="Z1173" s="481"/>
      <c r="AA1173" s="483">
        <f t="shared" si="390"/>
        <v>0</v>
      </c>
      <c r="AB1173" s="554"/>
      <c r="AC1173" s="526" t="str">
        <f t="shared" si="391"/>
        <v>2년이상</v>
      </c>
      <c r="AD1173" s="520" t="str">
        <f t="shared" si="392"/>
        <v/>
      </c>
      <c r="AE1173" s="527">
        <f t="shared" si="393"/>
        <v>0</v>
      </c>
      <c r="AF1173" s="527">
        <f t="shared" si="394"/>
        <v>0</v>
      </c>
      <c r="AG1173" s="485"/>
      <c r="AH1173" s="485"/>
      <c r="AI1173" s="404"/>
    </row>
    <row r="1174" spans="1:35">
      <c r="A1174" s="489"/>
      <c r="B1174" s="415"/>
      <c r="C1174" s="486" t="s">
        <v>414</v>
      </c>
      <c r="D1174" s="487">
        <v>0</v>
      </c>
      <c r="E1174" s="499">
        <v>0</v>
      </c>
      <c r="J1174" s="495"/>
      <c r="K1174" s="415"/>
      <c r="L1174" s="495"/>
      <c r="M1174" s="415"/>
      <c r="N1174" s="415"/>
      <c r="O1174" s="415"/>
      <c r="P1174" s="415"/>
      <c r="Q1174" s="422"/>
      <c r="R1174" s="415"/>
      <c r="S1174" s="415"/>
      <c r="T1174" s="415"/>
      <c r="U1174" s="415"/>
      <c r="V1174" s="415"/>
      <c r="W1174" s="422"/>
      <c r="X1174" s="415"/>
      <c r="Y1174" s="458"/>
      <c r="Z1174" s="422"/>
      <c r="AA1174" s="556"/>
      <c r="AB1174" s="556"/>
      <c r="AC1174" s="415"/>
      <c r="AE1174" s="415"/>
      <c r="AI1174" s="404"/>
    </row>
    <row r="1175" spans="1:35">
      <c r="A1175" s="489"/>
      <c r="B1175" s="415"/>
      <c r="C1175" s="493" t="s">
        <v>123</v>
      </c>
      <c r="D1175" s="494">
        <f>D1172+D1173-D1174</f>
        <v>0</v>
      </c>
      <c r="E1175" s="494">
        <f>IF(E1172+E1173-E1174&gt;0,E1172+E1173-E1174,0)</f>
        <v>0</v>
      </c>
      <c r="J1175" s="305"/>
      <c r="K1175" s="415"/>
      <c r="L1175" s="305"/>
      <c r="M1175" s="415"/>
      <c r="N1175" s="415"/>
      <c r="O1175" s="415"/>
      <c r="S1175" s="415"/>
      <c r="T1175" s="415"/>
      <c r="U1175" s="415"/>
      <c r="V1175" s="415"/>
      <c r="Y1175" s="458"/>
      <c r="AD1175" s="557" t="str">
        <f>B1149&amp;"순자산가치"</f>
        <v>SPC없음순자산가치</v>
      </c>
      <c r="AE1175" s="529">
        <f>IF(E1155+SUM(AE1155:AE1160)+SUM(AE1163:AE1173)-E1168&gt;0,E1155+SUM(AE1155:AE1160)+SUM(AE1163:AE1173)-E1168,0)</f>
        <v>0</v>
      </c>
      <c r="AF1175" s="529">
        <f>IF(E1155+SUM(AF1155:AF1160)+SUM(AF1163:AF1173)-E1168&gt;0,E1155+SUM(AF1155:AF1160)+SUM(AF1163:AF1173)-E1168,0)</f>
        <v>0</v>
      </c>
      <c r="AI1175" s="404"/>
    </row>
    <row r="1176" spans="1:35">
      <c r="A1176" s="489"/>
      <c r="B1176" s="558" t="str">
        <f>B1149&amp;C1176</f>
        <v>SPC없음보유지분율(%)</v>
      </c>
      <c r="C1176" s="493" t="s">
        <v>416</v>
      </c>
      <c r="D1176" s="559">
        <f>개요!$C$250</f>
        <v>0</v>
      </c>
      <c r="E1176" s="494">
        <f>E1175*D1176</f>
        <v>0</v>
      </c>
      <c r="F1176" s="560" t="s">
        <v>417</v>
      </c>
      <c r="G1176" s="560"/>
      <c r="J1176" s="495"/>
      <c r="K1176" s="415"/>
      <c r="L1176" s="495"/>
      <c r="M1176" s="415"/>
      <c r="N1176" s="415"/>
      <c r="O1176" s="415"/>
      <c r="S1176" s="415"/>
      <c r="T1176" s="415"/>
      <c r="U1176" s="415"/>
      <c r="V1176" s="415"/>
      <c r="Y1176" s="458"/>
      <c r="AD1176" s="557" t="s">
        <v>272</v>
      </c>
      <c r="AE1176" s="561">
        <f>$D1176</f>
        <v>0</v>
      </c>
      <c r="AF1176" s="561">
        <f>$D1176</f>
        <v>0</v>
      </c>
      <c r="AI1176" s="404"/>
    </row>
    <row r="1177" spans="1:35">
      <c r="A1177" s="489"/>
      <c r="B1177" s="415"/>
      <c r="G1177" s="503" t="s">
        <v>419</v>
      </c>
      <c r="I1177" s="562"/>
      <c r="J1177" s="495"/>
      <c r="K1177" s="415"/>
      <c r="L1177" s="495"/>
      <c r="M1177" s="415"/>
      <c r="N1177" s="415"/>
      <c r="O1177" s="415"/>
      <c r="S1177" s="415"/>
      <c r="T1177" s="415"/>
      <c r="U1177" s="415"/>
      <c r="V1177" s="415"/>
      <c r="Y1177" s="458"/>
      <c r="AD1177" s="557" t="str">
        <f>B1149&amp;"지분율 반영 순자산가치"</f>
        <v>SPC없음지분율 반영 순자산가치</v>
      </c>
      <c r="AE1177" s="529">
        <f>AE1175*AE1176</f>
        <v>0</v>
      </c>
      <c r="AF1177" s="529">
        <f>AF1175*AF1176</f>
        <v>0</v>
      </c>
      <c r="AI1177" s="404"/>
    </row>
    <row r="1178" spans="1:35">
      <c r="A1178" s="489"/>
      <c r="D1178" s="504" t="s">
        <v>43</v>
      </c>
      <c r="E1178" s="505">
        <f>$C$7</f>
        <v>45473</v>
      </c>
      <c r="F1178" s="506"/>
      <c r="G1178" s="505"/>
      <c r="I1178" s="563"/>
      <c r="J1178" s="495"/>
      <c r="K1178" s="415"/>
      <c r="L1178" s="495"/>
      <c r="M1178" s="415"/>
      <c r="N1178" s="415"/>
      <c r="O1178" s="415"/>
      <c r="S1178" s="415"/>
      <c r="T1178" s="415"/>
      <c r="U1178" s="415"/>
      <c r="V1178" s="415"/>
      <c r="Y1178" s="422"/>
      <c r="AI1178" s="404"/>
    </row>
    <row r="1179" spans="1:35">
      <c r="D1179" s="486" t="s">
        <v>79</v>
      </c>
      <c r="E1179" s="487">
        <f>E1175</f>
        <v>0</v>
      </c>
      <c r="F1179" s="507" t="e">
        <f>E1179/G1179-1</f>
        <v>#DIV/0!</v>
      </c>
      <c r="G1179" s="487"/>
      <c r="I1179" s="564"/>
      <c r="J1179" s="495"/>
      <c r="K1179" s="415"/>
      <c r="L1179" s="495"/>
      <c r="M1179" s="415"/>
      <c r="S1179" s="415"/>
      <c r="T1179" s="415"/>
      <c r="U1179" s="415"/>
      <c r="V1179" s="415"/>
      <c r="Y1179" s="422"/>
      <c r="AI1179" s="404"/>
    </row>
    <row r="1180" spans="1:35">
      <c r="A1180" s="489"/>
      <c r="B1180" s="415"/>
      <c r="D1180" s="486" t="s">
        <v>272</v>
      </c>
      <c r="E1180" s="565">
        <f>$D$1176</f>
        <v>0</v>
      </c>
      <c r="F1180" s="507"/>
      <c r="G1180" s="565"/>
      <c r="I1180" s="566"/>
      <c r="J1180" s="305"/>
      <c r="K1180" s="415"/>
      <c r="L1180" s="305"/>
      <c r="M1180" s="415"/>
      <c r="S1180" s="415"/>
      <c r="T1180" s="415"/>
      <c r="U1180" s="415"/>
      <c r="V1180" s="415"/>
      <c r="Y1180" s="422"/>
      <c r="AI1180" s="404"/>
    </row>
    <row r="1181" spans="1:35">
      <c r="A1181" s="489"/>
      <c r="B1181" s="415"/>
      <c r="D1181" s="567" t="s">
        <v>246</v>
      </c>
      <c r="E1181" s="568">
        <f>E1179*E1180</f>
        <v>0</v>
      </c>
      <c r="F1181" s="507" t="e">
        <f>E1181/G1181-1</f>
        <v>#DIV/0!</v>
      </c>
      <c r="G1181" s="568"/>
      <c r="I1181" s="564"/>
      <c r="AI1181" s="404"/>
    </row>
    <row r="1182" spans="1:35">
      <c r="E1182" s="304" t="b">
        <f>E1181=E1176</f>
        <v>1</v>
      </c>
      <c r="AI1182" s="404"/>
    </row>
    <row r="1183" spans="1:35">
      <c r="F1183" s="507"/>
      <c r="G1183" s="507"/>
      <c r="AI1183" s="404"/>
    </row>
    <row r="1184" spans="1:35" ht="12.75" thickBot="1">
      <c r="A1184" s="536"/>
      <c r="B1184" s="536"/>
      <c r="C1184" s="536"/>
      <c r="D1184" s="536"/>
      <c r="E1184" s="536"/>
      <c r="F1184" s="572"/>
      <c r="G1184" s="572"/>
      <c r="H1184" s="536"/>
      <c r="I1184" s="537"/>
      <c r="J1184" s="536"/>
      <c r="K1184" s="536"/>
      <c r="L1184" s="536"/>
      <c r="M1184" s="536"/>
      <c r="N1184" s="536"/>
      <c r="O1184" s="536"/>
      <c r="P1184" s="536"/>
      <c r="Q1184" s="540"/>
      <c r="R1184" s="536"/>
      <c r="S1184" s="536"/>
      <c r="T1184" s="536"/>
      <c r="U1184" s="536"/>
      <c r="V1184" s="536"/>
      <c r="W1184" s="540"/>
      <c r="X1184" s="536"/>
      <c r="Y1184" s="540"/>
      <c r="Z1184" s="540"/>
      <c r="AA1184" s="536"/>
      <c r="AB1184" s="536"/>
      <c r="AC1184" s="536"/>
      <c r="AD1184" s="541"/>
      <c r="AE1184" s="536"/>
      <c r="AF1184" s="536"/>
      <c r="AG1184" s="536"/>
      <c r="AH1184" s="536"/>
      <c r="AI1184" s="404"/>
    </row>
    <row r="1185" spans="1:35" ht="12.75" thickTop="1">
      <c r="F1185" s="507"/>
      <c r="G1185" s="507"/>
      <c r="AI1185" s="404"/>
    </row>
    <row r="1186" spans="1:35" ht="12.75" thickBot="1">
      <c r="A1186" s="459"/>
      <c r="B1186" s="415"/>
      <c r="J1186" s="428" t="s">
        <v>273</v>
      </c>
      <c r="K1186" s="489"/>
      <c r="L1186" s="497"/>
      <c r="M1186" s="489"/>
      <c r="N1186" s="415"/>
      <c r="O1186" s="415"/>
      <c r="AI1186" s="404"/>
    </row>
    <row r="1187" spans="1:35" ht="12.75" thickBot="1">
      <c r="A1187" s="542" t="s">
        <v>725</v>
      </c>
      <c r="B1187" s="543" t="str">
        <f>IF(개요!$B$373="","SPC없음",개요!$B$373)</f>
        <v>SPC없음</v>
      </c>
      <c r="C1187" s="454"/>
      <c r="J1187" s="433"/>
      <c r="K1187" s="434"/>
      <c r="L1187" s="434"/>
      <c r="M1187" s="434"/>
      <c r="N1187" s="434"/>
      <c r="O1187" s="434"/>
      <c r="P1187" s="434"/>
      <c r="Q1187" s="435"/>
      <c r="R1187" s="434"/>
      <c r="S1187" s="434"/>
      <c r="T1187" s="434"/>
      <c r="U1187" s="434"/>
      <c r="V1187" s="436"/>
      <c r="AI1187" s="404"/>
    </row>
    <row r="1188" spans="1:35">
      <c r="B1188" s="543" t="s">
        <v>260</v>
      </c>
      <c r="C1188" s="569" t="str">
        <f>IF(개요!$C$374="","SPC없음",개요!$C$374)</f>
        <v>SPC없음</v>
      </c>
      <c r="J1188" s="442"/>
      <c r="K1188" s="151"/>
      <c r="L1188" s="151"/>
      <c r="M1188" s="151"/>
      <c r="N1188" s="151"/>
      <c r="O1188" s="151"/>
      <c r="P1188" s="151"/>
      <c r="Q1188" s="443"/>
      <c r="R1188" s="151"/>
      <c r="S1188" s="151"/>
      <c r="T1188" s="151"/>
      <c r="U1188" s="151"/>
      <c r="V1188" s="444"/>
      <c r="AI1188" s="404"/>
    </row>
    <row r="1189" spans="1:35">
      <c r="B1189" s="437" t="s">
        <v>43</v>
      </c>
      <c r="C1189" s="570">
        <f>$C$7</f>
        <v>45473</v>
      </c>
      <c r="D1189" s="546" t="b">
        <f>C1189&gt;=C1190</f>
        <v>1</v>
      </c>
      <c r="J1189" s="442"/>
      <c r="K1189" s="151"/>
      <c r="L1189" s="151"/>
      <c r="M1189" s="151"/>
      <c r="N1189" s="151"/>
      <c r="O1189" s="151"/>
      <c r="P1189" s="151"/>
      <c r="Q1189" s="443"/>
      <c r="R1189" s="151"/>
      <c r="S1189" s="151"/>
      <c r="T1189" s="151"/>
      <c r="U1189" s="151"/>
      <c r="V1189" s="444"/>
      <c r="AI1189" s="404"/>
    </row>
    <row r="1190" spans="1:35" ht="12.75" thickBot="1">
      <c r="B1190" s="449" t="s">
        <v>371</v>
      </c>
      <c r="C1190" s="571">
        <f>FS!$AV$88</f>
        <v>0</v>
      </c>
      <c r="J1190" s="453"/>
      <c r="K1190" s="454"/>
      <c r="L1190" s="454"/>
      <c r="M1190" s="454"/>
      <c r="N1190" s="454"/>
      <c r="O1190" s="454"/>
      <c r="P1190" s="454"/>
      <c r="Q1190" s="455"/>
      <c r="R1190" s="454"/>
      <c r="S1190" s="454"/>
      <c r="T1190" s="454"/>
      <c r="U1190" s="454"/>
      <c r="V1190" s="456"/>
      <c r="AI1190" s="404"/>
    </row>
    <row r="1191" spans="1:35">
      <c r="A1191" s="459"/>
      <c r="J1191" s="428" t="s">
        <v>372</v>
      </c>
      <c r="K1191" s="448"/>
      <c r="L1191" s="420"/>
      <c r="M1191" s="448"/>
      <c r="N1191" s="448"/>
      <c r="O1191" s="448"/>
      <c r="P1191" s="415"/>
      <c r="Q1191" s="422"/>
      <c r="R1191" s="415"/>
      <c r="S1191" s="415"/>
      <c r="T1191" s="415"/>
      <c r="U1191" s="415"/>
      <c r="V1191" s="415"/>
      <c r="W1191" s="422"/>
      <c r="Z1191" s="458"/>
      <c r="AE1191" s="803" t="s">
        <v>8</v>
      </c>
      <c r="AF1191" s="803"/>
      <c r="AG1191" s="460"/>
      <c r="AH1191" s="460"/>
      <c r="AI1191" s="404"/>
    </row>
    <row r="1192" spans="1:35" ht="12.75" thickBot="1">
      <c r="A1192" s="461" t="str">
        <f>IF(AND(B1193:B1219),"검증완료","검증필요")</f>
        <v>검증완료</v>
      </c>
      <c r="B1192" s="462" t="s">
        <v>38</v>
      </c>
      <c r="C1192" s="462" t="s">
        <v>9</v>
      </c>
      <c r="D1192" s="462" t="s">
        <v>10</v>
      </c>
      <c r="E1192" s="462" t="s">
        <v>11</v>
      </c>
      <c r="J1192" s="462" t="s">
        <v>375</v>
      </c>
      <c r="K1192" s="464" t="s">
        <v>0</v>
      </c>
      <c r="L1192" s="462" t="s">
        <v>260</v>
      </c>
      <c r="M1192" s="462" t="s">
        <v>456</v>
      </c>
      <c r="N1192" s="462" t="s">
        <v>91</v>
      </c>
      <c r="O1192" s="462" t="s">
        <v>1</v>
      </c>
      <c r="P1192" s="464" t="s">
        <v>380</v>
      </c>
      <c r="Q1192" s="465" t="s">
        <v>14</v>
      </c>
      <c r="R1192" s="466" t="s">
        <v>381</v>
      </c>
      <c r="S1192" s="466" t="s">
        <v>303</v>
      </c>
      <c r="T1192" s="462" t="s">
        <v>12</v>
      </c>
      <c r="U1192" s="462" t="s">
        <v>72</v>
      </c>
      <c r="V1192" s="462" t="s">
        <v>70</v>
      </c>
      <c r="W1192" s="465" t="s">
        <v>10</v>
      </c>
      <c r="X1192" s="462" t="s">
        <v>385</v>
      </c>
      <c r="Y1192" s="465" t="s">
        <v>125</v>
      </c>
      <c r="Z1192" s="465" t="s">
        <v>3522</v>
      </c>
      <c r="AA1192" s="464" t="s">
        <v>13</v>
      </c>
      <c r="AE1192" s="467" t="s">
        <v>3627</v>
      </c>
      <c r="AF1192" s="467" t="s">
        <v>3628</v>
      </c>
      <c r="AG1192" s="467" t="s">
        <v>3629</v>
      </c>
      <c r="AH1192" s="467" t="s">
        <v>3630</v>
      </c>
      <c r="AI1192" s="404"/>
    </row>
    <row r="1193" spans="1:35" ht="12.75" thickBot="1">
      <c r="A1193" s="415"/>
      <c r="B1193" s="415"/>
      <c r="C1193" s="468" t="s">
        <v>480</v>
      </c>
      <c r="D1193" s="469">
        <f>SUM(D1194:D1195)</f>
        <v>0</v>
      </c>
      <c r="E1193" s="469">
        <f>SUM(E1194:E1195)</f>
        <v>0</v>
      </c>
      <c r="J1193" s="476"/>
      <c r="K1193" s="472"/>
      <c r="L1193" s="473" t="str">
        <f>IF($J1193="","SPC 없음",VLOOKUP($J1193&amp;"SPC명",개요!$A$3:$E$1932,3,0))</f>
        <v>SPC 없음</v>
      </c>
      <c r="M1193" s="474" t="str">
        <f>IF($J1193="","SPC 없음",VLOOKUP($J1193&amp;"설정일",개요!$A$3:$E$1932,3,0))</f>
        <v>SPC 없음</v>
      </c>
      <c r="N1193" s="475" t="str">
        <f t="shared" ref="N1193:N1198" si="395">IF($J1193="","SPC 없음",VLOOKUP($J1193&amp;"자본금",$B$4:$E$2079,3,0)*VLOOKUP($J1193&amp;"보유지분율(%)",$B$4:$E$2079,3,0))</f>
        <v>SPC 없음</v>
      </c>
      <c r="O1193" s="471"/>
      <c r="P1193" s="476"/>
      <c r="Q1193" s="477"/>
      <c r="R1193" s="478"/>
      <c r="S1193" s="479" t="str">
        <f t="shared" ref="S1193:S1198" si="396">IF($J1193="","SPC 없음",IF(P1193="총액",IF(T1193="장부가액 준용",W1193,(VLOOKUP($J1193&amp;"보유지분율(%)",$B$4:$E$2079,4,0))*V1193),Q1193*R1193))</f>
        <v>SPC 없음</v>
      </c>
      <c r="T1193" s="471"/>
      <c r="U1193" s="471" t="s">
        <v>94</v>
      </c>
      <c r="V1193" s="480">
        <f>IF(U1193="한국 원화(KRW)",1,IF(OR(U1193=환율!$A$6,U1193=환율!$A$7),VLOOKUP(NAV!U1193,환율!$A$6:$B$7,2,),IF(RIGHT(U1193,5)="(100)",(VLOOKUP(NAV!U1193,환율!$A$11:$B$65,2,))/100,VLOOKUP(NAV!U1193,환율!$A$11:$B$65,2,))))</f>
        <v>1</v>
      </c>
      <c r="W1193" s="481"/>
      <c r="X1193" s="482">
        <f t="shared" ref="X1193:X1198" si="397">IFERROR(IF(P1193="만원당",10000,Y1193/Q1193),0)</f>
        <v>0</v>
      </c>
      <c r="Y1193" s="481"/>
      <c r="Z1193" s="481"/>
      <c r="AA1193" s="483">
        <f t="shared" ref="AA1193:AA1198" si="398">IFERROR(IF(Z1193="",S1193/W1193-1,S1193/Z1193-1),0)</f>
        <v>0</v>
      </c>
      <c r="AE1193" s="484" t="str">
        <f t="shared" ref="AE1193:AE1198" si="399">IF($J1193="","SPC 없음",IF(P1193="총액",(VLOOKUP($J1193&amp;"지분율 반영 순자산가치",$AD$4:$AH$4973,2,0))*V1193,AG1193*$Q1193))</f>
        <v>SPC 없음</v>
      </c>
      <c r="AF1193" s="484" t="str">
        <f t="shared" ref="AF1193:AF1198" si="400">IF($J1193="","SPC 없음",IF(P1193="총액",(VLOOKUP($J1193&amp;"지분율 반영 순자산가치",$AD$4:$AH$4973,3,0))*V1193,AH1193*$Q1193))</f>
        <v>SPC 없음</v>
      </c>
      <c r="AG1193" s="485"/>
      <c r="AH1193" s="485"/>
      <c r="AI1193" s="404"/>
    </row>
    <row r="1194" spans="1:35" ht="12.75" thickBot="1">
      <c r="A1194" s="415"/>
      <c r="B1194" s="415"/>
      <c r="C1194" s="486" t="s">
        <v>117</v>
      </c>
      <c r="D1194" s="487">
        <f>SUMIF(FS!$AS$89:$AS$119,개요!$B$373&amp;RIGHT(NAV!C1194,10),FS!$AV$89:$AV$119)</f>
        <v>0</v>
      </c>
      <c r="E1194" s="487">
        <f>D1194</f>
        <v>0</v>
      </c>
      <c r="J1194" s="476"/>
      <c r="K1194" s="472"/>
      <c r="L1194" s="473" t="str">
        <f>IF($J1194="","SPC 없음",VLOOKUP($J1194&amp;"SPC명",개요!$A$3:$E$1932,3,0))</f>
        <v>SPC 없음</v>
      </c>
      <c r="M1194" s="474" t="str">
        <f>IF($J1194="","SPC 없음",VLOOKUP($J1194&amp;"설정일",개요!$A$3:$E$1932,3,0))</f>
        <v>SPC 없음</v>
      </c>
      <c r="N1194" s="475" t="str">
        <f t="shared" si="395"/>
        <v>SPC 없음</v>
      </c>
      <c r="O1194" s="471"/>
      <c r="P1194" s="476"/>
      <c r="Q1194" s="477"/>
      <c r="R1194" s="478"/>
      <c r="S1194" s="479" t="str">
        <f t="shared" si="396"/>
        <v>SPC 없음</v>
      </c>
      <c r="T1194" s="471"/>
      <c r="U1194" s="471" t="s">
        <v>94</v>
      </c>
      <c r="V1194" s="480">
        <f>IF(U1194="한국 원화(KRW)",1,IF(OR(U1194=환율!$A$6,U1194=환율!$A$7),VLOOKUP(NAV!U1194,환율!$A$6:$B$7,2,),IF(RIGHT(U1194,5)="(100)",(VLOOKUP(NAV!U1194,환율!$A$11:$B$65,2,))/100,VLOOKUP(NAV!U1194,환율!$A$11:$B$65,2,))))</f>
        <v>1</v>
      </c>
      <c r="W1194" s="481"/>
      <c r="X1194" s="482">
        <f t="shared" si="397"/>
        <v>0</v>
      </c>
      <c r="Y1194" s="481"/>
      <c r="Z1194" s="481"/>
      <c r="AA1194" s="483">
        <f t="shared" si="398"/>
        <v>0</v>
      </c>
      <c r="AE1194" s="484" t="str">
        <f t="shared" si="399"/>
        <v>SPC 없음</v>
      </c>
      <c r="AF1194" s="484" t="str">
        <f t="shared" si="400"/>
        <v>SPC 없음</v>
      </c>
      <c r="AG1194" s="485"/>
      <c r="AH1194" s="485"/>
      <c r="AI1194" s="404"/>
    </row>
    <row r="1195" spans="1:35" ht="12.75" thickBot="1">
      <c r="A1195" s="415"/>
      <c r="B1195" s="415"/>
      <c r="C1195" s="486" t="s">
        <v>34</v>
      </c>
      <c r="D1195" s="487">
        <f>SUMIF(FS!$AS$89:$AS$119,개요!$B$373&amp;RIGHT(NAV!C1195,4),FS!$AV$89:$AV$119)</f>
        <v>0</v>
      </c>
      <c r="E1195" s="487">
        <f>D1195</f>
        <v>0</v>
      </c>
      <c r="J1195" s="476"/>
      <c r="K1195" s="472"/>
      <c r="L1195" s="473" t="str">
        <f>IF($J1195="","SPC 없음",VLOOKUP($J1195&amp;"SPC명",개요!$A$3:$E$1932,3,0))</f>
        <v>SPC 없음</v>
      </c>
      <c r="M1195" s="474" t="str">
        <f>IF($J1195="","SPC 없음",VLOOKUP($J1195&amp;"설정일",개요!$A$3:$E$1932,3,0))</f>
        <v>SPC 없음</v>
      </c>
      <c r="N1195" s="475" t="str">
        <f t="shared" si="395"/>
        <v>SPC 없음</v>
      </c>
      <c r="O1195" s="471"/>
      <c r="P1195" s="476"/>
      <c r="Q1195" s="477"/>
      <c r="R1195" s="478"/>
      <c r="S1195" s="479" t="str">
        <f t="shared" si="396"/>
        <v>SPC 없음</v>
      </c>
      <c r="T1195" s="471"/>
      <c r="U1195" s="471" t="s">
        <v>94</v>
      </c>
      <c r="V1195" s="480">
        <f>IF(U1195="한국 원화(KRW)",1,IF(OR(U1195=환율!$A$6,U1195=환율!$A$7),VLOOKUP(NAV!U1195,환율!$A$6:$B$7,2,),IF(RIGHT(U1195,5)="(100)",(VLOOKUP(NAV!U1195,환율!$A$11:$B$65,2,))/100,VLOOKUP(NAV!U1195,환율!$A$11:$B$65,2,))))</f>
        <v>1</v>
      </c>
      <c r="W1195" s="481"/>
      <c r="X1195" s="482">
        <f t="shared" si="397"/>
        <v>0</v>
      </c>
      <c r="Y1195" s="481"/>
      <c r="Z1195" s="481"/>
      <c r="AA1195" s="483">
        <f t="shared" si="398"/>
        <v>0</v>
      </c>
      <c r="AE1195" s="484" t="str">
        <f t="shared" si="399"/>
        <v>SPC 없음</v>
      </c>
      <c r="AF1195" s="484" t="str">
        <f t="shared" si="400"/>
        <v>SPC 없음</v>
      </c>
      <c r="AG1195" s="485"/>
      <c r="AH1195" s="485"/>
      <c r="AI1195" s="404"/>
    </row>
    <row r="1196" spans="1:35" ht="12.75" thickBot="1">
      <c r="A1196" s="489" t="s">
        <v>389</v>
      </c>
      <c r="B1196" s="490" t="b">
        <f>SUM(W1193:W1198,W1201:W1211)=D1196</f>
        <v>1</v>
      </c>
      <c r="C1196" s="468" t="s">
        <v>17</v>
      </c>
      <c r="D1196" s="469">
        <f>SUMIF(FS!$AS$89:$AS$119,개요!$B$373&amp;RIGHT(NAV!C1196,4),FS!$AV$89:$AV$119)</f>
        <v>0</v>
      </c>
      <c r="E1196" s="469">
        <f>SUM(S1193:S1198)+SUM(S1201:S1211)</f>
        <v>0</v>
      </c>
      <c r="J1196" s="476"/>
      <c r="K1196" s="472"/>
      <c r="L1196" s="473" t="str">
        <f>IF($J1196="","SPC 없음",VLOOKUP($J1196&amp;"SPC명",개요!$A$3:$E$1932,3,0))</f>
        <v>SPC 없음</v>
      </c>
      <c r="M1196" s="474" t="str">
        <f>IF($J1196="","SPC 없음",VLOOKUP($J1196&amp;"설정일",개요!$A$3:$E$1932,3,0))</f>
        <v>SPC 없음</v>
      </c>
      <c r="N1196" s="475" t="str">
        <f t="shared" si="395"/>
        <v>SPC 없음</v>
      </c>
      <c r="O1196" s="471"/>
      <c r="P1196" s="476"/>
      <c r="Q1196" s="477"/>
      <c r="R1196" s="478"/>
      <c r="S1196" s="479" t="str">
        <f t="shared" si="396"/>
        <v>SPC 없음</v>
      </c>
      <c r="T1196" s="471"/>
      <c r="U1196" s="471" t="s">
        <v>94</v>
      </c>
      <c r="V1196" s="480">
        <f>IF(U1196="한국 원화(KRW)",1,IF(OR(U1196=환율!$A$6,U1196=환율!$A$7),VLOOKUP(NAV!U1196,환율!$A$6:$B$7,2,),IF(RIGHT(U1196,5)="(100)",(VLOOKUP(NAV!U1196,환율!$A$11:$B$65,2,))/100,VLOOKUP(NAV!U1196,환율!$A$11:$B$65,2,))))</f>
        <v>1</v>
      </c>
      <c r="W1196" s="481"/>
      <c r="X1196" s="482">
        <f t="shared" si="397"/>
        <v>0</v>
      </c>
      <c r="Y1196" s="481"/>
      <c r="Z1196" s="481"/>
      <c r="AA1196" s="483">
        <f t="shared" si="398"/>
        <v>0</v>
      </c>
      <c r="AE1196" s="484" t="str">
        <f t="shared" si="399"/>
        <v>SPC 없음</v>
      </c>
      <c r="AF1196" s="484" t="str">
        <f t="shared" si="400"/>
        <v>SPC 없음</v>
      </c>
      <c r="AG1196" s="485"/>
      <c r="AH1196" s="485"/>
      <c r="AI1196" s="404"/>
    </row>
    <row r="1197" spans="1:35" ht="12.75" thickBot="1">
      <c r="A1197" s="492" t="s">
        <v>391</v>
      </c>
      <c r="B1197" s="415" t="b">
        <f>D1194+D1195+D1196=D1197</f>
        <v>1</v>
      </c>
      <c r="C1197" s="493" t="s">
        <v>479</v>
      </c>
      <c r="D1197" s="494">
        <f>D1193+D1196</f>
        <v>0</v>
      </c>
      <c r="E1197" s="494">
        <f>E1193+E1196</f>
        <v>0</v>
      </c>
      <c r="J1197" s="476"/>
      <c r="K1197" s="472"/>
      <c r="L1197" s="473" t="str">
        <f>IF($J1197="","SPC 없음",VLOOKUP($J1197&amp;"SPC명",개요!$A$3:$E$1932,3,0))</f>
        <v>SPC 없음</v>
      </c>
      <c r="M1197" s="474" t="str">
        <f>IF($J1197="","SPC 없음",VLOOKUP($J1197&amp;"설정일",개요!$A$3:$E$1932,3,0))</f>
        <v>SPC 없음</v>
      </c>
      <c r="N1197" s="475" t="str">
        <f t="shared" si="395"/>
        <v>SPC 없음</v>
      </c>
      <c r="O1197" s="471"/>
      <c r="P1197" s="476"/>
      <c r="Q1197" s="477"/>
      <c r="R1197" s="478"/>
      <c r="S1197" s="479" t="str">
        <f t="shared" si="396"/>
        <v>SPC 없음</v>
      </c>
      <c r="T1197" s="471"/>
      <c r="U1197" s="471" t="s">
        <v>94</v>
      </c>
      <c r="V1197" s="480">
        <f>IF(U1197="한국 원화(KRW)",1,IF(OR(U1197=환율!$A$6,U1197=환율!$A$7),VLOOKUP(NAV!U1197,환율!$A$6:$B$7,2,),IF(RIGHT(U1197,5)="(100)",(VLOOKUP(NAV!U1197,환율!$A$11:$B$65,2,))/100,VLOOKUP(NAV!U1197,환율!$A$11:$B$65,2,))))</f>
        <v>1</v>
      </c>
      <c r="W1197" s="481"/>
      <c r="X1197" s="482">
        <f t="shared" si="397"/>
        <v>0</v>
      </c>
      <c r="Y1197" s="481"/>
      <c r="Z1197" s="481"/>
      <c r="AA1197" s="483">
        <f t="shared" si="398"/>
        <v>0</v>
      </c>
      <c r="AE1197" s="484" t="str">
        <f t="shared" si="399"/>
        <v>SPC 없음</v>
      </c>
      <c r="AF1197" s="484" t="str">
        <f t="shared" si="400"/>
        <v>SPC 없음</v>
      </c>
      <c r="AG1197" s="485"/>
      <c r="AH1197" s="485"/>
      <c r="AI1197" s="404"/>
    </row>
    <row r="1198" spans="1:35" ht="12.75" thickBot="1">
      <c r="A1198" s="492"/>
      <c r="B1198" s="496"/>
      <c r="C1198" s="468" t="s">
        <v>18</v>
      </c>
      <c r="D1198" s="469">
        <f>SUM(D1199:D1202)</f>
        <v>0</v>
      </c>
      <c r="E1198" s="469">
        <f>SUM(E1199:E1202)</f>
        <v>0</v>
      </c>
      <c r="J1198" s="476"/>
      <c r="K1198" s="472"/>
      <c r="L1198" s="473" t="str">
        <f>IF($J1198="","SPC 없음",VLOOKUP($J1198&amp;"SPC명",개요!$A$3:$E$1932,3,0))</f>
        <v>SPC 없음</v>
      </c>
      <c r="M1198" s="474" t="str">
        <f>IF($J1198="","SPC 없음",VLOOKUP($J1198&amp;"설정일",개요!$A$3:$E$1932,3,0))</f>
        <v>SPC 없음</v>
      </c>
      <c r="N1198" s="475" t="str">
        <f t="shared" si="395"/>
        <v>SPC 없음</v>
      </c>
      <c r="O1198" s="471"/>
      <c r="P1198" s="476"/>
      <c r="Q1198" s="477"/>
      <c r="R1198" s="478"/>
      <c r="S1198" s="479" t="str">
        <f t="shared" si="396"/>
        <v>SPC 없음</v>
      </c>
      <c r="T1198" s="471"/>
      <c r="U1198" s="471" t="s">
        <v>94</v>
      </c>
      <c r="V1198" s="480">
        <f>IF(U1198="한국 원화(KRW)",1,IF(OR(U1198=환율!$A$6,U1198=환율!$A$7),VLOOKUP(NAV!U1198,환율!$A$6:$B$7,2,),IF(RIGHT(U1198,5)="(100)",(VLOOKUP(NAV!U1198,환율!$A$11:$B$65,2,))/100,VLOOKUP(NAV!U1198,환율!$A$11:$B$65,2,))))</f>
        <v>1</v>
      </c>
      <c r="W1198" s="481"/>
      <c r="X1198" s="482">
        <f t="shared" si="397"/>
        <v>0</v>
      </c>
      <c r="Y1198" s="481"/>
      <c r="Z1198" s="481"/>
      <c r="AA1198" s="483">
        <f t="shared" si="398"/>
        <v>0</v>
      </c>
      <c r="AE1198" s="484" t="str">
        <f t="shared" si="399"/>
        <v>SPC 없음</v>
      </c>
      <c r="AF1198" s="484" t="str">
        <f t="shared" si="400"/>
        <v>SPC 없음</v>
      </c>
      <c r="AG1198" s="485"/>
      <c r="AH1198" s="485"/>
      <c r="AI1198" s="404"/>
    </row>
    <row r="1199" spans="1:35">
      <c r="A1199" s="492"/>
      <c r="B1199" s="496"/>
      <c r="C1199" s="486" t="s">
        <v>392</v>
      </c>
      <c r="D1199" s="487">
        <f>SUMIF(FS!$AS$89:$AS$119,개요!$B$373&amp;RIGHT(NAV!C1199,5),FS!$AV$89:$AV$119)</f>
        <v>0</v>
      </c>
      <c r="E1199" s="487">
        <f>D1199</f>
        <v>0</v>
      </c>
      <c r="J1199" s="428" t="s">
        <v>276</v>
      </c>
      <c r="K1199" s="415"/>
      <c r="L1199" s="305"/>
      <c r="M1199" s="415"/>
      <c r="N1199" s="415"/>
      <c r="O1199" s="415"/>
      <c r="P1199" s="415"/>
      <c r="Q1199" s="422"/>
      <c r="R1199" s="415"/>
      <c r="S1199" s="415"/>
      <c r="T1199" s="415"/>
      <c r="U1199" s="415"/>
      <c r="W1199" s="517" t="b">
        <f>SUM(W1201:W1211)+SUM(W1193:W1198)=D1196</f>
        <v>1</v>
      </c>
      <c r="X1199" s="415"/>
      <c r="Y1199" s="422"/>
      <c r="Z1199" s="422"/>
      <c r="AA1199" s="459" t="str">
        <f>IF(OR(MAX(AA1193:AA1198,AA1201:AA1211)&gt;0.2,MIN(AA1193:AA1198,AA1201:AA1211)&lt;-0.2),"특이사항 확인","특이사항 없음")</f>
        <v>특이사항 없음</v>
      </c>
      <c r="AB1199" s="415"/>
      <c r="AF1199" s="415"/>
      <c r="AG1199" s="415"/>
      <c r="AI1199" s="404"/>
    </row>
    <row r="1200" spans="1:35" ht="12.75" thickBot="1">
      <c r="A1200" s="492"/>
      <c r="B1200" s="496"/>
      <c r="C1200" s="486" t="s">
        <v>36</v>
      </c>
      <c r="D1200" s="487">
        <f>SUMIF(FS!$AS$89:$AS$119,개요!$B$373&amp;RIGHT(NAV!C1200,3),FS!$AV$89:$AV$119)</f>
        <v>0</v>
      </c>
      <c r="E1200" s="487">
        <f t="shared" ref="E1200:E1201" si="401">D1200</f>
        <v>0</v>
      </c>
      <c r="I1200" s="518">
        <f>COUNTA(J1201:J1211)</f>
        <v>0</v>
      </c>
      <c r="J1200" s="548" t="s">
        <v>265</v>
      </c>
      <c r="K1200" s="548" t="s">
        <v>0</v>
      </c>
      <c r="L1200" s="548" t="s">
        <v>395</v>
      </c>
      <c r="M1200" s="548" t="s">
        <v>83</v>
      </c>
      <c r="N1200" s="548" t="s">
        <v>397</v>
      </c>
      <c r="O1200" s="548" t="s">
        <v>221</v>
      </c>
      <c r="P1200" s="548" t="s">
        <v>380</v>
      </c>
      <c r="Q1200" s="519" t="s">
        <v>14</v>
      </c>
      <c r="R1200" s="466" t="s">
        <v>299</v>
      </c>
      <c r="S1200" s="466" t="s">
        <v>3525</v>
      </c>
      <c r="T1200" s="549" t="s">
        <v>12</v>
      </c>
      <c r="U1200" s="548" t="s">
        <v>72</v>
      </c>
      <c r="V1200" s="548" t="s">
        <v>70</v>
      </c>
      <c r="W1200" s="550" t="s">
        <v>10</v>
      </c>
      <c r="X1200" s="549" t="s">
        <v>42</v>
      </c>
      <c r="Y1200" s="550" t="s">
        <v>3206</v>
      </c>
      <c r="Z1200" s="550" t="s">
        <v>3523</v>
      </c>
      <c r="AA1200" s="548" t="s">
        <v>13</v>
      </c>
      <c r="AB1200" s="548" t="s">
        <v>15</v>
      </c>
      <c r="AC1200" s="548" t="s">
        <v>40</v>
      </c>
      <c r="AE1200" s="467" t="s">
        <v>3627</v>
      </c>
      <c r="AF1200" s="467" t="s">
        <v>3628</v>
      </c>
      <c r="AG1200" s="467" t="s">
        <v>3629</v>
      </c>
      <c r="AH1200" s="467" t="s">
        <v>3630</v>
      </c>
      <c r="AI1200" s="404"/>
    </row>
    <row r="1201" spans="1:35" ht="12.75" thickBot="1">
      <c r="A1201" s="492"/>
      <c r="B1201" s="496"/>
      <c r="C1201" s="486" t="s">
        <v>37</v>
      </c>
      <c r="D1201" s="487">
        <f>SUMIF(FS!$AS$89:$AS$119,개요!$B$373&amp;RIGHT(NAV!C1201,6),FS!$AV$89:$AV$119)</f>
        <v>0</v>
      </c>
      <c r="E1201" s="487">
        <f t="shared" si="401"/>
        <v>0</v>
      </c>
      <c r="J1201" s="551"/>
      <c r="K1201" s="552"/>
      <c r="L1201" s="551"/>
      <c r="M1201" s="553"/>
      <c r="N1201" s="553"/>
      <c r="O1201" s="551"/>
      <c r="P1201" s="553"/>
      <c r="Q1201" s="524"/>
      <c r="R1201" s="478">
        <f>IFERROR(INDEX(기초자산!M$6:M$408,MATCH(K1201&amp;N1201&amp;O1201,기초자산!$A$6:$A$408,0),0),0)</f>
        <v>0</v>
      </c>
      <c r="S1201" s="479">
        <f t="shared" ref="S1201:S1211" si="402">IFERROR(IF(T1201="취득원가 준용",Y1201,IF(T1201="장부가액 준용",W1201,IF(P1201="주당",R1201*Q1201*V1201,IF(RIGHT(U1201,5)="(100)",Y1201/1000*R1201*V1201,Y1201/10000*R1201*V1201)))),0)</f>
        <v>0</v>
      </c>
      <c r="T1201" s="553"/>
      <c r="U1201" s="471" t="s">
        <v>94</v>
      </c>
      <c r="V1201" s="480">
        <f>IF(U1201="한국 원화(KRW)",1,IF(OR(U1201=환율!$A$6,U1201=환율!$A$7),VLOOKUP(NAV!U1201,환율!$A$6:$B$7,2,),IF(RIGHT(U1201,5)="(100)",(VLOOKUP(NAV!U1201,환율!$A$11:$B$65,2,))/100,VLOOKUP(NAV!U1201,환율!$A$11:$B$65,2,))))</f>
        <v>1</v>
      </c>
      <c r="W1201" s="481"/>
      <c r="X1201" s="482">
        <f t="shared" ref="X1201:X1211" si="403">IFERROR(IF(P1201="만원당",10000,Y1201/Q1201),0)</f>
        <v>0</v>
      </c>
      <c r="Y1201" s="481"/>
      <c r="Z1201" s="481"/>
      <c r="AA1201" s="483">
        <f t="shared" ref="AA1201:AA1211" si="404">IFERROR(IF(Z1201="",S1201/W1201-1,S1201/Z1201-1),0)</f>
        <v>0</v>
      </c>
      <c r="AB1201" s="554"/>
      <c r="AC1201" s="526" t="str">
        <f t="shared" ref="AC1201:AC1211" si="405">IF(($C$7-AB1201)/365&gt;2,"2년이상","2년미만")</f>
        <v>2년이상</v>
      </c>
      <c r="AD1201" s="520" t="str">
        <f t="shared" ref="AD1201:AD1211" si="406">IF(OR(AA1201&gt;20%,AA1201&lt;-20%),"(1) Note 기재","")</f>
        <v/>
      </c>
      <c r="AE1201" s="527">
        <f>IF(OR(T1201="MTP",T1201="과거거래 이용법",T1201="취득원가 준용",T1201="장부가액 준용",T1201="상장종가 적용"),S1201,IF(P1201="주당",AG1201*Q1201*V1201,Y1201/10000*AG1201*V1201))</f>
        <v>0</v>
      </c>
      <c r="AF1201" s="527">
        <f>IF(OR(T1201="MTP",T1201="과거거래 이용법",T1201="취득원가 준용",T1201="장부가액 준용",T1201="상장종가 적용"),S1201,IF(P1201="주당",AH1201*Q1201*V1201,Y1201/10000*AH1201*V1201))</f>
        <v>0</v>
      </c>
      <c r="AG1201" s="485"/>
      <c r="AH1201" s="485"/>
      <c r="AI1201" s="404"/>
    </row>
    <row r="1202" spans="1:35" ht="12.75" thickBot="1">
      <c r="A1202" s="492"/>
      <c r="B1202" s="496"/>
      <c r="C1202" s="486" t="s">
        <v>405</v>
      </c>
      <c r="D1202" s="487">
        <f>SUMIF(FS!$AS$89:$AS$119,개요!$B$373&amp;RIGHT(NAV!C1202,7),FS!$AV$89:$AV$119)</f>
        <v>0</v>
      </c>
      <c r="E1202" s="487">
        <f>D1202</f>
        <v>0</v>
      </c>
      <c r="J1202" s="551"/>
      <c r="K1202" s="552"/>
      <c r="L1202" s="551"/>
      <c r="M1202" s="553"/>
      <c r="N1202" s="553"/>
      <c r="O1202" s="551"/>
      <c r="P1202" s="553"/>
      <c r="Q1202" s="524"/>
      <c r="R1202" s="478">
        <f>IFERROR(INDEX(기초자산!M$6:M$408,MATCH(K1202&amp;N1202&amp;O1202,기초자산!$A$6:$A$408,0),0),0)</f>
        <v>0</v>
      </c>
      <c r="S1202" s="479">
        <f t="shared" si="402"/>
        <v>0</v>
      </c>
      <c r="T1202" s="553"/>
      <c r="U1202" s="471" t="s">
        <v>94</v>
      </c>
      <c r="V1202" s="480">
        <f>IF(U1202="한국 원화(KRW)",1,IF(OR(U1202=환율!$A$6,U1202=환율!$A$7),VLOOKUP(NAV!U1202,환율!$A$6:$B$7,2,),IF(RIGHT(U1202,5)="(100)",(VLOOKUP(NAV!U1202,환율!$A$11:$B$65,2,))/100,VLOOKUP(NAV!U1202,환율!$A$11:$B$65,2,))))</f>
        <v>1</v>
      </c>
      <c r="W1202" s="481"/>
      <c r="X1202" s="482">
        <f t="shared" si="403"/>
        <v>0</v>
      </c>
      <c r="Y1202" s="481"/>
      <c r="Z1202" s="481"/>
      <c r="AA1202" s="483">
        <f t="shared" si="404"/>
        <v>0</v>
      </c>
      <c r="AB1202" s="554"/>
      <c r="AC1202" s="526" t="str">
        <f t="shared" si="405"/>
        <v>2년이상</v>
      </c>
      <c r="AD1202" s="520" t="str">
        <f t="shared" si="406"/>
        <v/>
      </c>
      <c r="AE1202" s="527">
        <f t="shared" ref="AE1202:AE1211" si="407">IF(OR(T1202="MTP",T1202="과거거래 이용법",T1202="취득원가 준용",T1202="장부가액 준용",T1202="상장종가 적용"),S1202,IF(P1202="주당",AG1202*Q1202*V1202,Y1202/10000*AG1202*V1202))</f>
        <v>0</v>
      </c>
      <c r="AF1202" s="527">
        <f t="shared" ref="AF1202:AF1211" si="408">IF(OR(T1202="MTP",T1202="과거거래 이용법",T1202="취득원가 준용",T1202="장부가액 준용",T1202="상장종가 적용"),S1202,IF(P1202="주당",AH1202*Q1202*V1202,Y1202/10000*AH1202*V1202))</f>
        <v>0</v>
      </c>
      <c r="AG1202" s="485"/>
      <c r="AH1202" s="485"/>
      <c r="AI1202" s="404"/>
    </row>
    <row r="1203" spans="1:35" ht="12.75" thickBot="1">
      <c r="A1203" s="492"/>
      <c r="B1203" s="496"/>
      <c r="C1203" s="468" t="s">
        <v>21</v>
      </c>
      <c r="D1203" s="469">
        <f>SUM(D1204:D1205)</f>
        <v>0</v>
      </c>
      <c r="E1203" s="469">
        <f>SUM(E1204:E1205)</f>
        <v>0</v>
      </c>
      <c r="J1203" s="551"/>
      <c r="K1203" s="552"/>
      <c r="L1203" s="551"/>
      <c r="M1203" s="553"/>
      <c r="N1203" s="553"/>
      <c r="O1203" s="551"/>
      <c r="P1203" s="553"/>
      <c r="Q1203" s="524"/>
      <c r="R1203" s="478">
        <f>IFERROR(INDEX(기초자산!M$6:M$408,MATCH(K1203&amp;N1203&amp;O1203,기초자산!$A$6:$A$408,0),0),0)</f>
        <v>0</v>
      </c>
      <c r="S1203" s="479">
        <f t="shared" si="402"/>
        <v>0</v>
      </c>
      <c r="T1203" s="553"/>
      <c r="U1203" s="471" t="s">
        <v>94</v>
      </c>
      <c r="V1203" s="480">
        <f>IF(U1203="한국 원화(KRW)",1,IF(OR(U1203=환율!$A$6,U1203=환율!$A$7),VLOOKUP(NAV!U1203,환율!$A$6:$B$7,2,),IF(RIGHT(U1203,5)="(100)",(VLOOKUP(NAV!U1203,환율!$A$11:$B$65,2,))/100,VLOOKUP(NAV!U1203,환율!$A$11:$B$65,2,))))</f>
        <v>1</v>
      </c>
      <c r="W1203" s="481"/>
      <c r="X1203" s="482">
        <f t="shared" si="403"/>
        <v>0</v>
      </c>
      <c r="Y1203" s="481"/>
      <c r="Z1203" s="481"/>
      <c r="AA1203" s="483">
        <f t="shared" si="404"/>
        <v>0</v>
      </c>
      <c r="AB1203" s="554"/>
      <c r="AC1203" s="526" t="str">
        <f t="shared" si="405"/>
        <v>2년이상</v>
      </c>
      <c r="AD1203" s="520" t="str">
        <f t="shared" si="406"/>
        <v/>
      </c>
      <c r="AE1203" s="527">
        <f t="shared" si="407"/>
        <v>0</v>
      </c>
      <c r="AF1203" s="527">
        <f t="shared" si="408"/>
        <v>0</v>
      </c>
      <c r="AG1203" s="485"/>
      <c r="AH1203" s="485"/>
      <c r="AI1203" s="404"/>
    </row>
    <row r="1204" spans="1:35" ht="12.75" thickBot="1">
      <c r="A1204" s="492"/>
      <c r="B1204" s="496"/>
      <c r="C1204" s="486" t="s">
        <v>406</v>
      </c>
      <c r="D1204" s="487">
        <f>SUMIF(FS!$AS$89:$AS$119,개요!$B$373&amp;RIGHT(NAV!C1204,3),FS!$AV$89:$AV$119)</f>
        <v>0</v>
      </c>
      <c r="E1204" s="487">
        <f>D1204</f>
        <v>0</v>
      </c>
      <c r="J1204" s="551"/>
      <c r="K1204" s="552"/>
      <c r="L1204" s="551"/>
      <c r="M1204" s="553"/>
      <c r="N1204" s="553"/>
      <c r="O1204" s="551"/>
      <c r="P1204" s="553"/>
      <c r="Q1204" s="524"/>
      <c r="R1204" s="478">
        <f>IFERROR(INDEX(기초자산!M$6:M$408,MATCH(K1204&amp;N1204&amp;O1204,기초자산!$A$6:$A$408,0),0),0)</f>
        <v>0</v>
      </c>
      <c r="S1204" s="479">
        <f t="shared" si="402"/>
        <v>0</v>
      </c>
      <c r="T1204" s="553"/>
      <c r="U1204" s="471" t="s">
        <v>94</v>
      </c>
      <c r="V1204" s="480">
        <f>IF(U1204="한국 원화(KRW)",1,IF(OR(U1204=환율!$A$6,U1204=환율!$A$7),VLOOKUP(NAV!U1204,환율!$A$6:$B$7,2,),IF(RIGHT(U1204,5)="(100)",(VLOOKUP(NAV!U1204,환율!$A$11:$B$65,2,))/100,VLOOKUP(NAV!U1204,환율!$A$11:$B$65,2,))))</f>
        <v>1</v>
      </c>
      <c r="W1204" s="481"/>
      <c r="X1204" s="482">
        <f t="shared" si="403"/>
        <v>0</v>
      </c>
      <c r="Y1204" s="481"/>
      <c r="Z1204" s="481"/>
      <c r="AA1204" s="483">
        <f t="shared" si="404"/>
        <v>0</v>
      </c>
      <c r="AB1204" s="554"/>
      <c r="AC1204" s="526" t="str">
        <f t="shared" si="405"/>
        <v>2년이상</v>
      </c>
      <c r="AD1204" s="520" t="str">
        <f t="shared" si="406"/>
        <v/>
      </c>
      <c r="AE1204" s="527">
        <f t="shared" si="407"/>
        <v>0</v>
      </c>
      <c r="AF1204" s="527">
        <f t="shared" si="408"/>
        <v>0</v>
      </c>
      <c r="AG1204" s="485"/>
      <c r="AH1204" s="485"/>
      <c r="AI1204" s="404"/>
    </row>
    <row r="1205" spans="1:35" ht="12.75" thickBot="1">
      <c r="A1205" s="492"/>
      <c r="B1205" s="496"/>
      <c r="C1205" s="486" t="s">
        <v>407</v>
      </c>
      <c r="D1205" s="487">
        <f>SUMIF(FS!$AS$89:$AS$119,개요!$B$373&amp;RIGHT(NAV!C1205,4),FS!$AV$89:$AV$119)</f>
        <v>0</v>
      </c>
      <c r="E1205" s="487">
        <f>D1205</f>
        <v>0</v>
      </c>
      <c r="J1205" s="551"/>
      <c r="K1205" s="552"/>
      <c r="L1205" s="551"/>
      <c r="M1205" s="553"/>
      <c r="N1205" s="553"/>
      <c r="O1205" s="551"/>
      <c r="P1205" s="553"/>
      <c r="Q1205" s="524"/>
      <c r="R1205" s="478">
        <f>IFERROR(INDEX(기초자산!M$6:M$408,MATCH(K1205&amp;N1205&amp;O1205,기초자산!$A$6:$A$408,0),0),0)</f>
        <v>0</v>
      </c>
      <c r="S1205" s="479">
        <f t="shared" si="402"/>
        <v>0</v>
      </c>
      <c r="T1205" s="553"/>
      <c r="U1205" s="471" t="s">
        <v>94</v>
      </c>
      <c r="V1205" s="480">
        <f>IF(U1205="한국 원화(KRW)",1,IF(OR(U1205=환율!$A$6,U1205=환율!$A$7),VLOOKUP(NAV!U1205,환율!$A$6:$B$7,2,),IF(RIGHT(U1205,5)="(100)",(VLOOKUP(NAV!U1205,환율!$A$11:$B$65,2,))/100,VLOOKUP(NAV!U1205,환율!$A$11:$B$65,2,))))</f>
        <v>1</v>
      </c>
      <c r="W1205" s="481"/>
      <c r="X1205" s="482">
        <f t="shared" si="403"/>
        <v>0</v>
      </c>
      <c r="Y1205" s="481"/>
      <c r="Z1205" s="481"/>
      <c r="AA1205" s="483">
        <f t="shared" si="404"/>
        <v>0</v>
      </c>
      <c r="AB1205" s="554"/>
      <c r="AC1205" s="526" t="str">
        <f t="shared" si="405"/>
        <v>2년이상</v>
      </c>
      <c r="AD1205" s="520" t="str">
        <f t="shared" si="406"/>
        <v/>
      </c>
      <c r="AE1205" s="527">
        <f t="shared" si="407"/>
        <v>0</v>
      </c>
      <c r="AF1205" s="527">
        <f t="shared" si="408"/>
        <v>0</v>
      </c>
      <c r="AG1205" s="485"/>
      <c r="AH1205" s="485"/>
      <c r="AI1205" s="404"/>
    </row>
    <row r="1206" spans="1:35" ht="12.75" thickBot="1">
      <c r="A1206" s="489" t="s">
        <v>408</v>
      </c>
      <c r="B1206" s="498" t="b">
        <f>D1199+D1200+D1201+D1202+D1204+D1205=D1206</f>
        <v>1</v>
      </c>
      <c r="C1206" s="493" t="s">
        <v>477</v>
      </c>
      <c r="D1206" s="494">
        <f>D1198+D1203</f>
        <v>0</v>
      </c>
      <c r="E1206" s="494">
        <f>E1198+E1203</f>
        <v>0</v>
      </c>
      <c r="J1206" s="551"/>
      <c r="K1206" s="552"/>
      <c r="L1206" s="551"/>
      <c r="M1206" s="553"/>
      <c r="N1206" s="553"/>
      <c r="O1206" s="551"/>
      <c r="P1206" s="553"/>
      <c r="Q1206" s="524"/>
      <c r="R1206" s="478">
        <f>IFERROR(INDEX(기초자산!M$6:M$408,MATCH(K1206&amp;N1206&amp;O1206,기초자산!$A$6:$A$408,0),0),0)</f>
        <v>0</v>
      </c>
      <c r="S1206" s="479">
        <f t="shared" si="402"/>
        <v>0</v>
      </c>
      <c r="T1206" s="553"/>
      <c r="U1206" s="471" t="s">
        <v>94</v>
      </c>
      <c r="V1206" s="480">
        <f>IF(U1206="한국 원화(KRW)",1,IF(OR(U1206=환율!$A$6,U1206=환율!$A$7),VLOOKUP(NAV!U1206,환율!$A$6:$B$7,2,),IF(RIGHT(U1206,5)="(100)",(VLOOKUP(NAV!U1206,환율!$A$11:$B$65,2,))/100,VLOOKUP(NAV!U1206,환율!$A$11:$B$65,2,))))</f>
        <v>1</v>
      </c>
      <c r="W1206" s="481"/>
      <c r="X1206" s="482">
        <f t="shared" si="403"/>
        <v>0</v>
      </c>
      <c r="Y1206" s="481"/>
      <c r="Z1206" s="481"/>
      <c r="AA1206" s="483">
        <f t="shared" si="404"/>
        <v>0</v>
      </c>
      <c r="AB1206" s="554"/>
      <c r="AC1206" s="526" t="str">
        <f t="shared" si="405"/>
        <v>2년이상</v>
      </c>
      <c r="AD1206" s="520" t="str">
        <f t="shared" si="406"/>
        <v/>
      </c>
      <c r="AE1206" s="527">
        <f t="shared" si="407"/>
        <v>0</v>
      </c>
      <c r="AF1206" s="527">
        <f t="shared" si="408"/>
        <v>0</v>
      </c>
      <c r="AG1206" s="485"/>
      <c r="AH1206" s="485"/>
      <c r="AI1206" s="404"/>
    </row>
    <row r="1207" spans="1:35" ht="12.75" thickBot="1">
      <c r="A1207" s="492"/>
      <c r="B1207" s="555" t="str">
        <f>B1187&amp;C1207</f>
        <v>SPC없음자본금</v>
      </c>
      <c r="C1207" s="486" t="s">
        <v>35</v>
      </c>
      <c r="D1207" s="487">
        <f>SUMIF(FS!$AS$89:$AS$119,개요!$B$373&amp;RIGHT(NAV!C1207,3),FS!$AV$89:$AV$119)</f>
        <v>0</v>
      </c>
      <c r="E1207" s="487">
        <f>D1207</f>
        <v>0</v>
      </c>
      <c r="J1207" s="551"/>
      <c r="K1207" s="552"/>
      <c r="L1207" s="551"/>
      <c r="M1207" s="553"/>
      <c r="N1207" s="553"/>
      <c r="O1207" s="551"/>
      <c r="P1207" s="553"/>
      <c r="Q1207" s="524"/>
      <c r="R1207" s="478">
        <f>IFERROR(INDEX(기초자산!M$6:M$408,MATCH(K1207&amp;N1207&amp;O1207,기초자산!$A$6:$A$408,0),0),0)</f>
        <v>0</v>
      </c>
      <c r="S1207" s="479">
        <f t="shared" si="402"/>
        <v>0</v>
      </c>
      <c r="T1207" s="553"/>
      <c r="U1207" s="471" t="s">
        <v>94</v>
      </c>
      <c r="V1207" s="480">
        <f>IF(U1207="한국 원화(KRW)",1,IF(OR(U1207=환율!$A$6,U1207=환율!$A$7),VLOOKUP(NAV!U1207,환율!$A$6:$B$7,2,),IF(RIGHT(U1207,5)="(100)",(VLOOKUP(NAV!U1207,환율!$A$11:$B$65,2,))/100,VLOOKUP(NAV!U1207,환율!$A$11:$B$65,2,))))</f>
        <v>1</v>
      </c>
      <c r="W1207" s="481"/>
      <c r="X1207" s="482">
        <f t="shared" si="403"/>
        <v>0</v>
      </c>
      <c r="Y1207" s="481"/>
      <c r="Z1207" s="481"/>
      <c r="AA1207" s="483">
        <f t="shared" si="404"/>
        <v>0</v>
      </c>
      <c r="AB1207" s="554"/>
      <c r="AC1207" s="526" t="str">
        <f t="shared" si="405"/>
        <v>2년이상</v>
      </c>
      <c r="AD1207" s="520" t="str">
        <f t="shared" si="406"/>
        <v/>
      </c>
      <c r="AE1207" s="527">
        <f t="shared" si="407"/>
        <v>0</v>
      </c>
      <c r="AF1207" s="527">
        <f t="shared" si="408"/>
        <v>0</v>
      </c>
      <c r="AG1207" s="485"/>
      <c r="AH1207" s="485"/>
      <c r="AI1207" s="404"/>
    </row>
    <row r="1208" spans="1:35" ht="12.75" thickBot="1">
      <c r="C1208" s="486" t="s">
        <v>120</v>
      </c>
      <c r="D1208" s="487">
        <f>SUMIF(FS!$AS$89:$AS$119,개요!$B$373&amp;RIGHT(NAV!C1208,10),FS!$AV$89:$AV$119)</f>
        <v>0</v>
      </c>
      <c r="E1208" s="487">
        <f>D1208</f>
        <v>0</v>
      </c>
      <c r="J1208" s="551"/>
      <c r="K1208" s="552"/>
      <c r="L1208" s="551"/>
      <c r="M1208" s="553"/>
      <c r="N1208" s="553"/>
      <c r="O1208" s="551"/>
      <c r="P1208" s="553"/>
      <c r="Q1208" s="524"/>
      <c r="R1208" s="478">
        <f>IFERROR(INDEX(기초자산!M$6:M$408,MATCH(K1208&amp;N1208&amp;O1208,기초자산!$A$6:$A$408,0),0),0)</f>
        <v>0</v>
      </c>
      <c r="S1208" s="479">
        <f t="shared" si="402"/>
        <v>0</v>
      </c>
      <c r="T1208" s="553"/>
      <c r="U1208" s="471" t="s">
        <v>94</v>
      </c>
      <c r="V1208" s="480">
        <f>IF(U1208="한국 원화(KRW)",1,IF(OR(U1208=환율!$A$6,U1208=환율!$A$7),VLOOKUP(NAV!U1208,환율!$A$6:$B$7,2,),IF(RIGHT(U1208,5)="(100)",(VLOOKUP(NAV!U1208,환율!$A$11:$B$65,2,))/100,VLOOKUP(NAV!U1208,환율!$A$11:$B$65,2,))))</f>
        <v>1</v>
      </c>
      <c r="W1208" s="481"/>
      <c r="X1208" s="482">
        <f t="shared" si="403"/>
        <v>0</v>
      </c>
      <c r="Y1208" s="481"/>
      <c r="Z1208" s="481"/>
      <c r="AA1208" s="483">
        <f t="shared" si="404"/>
        <v>0</v>
      </c>
      <c r="AB1208" s="554"/>
      <c r="AC1208" s="526" t="str">
        <f t="shared" si="405"/>
        <v>2년이상</v>
      </c>
      <c r="AD1208" s="520" t="str">
        <f t="shared" si="406"/>
        <v/>
      </c>
      <c r="AE1208" s="527">
        <f t="shared" si="407"/>
        <v>0</v>
      </c>
      <c r="AF1208" s="527">
        <f t="shared" si="408"/>
        <v>0</v>
      </c>
      <c r="AG1208" s="485"/>
      <c r="AH1208" s="485"/>
      <c r="AI1208" s="404"/>
    </row>
    <row r="1209" spans="1:35" ht="12.75" thickBot="1">
      <c r="A1209" s="489"/>
      <c r="B1209" s="415"/>
      <c r="C1209" s="486" t="s">
        <v>122</v>
      </c>
      <c r="D1209" s="487">
        <f>SUMIF(FS!$AS$89:$AS$119,개요!$B$373&amp;RIGHT(NAV!C1209,8),FS!$AV$89:$AV$119)</f>
        <v>0</v>
      </c>
      <c r="E1209" s="487">
        <f>D1209</f>
        <v>0</v>
      </c>
      <c r="J1209" s="551"/>
      <c r="K1209" s="552"/>
      <c r="L1209" s="551"/>
      <c r="M1209" s="553"/>
      <c r="N1209" s="553"/>
      <c r="O1209" s="551"/>
      <c r="P1209" s="553"/>
      <c r="Q1209" s="524"/>
      <c r="R1209" s="478">
        <f>IFERROR(INDEX(기초자산!M$6:M$408,MATCH(K1209&amp;N1209&amp;O1209,기초자산!$A$6:$A$408,0),0),0)</f>
        <v>0</v>
      </c>
      <c r="S1209" s="479">
        <f t="shared" si="402"/>
        <v>0</v>
      </c>
      <c r="T1209" s="553"/>
      <c r="U1209" s="471" t="s">
        <v>94</v>
      </c>
      <c r="V1209" s="480">
        <f>IF(U1209="한국 원화(KRW)",1,IF(OR(U1209=환율!$A$6,U1209=환율!$A$7),VLOOKUP(NAV!U1209,환율!$A$6:$B$7,2,),IF(RIGHT(U1209,5)="(100)",(VLOOKUP(NAV!U1209,환율!$A$11:$B$65,2,))/100,VLOOKUP(NAV!U1209,환율!$A$11:$B$65,2,))))</f>
        <v>1</v>
      </c>
      <c r="W1209" s="481"/>
      <c r="X1209" s="482">
        <f t="shared" si="403"/>
        <v>0</v>
      </c>
      <c r="Y1209" s="481"/>
      <c r="Z1209" s="481"/>
      <c r="AA1209" s="483">
        <f t="shared" si="404"/>
        <v>0</v>
      </c>
      <c r="AB1209" s="554"/>
      <c r="AC1209" s="526" t="str">
        <f t="shared" si="405"/>
        <v>2년이상</v>
      </c>
      <c r="AD1209" s="520" t="str">
        <f t="shared" si="406"/>
        <v/>
      </c>
      <c r="AE1209" s="527">
        <f t="shared" si="407"/>
        <v>0</v>
      </c>
      <c r="AF1209" s="527">
        <f t="shared" si="408"/>
        <v>0</v>
      </c>
      <c r="AG1209" s="485"/>
      <c r="AH1209" s="485"/>
      <c r="AI1209" s="404"/>
    </row>
    <row r="1210" spans="1:35" ht="12.75" thickBot="1">
      <c r="A1210" s="489" t="s">
        <v>411</v>
      </c>
      <c r="B1210" s="415" t="b">
        <f>D1210=SUM(D1207:D1209)</f>
        <v>1</v>
      </c>
      <c r="C1210" s="493" t="s">
        <v>79</v>
      </c>
      <c r="D1210" s="494">
        <f>D1197-D1206</f>
        <v>0</v>
      </c>
      <c r="E1210" s="494">
        <f>E1197-E1206</f>
        <v>0</v>
      </c>
      <c r="J1210" s="551"/>
      <c r="K1210" s="552"/>
      <c r="L1210" s="551"/>
      <c r="M1210" s="553"/>
      <c r="N1210" s="553"/>
      <c r="O1210" s="551"/>
      <c r="P1210" s="553"/>
      <c r="Q1210" s="524"/>
      <c r="R1210" s="478">
        <f>IFERROR(INDEX(기초자산!M$6:M$408,MATCH(K1210&amp;N1210&amp;O1210,기초자산!$A$6:$A$408,0),0),0)</f>
        <v>0</v>
      </c>
      <c r="S1210" s="479">
        <f t="shared" si="402"/>
        <v>0</v>
      </c>
      <c r="T1210" s="553"/>
      <c r="U1210" s="471" t="s">
        <v>94</v>
      </c>
      <c r="V1210" s="480">
        <f>IF(U1210="한국 원화(KRW)",1,IF(OR(U1210=환율!$A$6,U1210=환율!$A$7),VLOOKUP(NAV!U1210,환율!$A$6:$B$7,2,),IF(RIGHT(U1210,5)="(100)",(VLOOKUP(NAV!U1210,환율!$A$11:$B$65,2,))/100,VLOOKUP(NAV!U1210,환율!$A$11:$B$65,2,))))</f>
        <v>1</v>
      </c>
      <c r="W1210" s="481"/>
      <c r="X1210" s="482">
        <f t="shared" si="403"/>
        <v>0</v>
      </c>
      <c r="Y1210" s="481"/>
      <c r="Z1210" s="481"/>
      <c r="AA1210" s="483">
        <f t="shared" si="404"/>
        <v>0</v>
      </c>
      <c r="AB1210" s="554"/>
      <c r="AC1210" s="526" t="str">
        <f t="shared" si="405"/>
        <v>2년이상</v>
      </c>
      <c r="AD1210" s="520" t="str">
        <f t="shared" si="406"/>
        <v/>
      </c>
      <c r="AE1210" s="527">
        <f t="shared" si="407"/>
        <v>0</v>
      </c>
      <c r="AF1210" s="527">
        <f t="shared" si="408"/>
        <v>0</v>
      </c>
      <c r="AG1210" s="485"/>
      <c r="AH1210" s="485"/>
      <c r="AI1210" s="404"/>
    </row>
    <row r="1211" spans="1:35" ht="12.75" thickBot="1">
      <c r="A1211" s="489"/>
      <c r="B1211" s="415"/>
      <c r="C1211" s="486" t="s">
        <v>413</v>
      </c>
      <c r="D1211" s="487">
        <v>0</v>
      </c>
      <c r="E1211" s="499">
        <v>0</v>
      </c>
      <c r="J1211" s="551"/>
      <c r="K1211" s="552"/>
      <c r="L1211" s="551"/>
      <c r="M1211" s="553"/>
      <c r="N1211" s="553"/>
      <c r="O1211" s="551"/>
      <c r="P1211" s="553"/>
      <c r="Q1211" s="524"/>
      <c r="R1211" s="478">
        <f>IFERROR(INDEX(기초자산!M$6:M$408,MATCH(K1211&amp;N1211&amp;O1211,기초자산!$A$6:$A$408,0),0),0)</f>
        <v>0</v>
      </c>
      <c r="S1211" s="479">
        <f t="shared" si="402"/>
        <v>0</v>
      </c>
      <c r="T1211" s="553"/>
      <c r="U1211" s="471" t="s">
        <v>94</v>
      </c>
      <c r="V1211" s="480">
        <f>IF(U1211="한국 원화(KRW)",1,IF(OR(U1211=환율!$A$6,U1211=환율!$A$7),VLOOKUP(NAV!U1211,환율!$A$6:$B$7,2,),IF(RIGHT(U1211,5)="(100)",(VLOOKUP(NAV!U1211,환율!$A$11:$B$65,2,))/100,VLOOKUP(NAV!U1211,환율!$A$11:$B$65,2,))))</f>
        <v>1</v>
      </c>
      <c r="W1211" s="481"/>
      <c r="X1211" s="482">
        <f t="shared" si="403"/>
        <v>0</v>
      </c>
      <c r="Y1211" s="481"/>
      <c r="Z1211" s="481"/>
      <c r="AA1211" s="483">
        <f t="shared" si="404"/>
        <v>0</v>
      </c>
      <c r="AB1211" s="554"/>
      <c r="AC1211" s="526" t="str">
        <f t="shared" si="405"/>
        <v>2년이상</v>
      </c>
      <c r="AD1211" s="520" t="str">
        <f t="shared" si="406"/>
        <v/>
      </c>
      <c r="AE1211" s="527">
        <f t="shared" si="407"/>
        <v>0</v>
      </c>
      <c r="AF1211" s="527">
        <f t="shared" si="408"/>
        <v>0</v>
      </c>
      <c r="AG1211" s="485"/>
      <c r="AH1211" s="485"/>
      <c r="AI1211" s="404"/>
    </row>
    <row r="1212" spans="1:35">
      <c r="A1212" s="489"/>
      <c r="B1212" s="415"/>
      <c r="C1212" s="486" t="s">
        <v>414</v>
      </c>
      <c r="D1212" s="487">
        <v>0</v>
      </c>
      <c r="E1212" s="499">
        <v>0</v>
      </c>
      <c r="J1212" s="495"/>
      <c r="K1212" s="573"/>
      <c r="L1212" s="495"/>
      <c r="M1212" s="415"/>
      <c r="N1212" s="415"/>
      <c r="O1212" s="415"/>
      <c r="P1212" s="415"/>
      <c r="Q1212" s="422"/>
      <c r="R1212" s="415"/>
      <c r="S1212" s="415"/>
      <c r="T1212" s="415"/>
      <c r="U1212" s="415"/>
      <c r="V1212" s="415"/>
      <c r="W1212" s="422"/>
      <c r="X1212" s="415"/>
      <c r="Y1212" s="458"/>
      <c r="Z1212" s="422"/>
      <c r="AA1212" s="556"/>
      <c r="AB1212" s="556"/>
      <c r="AC1212" s="415"/>
      <c r="AE1212" s="415"/>
      <c r="AI1212" s="404"/>
    </row>
    <row r="1213" spans="1:35">
      <c r="A1213" s="489"/>
      <c r="B1213" s="415"/>
      <c r="C1213" s="493" t="s">
        <v>123</v>
      </c>
      <c r="D1213" s="494">
        <f>D1210+D1211-D1212</f>
        <v>0</v>
      </c>
      <c r="E1213" s="494">
        <f>IF(E1210+E1211-E1212&gt;0,E1210+E1211-E1212,0)</f>
        <v>0</v>
      </c>
      <c r="J1213" s="305"/>
      <c r="K1213" s="415"/>
      <c r="L1213" s="305"/>
      <c r="M1213" s="415"/>
      <c r="N1213" s="415"/>
      <c r="O1213" s="415"/>
      <c r="S1213" s="415"/>
      <c r="T1213" s="415"/>
      <c r="U1213" s="415"/>
      <c r="V1213" s="415"/>
      <c r="Y1213" s="458"/>
      <c r="AD1213" s="557" t="str">
        <f>B1187&amp;"순자산가치"</f>
        <v>SPC없음순자산가치</v>
      </c>
      <c r="AE1213" s="529">
        <f>IF(E1193+SUM(AE1193:AE1198)+SUM(AE1201:AE1211)-E1206&gt;0,E1193+SUM(AE1193:AE1198)+SUM(AE1201:AE1211)-E1206,0)</f>
        <v>0</v>
      </c>
      <c r="AF1213" s="529">
        <f>IF(E1193+SUM(AF1193:AF1198)+SUM(AF1201:AF1211)-E1206&gt;0,E1193+SUM(AF1193:AF1198)+SUM(AF1201:AF1211)-E1206,0)</f>
        <v>0</v>
      </c>
      <c r="AI1213" s="404"/>
    </row>
    <row r="1214" spans="1:35">
      <c r="A1214" s="489"/>
      <c r="B1214" s="558" t="str">
        <f>B1187&amp;C1214</f>
        <v>SPC없음보유지분율(%)</v>
      </c>
      <c r="C1214" s="493" t="s">
        <v>416</v>
      </c>
      <c r="D1214" s="559">
        <f>개요!$C$142</f>
        <v>0</v>
      </c>
      <c r="E1214" s="494">
        <f>E1213*D1214</f>
        <v>0</v>
      </c>
      <c r="F1214" s="560" t="s">
        <v>417</v>
      </c>
      <c r="G1214" s="560"/>
      <c r="J1214" s="495"/>
      <c r="K1214" s="415"/>
      <c r="L1214" s="495"/>
      <c r="M1214" s="415"/>
      <c r="N1214" s="415"/>
      <c r="O1214" s="415"/>
      <c r="S1214" s="415"/>
      <c r="T1214" s="415"/>
      <c r="U1214" s="415"/>
      <c r="V1214" s="415"/>
      <c r="Y1214" s="458"/>
      <c r="AD1214" s="557" t="s">
        <v>272</v>
      </c>
      <c r="AE1214" s="561">
        <f>$D1214</f>
        <v>0</v>
      </c>
      <c r="AF1214" s="561">
        <f>$D1214</f>
        <v>0</v>
      </c>
      <c r="AI1214" s="404"/>
    </row>
    <row r="1215" spans="1:35">
      <c r="A1215" s="489"/>
      <c r="B1215" s="415"/>
      <c r="G1215" s="503" t="s">
        <v>419</v>
      </c>
      <c r="I1215" s="562"/>
      <c r="J1215" s="495"/>
      <c r="K1215" s="415"/>
      <c r="L1215" s="495"/>
      <c r="M1215" s="415"/>
      <c r="N1215" s="415"/>
      <c r="O1215" s="415"/>
      <c r="S1215" s="415"/>
      <c r="T1215" s="415"/>
      <c r="U1215" s="415"/>
      <c r="V1215" s="415"/>
      <c r="Y1215" s="458"/>
      <c r="AD1215" s="557" t="str">
        <f>B1187&amp;"지분율 반영 순자산가치"</f>
        <v>SPC없음지분율 반영 순자산가치</v>
      </c>
      <c r="AE1215" s="529">
        <f>AE1213*AE1214</f>
        <v>0</v>
      </c>
      <c r="AF1215" s="529">
        <f>AF1213*AF1214</f>
        <v>0</v>
      </c>
      <c r="AI1215" s="404"/>
    </row>
    <row r="1216" spans="1:35">
      <c r="A1216" s="489"/>
      <c r="D1216" s="504" t="s">
        <v>43</v>
      </c>
      <c r="E1216" s="505">
        <f>$C$7</f>
        <v>45473</v>
      </c>
      <c r="F1216" s="506"/>
      <c r="G1216" s="505"/>
      <c r="I1216" s="563"/>
      <c r="J1216" s="495"/>
      <c r="K1216" s="415"/>
      <c r="L1216" s="495"/>
      <c r="M1216" s="415"/>
      <c r="N1216" s="415"/>
      <c r="O1216" s="415"/>
      <c r="S1216" s="415"/>
      <c r="T1216" s="415"/>
      <c r="U1216" s="415"/>
      <c r="V1216" s="415"/>
      <c r="Y1216" s="422"/>
      <c r="AI1216" s="404"/>
    </row>
    <row r="1217" spans="1:35">
      <c r="D1217" s="486" t="s">
        <v>79</v>
      </c>
      <c r="E1217" s="487">
        <f>E1213</f>
        <v>0</v>
      </c>
      <c r="F1217" s="507" t="e">
        <f>E1217/G1217-1</f>
        <v>#DIV/0!</v>
      </c>
      <c r="G1217" s="487"/>
      <c r="I1217" s="564"/>
      <c r="J1217" s="495"/>
      <c r="K1217" s="415"/>
      <c r="L1217" s="495"/>
      <c r="M1217" s="415"/>
      <c r="S1217" s="415"/>
      <c r="T1217" s="415"/>
      <c r="U1217" s="415"/>
      <c r="V1217" s="415"/>
      <c r="Y1217" s="422"/>
      <c r="AI1217" s="404"/>
    </row>
    <row r="1218" spans="1:35">
      <c r="A1218" s="489"/>
      <c r="B1218" s="415"/>
      <c r="D1218" s="486" t="s">
        <v>272</v>
      </c>
      <c r="E1218" s="565">
        <f>$D$1214</f>
        <v>0</v>
      </c>
      <c r="F1218" s="507"/>
      <c r="G1218" s="565"/>
      <c r="I1218" s="566"/>
      <c r="J1218" s="305"/>
      <c r="K1218" s="415"/>
      <c r="L1218" s="305"/>
      <c r="M1218" s="415"/>
      <c r="S1218" s="415"/>
      <c r="T1218" s="415"/>
      <c r="U1218" s="415"/>
      <c r="V1218" s="415"/>
      <c r="Y1218" s="422"/>
      <c r="AI1218" s="404"/>
    </row>
    <row r="1219" spans="1:35">
      <c r="A1219" s="489"/>
      <c r="B1219" s="415"/>
      <c r="D1219" s="567" t="s">
        <v>246</v>
      </c>
      <c r="E1219" s="568">
        <f>E1217*E1218</f>
        <v>0</v>
      </c>
      <c r="F1219" s="507" t="e">
        <f>E1219/G1219-1</f>
        <v>#DIV/0!</v>
      </c>
      <c r="G1219" s="568"/>
      <c r="I1219" s="564"/>
      <c r="AI1219" s="404"/>
    </row>
    <row r="1220" spans="1:35">
      <c r="E1220" s="304" t="b">
        <f>E1219=E1214</f>
        <v>1</v>
      </c>
      <c r="AI1220" s="404"/>
    </row>
    <row r="1221" spans="1:35">
      <c r="F1221" s="507"/>
      <c r="G1221" s="507"/>
      <c r="AI1221" s="404"/>
    </row>
    <row r="1222" spans="1:35" ht="12.75" thickBot="1">
      <c r="A1222" s="536"/>
      <c r="B1222" s="536"/>
      <c r="C1222" s="536"/>
      <c r="D1222" s="536"/>
      <c r="E1222" s="536"/>
      <c r="F1222" s="572"/>
      <c r="G1222" s="572"/>
      <c r="H1222" s="536"/>
      <c r="I1222" s="537"/>
      <c r="J1222" s="536"/>
      <c r="K1222" s="536"/>
      <c r="L1222" s="536"/>
      <c r="M1222" s="536"/>
      <c r="N1222" s="536"/>
      <c r="O1222" s="536"/>
      <c r="P1222" s="536"/>
      <c r="Q1222" s="540"/>
      <c r="R1222" s="536"/>
      <c r="S1222" s="536"/>
      <c r="T1222" s="536"/>
      <c r="U1222" s="536"/>
      <c r="V1222" s="536"/>
      <c r="W1222" s="540"/>
      <c r="X1222" s="536"/>
      <c r="Y1222" s="540"/>
      <c r="Z1222" s="540"/>
      <c r="AA1222" s="536"/>
      <c r="AB1222" s="536"/>
      <c r="AC1222" s="536"/>
      <c r="AD1222" s="541"/>
      <c r="AE1222" s="536"/>
      <c r="AF1222" s="536"/>
      <c r="AG1222" s="536"/>
      <c r="AH1222" s="536"/>
      <c r="AI1222" s="404"/>
    </row>
    <row r="1223" spans="1:35" ht="12.75" thickTop="1">
      <c r="F1223" s="507"/>
      <c r="G1223" s="507"/>
      <c r="AI1223" s="404"/>
    </row>
    <row r="1224" spans="1:35" ht="12.75" thickBot="1">
      <c r="A1224" s="459"/>
      <c r="B1224" s="415"/>
      <c r="J1224" s="428" t="s">
        <v>273</v>
      </c>
      <c r="K1224" s="489"/>
      <c r="L1224" s="497"/>
      <c r="M1224" s="489"/>
      <c r="N1224" s="415"/>
      <c r="O1224" s="415"/>
      <c r="AI1224" s="404"/>
    </row>
    <row r="1225" spans="1:35" ht="12.75" thickBot="1">
      <c r="A1225" s="542" t="s">
        <v>741</v>
      </c>
      <c r="B1225" s="543" t="str">
        <f>IF(개요!$B$385="","SPC없음",개요!$B$385)</f>
        <v>SPC없음</v>
      </c>
      <c r="C1225" s="454"/>
      <c r="J1225" s="433"/>
      <c r="K1225" s="434"/>
      <c r="L1225" s="434"/>
      <c r="M1225" s="434"/>
      <c r="N1225" s="434"/>
      <c r="O1225" s="434"/>
      <c r="P1225" s="434"/>
      <c r="Q1225" s="435"/>
      <c r="R1225" s="434"/>
      <c r="S1225" s="434"/>
      <c r="T1225" s="434"/>
      <c r="U1225" s="434"/>
      <c r="V1225" s="436"/>
      <c r="AI1225" s="404"/>
    </row>
    <row r="1226" spans="1:35">
      <c r="B1226" s="543" t="s">
        <v>260</v>
      </c>
      <c r="C1226" s="569" t="str">
        <f>IF(개요!$C$386="","SPC없음",개요!$C$386)</f>
        <v>SPC없음</v>
      </c>
      <c r="J1226" s="442"/>
      <c r="K1226" s="151"/>
      <c r="L1226" s="151"/>
      <c r="M1226" s="151"/>
      <c r="N1226" s="151"/>
      <c r="O1226" s="151"/>
      <c r="P1226" s="151"/>
      <c r="Q1226" s="443"/>
      <c r="R1226" s="151"/>
      <c r="S1226" s="151"/>
      <c r="T1226" s="151"/>
      <c r="U1226" s="151"/>
      <c r="V1226" s="444"/>
      <c r="AI1226" s="404"/>
    </row>
    <row r="1227" spans="1:35">
      <c r="B1227" s="437" t="s">
        <v>43</v>
      </c>
      <c r="C1227" s="570">
        <f>$C$7</f>
        <v>45473</v>
      </c>
      <c r="D1227" s="546" t="b">
        <f>C1227&gt;=C1228</f>
        <v>1</v>
      </c>
      <c r="J1227" s="442"/>
      <c r="K1227" s="151"/>
      <c r="L1227" s="151"/>
      <c r="M1227" s="151"/>
      <c r="N1227" s="151"/>
      <c r="O1227" s="151"/>
      <c r="P1227" s="151"/>
      <c r="Q1227" s="443"/>
      <c r="R1227" s="151"/>
      <c r="S1227" s="151"/>
      <c r="T1227" s="151"/>
      <c r="U1227" s="151"/>
      <c r="V1227" s="444"/>
      <c r="AI1227" s="404"/>
    </row>
    <row r="1228" spans="1:35" ht="12.75" thickBot="1">
      <c r="B1228" s="449" t="s">
        <v>371</v>
      </c>
      <c r="C1228" s="571">
        <f>FS!$BB$88</f>
        <v>0</v>
      </c>
      <c r="J1228" s="453"/>
      <c r="K1228" s="454"/>
      <c r="L1228" s="454"/>
      <c r="M1228" s="454"/>
      <c r="N1228" s="454"/>
      <c r="O1228" s="454"/>
      <c r="P1228" s="454"/>
      <c r="Q1228" s="455"/>
      <c r="R1228" s="454"/>
      <c r="S1228" s="454"/>
      <c r="T1228" s="454"/>
      <c r="U1228" s="454"/>
      <c r="V1228" s="456"/>
      <c r="AI1228" s="404"/>
    </row>
    <row r="1229" spans="1:35">
      <c r="A1229" s="459"/>
      <c r="J1229" s="428" t="s">
        <v>372</v>
      </c>
      <c r="K1229" s="448"/>
      <c r="L1229" s="420"/>
      <c r="M1229" s="448"/>
      <c r="N1229" s="448"/>
      <c r="O1229" s="448"/>
      <c r="P1229" s="415"/>
      <c r="Q1229" s="422"/>
      <c r="R1229" s="415"/>
      <c r="S1229" s="415"/>
      <c r="T1229" s="415"/>
      <c r="U1229" s="415"/>
      <c r="V1229" s="415"/>
      <c r="W1229" s="422"/>
      <c r="Z1229" s="458"/>
      <c r="AE1229" s="803" t="s">
        <v>8</v>
      </c>
      <c r="AF1229" s="803"/>
      <c r="AG1229" s="460"/>
      <c r="AH1229" s="460"/>
      <c r="AI1229" s="404"/>
    </row>
    <row r="1230" spans="1:35" ht="12.75" thickBot="1">
      <c r="A1230" s="461" t="str">
        <f>IF(AND(B1231:B1257),"검증완료","검증필요")</f>
        <v>검증완료</v>
      </c>
      <c r="B1230" s="462" t="s">
        <v>38</v>
      </c>
      <c r="C1230" s="462" t="s">
        <v>9</v>
      </c>
      <c r="D1230" s="462" t="s">
        <v>10</v>
      </c>
      <c r="E1230" s="462" t="s">
        <v>11</v>
      </c>
      <c r="J1230" s="462" t="s">
        <v>375</v>
      </c>
      <c r="K1230" s="464" t="s">
        <v>0</v>
      </c>
      <c r="L1230" s="462" t="s">
        <v>260</v>
      </c>
      <c r="M1230" s="462" t="s">
        <v>456</v>
      </c>
      <c r="N1230" s="462" t="s">
        <v>91</v>
      </c>
      <c r="O1230" s="462" t="s">
        <v>1</v>
      </c>
      <c r="P1230" s="464" t="s">
        <v>380</v>
      </c>
      <c r="Q1230" s="465" t="s">
        <v>14</v>
      </c>
      <c r="R1230" s="466" t="s">
        <v>381</v>
      </c>
      <c r="S1230" s="466" t="s">
        <v>303</v>
      </c>
      <c r="T1230" s="462" t="s">
        <v>12</v>
      </c>
      <c r="U1230" s="462" t="s">
        <v>72</v>
      </c>
      <c r="V1230" s="462" t="s">
        <v>70</v>
      </c>
      <c r="W1230" s="465" t="s">
        <v>10</v>
      </c>
      <c r="X1230" s="462" t="s">
        <v>385</v>
      </c>
      <c r="Y1230" s="465" t="s">
        <v>125</v>
      </c>
      <c r="Z1230" s="465" t="s">
        <v>3522</v>
      </c>
      <c r="AA1230" s="464" t="s">
        <v>13</v>
      </c>
      <c r="AE1230" s="467" t="s">
        <v>3627</v>
      </c>
      <c r="AF1230" s="467" t="s">
        <v>3628</v>
      </c>
      <c r="AG1230" s="467" t="s">
        <v>3629</v>
      </c>
      <c r="AH1230" s="467" t="s">
        <v>3630</v>
      </c>
      <c r="AI1230" s="404"/>
    </row>
    <row r="1231" spans="1:35" ht="12.75" thickBot="1">
      <c r="A1231" s="415"/>
      <c r="B1231" s="415"/>
      <c r="C1231" s="468" t="s">
        <v>480</v>
      </c>
      <c r="D1231" s="469">
        <f>SUM(D1232:D1233)</f>
        <v>0</v>
      </c>
      <c r="E1231" s="469">
        <f>SUM(E1232:E1233)</f>
        <v>0</v>
      </c>
      <c r="J1231" s="476"/>
      <c r="K1231" s="472"/>
      <c r="L1231" s="473" t="str">
        <f>IF($J1231="","SPC 없음",VLOOKUP($J1231&amp;"SPC명",개요!$A$3:$E$1932,3,0))</f>
        <v>SPC 없음</v>
      </c>
      <c r="M1231" s="474" t="str">
        <f>IF($J1231="","SPC 없음",VLOOKUP($J1231&amp;"설정일",개요!$A$3:$E$1932,3,0))</f>
        <v>SPC 없음</v>
      </c>
      <c r="N1231" s="475" t="str">
        <f t="shared" ref="N1231:N1236" si="409">IF($J1231="","SPC 없음",VLOOKUP($J1231&amp;"자본금",$B$4:$E$2079,3,0)*VLOOKUP($J1231&amp;"보유지분율(%)",$B$4:$E$2079,3,0))</f>
        <v>SPC 없음</v>
      </c>
      <c r="O1231" s="471"/>
      <c r="P1231" s="476"/>
      <c r="Q1231" s="477"/>
      <c r="R1231" s="478"/>
      <c r="S1231" s="479" t="str">
        <f t="shared" ref="S1231:S1236" si="410">IF($J1231="","SPC 없음",IF(P1231="총액",IF(T1231="장부가액 준용",W1231,(VLOOKUP($J1231&amp;"보유지분율(%)",$B$4:$E$2079,4,0))*V1231),Q1231*R1231))</f>
        <v>SPC 없음</v>
      </c>
      <c r="T1231" s="471"/>
      <c r="U1231" s="471" t="s">
        <v>94</v>
      </c>
      <c r="V1231" s="480">
        <f>IF(U1231="한국 원화(KRW)",1,IF(OR(U1231=환율!$A$6,U1231=환율!$A$7),VLOOKUP(NAV!U1231,환율!$A$6:$B$7,2,),IF(RIGHT(U1231,5)="(100)",(VLOOKUP(NAV!U1231,환율!$A$11:$B$65,2,))/100,VLOOKUP(NAV!U1231,환율!$A$11:$B$65,2,))))</f>
        <v>1</v>
      </c>
      <c r="W1231" s="481"/>
      <c r="X1231" s="482">
        <f t="shared" ref="X1231:X1236" si="411">IFERROR(IF(P1231="만원당",10000,Y1231/Q1231),0)</f>
        <v>0</v>
      </c>
      <c r="Y1231" s="481"/>
      <c r="Z1231" s="481"/>
      <c r="AA1231" s="483">
        <f t="shared" ref="AA1231:AA1236" si="412">IFERROR(IF(Z1231="",S1231/W1231-1,S1231/Z1231-1),0)</f>
        <v>0</v>
      </c>
      <c r="AE1231" s="484" t="str">
        <f t="shared" ref="AE1231:AE1236" si="413">IF($J1231="","SPC 없음",IF(P1231="총액",(VLOOKUP($J1231&amp;"지분율 반영 순자산가치",$AD$4:$AH$4973,2,0))*V1231,AG1231*$Q1231))</f>
        <v>SPC 없음</v>
      </c>
      <c r="AF1231" s="484" t="str">
        <f t="shared" ref="AF1231:AF1236" si="414">IF($J1231="","SPC 없음",IF(P1231="총액",(VLOOKUP($J1231&amp;"지분율 반영 순자산가치",$AD$4:$AH$4973,3,0))*V1231,AH1231*$Q1231))</f>
        <v>SPC 없음</v>
      </c>
      <c r="AG1231" s="485"/>
      <c r="AH1231" s="485"/>
      <c r="AI1231" s="404"/>
    </row>
    <row r="1232" spans="1:35" ht="12.75" thickBot="1">
      <c r="A1232" s="415"/>
      <c r="B1232" s="415"/>
      <c r="C1232" s="486" t="s">
        <v>117</v>
      </c>
      <c r="D1232" s="487">
        <f>SUMIF(FS!$AY$89:$AY$119,개요!$B$385&amp;RIGHT(NAV!C1232,LEN(C1232)),FS!$BB$89:$BB$119)</f>
        <v>0</v>
      </c>
      <c r="E1232" s="487">
        <f>D1232</f>
        <v>0</v>
      </c>
      <c r="J1232" s="476"/>
      <c r="K1232" s="472"/>
      <c r="L1232" s="473" t="str">
        <f>IF($J1232="","SPC 없음",VLOOKUP($J1232&amp;"SPC명",개요!$A$3:$E$1932,3,0))</f>
        <v>SPC 없음</v>
      </c>
      <c r="M1232" s="474" t="str">
        <f>IF($J1232="","SPC 없음",VLOOKUP($J1232&amp;"설정일",개요!$A$3:$E$1932,3,0))</f>
        <v>SPC 없음</v>
      </c>
      <c r="N1232" s="475" t="str">
        <f t="shared" si="409"/>
        <v>SPC 없음</v>
      </c>
      <c r="O1232" s="471"/>
      <c r="P1232" s="476"/>
      <c r="Q1232" s="477"/>
      <c r="R1232" s="478"/>
      <c r="S1232" s="479" t="str">
        <f t="shared" si="410"/>
        <v>SPC 없음</v>
      </c>
      <c r="T1232" s="471"/>
      <c r="U1232" s="471" t="s">
        <v>94</v>
      </c>
      <c r="V1232" s="480">
        <f>IF(U1232="한국 원화(KRW)",1,IF(OR(U1232=환율!$A$6,U1232=환율!$A$7),VLOOKUP(NAV!U1232,환율!$A$6:$B$7,2,),IF(RIGHT(U1232,5)="(100)",(VLOOKUP(NAV!U1232,환율!$A$11:$B$65,2,))/100,VLOOKUP(NAV!U1232,환율!$A$11:$B$65,2,))))</f>
        <v>1</v>
      </c>
      <c r="W1232" s="481"/>
      <c r="X1232" s="482">
        <f t="shared" si="411"/>
        <v>0</v>
      </c>
      <c r="Y1232" s="481"/>
      <c r="Z1232" s="481"/>
      <c r="AA1232" s="483">
        <f t="shared" si="412"/>
        <v>0</v>
      </c>
      <c r="AE1232" s="484" t="str">
        <f t="shared" si="413"/>
        <v>SPC 없음</v>
      </c>
      <c r="AF1232" s="484" t="str">
        <f t="shared" si="414"/>
        <v>SPC 없음</v>
      </c>
      <c r="AG1232" s="485"/>
      <c r="AH1232" s="485"/>
      <c r="AI1232" s="404"/>
    </row>
    <row r="1233" spans="1:35" ht="12.75" thickBot="1">
      <c r="A1233" s="415"/>
      <c r="B1233" s="415"/>
      <c r="C1233" s="486" t="s">
        <v>34</v>
      </c>
      <c r="D1233" s="487">
        <f>SUMIF(FS!$AY$89:$AY$119,개요!$B$385&amp;RIGHT(NAV!C1233,LEN(C1233)),FS!$BB$89:$BB$119)</f>
        <v>0</v>
      </c>
      <c r="E1233" s="487">
        <f>D1233</f>
        <v>0</v>
      </c>
      <c r="J1233" s="476"/>
      <c r="K1233" s="472"/>
      <c r="L1233" s="473" t="str">
        <f>IF($J1233="","SPC 없음",VLOOKUP($J1233&amp;"SPC명",개요!$A$3:$E$1932,3,0))</f>
        <v>SPC 없음</v>
      </c>
      <c r="M1233" s="474" t="str">
        <f>IF($J1233="","SPC 없음",VLOOKUP($J1233&amp;"설정일",개요!$A$3:$E$1932,3,0))</f>
        <v>SPC 없음</v>
      </c>
      <c r="N1233" s="475" t="str">
        <f t="shared" si="409"/>
        <v>SPC 없음</v>
      </c>
      <c r="O1233" s="471"/>
      <c r="P1233" s="476"/>
      <c r="Q1233" s="477"/>
      <c r="R1233" s="478"/>
      <c r="S1233" s="479" t="str">
        <f t="shared" si="410"/>
        <v>SPC 없음</v>
      </c>
      <c r="T1233" s="471"/>
      <c r="U1233" s="471" t="s">
        <v>94</v>
      </c>
      <c r="V1233" s="480">
        <f>IF(U1233="한국 원화(KRW)",1,IF(OR(U1233=환율!$A$6,U1233=환율!$A$7),VLOOKUP(NAV!U1233,환율!$A$6:$B$7,2,),IF(RIGHT(U1233,5)="(100)",(VLOOKUP(NAV!U1233,환율!$A$11:$B$65,2,))/100,VLOOKUP(NAV!U1233,환율!$A$11:$B$65,2,))))</f>
        <v>1</v>
      </c>
      <c r="W1233" s="481"/>
      <c r="X1233" s="482">
        <f t="shared" si="411"/>
        <v>0</v>
      </c>
      <c r="Y1233" s="481"/>
      <c r="Z1233" s="481"/>
      <c r="AA1233" s="483">
        <f t="shared" si="412"/>
        <v>0</v>
      </c>
      <c r="AE1233" s="484" t="str">
        <f t="shared" si="413"/>
        <v>SPC 없음</v>
      </c>
      <c r="AF1233" s="484" t="str">
        <f t="shared" si="414"/>
        <v>SPC 없음</v>
      </c>
      <c r="AG1233" s="485"/>
      <c r="AH1233" s="485"/>
      <c r="AI1233" s="404"/>
    </row>
    <row r="1234" spans="1:35" ht="12.75" thickBot="1">
      <c r="A1234" s="489" t="s">
        <v>389</v>
      </c>
      <c r="B1234" s="490" t="b">
        <f>SUM(W1231:W1236,W1239:W1249)=D1234</f>
        <v>1</v>
      </c>
      <c r="C1234" s="468" t="s">
        <v>17</v>
      </c>
      <c r="D1234" s="469">
        <f>SUMIF(FS!$AY$89:$AY$119,개요!$B$385&amp;RIGHT(NAV!C1234,4),FS!$BB$89:$BB$119)</f>
        <v>0</v>
      </c>
      <c r="E1234" s="469">
        <f>SUM(S1231:S1236)+SUM(S1239:S1249)</f>
        <v>0</v>
      </c>
      <c r="J1234" s="476"/>
      <c r="K1234" s="472"/>
      <c r="L1234" s="473" t="str">
        <f>IF($J1234="","SPC 없음",VLOOKUP($J1234&amp;"SPC명",개요!$A$3:$E$1932,3,0))</f>
        <v>SPC 없음</v>
      </c>
      <c r="M1234" s="474" t="str">
        <f>IF($J1234="","SPC 없음",VLOOKUP($J1234&amp;"설정일",개요!$A$3:$E$1932,3,0))</f>
        <v>SPC 없음</v>
      </c>
      <c r="N1234" s="475" t="str">
        <f t="shared" si="409"/>
        <v>SPC 없음</v>
      </c>
      <c r="O1234" s="471"/>
      <c r="P1234" s="476"/>
      <c r="Q1234" s="477"/>
      <c r="R1234" s="478"/>
      <c r="S1234" s="479" t="str">
        <f t="shared" si="410"/>
        <v>SPC 없음</v>
      </c>
      <c r="T1234" s="471"/>
      <c r="U1234" s="471" t="s">
        <v>94</v>
      </c>
      <c r="V1234" s="480">
        <f>IF(U1234="한국 원화(KRW)",1,IF(OR(U1234=환율!$A$6,U1234=환율!$A$7),VLOOKUP(NAV!U1234,환율!$A$6:$B$7,2,),IF(RIGHT(U1234,5)="(100)",(VLOOKUP(NAV!U1234,환율!$A$11:$B$65,2,))/100,VLOOKUP(NAV!U1234,환율!$A$11:$B$65,2,))))</f>
        <v>1</v>
      </c>
      <c r="W1234" s="481"/>
      <c r="X1234" s="482">
        <f t="shared" si="411"/>
        <v>0</v>
      </c>
      <c r="Y1234" s="481"/>
      <c r="Z1234" s="481"/>
      <c r="AA1234" s="483">
        <f t="shared" si="412"/>
        <v>0</v>
      </c>
      <c r="AE1234" s="484" t="str">
        <f t="shared" si="413"/>
        <v>SPC 없음</v>
      </c>
      <c r="AF1234" s="484" t="str">
        <f t="shared" si="414"/>
        <v>SPC 없음</v>
      </c>
      <c r="AG1234" s="485"/>
      <c r="AH1234" s="485"/>
      <c r="AI1234" s="404"/>
    </row>
    <row r="1235" spans="1:35" ht="12.75" thickBot="1">
      <c r="A1235" s="492" t="s">
        <v>391</v>
      </c>
      <c r="B1235" s="415" t="b">
        <f>D1232+D1233+D1234=D1235</f>
        <v>1</v>
      </c>
      <c r="C1235" s="493" t="s">
        <v>479</v>
      </c>
      <c r="D1235" s="494">
        <f>D1231+D1234</f>
        <v>0</v>
      </c>
      <c r="E1235" s="494">
        <f>E1231+E1234</f>
        <v>0</v>
      </c>
      <c r="J1235" s="476"/>
      <c r="K1235" s="472"/>
      <c r="L1235" s="473" t="str">
        <f>IF($J1235="","SPC 없음",VLOOKUP($J1235&amp;"SPC명",개요!$A$3:$E$1932,3,0))</f>
        <v>SPC 없음</v>
      </c>
      <c r="M1235" s="474" t="str">
        <f>IF($J1235="","SPC 없음",VLOOKUP($J1235&amp;"설정일",개요!$A$3:$E$1932,3,0))</f>
        <v>SPC 없음</v>
      </c>
      <c r="N1235" s="475" t="str">
        <f t="shared" si="409"/>
        <v>SPC 없음</v>
      </c>
      <c r="O1235" s="471"/>
      <c r="P1235" s="476"/>
      <c r="Q1235" s="477"/>
      <c r="R1235" s="478"/>
      <c r="S1235" s="479" t="str">
        <f t="shared" si="410"/>
        <v>SPC 없음</v>
      </c>
      <c r="T1235" s="471"/>
      <c r="U1235" s="471" t="s">
        <v>94</v>
      </c>
      <c r="V1235" s="480">
        <f>IF(U1235="한국 원화(KRW)",1,IF(OR(U1235=환율!$A$6,U1235=환율!$A$7),VLOOKUP(NAV!U1235,환율!$A$6:$B$7,2,),IF(RIGHT(U1235,5)="(100)",(VLOOKUP(NAV!U1235,환율!$A$11:$B$65,2,))/100,VLOOKUP(NAV!U1235,환율!$A$11:$B$65,2,))))</f>
        <v>1</v>
      </c>
      <c r="W1235" s="481"/>
      <c r="X1235" s="482">
        <f t="shared" si="411"/>
        <v>0</v>
      </c>
      <c r="Y1235" s="481"/>
      <c r="Z1235" s="481"/>
      <c r="AA1235" s="483">
        <f t="shared" si="412"/>
        <v>0</v>
      </c>
      <c r="AE1235" s="484" t="str">
        <f t="shared" si="413"/>
        <v>SPC 없음</v>
      </c>
      <c r="AF1235" s="484" t="str">
        <f t="shared" si="414"/>
        <v>SPC 없음</v>
      </c>
      <c r="AG1235" s="485"/>
      <c r="AH1235" s="485"/>
      <c r="AI1235" s="404"/>
    </row>
    <row r="1236" spans="1:35" ht="12.75" thickBot="1">
      <c r="A1236" s="492"/>
      <c r="B1236" s="496"/>
      <c r="C1236" s="468" t="s">
        <v>18</v>
      </c>
      <c r="D1236" s="469">
        <f>SUM(D1237:D1240)</f>
        <v>0</v>
      </c>
      <c r="E1236" s="469">
        <f>SUM(E1237:E1240)</f>
        <v>0</v>
      </c>
      <c r="J1236" s="476"/>
      <c r="K1236" s="472"/>
      <c r="L1236" s="473" t="str">
        <f>IF($J1236="","SPC 없음",VLOOKUP($J1236&amp;"SPC명",개요!$A$3:$E$1932,3,0))</f>
        <v>SPC 없음</v>
      </c>
      <c r="M1236" s="474" t="str">
        <f>IF($J1236="","SPC 없음",VLOOKUP($J1236&amp;"설정일",개요!$A$3:$E$1932,3,0))</f>
        <v>SPC 없음</v>
      </c>
      <c r="N1236" s="475" t="str">
        <f t="shared" si="409"/>
        <v>SPC 없음</v>
      </c>
      <c r="O1236" s="471"/>
      <c r="P1236" s="476"/>
      <c r="Q1236" s="477"/>
      <c r="R1236" s="478"/>
      <c r="S1236" s="479" t="str">
        <f t="shared" si="410"/>
        <v>SPC 없음</v>
      </c>
      <c r="T1236" s="471"/>
      <c r="U1236" s="471" t="s">
        <v>94</v>
      </c>
      <c r="V1236" s="480">
        <f>IF(U1236="한국 원화(KRW)",1,IF(OR(U1236=환율!$A$6,U1236=환율!$A$7),VLOOKUP(NAV!U1236,환율!$A$6:$B$7,2,),IF(RIGHT(U1236,5)="(100)",(VLOOKUP(NAV!U1236,환율!$A$11:$B$65,2,))/100,VLOOKUP(NAV!U1236,환율!$A$11:$B$65,2,))))</f>
        <v>1</v>
      </c>
      <c r="W1236" s="481"/>
      <c r="X1236" s="482">
        <f t="shared" si="411"/>
        <v>0</v>
      </c>
      <c r="Y1236" s="481"/>
      <c r="Z1236" s="481"/>
      <c r="AA1236" s="483">
        <f t="shared" si="412"/>
        <v>0</v>
      </c>
      <c r="AE1236" s="484" t="str">
        <f t="shared" si="413"/>
        <v>SPC 없음</v>
      </c>
      <c r="AF1236" s="484" t="str">
        <f t="shared" si="414"/>
        <v>SPC 없음</v>
      </c>
      <c r="AG1236" s="485"/>
      <c r="AH1236" s="485"/>
      <c r="AI1236" s="404"/>
    </row>
    <row r="1237" spans="1:35">
      <c r="A1237" s="492"/>
      <c r="B1237" s="496"/>
      <c r="C1237" s="486" t="s">
        <v>392</v>
      </c>
      <c r="D1237" s="487">
        <f>SUMIF(FS!$AY$89:$AY$119,개요!$B$385&amp;RIGHT(NAV!C1237,LEN(C1237)),FS!$BB$89:$BB$119)</f>
        <v>0</v>
      </c>
      <c r="E1237" s="487">
        <f>D1237</f>
        <v>0</v>
      </c>
      <c r="J1237" s="428" t="s">
        <v>276</v>
      </c>
      <c r="K1237" s="415"/>
      <c r="L1237" s="305"/>
      <c r="M1237" s="415"/>
      <c r="N1237" s="415"/>
      <c r="O1237" s="415"/>
      <c r="P1237" s="415"/>
      <c r="Q1237" s="422"/>
      <c r="R1237" s="415"/>
      <c r="S1237" s="415"/>
      <c r="T1237" s="415"/>
      <c r="U1237" s="415"/>
      <c r="W1237" s="517" t="b">
        <f>SUM(W1239:W1249)+SUM(W1231:W1236)=D1234</f>
        <v>1</v>
      </c>
      <c r="X1237" s="415"/>
      <c r="Y1237" s="422"/>
      <c r="Z1237" s="422"/>
      <c r="AA1237" s="459" t="str">
        <f>IF(OR(MAX(AA1231:AA1236,AA1239:AA1249)&gt;0.2,MIN(AA1231:AA1236,AA1239:AA1249)&lt;-0.2),"특이사항 확인","특이사항 없음")</f>
        <v>특이사항 없음</v>
      </c>
      <c r="AB1237" s="415"/>
      <c r="AF1237" s="415"/>
      <c r="AG1237" s="415"/>
      <c r="AI1237" s="404"/>
    </row>
    <row r="1238" spans="1:35" ht="12.75" thickBot="1">
      <c r="A1238" s="492"/>
      <c r="B1238" s="496"/>
      <c r="C1238" s="486" t="s">
        <v>36</v>
      </c>
      <c r="D1238" s="487">
        <f>SUMIF(FS!$AY$89:$AY$119,개요!$B$385&amp;RIGHT(NAV!C1238,LEN(C1238)),FS!$BB$89:$BB$119)</f>
        <v>0</v>
      </c>
      <c r="E1238" s="487">
        <f t="shared" ref="E1238:E1239" si="415">D1238</f>
        <v>0</v>
      </c>
      <c r="I1238" s="518">
        <f>COUNTA(J1239:J1249)</f>
        <v>0</v>
      </c>
      <c r="J1238" s="548" t="s">
        <v>265</v>
      </c>
      <c r="K1238" s="548" t="s">
        <v>0</v>
      </c>
      <c r="L1238" s="548" t="s">
        <v>395</v>
      </c>
      <c r="M1238" s="548" t="s">
        <v>83</v>
      </c>
      <c r="N1238" s="548" t="s">
        <v>397</v>
      </c>
      <c r="O1238" s="548" t="s">
        <v>221</v>
      </c>
      <c r="P1238" s="548" t="s">
        <v>380</v>
      </c>
      <c r="Q1238" s="519" t="s">
        <v>14</v>
      </c>
      <c r="R1238" s="466" t="s">
        <v>299</v>
      </c>
      <c r="S1238" s="466" t="s">
        <v>3525</v>
      </c>
      <c r="T1238" s="549" t="s">
        <v>12</v>
      </c>
      <c r="U1238" s="548" t="s">
        <v>72</v>
      </c>
      <c r="V1238" s="548" t="s">
        <v>70</v>
      </c>
      <c r="W1238" s="550" t="s">
        <v>10</v>
      </c>
      <c r="X1238" s="549" t="s">
        <v>42</v>
      </c>
      <c r="Y1238" s="550" t="s">
        <v>3206</v>
      </c>
      <c r="Z1238" s="550" t="s">
        <v>3523</v>
      </c>
      <c r="AA1238" s="548" t="s">
        <v>13</v>
      </c>
      <c r="AB1238" s="548" t="s">
        <v>15</v>
      </c>
      <c r="AC1238" s="548" t="s">
        <v>40</v>
      </c>
      <c r="AE1238" s="467" t="s">
        <v>3627</v>
      </c>
      <c r="AF1238" s="467" t="s">
        <v>3628</v>
      </c>
      <c r="AG1238" s="467" t="s">
        <v>3629</v>
      </c>
      <c r="AH1238" s="467" t="s">
        <v>3630</v>
      </c>
      <c r="AI1238" s="404"/>
    </row>
    <row r="1239" spans="1:35" ht="12.75" thickBot="1">
      <c r="A1239" s="492"/>
      <c r="B1239" s="496"/>
      <c r="C1239" s="486" t="s">
        <v>37</v>
      </c>
      <c r="D1239" s="487">
        <f>SUMIF(FS!$AY$89:$AY$119,개요!$B$385&amp;RIGHT(NAV!C1239,LEN(C1239)),FS!$BB$89:$BB$119)</f>
        <v>0</v>
      </c>
      <c r="E1239" s="487">
        <f t="shared" si="415"/>
        <v>0</v>
      </c>
      <c r="J1239" s="551"/>
      <c r="K1239" s="552"/>
      <c r="L1239" s="551"/>
      <c r="M1239" s="553"/>
      <c r="N1239" s="553"/>
      <c r="O1239" s="551"/>
      <c r="P1239" s="553"/>
      <c r="Q1239" s="524"/>
      <c r="R1239" s="478">
        <f>IFERROR(INDEX(기초자산!M$6:M$408,MATCH(K1239&amp;N1239&amp;O1239,기초자산!$A$6:$A$408,0),0),0)</f>
        <v>0</v>
      </c>
      <c r="S1239" s="479">
        <f t="shared" ref="S1239:S1249" si="416">IFERROR(IF(T1239="취득원가 준용",Y1239,IF(T1239="장부가액 준용",W1239,IF(P1239="주당",R1239*Q1239*V1239,IF(RIGHT(U1239,5)="(100)",Y1239/1000*R1239*V1239,Y1239/10000*R1239*V1239)))),0)</f>
        <v>0</v>
      </c>
      <c r="T1239" s="553"/>
      <c r="U1239" s="471" t="s">
        <v>94</v>
      </c>
      <c r="V1239" s="480">
        <f>IF(U1239="한국 원화(KRW)",1,IF(OR(U1239=환율!$A$6,U1239=환율!$A$7),VLOOKUP(NAV!U1239,환율!$A$6:$B$7,2,),IF(RIGHT(U1239,5)="(100)",(VLOOKUP(NAV!U1239,환율!$A$11:$B$65,2,))/100,VLOOKUP(NAV!U1239,환율!$A$11:$B$65,2,))))</f>
        <v>1</v>
      </c>
      <c r="W1239" s="481"/>
      <c r="X1239" s="482">
        <f t="shared" ref="X1239:X1249" si="417">IFERROR(IF(P1239="만원당",10000,Y1239/Q1239),0)</f>
        <v>0</v>
      </c>
      <c r="Y1239" s="481"/>
      <c r="Z1239" s="481"/>
      <c r="AA1239" s="483">
        <f t="shared" ref="AA1239:AA1249" si="418">IFERROR(IF(Z1239="",S1239/W1239-1,S1239/Z1239-1),0)</f>
        <v>0</v>
      </c>
      <c r="AB1239" s="554"/>
      <c r="AC1239" s="526" t="str">
        <f t="shared" ref="AC1239:AC1249" si="419">IF(($C$7-AB1239)/365&gt;2,"2년이상","2년미만")</f>
        <v>2년이상</v>
      </c>
      <c r="AD1239" s="520" t="str">
        <f t="shared" ref="AD1239:AD1249" si="420">IF(OR(AA1239&gt;20%,AA1239&lt;-20%),"(1) Note 기재","")</f>
        <v/>
      </c>
      <c r="AE1239" s="527">
        <f>IF(OR(T1239="MTP",T1239="과거거래 이용법",T1239="취득원가 준용",T1239="장부가액 준용",T1239="상장종가 적용"),S1239,IF(P1239="주당",AG1239*Q1239*V1239,Y1239/10000*AG1239*V1239))</f>
        <v>0</v>
      </c>
      <c r="AF1239" s="527">
        <f>IF(OR(T1239="MTP",T1239="과거거래 이용법",T1239="취득원가 준용",T1239="장부가액 준용",T1239="상장종가 적용"),S1239,IF(P1239="주당",AH1239*Q1239*V1239,Y1239/10000*AH1239*V1239))</f>
        <v>0</v>
      </c>
      <c r="AG1239" s="485"/>
      <c r="AH1239" s="485"/>
      <c r="AI1239" s="404"/>
    </row>
    <row r="1240" spans="1:35" ht="12.75" thickBot="1">
      <c r="A1240" s="492"/>
      <c r="B1240" s="496"/>
      <c r="C1240" s="486" t="s">
        <v>405</v>
      </c>
      <c r="D1240" s="487">
        <f>SUMIF(FS!$AY$89:$AY$119,개요!$B$385&amp;RIGHT(NAV!C1240,LEN(C1240)),FS!$BB$89:$BB$119)</f>
        <v>0</v>
      </c>
      <c r="E1240" s="487">
        <f>D1240</f>
        <v>0</v>
      </c>
      <c r="J1240" s="551"/>
      <c r="K1240" s="552"/>
      <c r="L1240" s="551"/>
      <c r="M1240" s="553"/>
      <c r="N1240" s="553"/>
      <c r="O1240" s="551"/>
      <c r="P1240" s="553"/>
      <c r="Q1240" s="524"/>
      <c r="R1240" s="478">
        <f>IFERROR(INDEX(기초자산!M$6:M$408,MATCH(K1240&amp;N1240&amp;O1240,기초자산!$A$6:$A$408,0),0),0)</f>
        <v>0</v>
      </c>
      <c r="S1240" s="479">
        <f t="shared" si="416"/>
        <v>0</v>
      </c>
      <c r="T1240" s="553"/>
      <c r="U1240" s="471" t="s">
        <v>94</v>
      </c>
      <c r="V1240" s="480">
        <f>IF(U1240="한국 원화(KRW)",1,IF(OR(U1240=환율!$A$6,U1240=환율!$A$7),VLOOKUP(NAV!U1240,환율!$A$6:$B$7,2,),IF(RIGHT(U1240,5)="(100)",(VLOOKUP(NAV!U1240,환율!$A$11:$B$65,2,))/100,VLOOKUP(NAV!U1240,환율!$A$11:$B$65,2,))))</f>
        <v>1</v>
      </c>
      <c r="W1240" s="481"/>
      <c r="X1240" s="482">
        <f t="shared" si="417"/>
        <v>0</v>
      </c>
      <c r="Y1240" s="481"/>
      <c r="Z1240" s="481"/>
      <c r="AA1240" s="483">
        <f t="shared" si="418"/>
        <v>0</v>
      </c>
      <c r="AB1240" s="554"/>
      <c r="AC1240" s="526" t="str">
        <f t="shared" si="419"/>
        <v>2년이상</v>
      </c>
      <c r="AD1240" s="520" t="str">
        <f t="shared" si="420"/>
        <v/>
      </c>
      <c r="AE1240" s="527">
        <f t="shared" ref="AE1240:AE1249" si="421">IF(OR(T1240="MTP",T1240="과거거래 이용법",T1240="취득원가 준용",T1240="장부가액 준용",T1240="상장종가 적용"),S1240,IF(P1240="주당",AG1240*Q1240*V1240,Y1240/10000*AG1240*V1240))</f>
        <v>0</v>
      </c>
      <c r="AF1240" s="527">
        <f t="shared" ref="AF1240:AF1249" si="422">IF(OR(T1240="MTP",T1240="과거거래 이용법",T1240="취득원가 준용",T1240="장부가액 준용",T1240="상장종가 적용"),S1240,IF(P1240="주당",AH1240*Q1240*V1240,Y1240/10000*AH1240*V1240))</f>
        <v>0</v>
      </c>
      <c r="AG1240" s="485"/>
      <c r="AH1240" s="485"/>
      <c r="AI1240" s="404"/>
    </row>
    <row r="1241" spans="1:35" ht="12.75" thickBot="1">
      <c r="A1241" s="492"/>
      <c r="B1241" s="496"/>
      <c r="C1241" s="468" t="s">
        <v>21</v>
      </c>
      <c r="D1241" s="469">
        <f>SUM(D1242:D1243)</f>
        <v>0</v>
      </c>
      <c r="E1241" s="469">
        <f>SUM(E1242:E1243)</f>
        <v>0</v>
      </c>
      <c r="J1241" s="551"/>
      <c r="K1241" s="552"/>
      <c r="L1241" s="551"/>
      <c r="M1241" s="553"/>
      <c r="N1241" s="553"/>
      <c r="O1241" s="551"/>
      <c r="P1241" s="553"/>
      <c r="Q1241" s="524"/>
      <c r="R1241" s="478">
        <f>IFERROR(INDEX(기초자산!M$6:M$408,MATCH(K1241&amp;N1241&amp;O1241,기초자산!$A$6:$A$408,0),0),0)</f>
        <v>0</v>
      </c>
      <c r="S1241" s="479">
        <f t="shared" si="416"/>
        <v>0</v>
      </c>
      <c r="T1241" s="553"/>
      <c r="U1241" s="471" t="s">
        <v>94</v>
      </c>
      <c r="V1241" s="480">
        <f>IF(U1241="한국 원화(KRW)",1,IF(OR(U1241=환율!$A$6,U1241=환율!$A$7),VLOOKUP(NAV!U1241,환율!$A$6:$B$7,2,),IF(RIGHT(U1241,5)="(100)",(VLOOKUP(NAV!U1241,환율!$A$11:$B$65,2,))/100,VLOOKUP(NAV!U1241,환율!$A$11:$B$65,2,))))</f>
        <v>1</v>
      </c>
      <c r="W1241" s="481"/>
      <c r="X1241" s="482">
        <f t="shared" si="417"/>
        <v>0</v>
      </c>
      <c r="Y1241" s="481"/>
      <c r="Z1241" s="481"/>
      <c r="AA1241" s="483">
        <f t="shared" si="418"/>
        <v>0</v>
      </c>
      <c r="AB1241" s="554"/>
      <c r="AC1241" s="526" t="str">
        <f t="shared" si="419"/>
        <v>2년이상</v>
      </c>
      <c r="AD1241" s="520" t="str">
        <f t="shared" si="420"/>
        <v/>
      </c>
      <c r="AE1241" s="527">
        <f t="shared" si="421"/>
        <v>0</v>
      </c>
      <c r="AF1241" s="527">
        <f t="shared" si="422"/>
        <v>0</v>
      </c>
      <c r="AG1241" s="485"/>
      <c r="AH1241" s="485"/>
      <c r="AI1241" s="404"/>
    </row>
    <row r="1242" spans="1:35" ht="12.75" thickBot="1">
      <c r="A1242" s="492"/>
      <c r="B1242" s="496"/>
      <c r="C1242" s="486" t="s">
        <v>406</v>
      </c>
      <c r="D1242" s="487">
        <f>SUMIF(FS!$AY$89:$AY$119,개요!$B$385&amp;RIGHT(NAV!C1242,LEN(C1242)),FS!$BB$89:$BB$119)</f>
        <v>0</v>
      </c>
      <c r="E1242" s="487">
        <f>D1242</f>
        <v>0</v>
      </c>
      <c r="J1242" s="551"/>
      <c r="K1242" s="552"/>
      <c r="L1242" s="551"/>
      <c r="M1242" s="553"/>
      <c r="N1242" s="553"/>
      <c r="O1242" s="551"/>
      <c r="P1242" s="553"/>
      <c r="Q1242" s="524"/>
      <c r="R1242" s="478">
        <f>IFERROR(INDEX(기초자산!M$6:M$408,MATCH(K1242&amp;N1242&amp;O1242,기초자산!$A$6:$A$408,0),0),0)</f>
        <v>0</v>
      </c>
      <c r="S1242" s="479">
        <f t="shared" si="416"/>
        <v>0</v>
      </c>
      <c r="T1242" s="553"/>
      <c r="U1242" s="471" t="s">
        <v>94</v>
      </c>
      <c r="V1242" s="480">
        <f>IF(U1242="한국 원화(KRW)",1,IF(OR(U1242=환율!$A$6,U1242=환율!$A$7),VLOOKUP(NAV!U1242,환율!$A$6:$B$7,2,),IF(RIGHT(U1242,5)="(100)",(VLOOKUP(NAV!U1242,환율!$A$11:$B$65,2,))/100,VLOOKUP(NAV!U1242,환율!$A$11:$B$65,2,))))</f>
        <v>1</v>
      </c>
      <c r="W1242" s="481"/>
      <c r="X1242" s="482">
        <f t="shared" si="417"/>
        <v>0</v>
      </c>
      <c r="Y1242" s="481"/>
      <c r="Z1242" s="481"/>
      <c r="AA1242" s="483">
        <f t="shared" si="418"/>
        <v>0</v>
      </c>
      <c r="AB1242" s="554"/>
      <c r="AC1242" s="526" t="str">
        <f t="shared" si="419"/>
        <v>2년이상</v>
      </c>
      <c r="AD1242" s="520" t="str">
        <f t="shared" si="420"/>
        <v/>
      </c>
      <c r="AE1242" s="527">
        <f t="shared" si="421"/>
        <v>0</v>
      </c>
      <c r="AF1242" s="527">
        <f t="shared" si="422"/>
        <v>0</v>
      </c>
      <c r="AG1242" s="485"/>
      <c r="AH1242" s="485"/>
      <c r="AI1242" s="404"/>
    </row>
    <row r="1243" spans="1:35" ht="12.75" thickBot="1">
      <c r="A1243" s="492"/>
      <c r="B1243" s="496"/>
      <c r="C1243" s="486" t="s">
        <v>407</v>
      </c>
      <c r="D1243" s="487">
        <f>SUMIF(FS!$AY$89:$AY$119,개요!$B$385&amp;RIGHT(NAV!C1243,LEN(C1243)),FS!$BB$89:$BB$119)</f>
        <v>0</v>
      </c>
      <c r="E1243" s="487">
        <f>D1243</f>
        <v>0</v>
      </c>
      <c r="J1243" s="551"/>
      <c r="K1243" s="552"/>
      <c r="L1243" s="551"/>
      <c r="M1243" s="553"/>
      <c r="N1243" s="553"/>
      <c r="O1243" s="551"/>
      <c r="P1243" s="553"/>
      <c r="Q1243" s="524"/>
      <c r="R1243" s="478">
        <f>IFERROR(INDEX(기초자산!M$6:M$408,MATCH(K1243&amp;N1243&amp;O1243,기초자산!$A$6:$A$408,0),0),0)</f>
        <v>0</v>
      </c>
      <c r="S1243" s="479">
        <f t="shared" si="416"/>
        <v>0</v>
      </c>
      <c r="T1243" s="553"/>
      <c r="U1243" s="471" t="s">
        <v>94</v>
      </c>
      <c r="V1243" s="480">
        <f>IF(U1243="한국 원화(KRW)",1,IF(OR(U1243=환율!$A$6,U1243=환율!$A$7),VLOOKUP(NAV!U1243,환율!$A$6:$B$7,2,),IF(RIGHT(U1243,5)="(100)",(VLOOKUP(NAV!U1243,환율!$A$11:$B$65,2,))/100,VLOOKUP(NAV!U1243,환율!$A$11:$B$65,2,))))</f>
        <v>1</v>
      </c>
      <c r="W1243" s="481"/>
      <c r="X1243" s="482">
        <f t="shared" si="417"/>
        <v>0</v>
      </c>
      <c r="Y1243" s="481"/>
      <c r="Z1243" s="481"/>
      <c r="AA1243" s="483">
        <f t="shared" si="418"/>
        <v>0</v>
      </c>
      <c r="AB1243" s="554"/>
      <c r="AC1243" s="526" t="str">
        <f t="shared" si="419"/>
        <v>2년이상</v>
      </c>
      <c r="AD1243" s="520" t="str">
        <f t="shared" si="420"/>
        <v/>
      </c>
      <c r="AE1243" s="527">
        <f t="shared" si="421"/>
        <v>0</v>
      </c>
      <c r="AF1243" s="527">
        <f t="shared" si="422"/>
        <v>0</v>
      </c>
      <c r="AG1243" s="485"/>
      <c r="AH1243" s="485"/>
      <c r="AI1243" s="404"/>
    </row>
    <row r="1244" spans="1:35" ht="12.75" thickBot="1">
      <c r="A1244" s="489" t="s">
        <v>408</v>
      </c>
      <c r="B1244" s="498" t="b">
        <f>D1237+D1238+D1239+D1240+D1242+D1243=D1244</f>
        <v>1</v>
      </c>
      <c r="C1244" s="493" t="s">
        <v>477</v>
      </c>
      <c r="D1244" s="494">
        <f>D1236+D1241</f>
        <v>0</v>
      </c>
      <c r="E1244" s="494">
        <f>E1236+E1241</f>
        <v>0</v>
      </c>
      <c r="J1244" s="551"/>
      <c r="K1244" s="552"/>
      <c r="L1244" s="551"/>
      <c r="M1244" s="553"/>
      <c r="N1244" s="553"/>
      <c r="O1244" s="551"/>
      <c r="P1244" s="553"/>
      <c r="Q1244" s="524"/>
      <c r="R1244" s="478">
        <f>IFERROR(INDEX(기초자산!M$6:M$408,MATCH(K1244&amp;N1244&amp;O1244,기초자산!$A$6:$A$408,0),0),0)</f>
        <v>0</v>
      </c>
      <c r="S1244" s="479">
        <f t="shared" si="416"/>
        <v>0</v>
      </c>
      <c r="T1244" s="553"/>
      <c r="U1244" s="471" t="s">
        <v>94</v>
      </c>
      <c r="V1244" s="480">
        <f>IF(U1244="한국 원화(KRW)",1,IF(OR(U1244=환율!$A$6,U1244=환율!$A$7),VLOOKUP(NAV!U1244,환율!$A$6:$B$7,2,),IF(RIGHT(U1244,5)="(100)",(VLOOKUP(NAV!U1244,환율!$A$11:$B$65,2,))/100,VLOOKUP(NAV!U1244,환율!$A$11:$B$65,2,))))</f>
        <v>1</v>
      </c>
      <c r="W1244" s="481"/>
      <c r="X1244" s="482">
        <f t="shared" si="417"/>
        <v>0</v>
      </c>
      <c r="Y1244" s="481"/>
      <c r="Z1244" s="481"/>
      <c r="AA1244" s="483">
        <f t="shared" si="418"/>
        <v>0</v>
      </c>
      <c r="AB1244" s="554"/>
      <c r="AC1244" s="526" t="str">
        <f t="shared" si="419"/>
        <v>2년이상</v>
      </c>
      <c r="AD1244" s="520" t="str">
        <f t="shared" si="420"/>
        <v/>
      </c>
      <c r="AE1244" s="527">
        <f t="shared" si="421"/>
        <v>0</v>
      </c>
      <c r="AF1244" s="527">
        <f t="shared" si="422"/>
        <v>0</v>
      </c>
      <c r="AG1244" s="485"/>
      <c r="AH1244" s="485"/>
      <c r="AI1244" s="404"/>
    </row>
    <row r="1245" spans="1:35" ht="12.75" thickBot="1">
      <c r="A1245" s="492"/>
      <c r="B1245" s="555" t="str">
        <f>B1225&amp;C1245</f>
        <v>SPC없음자본금</v>
      </c>
      <c r="C1245" s="486" t="s">
        <v>35</v>
      </c>
      <c r="D1245" s="487">
        <f>SUMIF(FS!$AY$89:$AY$119,개요!$B$385&amp;RIGHT(NAV!C1245,LEN(C1245)),FS!$BB$89:$BB$119)</f>
        <v>0</v>
      </c>
      <c r="E1245" s="487">
        <f>D1245</f>
        <v>0</v>
      </c>
      <c r="J1245" s="551"/>
      <c r="K1245" s="552"/>
      <c r="L1245" s="551"/>
      <c r="M1245" s="553"/>
      <c r="N1245" s="553"/>
      <c r="O1245" s="551"/>
      <c r="P1245" s="553"/>
      <c r="Q1245" s="524"/>
      <c r="R1245" s="478">
        <f>IFERROR(INDEX(기초자산!M$6:M$408,MATCH(K1245&amp;N1245&amp;O1245,기초자산!$A$6:$A$408,0),0),0)</f>
        <v>0</v>
      </c>
      <c r="S1245" s="479">
        <f t="shared" si="416"/>
        <v>0</v>
      </c>
      <c r="T1245" s="553"/>
      <c r="U1245" s="471" t="s">
        <v>94</v>
      </c>
      <c r="V1245" s="480">
        <f>IF(U1245="한국 원화(KRW)",1,IF(OR(U1245=환율!$A$6,U1245=환율!$A$7),VLOOKUP(NAV!U1245,환율!$A$6:$B$7,2,),IF(RIGHT(U1245,5)="(100)",(VLOOKUP(NAV!U1245,환율!$A$11:$B$65,2,))/100,VLOOKUP(NAV!U1245,환율!$A$11:$B$65,2,))))</f>
        <v>1</v>
      </c>
      <c r="W1245" s="481"/>
      <c r="X1245" s="482">
        <f t="shared" si="417"/>
        <v>0</v>
      </c>
      <c r="Y1245" s="481"/>
      <c r="Z1245" s="481"/>
      <c r="AA1245" s="483">
        <f t="shared" si="418"/>
        <v>0</v>
      </c>
      <c r="AB1245" s="554"/>
      <c r="AC1245" s="526" t="str">
        <f t="shared" si="419"/>
        <v>2년이상</v>
      </c>
      <c r="AD1245" s="520" t="str">
        <f t="shared" si="420"/>
        <v/>
      </c>
      <c r="AE1245" s="527">
        <f t="shared" si="421"/>
        <v>0</v>
      </c>
      <c r="AF1245" s="527">
        <f t="shared" si="422"/>
        <v>0</v>
      </c>
      <c r="AG1245" s="485"/>
      <c r="AH1245" s="485"/>
      <c r="AI1245" s="404"/>
    </row>
    <row r="1246" spans="1:35" ht="12.75" thickBot="1">
      <c r="C1246" s="486" t="s">
        <v>120</v>
      </c>
      <c r="D1246" s="487">
        <f>SUMIF(FS!$AY$89:$AY$119,개요!$B$385&amp;RIGHT(NAV!C1246,LEN(C1246)),FS!$BB$89:$BB$119)</f>
        <v>0</v>
      </c>
      <c r="E1246" s="487">
        <f>D1246</f>
        <v>0</v>
      </c>
      <c r="J1246" s="551"/>
      <c r="K1246" s="552"/>
      <c r="L1246" s="551"/>
      <c r="M1246" s="553"/>
      <c r="N1246" s="553"/>
      <c r="O1246" s="551"/>
      <c r="P1246" s="553"/>
      <c r="Q1246" s="524"/>
      <c r="R1246" s="478">
        <f>IFERROR(INDEX(기초자산!M$6:M$408,MATCH(K1246&amp;N1246&amp;O1246,기초자산!$A$6:$A$408,0),0),0)</f>
        <v>0</v>
      </c>
      <c r="S1246" s="479">
        <f t="shared" si="416"/>
        <v>0</v>
      </c>
      <c r="T1246" s="553"/>
      <c r="U1246" s="471" t="s">
        <v>94</v>
      </c>
      <c r="V1246" s="480">
        <f>IF(U1246="한국 원화(KRW)",1,IF(OR(U1246=환율!$A$6,U1246=환율!$A$7),VLOOKUP(NAV!U1246,환율!$A$6:$B$7,2,),IF(RIGHT(U1246,5)="(100)",(VLOOKUP(NAV!U1246,환율!$A$11:$B$65,2,))/100,VLOOKUP(NAV!U1246,환율!$A$11:$B$65,2,))))</f>
        <v>1</v>
      </c>
      <c r="W1246" s="481"/>
      <c r="X1246" s="482">
        <f t="shared" si="417"/>
        <v>0</v>
      </c>
      <c r="Y1246" s="481"/>
      <c r="Z1246" s="481"/>
      <c r="AA1246" s="483">
        <f t="shared" si="418"/>
        <v>0</v>
      </c>
      <c r="AB1246" s="554"/>
      <c r="AC1246" s="526" t="str">
        <f t="shared" si="419"/>
        <v>2년이상</v>
      </c>
      <c r="AD1246" s="520" t="str">
        <f t="shared" si="420"/>
        <v/>
      </c>
      <c r="AE1246" s="527">
        <f t="shared" si="421"/>
        <v>0</v>
      </c>
      <c r="AF1246" s="527">
        <f t="shared" si="422"/>
        <v>0</v>
      </c>
      <c r="AG1246" s="485"/>
      <c r="AH1246" s="485"/>
      <c r="AI1246" s="404"/>
    </row>
    <row r="1247" spans="1:35" ht="12.75" thickBot="1">
      <c r="A1247" s="489"/>
      <c r="B1247" s="415"/>
      <c r="C1247" s="486" t="s">
        <v>122</v>
      </c>
      <c r="D1247" s="487">
        <f>SUMIF(FS!$AY$89:$AY$119,개요!$B$385&amp;RIGHT(NAV!C1247,LEN(C1247)),FS!$BB$89:$BB$119)</f>
        <v>0</v>
      </c>
      <c r="E1247" s="487">
        <f>D1247</f>
        <v>0</v>
      </c>
      <c r="J1247" s="551"/>
      <c r="K1247" s="552"/>
      <c r="L1247" s="551"/>
      <c r="M1247" s="553"/>
      <c r="N1247" s="553"/>
      <c r="O1247" s="551"/>
      <c r="P1247" s="553"/>
      <c r="Q1247" s="524"/>
      <c r="R1247" s="478">
        <f>IFERROR(INDEX(기초자산!M$6:M$408,MATCH(K1247&amp;N1247&amp;O1247,기초자산!$A$6:$A$408,0),0),0)</f>
        <v>0</v>
      </c>
      <c r="S1247" s="479">
        <f t="shared" si="416"/>
        <v>0</v>
      </c>
      <c r="T1247" s="553"/>
      <c r="U1247" s="471" t="s">
        <v>94</v>
      </c>
      <c r="V1247" s="480">
        <f>IF(U1247="한국 원화(KRW)",1,IF(OR(U1247=환율!$A$6,U1247=환율!$A$7),VLOOKUP(NAV!U1247,환율!$A$6:$B$7,2,),IF(RIGHT(U1247,5)="(100)",(VLOOKUP(NAV!U1247,환율!$A$11:$B$65,2,))/100,VLOOKUP(NAV!U1247,환율!$A$11:$B$65,2,))))</f>
        <v>1</v>
      </c>
      <c r="W1247" s="481"/>
      <c r="X1247" s="482">
        <f t="shared" si="417"/>
        <v>0</v>
      </c>
      <c r="Y1247" s="481"/>
      <c r="Z1247" s="481"/>
      <c r="AA1247" s="483">
        <f t="shared" si="418"/>
        <v>0</v>
      </c>
      <c r="AB1247" s="554"/>
      <c r="AC1247" s="526" t="str">
        <f t="shared" si="419"/>
        <v>2년이상</v>
      </c>
      <c r="AD1247" s="520" t="str">
        <f t="shared" si="420"/>
        <v/>
      </c>
      <c r="AE1247" s="527">
        <f t="shared" si="421"/>
        <v>0</v>
      </c>
      <c r="AF1247" s="527">
        <f t="shared" si="422"/>
        <v>0</v>
      </c>
      <c r="AG1247" s="485"/>
      <c r="AH1247" s="485"/>
      <c r="AI1247" s="404"/>
    </row>
    <row r="1248" spans="1:35" ht="12.75" thickBot="1">
      <c r="A1248" s="489" t="s">
        <v>411</v>
      </c>
      <c r="B1248" s="415" t="b">
        <f>D1248=SUM(D1245:D1247)</f>
        <v>1</v>
      </c>
      <c r="C1248" s="493" t="s">
        <v>79</v>
      </c>
      <c r="D1248" s="494">
        <f>D1235-D1244</f>
        <v>0</v>
      </c>
      <c r="E1248" s="494">
        <f>E1235-E1244</f>
        <v>0</v>
      </c>
      <c r="J1248" s="551"/>
      <c r="K1248" s="552"/>
      <c r="L1248" s="551"/>
      <c r="M1248" s="553"/>
      <c r="N1248" s="553"/>
      <c r="O1248" s="551"/>
      <c r="P1248" s="553"/>
      <c r="Q1248" s="524"/>
      <c r="R1248" s="478">
        <f>IFERROR(INDEX(기초자산!M$6:M$408,MATCH(K1248&amp;N1248&amp;O1248,기초자산!$A$6:$A$408,0),0),0)</f>
        <v>0</v>
      </c>
      <c r="S1248" s="479">
        <f t="shared" si="416"/>
        <v>0</v>
      </c>
      <c r="T1248" s="553"/>
      <c r="U1248" s="471" t="s">
        <v>94</v>
      </c>
      <c r="V1248" s="480">
        <f>IF(U1248="한국 원화(KRW)",1,IF(OR(U1248=환율!$A$6,U1248=환율!$A$7),VLOOKUP(NAV!U1248,환율!$A$6:$B$7,2,),IF(RIGHT(U1248,5)="(100)",(VLOOKUP(NAV!U1248,환율!$A$11:$B$65,2,))/100,VLOOKUP(NAV!U1248,환율!$A$11:$B$65,2,))))</f>
        <v>1</v>
      </c>
      <c r="W1248" s="481"/>
      <c r="X1248" s="482">
        <f t="shared" si="417"/>
        <v>0</v>
      </c>
      <c r="Y1248" s="481"/>
      <c r="Z1248" s="481"/>
      <c r="AA1248" s="483">
        <f t="shared" si="418"/>
        <v>0</v>
      </c>
      <c r="AB1248" s="554"/>
      <c r="AC1248" s="526" t="str">
        <f t="shared" si="419"/>
        <v>2년이상</v>
      </c>
      <c r="AD1248" s="520" t="str">
        <f t="shared" si="420"/>
        <v/>
      </c>
      <c r="AE1248" s="527">
        <f t="shared" si="421"/>
        <v>0</v>
      </c>
      <c r="AF1248" s="527">
        <f t="shared" si="422"/>
        <v>0</v>
      </c>
      <c r="AG1248" s="485"/>
      <c r="AH1248" s="485"/>
      <c r="AI1248" s="404"/>
    </row>
    <row r="1249" spans="1:35" ht="12.75" thickBot="1">
      <c r="A1249" s="489"/>
      <c r="B1249" s="415"/>
      <c r="C1249" s="486" t="s">
        <v>413</v>
      </c>
      <c r="D1249" s="487">
        <v>0</v>
      </c>
      <c r="E1249" s="499">
        <v>0</v>
      </c>
      <c r="J1249" s="551"/>
      <c r="K1249" s="552"/>
      <c r="L1249" s="551"/>
      <c r="M1249" s="553"/>
      <c r="N1249" s="553"/>
      <c r="O1249" s="551"/>
      <c r="P1249" s="553"/>
      <c r="Q1249" s="524"/>
      <c r="R1249" s="478">
        <f>IFERROR(INDEX(기초자산!M$6:M$408,MATCH(K1249&amp;N1249&amp;O1249,기초자산!$A$6:$A$408,0),0),0)</f>
        <v>0</v>
      </c>
      <c r="S1249" s="479">
        <f t="shared" si="416"/>
        <v>0</v>
      </c>
      <c r="T1249" s="553"/>
      <c r="U1249" s="471" t="s">
        <v>94</v>
      </c>
      <c r="V1249" s="480">
        <f>IF(U1249="한국 원화(KRW)",1,IF(OR(U1249=환율!$A$6,U1249=환율!$A$7),VLOOKUP(NAV!U1249,환율!$A$6:$B$7,2,),IF(RIGHT(U1249,5)="(100)",(VLOOKUP(NAV!U1249,환율!$A$11:$B$65,2,))/100,VLOOKUP(NAV!U1249,환율!$A$11:$B$65,2,))))</f>
        <v>1</v>
      </c>
      <c r="W1249" s="481"/>
      <c r="X1249" s="482">
        <f t="shared" si="417"/>
        <v>0</v>
      </c>
      <c r="Y1249" s="481"/>
      <c r="Z1249" s="481"/>
      <c r="AA1249" s="483">
        <f t="shared" si="418"/>
        <v>0</v>
      </c>
      <c r="AB1249" s="554"/>
      <c r="AC1249" s="526" t="str">
        <f t="shared" si="419"/>
        <v>2년이상</v>
      </c>
      <c r="AD1249" s="520" t="str">
        <f t="shared" si="420"/>
        <v/>
      </c>
      <c r="AE1249" s="527">
        <f t="shared" si="421"/>
        <v>0</v>
      </c>
      <c r="AF1249" s="527">
        <f t="shared" si="422"/>
        <v>0</v>
      </c>
      <c r="AG1249" s="485"/>
      <c r="AH1249" s="485"/>
      <c r="AI1249" s="404"/>
    </row>
    <row r="1250" spans="1:35">
      <c r="A1250" s="489"/>
      <c r="B1250" s="415"/>
      <c r="C1250" s="486" t="s">
        <v>414</v>
      </c>
      <c r="D1250" s="487">
        <v>0</v>
      </c>
      <c r="E1250" s="499">
        <v>0</v>
      </c>
      <c r="J1250" s="574"/>
      <c r="K1250" s="575"/>
      <c r="L1250" s="574"/>
      <c r="M1250" s="415"/>
      <c r="N1250" s="415"/>
      <c r="O1250" s="415"/>
      <c r="P1250" s="415"/>
      <c r="Q1250" s="422"/>
      <c r="R1250" s="415"/>
      <c r="S1250" s="415"/>
      <c r="T1250" s="415"/>
      <c r="U1250" s="415"/>
      <c r="V1250" s="415"/>
      <c r="W1250" s="422"/>
      <c r="X1250" s="415"/>
      <c r="Y1250" s="458"/>
      <c r="Z1250" s="422"/>
      <c r="AA1250" s="556"/>
      <c r="AB1250" s="556"/>
      <c r="AC1250" s="415"/>
      <c r="AE1250" s="415"/>
      <c r="AI1250" s="404"/>
    </row>
    <row r="1251" spans="1:35">
      <c r="A1251" s="489"/>
      <c r="B1251" s="415"/>
      <c r="C1251" s="493" t="s">
        <v>123</v>
      </c>
      <c r="D1251" s="494">
        <f>D1248+D1249-D1250</f>
        <v>0</v>
      </c>
      <c r="E1251" s="494">
        <f>IF(E1248+E1249-E1250&gt;0,E1248+E1249-E1250,0)</f>
        <v>0</v>
      </c>
      <c r="J1251" s="305"/>
      <c r="K1251" s="415"/>
      <c r="L1251" s="305"/>
      <c r="M1251" s="415"/>
      <c r="N1251" s="415"/>
      <c r="O1251" s="415"/>
      <c r="S1251" s="415"/>
      <c r="T1251" s="415"/>
      <c r="U1251" s="415"/>
      <c r="V1251" s="415"/>
      <c r="Y1251" s="458"/>
      <c r="AD1251" s="557" t="str">
        <f>B1225&amp;"순자산가치"</f>
        <v>SPC없음순자산가치</v>
      </c>
      <c r="AE1251" s="529">
        <f>IF(E1231+SUM(AE1231:AE1236)+SUM(AE1239:AE1249)-E1244&gt;0,E1231+SUM(AE1231:AE1236)+SUM(AE1239:AE1249)-E1244,0)</f>
        <v>0</v>
      </c>
      <c r="AF1251" s="529">
        <f>IF(E1231+SUM(AF1231:AF1236)+SUM(AF1239:AF1249)-E1244&gt;0,E1231+SUM(AF1231:AF1236)+SUM(AF1239:AF1249)-E1244,0)</f>
        <v>0</v>
      </c>
      <c r="AI1251" s="404"/>
    </row>
    <row r="1252" spans="1:35">
      <c r="A1252" s="489"/>
      <c r="B1252" s="558" t="str">
        <f>B1225&amp;C1252</f>
        <v>SPC없음보유지분율(%)</v>
      </c>
      <c r="C1252" s="493" t="s">
        <v>416</v>
      </c>
      <c r="D1252" s="559">
        <f>개요!$C$154</f>
        <v>0</v>
      </c>
      <c r="E1252" s="494">
        <f>E1251*D1252</f>
        <v>0</v>
      </c>
      <c r="F1252" s="560" t="s">
        <v>417</v>
      </c>
      <c r="G1252" s="560"/>
      <c r="J1252" s="495"/>
      <c r="K1252" s="415"/>
      <c r="L1252" s="495"/>
      <c r="M1252" s="415"/>
      <c r="N1252" s="415"/>
      <c r="O1252" s="415"/>
      <c r="S1252" s="415"/>
      <c r="T1252" s="415"/>
      <c r="U1252" s="415"/>
      <c r="V1252" s="415"/>
      <c r="Y1252" s="458"/>
      <c r="AD1252" s="557" t="s">
        <v>272</v>
      </c>
      <c r="AE1252" s="561">
        <f>$D1252</f>
        <v>0</v>
      </c>
      <c r="AF1252" s="561">
        <f>$D1252</f>
        <v>0</v>
      </c>
      <c r="AI1252" s="404"/>
    </row>
    <row r="1253" spans="1:35">
      <c r="A1253" s="489"/>
      <c r="B1253" s="415"/>
      <c r="G1253" s="503" t="s">
        <v>419</v>
      </c>
      <c r="I1253" s="562"/>
      <c r="J1253" s="495"/>
      <c r="K1253" s="415"/>
      <c r="L1253" s="495"/>
      <c r="M1253" s="415"/>
      <c r="N1253" s="415"/>
      <c r="O1253" s="415"/>
      <c r="S1253" s="415"/>
      <c r="T1253" s="415"/>
      <c r="U1253" s="415"/>
      <c r="V1253" s="415"/>
      <c r="Y1253" s="458"/>
      <c r="AD1253" s="557" t="str">
        <f>B1225&amp;"지분율 반영 순자산가치"</f>
        <v>SPC없음지분율 반영 순자산가치</v>
      </c>
      <c r="AE1253" s="529">
        <f>AE1251*AE1252</f>
        <v>0</v>
      </c>
      <c r="AF1253" s="529">
        <f>AF1251*AF1252</f>
        <v>0</v>
      </c>
      <c r="AI1253" s="404"/>
    </row>
    <row r="1254" spans="1:35">
      <c r="A1254" s="489"/>
      <c r="D1254" s="504" t="s">
        <v>43</v>
      </c>
      <c r="E1254" s="505">
        <f>$C$7</f>
        <v>45473</v>
      </c>
      <c r="F1254" s="506"/>
      <c r="G1254" s="505"/>
      <c r="I1254" s="563"/>
      <c r="J1254" s="495"/>
      <c r="K1254" s="415"/>
      <c r="L1254" s="495"/>
      <c r="M1254" s="415"/>
      <c r="N1254" s="415"/>
      <c r="O1254" s="415"/>
      <c r="S1254" s="415"/>
      <c r="T1254" s="415"/>
      <c r="U1254" s="415"/>
      <c r="V1254" s="415"/>
      <c r="Y1254" s="422"/>
      <c r="AI1254" s="404"/>
    </row>
    <row r="1255" spans="1:35">
      <c r="D1255" s="486" t="s">
        <v>79</v>
      </c>
      <c r="E1255" s="487">
        <f>E1251</f>
        <v>0</v>
      </c>
      <c r="F1255" s="507" t="e">
        <f>E1255/G1255-1</f>
        <v>#DIV/0!</v>
      </c>
      <c r="G1255" s="487"/>
      <c r="I1255" s="564"/>
      <c r="J1255" s="495"/>
      <c r="K1255" s="415"/>
      <c r="L1255" s="495"/>
      <c r="M1255" s="415"/>
      <c r="S1255" s="415"/>
      <c r="T1255" s="415"/>
      <c r="U1255" s="415"/>
      <c r="V1255" s="415"/>
      <c r="Y1255" s="422"/>
      <c r="AI1255" s="404"/>
    </row>
    <row r="1256" spans="1:35">
      <c r="A1256" s="489"/>
      <c r="B1256" s="415"/>
      <c r="D1256" s="486" t="s">
        <v>272</v>
      </c>
      <c r="E1256" s="565">
        <f>$D$1252</f>
        <v>0</v>
      </c>
      <c r="F1256" s="507"/>
      <c r="G1256" s="565"/>
      <c r="I1256" s="566"/>
      <c r="J1256" s="305"/>
      <c r="K1256" s="415"/>
      <c r="L1256" s="305"/>
      <c r="M1256" s="415"/>
      <c r="S1256" s="415"/>
      <c r="T1256" s="415"/>
      <c r="U1256" s="415"/>
      <c r="V1256" s="415"/>
      <c r="Y1256" s="422"/>
      <c r="AI1256" s="404"/>
    </row>
    <row r="1257" spans="1:35">
      <c r="A1257" s="489"/>
      <c r="B1257" s="415"/>
      <c r="D1257" s="567" t="s">
        <v>246</v>
      </c>
      <c r="E1257" s="568">
        <f>E1255*E1256</f>
        <v>0</v>
      </c>
      <c r="F1257" s="507" t="e">
        <f>E1257/G1257-1</f>
        <v>#DIV/0!</v>
      </c>
      <c r="G1257" s="568"/>
      <c r="I1257" s="564"/>
      <c r="AI1257" s="404"/>
    </row>
    <row r="1258" spans="1:35">
      <c r="E1258" s="304" t="b">
        <f>E1257=E1252</f>
        <v>1</v>
      </c>
      <c r="AI1258" s="404"/>
    </row>
    <row r="1259" spans="1:35">
      <c r="F1259" s="507"/>
      <c r="G1259" s="507"/>
      <c r="AI1259" s="404"/>
    </row>
    <row r="1260" spans="1:35" ht="14.25" customHeight="1" thickBot="1">
      <c r="A1260" s="536"/>
      <c r="B1260" s="536"/>
      <c r="C1260" s="536"/>
      <c r="D1260" s="536"/>
      <c r="E1260" s="536"/>
      <c r="F1260" s="572"/>
      <c r="G1260" s="572"/>
      <c r="H1260" s="536"/>
      <c r="I1260" s="537"/>
      <c r="J1260" s="536"/>
      <c r="K1260" s="536"/>
      <c r="L1260" s="536"/>
      <c r="M1260" s="536"/>
      <c r="N1260" s="536"/>
      <c r="O1260" s="536"/>
      <c r="P1260" s="536"/>
      <c r="Q1260" s="540"/>
      <c r="R1260" s="536"/>
      <c r="S1260" s="536"/>
      <c r="T1260" s="536"/>
      <c r="U1260" s="536"/>
      <c r="V1260" s="536"/>
      <c r="W1260" s="540"/>
      <c r="X1260" s="536"/>
      <c r="Y1260" s="540"/>
      <c r="Z1260" s="540"/>
      <c r="AA1260" s="536"/>
      <c r="AB1260" s="536"/>
      <c r="AC1260" s="536"/>
      <c r="AD1260" s="541"/>
      <c r="AE1260" s="536"/>
      <c r="AF1260" s="536"/>
      <c r="AG1260" s="536"/>
      <c r="AH1260" s="536"/>
      <c r="AI1260" s="404"/>
    </row>
    <row r="1261" spans="1:35" ht="12.75" thickTop="1">
      <c r="F1261" s="507"/>
      <c r="G1261" s="507"/>
      <c r="AI1261" s="404"/>
    </row>
    <row r="1262" spans="1:35" ht="12.75" thickBot="1">
      <c r="A1262" s="459"/>
      <c r="B1262" s="415"/>
      <c r="J1262" s="428" t="s">
        <v>273</v>
      </c>
      <c r="K1262" s="489"/>
      <c r="L1262" s="497"/>
      <c r="M1262" s="489"/>
      <c r="N1262" s="415"/>
      <c r="O1262" s="415"/>
      <c r="AI1262" s="404"/>
    </row>
    <row r="1263" spans="1:35" ht="12.75" thickBot="1">
      <c r="A1263" s="542" t="s">
        <v>736</v>
      </c>
      <c r="B1263" s="543" t="str">
        <f>IF(개요!$B$397="","SPC없음",개요!$B$397)</f>
        <v>SPC없음</v>
      </c>
      <c r="C1263" s="454"/>
      <c r="J1263" s="433"/>
      <c r="K1263" s="434"/>
      <c r="L1263" s="434"/>
      <c r="M1263" s="434"/>
      <c r="N1263" s="434"/>
      <c r="O1263" s="434"/>
      <c r="P1263" s="434"/>
      <c r="Q1263" s="435"/>
      <c r="R1263" s="434"/>
      <c r="S1263" s="434"/>
      <c r="T1263" s="434"/>
      <c r="U1263" s="434"/>
      <c r="V1263" s="436"/>
      <c r="AI1263" s="404"/>
    </row>
    <row r="1264" spans="1:35">
      <c r="B1264" s="543" t="s">
        <v>260</v>
      </c>
      <c r="C1264" s="569" t="str">
        <f>IF(개요!$C$398="","SPC없음",개요!$C$398)</f>
        <v>SPC없음</v>
      </c>
      <c r="J1264" s="442"/>
      <c r="K1264" s="151"/>
      <c r="L1264" s="151"/>
      <c r="M1264" s="151"/>
      <c r="N1264" s="151"/>
      <c r="O1264" s="151"/>
      <c r="P1264" s="151"/>
      <c r="Q1264" s="443"/>
      <c r="R1264" s="151"/>
      <c r="S1264" s="151"/>
      <c r="T1264" s="151"/>
      <c r="U1264" s="151"/>
      <c r="V1264" s="444"/>
      <c r="AI1264" s="404"/>
    </row>
    <row r="1265" spans="1:35">
      <c r="B1265" s="437" t="s">
        <v>43</v>
      </c>
      <c r="C1265" s="570">
        <f>$C$7</f>
        <v>45473</v>
      </c>
      <c r="D1265" s="546" t="b">
        <f>C1265&gt;=C1266</f>
        <v>1</v>
      </c>
      <c r="J1265" s="442"/>
      <c r="K1265" s="151"/>
      <c r="L1265" s="151"/>
      <c r="M1265" s="151"/>
      <c r="N1265" s="151"/>
      <c r="O1265" s="151"/>
      <c r="P1265" s="151"/>
      <c r="Q1265" s="443"/>
      <c r="R1265" s="151"/>
      <c r="S1265" s="151"/>
      <c r="T1265" s="151"/>
      <c r="U1265" s="151"/>
      <c r="V1265" s="444"/>
      <c r="AI1265" s="404"/>
    </row>
    <row r="1266" spans="1:35" ht="12.75" thickBot="1">
      <c r="B1266" s="449" t="s">
        <v>371</v>
      </c>
      <c r="C1266" s="571">
        <f>FS!$BH$88</f>
        <v>0</v>
      </c>
      <c r="J1266" s="453"/>
      <c r="K1266" s="454"/>
      <c r="L1266" s="454"/>
      <c r="M1266" s="454"/>
      <c r="N1266" s="454"/>
      <c r="O1266" s="454"/>
      <c r="P1266" s="454"/>
      <c r="Q1266" s="455"/>
      <c r="R1266" s="454"/>
      <c r="S1266" s="454"/>
      <c r="T1266" s="454"/>
      <c r="U1266" s="454"/>
      <c r="V1266" s="456"/>
      <c r="AI1266" s="404"/>
    </row>
    <row r="1267" spans="1:35">
      <c r="A1267" s="459" t="s">
        <v>93</v>
      </c>
      <c r="J1267" s="428" t="s">
        <v>372</v>
      </c>
      <c r="K1267" s="448"/>
      <c r="L1267" s="420"/>
      <c r="M1267" s="448"/>
      <c r="N1267" s="448"/>
      <c r="O1267" s="448"/>
      <c r="P1267" s="415"/>
      <c r="Q1267" s="422"/>
      <c r="R1267" s="415"/>
      <c r="S1267" s="415"/>
      <c r="T1267" s="415"/>
      <c r="U1267" s="415"/>
      <c r="V1267" s="415"/>
      <c r="W1267" s="422"/>
      <c r="Z1267" s="458"/>
      <c r="AE1267" s="803" t="s">
        <v>8</v>
      </c>
      <c r="AF1267" s="803"/>
      <c r="AG1267" s="460"/>
      <c r="AH1267" s="460"/>
      <c r="AI1267" s="404"/>
    </row>
    <row r="1268" spans="1:35" ht="12.75" thickBot="1">
      <c r="A1268" s="461" t="str">
        <f>IF(AND(B1269:B1295),"검증완료","검증필요")</f>
        <v>검증완료</v>
      </c>
      <c r="B1268" s="462" t="s">
        <v>38</v>
      </c>
      <c r="C1268" s="462" t="s">
        <v>9</v>
      </c>
      <c r="D1268" s="462" t="s">
        <v>10</v>
      </c>
      <c r="E1268" s="462" t="s">
        <v>11</v>
      </c>
      <c r="J1268" s="462" t="s">
        <v>375</v>
      </c>
      <c r="K1268" s="464" t="s">
        <v>0</v>
      </c>
      <c r="L1268" s="462" t="s">
        <v>260</v>
      </c>
      <c r="M1268" s="462" t="s">
        <v>456</v>
      </c>
      <c r="N1268" s="462" t="s">
        <v>91</v>
      </c>
      <c r="O1268" s="462" t="s">
        <v>1</v>
      </c>
      <c r="P1268" s="464" t="s">
        <v>380</v>
      </c>
      <c r="Q1268" s="465" t="s">
        <v>14</v>
      </c>
      <c r="R1268" s="466" t="s">
        <v>381</v>
      </c>
      <c r="S1268" s="466" t="s">
        <v>303</v>
      </c>
      <c r="T1268" s="462" t="s">
        <v>12</v>
      </c>
      <c r="U1268" s="462" t="s">
        <v>72</v>
      </c>
      <c r="V1268" s="462" t="s">
        <v>70</v>
      </c>
      <c r="W1268" s="465" t="s">
        <v>10</v>
      </c>
      <c r="X1268" s="462" t="s">
        <v>385</v>
      </c>
      <c r="Y1268" s="465" t="s">
        <v>125</v>
      </c>
      <c r="Z1268" s="465" t="s">
        <v>3522</v>
      </c>
      <c r="AA1268" s="464" t="s">
        <v>13</v>
      </c>
      <c r="AE1268" s="467" t="s">
        <v>3627</v>
      </c>
      <c r="AF1268" s="467" t="s">
        <v>3628</v>
      </c>
      <c r="AG1268" s="467" t="s">
        <v>3629</v>
      </c>
      <c r="AH1268" s="467" t="s">
        <v>3630</v>
      </c>
      <c r="AI1268" s="404"/>
    </row>
    <row r="1269" spans="1:35" ht="12.75" thickBot="1">
      <c r="A1269" s="415"/>
      <c r="B1269" s="415"/>
      <c r="C1269" s="468" t="s">
        <v>480</v>
      </c>
      <c r="D1269" s="469">
        <f>SUM(D1270:D1271)</f>
        <v>0</v>
      </c>
      <c r="E1269" s="469">
        <f>SUM(E1270:E1271)</f>
        <v>0</v>
      </c>
      <c r="J1269" s="476"/>
      <c r="K1269" s="472"/>
      <c r="L1269" s="473" t="str">
        <f>IF($J1269="","SPC 없음",VLOOKUP($J1269&amp;"SPC명",개요!$A$3:$E$1932,3,0))</f>
        <v>SPC 없음</v>
      </c>
      <c r="M1269" s="474" t="str">
        <f>IF($J1269="","SPC 없음",VLOOKUP($J1269&amp;"설정일",개요!$A$3:$E$1932,3,0))</f>
        <v>SPC 없음</v>
      </c>
      <c r="N1269" s="475" t="str">
        <f t="shared" ref="N1269:N1274" si="423">IF($J1269="","SPC 없음",VLOOKUP($J1269&amp;"자본금",$B$4:$E$2079,3,0)*VLOOKUP($J1269&amp;"보유지분율(%)",$B$4:$E$2079,3,0))</f>
        <v>SPC 없음</v>
      </c>
      <c r="O1269" s="471"/>
      <c r="P1269" s="476"/>
      <c r="Q1269" s="477"/>
      <c r="R1269" s="478"/>
      <c r="S1269" s="479" t="str">
        <f t="shared" ref="S1269:S1274" si="424">IF($J1269="","SPC 없음",IF(P1269="총액",IF(T1269="장부가액 준용",W1269,(VLOOKUP($J1269&amp;"보유지분율(%)",$B$4:$E$2079,4,0))*V1269),Q1269*R1269))</f>
        <v>SPC 없음</v>
      </c>
      <c r="T1269" s="471"/>
      <c r="U1269" s="471" t="s">
        <v>94</v>
      </c>
      <c r="V1269" s="480">
        <f>IF(U1269="한국 원화(KRW)",1,IF(OR(U1269=환율!$A$6,U1269=환율!$A$7),VLOOKUP(NAV!U1269,환율!$A$6:$B$7,2,),IF(RIGHT(U1269,5)="(100)",(VLOOKUP(NAV!U1269,환율!$A$11:$B$65,2,))/100,VLOOKUP(NAV!U1269,환율!$A$11:$B$65,2,))))</f>
        <v>1</v>
      </c>
      <c r="W1269" s="481"/>
      <c r="X1269" s="482">
        <f t="shared" ref="X1269:X1274" si="425">IFERROR(IF(P1269="만원당",10000,Y1269/Q1269),0)</f>
        <v>0</v>
      </c>
      <c r="Y1269" s="481"/>
      <c r="Z1269" s="481"/>
      <c r="AA1269" s="483">
        <f t="shared" ref="AA1269:AA1274" si="426">IFERROR(IF(Z1269="",S1269/W1269-1,S1269/Z1269-1),0)</f>
        <v>0</v>
      </c>
      <c r="AE1269" s="484" t="str">
        <f t="shared" ref="AE1269:AE1274" si="427">IF($J1269="","SPC 없음",IF(P1269="총액",(VLOOKUP($J1269&amp;"지분율 반영 순자산가치",$AD$4:$AH$4973,2,0))*V1269,AG1269*$Q1269))</f>
        <v>SPC 없음</v>
      </c>
      <c r="AF1269" s="484" t="str">
        <f t="shared" ref="AF1269:AF1274" si="428">IF($J1269="","SPC 없음",IF(P1269="총액",(VLOOKUP($J1269&amp;"지분율 반영 순자산가치",$AD$4:$AH$4973,3,0))*V1269,AH1269*$Q1269))</f>
        <v>SPC 없음</v>
      </c>
      <c r="AG1269" s="485"/>
      <c r="AH1269" s="485"/>
      <c r="AI1269" s="404"/>
    </row>
    <row r="1270" spans="1:35" ht="12.75" thickBot="1">
      <c r="A1270" s="415"/>
      <c r="B1270" s="415"/>
      <c r="C1270" s="486" t="s">
        <v>155</v>
      </c>
      <c r="D1270" s="487">
        <f>SUMIF(FS!$BE$89:$BE$119,개요!$B$397&amp;RIGHT(NAV!C1270,LEN(C1270)),FS!$BH$89:$BH$119)</f>
        <v>0</v>
      </c>
      <c r="E1270" s="487">
        <f>D1270</f>
        <v>0</v>
      </c>
      <c r="J1270" s="476"/>
      <c r="K1270" s="472"/>
      <c r="L1270" s="473" t="str">
        <f>IF($J1270="","SPC 없음",VLOOKUP($J1270&amp;"SPC명",개요!$A$3:$E$1932,3,0))</f>
        <v>SPC 없음</v>
      </c>
      <c r="M1270" s="474" t="str">
        <f>IF($J1270="","SPC 없음",VLOOKUP($J1270&amp;"설정일",개요!$A$3:$E$1932,3,0))</f>
        <v>SPC 없음</v>
      </c>
      <c r="N1270" s="475" t="str">
        <f t="shared" si="423"/>
        <v>SPC 없음</v>
      </c>
      <c r="O1270" s="471"/>
      <c r="P1270" s="476"/>
      <c r="Q1270" s="477"/>
      <c r="R1270" s="478"/>
      <c r="S1270" s="479" t="str">
        <f t="shared" si="424"/>
        <v>SPC 없음</v>
      </c>
      <c r="T1270" s="471"/>
      <c r="U1270" s="471" t="s">
        <v>94</v>
      </c>
      <c r="V1270" s="480">
        <f>IF(U1270="한국 원화(KRW)",1,IF(OR(U1270=환율!$A$6,U1270=환율!$A$7),VLOOKUP(NAV!U1270,환율!$A$6:$B$7,2,),IF(RIGHT(U1270,5)="(100)",(VLOOKUP(NAV!U1270,환율!$A$11:$B$65,2,))/100,VLOOKUP(NAV!U1270,환율!$A$11:$B$65,2,))))</f>
        <v>1</v>
      </c>
      <c r="W1270" s="481"/>
      <c r="X1270" s="482">
        <f t="shared" si="425"/>
        <v>0</v>
      </c>
      <c r="Y1270" s="481"/>
      <c r="Z1270" s="481"/>
      <c r="AA1270" s="483">
        <f t="shared" si="426"/>
        <v>0</v>
      </c>
      <c r="AE1270" s="484" t="str">
        <f t="shared" si="427"/>
        <v>SPC 없음</v>
      </c>
      <c r="AF1270" s="484" t="str">
        <f t="shared" si="428"/>
        <v>SPC 없음</v>
      </c>
      <c r="AG1270" s="485"/>
      <c r="AH1270" s="485"/>
      <c r="AI1270" s="404"/>
    </row>
    <row r="1271" spans="1:35" ht="12.75" thickBot="1">
      <c r="A1271" s="415"/>
      <c r="B1271" s="415"/>
      <c r="C1271" s="486" t="s">
        <v>156</v>
      </c>
      <c r="D1271" s="487">
        <f>SUMIF(FS!$BE$89:$BE$119,개요!$B$397&amp;RIGHT(NAV!C1271,LEN(C1271)),FS!$BH$89:$BH$119)</f>
        <v>0</v>
      </c>
      <c r="E1271" s="487">
        <f>D1271</f>
        <v>0</v>
      </c>
      <c r="J1271" s="476"/>
      <c r="K1271" s="472"/>
      <c r="L1271" s="473" t="str">
        <f>IF($J1271="","SPC 없음",VLOOKUP($J1271&amp;"SPC명",개요!$A$3:$E$1932,3,0))</f>
        <v>SPC 없음</v>
      </c>
      <c r="M1271" s="474" t="str">
        <f>IF($J1271="","SPC 없음",VLOOKUP($J1271&amp;"설정일",개요!$A$3:$E$1932,3,0))</f>
        <v>SPC 없음</v>
      </c>
      <c r="N1271" s="475" t="str">
        <f t="shared" si="423"/>
        <v>SPC 없음</v>
      </c>
      <c r="O1271" s="471"/>
      <c r="P1271" s="476"/>
      <c r="Q1271" s="477"/>
      <c r="R1271" s="478"/>
      <c r="S1271" s="479" t="str">
        <f t="shared" si="424"/>
        <v>SPC 없음</v>
      </c>
      <c r="T1271" s="471"/>
      <c r="U1271" s="471" t="s">
        <v>94</v>
      </c>
      <c r="V1271" s="480">
        <f>IF(U1271="한국 원화(KRW)",1,IF(OR(U1271=환율!$A$6,U1271=환율!$A$7),VLOOKUP(NAV!U1271,환율!$A$6:$B$7,2,),IF(RIGHT(U1271,5)="(100)",(VLOOKUP(NAV!U1271,환율!$A$11:$B$65,2,))/100,VLOOKUP(NAV!U1271,환율!$A$11:$B$65,2,))))</f>
        <v>1</v>
      </c>
      <c r="W1271" s="481"/>
      <c r="X1271" s="482">
        <f t="shared" si="425"/>
        <v>0</v>
      </c>
      <c r="Y1271" s="481"/>
      <c r="Z1271" s="481"/>
      <c r="AA1271" s="483">
        <f t="shared" si="426"/>
        <v>0</v>
      </c>
      <c r="AE1271" s="484" t="str">
        <f t="shared" si="427"/>
        <v>SPC 없음</v>
      </c>
      <c r="AF1271" s="484" t="str">
        <f t="shared" si="428"/>
        <v>SPC 없음</v>
      </c>
      <c r="AG1271" s="485"/>
      <c r="AH1271" s="485"/>
      <c r="AI1271" s="404"/>
    </row>
    <row r="1272" spans="1:35" ht="12.75" thickBot="1">
      <c r="A1272" s="489" t="s">
        <v>389</v>
      </c>
      <c r="B1272" s="490" t="b">
        <f>SUM(W1269:W1274,W1277:W1287)=D1272</f>
        <v>1</v>
      </c>
      <c r="C1272" s="468" t="s">
        <v>17</v>
      </c>
      <c r="D1272" s="469">
        <f>SUMIF(FS!$BE$89:$BE$119,개요!$B$397&amp;RIGHT(NAV!C1272,4),FS!$BH$89:$BH$119)</f>
        <v>0</v>
      </c>
      <c r="E1272" s="469">
        <f>SUM(S1269:S1274)+SUM(S1277:S1287)</f>
        <v>0</v>
      </c>
      <c r="J1272" s="476"/>
      <c r="K1272" s="472"/>
      <c r="L1272" s="473" t="str">
        <f>IF($J1272="","SPC 없음",VLOOKUP($J1272&amp;"SPC명",개요!$A$3:$E$1932,3,0))</f>
        <v>SPC 없음</v>
      </c>
      <c r="M1272" s="474" t="str">
        <f>IF($J1272="","SPC 없음",VLOOKUP($J1272&amp;"설정일",개요!$A$3:$E$1932,3,0))</f>
        <v>SPC 없음</v>
      </c>
      <c r="N1272" s="475" t="str">
        <f t="shared" si="423"/>
        <v>SPC 없음</v>
      </c>
      <c r="O1272" s="471"/>
      <c r="P1272" s="476"/>
      <c r="Q1272" s="477"/>
      <c r="R1272" s="478"/>
      <c r="S1272" s="479" t="str">
        <f t="shared" si="424"/>
        <v>SPC 없음</v>
      </c>
      <c r="T1272" s="471"/>
      <c r="U1272" s="471" t="s">
        <v>94</v>
      </c>
      <c r="V1272" s="480">
        <f>IF(U1272="한국 원화(KRW)",1,IF(OR(U1272=환율!$A$6,U1272=환율!$A$7),VLOOKUP(NAV!U1272,환율!$A$6:$B$7,2,),IF(RIGHT(U1272,5)="(100)",(VLOOKUP(NAV!U1272,환율!$A$11:$B$65,2,))/100,VLOOKUP(NAV!U1272,환율!$A$11:$B$65,2,))))</f>
        <v>1</v>
      </c>
      <c r="W1272" s="481"/>
      <c r="X1272" s="482">
        <f t="shared" si="425"/>
        <v>0</v>
      </c>
      <c r="Y1272" s="481"/>
      <c r="Z1272" s="481"/>
      <c r="AA1272" s="483">
        <f t="shared" si="426"/>
        <v>0</v>
      </c>
      <c r="AE1272" s="484" t="str">
        <f t="shared" si="427"/>
        <v>SPC 없음</v>
      </c>
      <c r="AF1272" s="484" t="str">
        <f t="shared" si="428"/>
        <v>SPC 없음</v>
      </c>
      <c r="AG1272" s="485"/>
      <c r="AH1272" s="485"/>
      <c r="AI1272" s="404"/>
    </row>
    <row r="1273" spans="1:35" ht="12.75" thickBot="1">
      <c r="A1273" s="492" t="s">
        <v>391</v>
      </c>
      <c r="B1273" s="415" t="b">
        <f>D1270+D1271+D1272=D1273</f>
        <v>1</v>
      </c>
      <c r="C1273" s="493" t="s">
        <v>479</v>
      </c>
      <c r="D1273" s="494">
        <f>D1269+D1272</f>
        <v>0</v>
      </c>
      <c r="E1273" s="494">
        <f>E1269+E1272</f>
        <v>0</v>
      </c>
      <c r="J1273" s="476"/>
      <c r="K1273" s="472"/>
      <c r="L1273" s="473" t="str">
        <f>IF($J1273="","SPC 없음",VLOOKUP($J1273&amp;"SPC명",개요!$A$3:$E$1932,3,0))</f>
        <v>SPC 없음</v>
      </c>
      <c r="M1273" s="474" t="str">
        <f>IF($J1273="","SPC 없음",VLOOKUP($J1273&amp;"설정일",개요!$A$3:$E$1932,3,0))</f>
        <v>SPC 없음</v>
      </c>
      <c r="N1273" s="475" t="str">
        <f t="shared" si="423"/>
        <v>SPC 없음</v>
      </c>
      <c r="O1273" s="471"/>
      <c r="P1273" s="476"/>
      <c r="Q1273" s="477"/>
      <c r="R1273" s="478"/>
      <c r="S1273" s="479" t="str">
        <f t="shared" si="424"/>
        <v>SPC 없음</v>
      </c>
      <c r="T1273" s="471"/>
      <c r="U1273" s="471" t="s">
        <v>94</v>
      </c>
      <c r="V1273" s="480">
        <f>IF(U1273="한국 원화(KRW)",1,IF(OR(U1273=환율!$A$6,U1273=환율!$A$7),VLOOKUP(NAV!U1273,환율!$A$6:$B$7,2,),IF(RIGHT(U1273,5)="(100)",(VLOOKUP(NAV!U1273,환율!$A$11:$B$65,2,))/100,VLOOKUP(NAV!U1273,환율!$A$11:$B$65,2,))))</f>
        <v>1</v>
      </c>
      <c r="W1273" s="481"/>
      <c r="X1273" s="482">
        <f t="shared" si="425"/>
        <v>0</v>
      </c>
      <c r="Y1273" s="481"/>
      <c r="Z1273" s="481"/>
      <c r="AA1273" s="483">
        <f t="shared" si="426"/>
        <v>0</v>
      </c>
      <c r="AE1273" s="484" t="str">
        <f t="shared" si="427"/>
        <v>SPC 없음</v>
      </c>
      <c r="AF1273" s="484" t="str">
        <f t="shared" si="428"/>
        <v>SPC 없음</v>
      </c>
      <c r="AG1273" s="485"/>
      <c r="AH1273" s="485"/>
      <c r="AI1273" s="404"/>
    </row>
    <row r="1274" spans="1:35" ht="12.75" thickBot="1">
      <c r="A1274" s="492"/>
      <c r="B1274" s="496"/>
      <c r="C1274" s="468" t="s">
        <v>18</v>
      </c>
      <c r="D1274" s="469">
        <f>SUM(D1275:D1278)</f>
        <v>0</v>
      </c>
      <c r="E1274" s="469">
        <f>SUM(E1275:E1278)</f>
        <v>0</v>
      </c>
      <c r="J1274" s="476"/>
      <c r="K1274" s="472"/>
      <c r="L1274" s="473" t="str">
        <f>IF($J1274="","SPC 없음",VLOOKUP($J1274&amp;"SPC명",개요!$A$3:$E$1932,3,0))</f>
        <v>SPC 없음</v>
      </c>
      <c r="M1274" s="474" t="str">
        <f>IF($J1274="","SPC 없음",VLOOKUP($J1274&amp;"설정일",개요!$A$3:$E$1932,3,0))</f>
        <v>SPC 없음</v>
      </c>
      <c r="N1274" s="475" t="str">
        <f t="shared" si="423"/>
        <v>SPC 없음</v>
      </c>
      <c r="O1274" s="471"/>
      <c r="P1274" s="476"/>
      <c r="Q1274" s="477"/>
      <c r="R1274" s="478"/>
      <c r="S1274" s="479" t="str">
        <f t="shared" si="424"/>
        <v>SPC 없음</v>
      </c>
      <c r="T1274" s="471"/>
      <c r="U1274" s="471" t="s">
        <v>94</v>
      </c>
      <c r="V1274" s="480">
        <f>IF(U1274="한국 원화(KRW)",1,IF(OR(U1274=환율!$A$6,U1274=환율!$A$7),VLOOKUP(NAV!U1274,환율!$A$6:$B$7,2,),IF(RIGHT(U1274,5)="(100)",(VLOOKUP(NAV!U1274,환율!$A$11:$B$65,2,))/100,VLOOKUP(NAV!U1274,환율!$A$11:$B$65,2,))))</f>
        <v>1</v>
      </c>
      <c r="W1274" s="481"/>
      <c r="X1274" s="482">
        <f t="shared" si="425"/>
        <v>0</v>
      </c>
      <c r="Y1274" s="481"/>
      <c r="Z1274" s="481"/>
      <c r="AA1274" s="483">
        <f t="shared" si="426"/>
        <v>0</v>
      </c>
      <c r="AE1274" s="484" t="str">
        <f t="shared" si="427"/>
        <v>SPC 없음</v>
      </c>
      <c r="AF1274" s="484" t="str">
        <f t="shared" si="428"/>
        <v>SPC 없음</v>
      </c>
      <c r="AG1274" s="485"/>
      <c r="AH1274" s="485"/>
      <c r="AI1274" s="404"/>
    </row>
    <row r="1275" spans="1:35">
      <c r="A1275" s="492"/>
      <c r="B1275" s="496"/>
      <c r="C1275" s="486" t="s">
        <v>152</v>
      </c>
      <c r="D1275" s="487">
        <f>SUMIF(FS!$BE$89:$BE$119,개요!$B$397&amp;RIGHT(NAV!C1275,LEN(C1275)),FS!$BH$89:$BH$119)</f>
        <v>0</v>
      </c>
      <c r="E1275" s="487">
        <f>D1275</f>
        <v>0</v>
      </c>
      <c r="J1275" s="428" t="s">
        <v>276</v>
      </c>
      <c r="K1275" s="415"/>
      <c r="L1275" s="305"/>
      <c r="M1275" s="415"/>
      <c r="N1275" s="415"/>
      <c r="O1275" s="415"/>
      <c r="P1275" s="415"/>
      <c r="Q1275" s="422"/>
      <c r="R1275" s="415"/>
      <c r="S1275" s="415"/>
      <c r="T1275" s="415"/>
      <c r="U1275" s="415"/>
      <c r="W1275" s="517" t="b">
        <f>SUM(W1277:W1287)+SUM(W1269:W1274)=D1272</f>
        <v>1</v>
      </c>
      <c r="X1275" s="415"/>
      <c r="Y1275" s="422"/>
      <c r="Z1275" s="422"/>
      <c r="AA1275" s="459" t="str">
        <f>IF(OR(MAX(AA1269:AA1274,AA1277:AA1287)&gt;0.2,MIN(AA1269:AA1274,AA1277:AA1287)&lt;-0.2),"특이사항 확인","특이사항 없음")</f>
        <v>특이사항 없음</v>
      </c>
      <c r="AB1275" s="415"/>
      <c r="AF1275" s="415"/>
      <c r="AG1275" s="415"/>
      <c r="AI1275" s="404"/>
    </row>
    <row r="1276" spans="1:35" ht="12.75" thickBot="1">
      <c r="A1276" s="492"/>
      <c r="B1276" s="496"/>
      <c r="C1276" s="486" t="s">
        <v>157</v>
      </c>
      <c r="D1276" s="487">
        <f>SUMIF(FS!$BE$89:$BE$119,개요!$B$397&amp;RIGHT(NAV!C1276,LEN(C1276)),FS!$BH$89:$BH$119)</f>
        <v>0</v>
      </c>
      <c r="E1276" s="487">
        <f>D1276</f>
        <v>0</v>
      </c>
      <c r="I1276" s="518">
        <f>COUNTA(J1277:J1287)</f>
        <v>0</v>
      </c>
      <c r="J1276" s="548" t="s">
        <v>265</v>
      </c>
      <c r="K1276" s="548" t="s">
        <v>0</v>
      </c>
      <c r="L1276" s="548" t="s">
        <v>395</v>
      </c>
      <c r="M1276" s="548" t="s">
        <v>83</v>
      </c>
      <c r="N1276" s="548" t="s">
        <v>397</v>
      </c>
      <c r="O1276" s="548" t="s">
        <v>221</v>
      </c>
      <c r="P1276" s="548" t="s">
        <v>380</v>
      </c>
      <c r="Q1276" s="519" t="s">
        <v>14</v>
      </c>
      <c r="R1276" s="466" t="s">
        <v>299</v>
      </c>
      <c r="S1276" s="466" t="s">
        <v>3525</v>
      </c>
      <c r="T1276" s="549" t="s">
        <v>12</v>
      </c>
      <c r="U1276" s="548" t="s">
        <v>72</v>
      </c>
      <c r="V1276" s="548" t="s">
        <v>70</v>
      </c>
      <c r="W1276" s="550" t="s">
        <v>10</v>
      </c>
      <c r="X1276" s="549" t="s">
        <v>42</v>
      </c>
      <c r="Y1276" s="550" t="s">
        <v>300</v>
      </c>
      <c r="Z1276" s="550" t="s">
        <v>3523</v>
      </c>
      <c r="AA1276" s="548" t="s">
        <v>13</v>
      </c>
      <c r="AB1276" s="548" t="s">
        <v>15</v>
      </c>
      <c r="AC1276" s="548" t="s">
        <v>40</v>
      </c>
      <c r="AE1276" s="467" t="s">
        <v>3627</v>
      </c>
      <c r="AF1276" s="467" t="s">
        <v>3628</v>
      </c>
      <c r="AG1276" s="467" t="s">
        <v>3629</v>
      </c>
      <c r="AH1276" s="467" t="s">
        <v>3630</v>
      </c>
      <c r="AI1276" s="404"/>
    </row>
    <row r="1277" spans="1:35" ht="12.75" thickBot="1">
      <c r="A1277" s="492"/>
      <c r="B1277" s="496"/>
      <c r="C1277" s="486" t="s">
        <v>158</v>
      </c>
      <c r="D1277" s="487">
        <f>SUMIF(FS!$BE$89:$BE$119,개요!$B$397&amp;RIGHT(NAV!C1277,LEN(C1277)),FS!$BH$89:$BH$119)</f>
        <v>0</v>
      </c>
      <c r="E1277" s="487">
        <f>D1277</f>
        <v>0</v>
      </c>
      <c r="J1277" s="551"/>
      <c r="K1277" s="552"/>
      <c r="L1277" s="551"/>
      <c r="M1277" s="553"/>
      <c r="N1277" s="553"/>
      <c r="O1277" s="551"/>
      <c r="P1277" s="553"/>
      <c r="Q1277" s="524"/>
      <c r="R1277" s="478">
        <f>IFERROR(INDEX(기초자산!M$6:M$408,MATCH(K1277&amp;N1277&amp;O1277,기초자산!$A$6:$A$408,0),0),0)</f>
        <v>0</v>
      </c>
      <c r="S1277" s="479">
        <f t="shared" ref="S1277:S1287" si="429">IFERROR(IF(T1277="취득원가 준용",Y1277,IF(T1277="장부가액 준용",W1277,IF(P1277="주당",R1277*Q1277*V1277,IF(RIGHT(U1277,5)="(100)",Y1277/1000*R1277*V1277,Y1277/10000*R1277*V1277)))),0)</f>
        <v>0</v>
      </c>
      <c r="T1277" s="553"/>
      <c r="U1277" s="471" t="s">
        <v>94</v>
      </c>
      <c r="V1277" s="480">
        <f>IF(U1277="한국 원화(KRW)",1,IF(OR(U1277=환율!$A$6,U1277=환율!$A$7),VLOOKUP(NAV!U1277,환율!$A$6:$B$7,2,),IF(RIGHT(U1277,5)="(100)",(VLOOKUP(NAV!U1277,환율!$A$11:$B$65,2,))/100,VLOOKUP(NAV!U1277,환율!$A$11:$B$65,2,))))</f>
        <v>1</v>
      </c>
      <c r="W1277" s="481"/>
      <c r="X1277" s="482">
        <f t="shared" ref="X1277:X1287" si="430">IFERROR(IF(P1277="만원당",10000,Y1277/Q1277),0)</f>
        <v>0</v>
      </c>
      <c r="Y1277" s="481"/>
      <c r="Z1277" s="481"/>
      <c r="AA1277" s="483">
        <f t="shared" ref="AA1277:AA1287" si="431">IFERROR(IF(Z1277="",S1277/W1277-1,S1277/Z1277-1),0)</f>
        <v>0</v>
      </c>
      <c r="AB1277" s="554"/>
      <c r="AC1277" s="526" t="str">
        <f t="shared" ref="AC1277:AC1287" si="432">IF(($C$7-AB1277)/365&gt;2,"2년이상","2년미만")</f>
        <v>2년이상</v>
      </c>
      <c r="AD1277" s="520" t="str">
        <f t="shared" ref="AD1277:AD1287" si="433">IF(OR(AA1277&gt;20%,AA1277&lt;-20%),"(1) Note 기재","")</f>
        <v/>
      </c>
      <c r="AE1277" s="527">
        <f>IF(OR(T1277="MTP",T1277="과거거래 이용법",T1277="취득원가 준용",T1277="장부가액 준용",T1277="상장종가 적용"),S1277,IF(P1277="주당",AG1277*Q1277*V1277,Y1277/10000*AG1277*V1277))</f>
        <v>0</v>
      </c>
      <c r="AF1277" s="527">
        <f>IF(OR(T1277="MTP",T1277="과거거래 이용법",T1277="취득원가 준용",T1277="장부가액 준용",T1277="상장종가 적용"),S1277,IF(P1277="주당",AH1277*Q1277*V1277,Y1277/10000*AH1277*V1277))</f>
        <v>0</v>
      </c>
      <c r="AG1277" s="485"/>
      <c r="AH1277" s="485"/>
      <c r="AI1277" s="404"/>
    </row>
    <row r="1278" spans="1:35" ht="12.75" thickBot="1">
      <c r="A1278" s="492"/>
      <c r="B1278" s="496"/>
      <c r="C1278" s="486" t="s">
        <v>3385</v>
      </c>
      <c r="D1278" s="487">
        <f>SUMIF(FS!$BE$89:$BE$119,개요!$B$397&amp;RIGHT(NAV!C1278,LEN(C1278)),FS!$BH$89:$BH$119)</f>
        <v>0</v>
      </c>
      <c r="E1278" s="487">
        <f>D1278</f>
        <v>0</v>
      </c>
      <c r="J1278" s="551"/>
      <c r="K1278" s="552"/>
      <c r="L1278" s="551"/>
      <c r="M1278" s="553"/>
      <c r="N1278" s="553"/>
      <c r="O1278" s="551"/>
      <c r="P1278" s="553"/>
      <c r="Q1278" s="524"/>
      <c r="R1278" s="478">
        <f>IFERROR(INDEX(기초자산!M$6:M$408,MATCH(K1278&amp;N1278&amp;O1278,기초자산!$A$6:$A$408,0),0),0)</f>
        <v>0</v>
      </c>
      <c r="S1278" s="479">
        <f t="shared" si="429"/>
        <v>0</v>
      </c>
      <c r="T1278" s="553"/>
      <c r="U1278" s="471" t="s">
        <v>94</v>
      </c>
      <c r="V1278" s="480">
        <f>IF(U1278="한국 원화(KRW)",1,IF(OR(U1278=환율!$A$6,U1278=환율!$A$7),VLOOKUP(NAV!U1278,환율!$A$6:$B$7,2,),IF(RIGHT(U1278,5)="(100)",(VLOOKUP(NAV!U1278,환율!$A$11:$B$65,2,))/100,VLOOKUP(NAV!U1278,환율!$A$11:$B$65,2,))))</f>
        <v>1</v>
      </c>
      <c r="W1278" s="481"/>
      <c r="X1278" s="482">
        <f t="shared" si="430"/>
        <v>0</v>
      </c>
      <c r="Y1278" s="481"/>
      <c r="Z1278" s="481"/>
      <c r="AA1278" s="483">
        <f t="shared" si="431"/>
        <v>0</v>
      </c>
      <c r="AB1278" s="554"/>
      <c r="AC1278" s="526" t="str">
        <f t="shared" si="432"/>
        <v>2년이상</v>
      </c>
      <c r="AD1278" s="520" t="str">
        <f t="shared" si="433"/>
        <v/>
      </c>
      <c r="AE1278" s="527">
        <f t="shared" ref="AE1278:AE1287" si="434">IF(OR(T1278="MTP",T1278="과거거래 이용법",T1278="취득원가 준용",T1278="장부가액 준용",T1278="상장종가 적용"),S1278,IF(P1278="주당",AG1278*Q1278*V1278,Y1278/10000*AG1278*V1278))</f>
        <v>0</v>
      </c>
      <c r="AF1278" s="527">
        <f t="shared" ref="AF1278:AF1287" si="435">IF(OR(T1278="MTP",T1278="과거거래 이용법",T1278="취득원가 준용",T1278="장부가액 준용",T1278="상장종가 적용"),S1278,IF(P1278="주당",AH1278*Q1278*V1278,Y1278/10000*AH1278*V1278))</f>
        <v>0</v>
      </c>
      <c r="AG1278" s="485"/>
      <c r="AH1278" s="485"/>
      <c r="AI1278" s="404"/>
    </row>
    <row r="1279" spans="1:35" ht="12.75" thickBot="1">
      <c r="A1279" s="492"/>
      <c r="B1279" s="496"/>
      <c r="C1279" s="468" t="s">
        <v>21</v>
      </c>
      <c r="D1279" s="469">
        <f>SUM(D1280:D1281)</f>
        <v>0</v>
      </c>
      <c r="E1279" s="469">
        <f>SUM(E1280:E1281)</f>
        <v>0</v>
      </c>
      <c r="J1279" s="551"/>
      <c r="K1279" s="552"/>
      <c r="L1279" s="551"/>
      <c r="M1279" s="553"/>
      <c r="N1279" s="553"/>
      <c r="O1279" s="551"/>
      <c r="P1279" s="553"/>
      <c r="Q1279" s="524"/>
      <c r="R1279" s="478">
        <f>IFERROR(INDEX(기초자산!M$6:M$408,MATCH(K1279&amp;N1279&amp;O1279,기초자산!$A$6:$A$408,0),0),0)</f>
        <v>0</v>
      </c>
      <c r="S1279" s="479">
        <f t="shared" si="429"/>
        <v>0</v>
      </c>
      <c r="T1279" s="553"/>
      <c r="U1279" s="471" t="s">
        <v>94</v>
      </c>
      <c r="V1279" s="480">
        <f>IF(U1279="한국 원화(KRW)",1,IF(OR(U1279=환율!$A$6,U1279=환율!$A$7),VLOOKUP(NAV!U1279,환율!$A$6:$B$7,2,),IF(RIGHT(U1279,5)="(100)",(VLOOKUP(NAV!U1279,환율!$A$11:$B$65,2,))/100,VLOOKUP(NAV!U1279,환율!$A$11:$B$65,2,))))</f>
        <v>1</v>
      </c>
      <c r="W1279" s="481"/>
      <c r="X1279" s="482">
        <f t="shared" si="430"/>
        <v>0</v>
      </c>
      <c r="Y1279" s="481"/>
      <c r="Z1279" s="481"/>
      <c r="AA1279" s="483">
        <f t="shared" si="431"/>
        <v>0</v>
      </c>
      <c r="AB1279" s="554"/>
      <c r="AC1279" s="526" t="str">
        <f t="shared" si="432"/>
        <v>2년이상</v>
      </c>
      <c r="AD1279" s="520" t="str">
        <f t="shared" si="433"/>
        <v/>
      </c>
      <c r="AE1279" s="527">
        <f t="shared" si="434"/>
        <v>0</v>
      </c>
      <c r="AF1279" s="527">
        <f t="shared" si="435"/>
        <v>0</v>
      </c>
      <c r="AG1279" s="485"/>
      <c r="AH1279" s="485"/>
      <c r="AI1279" s="404"/>
    </row>
    <row r="1280" spans="1:35" ht="12.75" thickBot="1">
      <c r="A1280" s="492"/>
      <c r="B1280" s="496"/>
      <c r="C1280" s="486" t="s">
        <v>3386</v>
      </c>
      <c r="D1280" s="487">
        <f>SUMIF(FS!$BE$89:$BE$119,개요!$B$397&amp;RIGHT(NAV!C1280,LEN(C1280)),FS!$BH$89:$BH$119)</f>
        <v>0</v>
      </c>
      <c r="E1280" s="487">
        <f>D1280</f>
        <v>0</v>
      </c>
      <c r="J1280" s="551"/>
      <c r="K1280" s="552"/>
      <c r="L1280" s="551"/>
      <c r="M1280" s="553"/>
      <c r="N1280" s="553"/>
      <c r="O1280" s="551"/>
      <c r="P1280" s="553"/>
      <c r="Q1280" s="524"/>
      <c r="R1280" s="478">
        <f>IFERROR(INDEX(기초자산!M$6:M$408,MATCH(K1280&amp;N1280&amp;O1280,기초자산!$A$6:$A$408,0),0),0)</f>
        <v>0</v>
      </c>
      <c r="S1280" s="479">
        <f t="shared" si="429"/>
        <v>0</v>
      </c>
      <c r="T1280" s="553"/>
      <c r="U1280" s="471" t="s">
        <v>94</v>
      </c>
      <c r="V1280" s="480">
        <f>IF(U1280="한국 원화(KRW)",1,IF(OR(U1280=환율!$A$6,U1280=환율!$A$7),VLOOKUP(NAV!U1280,환율!$A$6:$B$7,2,),IF(RIGHT(U1280,5)="(100)",(VLOOKUP(NAV!U1280,환율!$A$11:$B$65,2,))/100,VLOOKUP(NAV!U1280,환율!$A$11:$B$65,2,))))</f>
        <v>1</v>
      </c>
      <c r="W1280" s="481"/>
      <c r="X1280" s="482">
        <f t="shared" si="430"/>
        <v>0</v>
      </c>
      <c r="Y1280" s="481"/>
      <c r="Z1280" s="481"/>
      <c r="AA1280" s="483">
        <f t="shared" si="431"/>
        <v>0</v>
      </c>
      <c r="AB1280" s="554"/>
      <c r="AC1280" s="526" t="str">
        <f t="shared" si="432"/>
        <v>2년이상</v>
      </c>
      <c r="AD1280" s="520" t="str">
        <f t="shared" si="433"/>
        <v/>
      </c>
      <c r="AE1280" s="527">
        <f t="shared" si="434"/>
        <v>0</v>
      </c>
      <c r="AF1280" s="527">
        <f t="shared" si="435"/>
        <v>0</v>
      </c>
      <c r="AG1280" s="485"/>
      <c r="AH1280" s="485"/>
      <c r="AI1280" s="404"/>
    </row>
    <row r="1281" spans="1:35" ht="12.75" thickBot="1">
      <c r="A1281" s="492"/>
      <c r="B1281" s="496"/>
      <c r="C1281" s="486" t="s">
        <v>3387</v>
      </c>
      <c r="D1281" s="487">
        <f>SUMIF(FS!$BE$89:$BE$119,개요!$B$397&amp;RIGHT(NAV!C1281,LEN(C1281)),FS!$BH$89:$BH$119)</f>
        <v>0</v>
      </c>
      <c r="E1281" s="487">
        <f>D1281</f>
        <v>0</v>
      </c>
      <c r="J1281" s="551"/>
      <c r="K1281" s="552"/>
      <c r="L1281" s="551"/>
      <c r="M1281" s="553"/>
      <c r="N1281" s="553"/>
      <c r="O1281" s="551"/>
      <c r="P1281" s="553"/>
      <c r="Q1281" s="524"/>
      <c r="R1281" s="478">
        <f>IFERROR(INDEX(기초자산!M$6:M$408,MATCH(K1281&amp;N1281&amp;O1281,기초자산!$A$6:$A$408,0),0),0)</f>
        <v>0</v>
      </c>
      <c r="S1281" s="479">
        <f t="shared" si="429"/>
        <v>0</v>
      </c>
      <c r="T1281" s="553"/>
      <c r="U1281" s="471" t="s">
        <v>94</v>
      </c>
      <c r="V1281" s="480">
        <f>IF(U1281="한국 원화(KRW)",1,IF(OR(U1281=환율!$A$6,U1281=환율!$A$7),VLOOKUP(NAV!U1281,환율!$A$6:$B$7,2,),IF(RIGHT(U1281,5)="(100)",(VLOOKUP(NAV!U1281,환율!$A$11:$B$65,2,))/100,VLOOKUP(NAV!U1281,환율!$A$11:$B$65,2,))))</f>
        <v>1</v>
      </c>
      <c r="W1281" s="481"/>
      <c r="X1281" s="482">
        <f t="shared" si="430"/>
        <v>0</v>
      </c>
      <c r="Y1281" s="481"/>
      <c r="Z1281" s="481"/>
      <c r="AA1281" s="483">
        <f t="shared" si="431"/>
        <v>0</v>
      </c>
      <c r="AB1281" s="554"/>
      <c r="AC1281" s="526" t="str">
        <f t="shared" si="432"/>
        <v>2년이상</v>
      </c>
      <c r="AD1281" s="520" t="str">
        <f t="shared" si="433"/>
        <v/>
      </c>
      <c r="AE1281" s="527">
        <f t="shared" si="434"/>
        <v>0</v>
      </c>
      <c r="AF1281" s="527">
        <f t="shared" si="435"/>
        <v>0</v>
      </c>
      <c r="AG1281" s="485"/>
      <c r="AH1281" s="485"/>
      <c r="AI1281" s="404"/>
    </row>
    <row r="1282" spans="1:35" ht="12.75" thickBot="1">
      <c r="A1282" s="489" t="s">
        <v>408</v>
      </c>
      <c r="B1282" s="498" t="b">
        <f>D1275+D1276+D1277+D1278+D1280+D1281=D1282</f>
        <v>1</v>
      </c>
      <c r="C1282" s="493" t="s">
        <v>477</v>
      </c>
      <c r="D1282" s="494">
        <f>D1274+D1279</f>
        <v>0</v>
      </c>
      <c r="E1282" s="494">
        <f>E1274+E1279</f>
        <v>0</v>
      </c>
      <c r="J1282" s="551"/>
      <c r="K1282" s="552"/>
      <c r="L1282" s="551"/>
      <c r="M1282" s="553"/>
      <c r="N1282" s="553"/>
      <c r="O1282" s="551"/>
      <c r="P1282" s="553"/>
      <c r="Q1282" s="524"/>
      <c r="R1282" s="478">
        <f>IFERROR(INDEX(기초자산!M$6:M$408,MATCH(K1282&amp;N1282&amp;O1282,기초자산!$A$6:$A$408,0),0),0)</f>
        <v>0</v>
      </c>
      <c r="S1282" s="479">
        <f t="shared" si="429"/>
        <v>0</v>
      </c>
      <c r="T1282" s="553"/>
      <c r="U1282" s="471" t="s">
        <v>94</v>
      </c>
      <c r="V1282" s="480">
        <f>IF(U1282="한국 원화(KRW)",1,IF(OR(U1282=환율!$A$6,U1282=환율!$A$7),VLOOKUP(NAV!U1282,환율!$A$6:$B$7,2,),IF(RIGHT(U1282,5)="(100)",(VLOOKUP(NAV!U1282,환율!$A$11:$B$65,2,))/100,VLOOKUP(NAV!U1282,환율!$A$11:$B$65,2,))))</f>
        <v>1</v>
      </c>
      <c r="W1282" s="481"/>
      <c r="X1282" s="482">
        <f t="shared" si="430"/>
        <v>0</v>
      </c>
      <c r="Y1282" s="481"/>
      <c r="Z1282" s="481"/>
      <c r="AA1282" s="483">
        <f t="shared" si="431"/>
        <v>0</v>
      </c>
      <c r="AB1282" s="554"/>
      <c r="AC1282" s="526" t="str">
        <f t="shared" si="432"/>
        <v>2년이상</v>
      </c>
      <c r="AD1282" s="520" t="str">
        <f t="shared" si="433"/>
        <v/>
      </c>
      <c r="AE1282" s="527">
        <f t="shared" si="434"/>
        <v>0</v>
      </c>
      <c r="AF1282" s="527">
        <f t="shared" si="435"/>
        <v>0</v>
      </c>
      <c r="AG1282" s="485"/>
      <c r="AH1282" s="485"/>
      <c r="AI1282" s="404"/>
    </row>
    <row r="1283" spans="1:35" ht="12.75" thickBot="1">
      <c r="A1283" s="492"/>
      <c r="B1283" s="555" t="str">
        <f>B1263&amp;C1283</f>
        <v>SPC없음자본금</v>
      </c>
      <c r="C1283" s="486" t="s">
        <v>118</v>
      </c>
      <c r="D1283" s="487">
        <f>SUMIF(FS!$BE$89:$BE$119,개요!$B$397&amp;RIGHT(NAV!C1283,LEN(C1283)),FS!$BH$89:$BH$119)</f>
        <v>0</v>
      </c>
      <c r="E1283" s="487">
        <f>D1283</f>
        <v>0</v>
      </c>
      <c r="J1283" s="551"/>
      <c r="K1283" s="552"/>
      <c r="L1283" s="551"/>
      <c r="M1283" s="553"/>
      <c r="N1283" s="553"/>
      <c r="O1283" s="551"/>
      <c r="P1283" s="553"/>
      <c r="Q1283" s="524"/>
      <c r="R1283" s="478">
        <f>IFERROR(INDEX(기초자산!M$6:M$408,MATCH(K1283&amp;N1283&amp;O1283,기초자산!$A$6:$A$408,0),0),0)</f>
        <v>0</v>
      </c>
      <c r="S1283" s="479">
        <f t="shared" si="429"/>
        <v>0</v>
      </c>
      <c r="T1283" s="553"/>
      <c r="U1283" s="471" t="s">
        <v>94</v>
      </c>
      <c r="V1283" s="480">
        <f>IF(U1283="한국 원화(KRW)",1,IF(OR(U1283=환율!$A$6,U1283=환율!$A$7),VLOOKUP(NAV!U1283,환율!$A$6:$B$7,2,),IF(RIGHT(U1283,5)="(100)",(VLOOKUP(NAV!U1283,환율!$A$11:$B$65,2,))/100,VLOOKUP(NAV!U1283,환율!$A$11:$B$65,2,))))</f>
        <v>1</v>
      </c>
      <c r="W1283" s="481"/>
      <c r="X1283" s="482">
        <f t="shared" si="430"/>
        <v>0</v>
      </c>
      <c r="Y1283" s="481"/>
      <c r="Z1283" s="481"/>
      <c r="AA1283" s="483">
        <f t="shared" si="431"/>
        <v>0</v>
      </c>
      <c r="AB1283" s="554"/>
      <c r="AC1283" s="526" t="str">
        <f t="shared" si="432"/>
        <v>2년이상</v>
      </c>
      <c r="AD1283" s="520" t="str">
        <f t="shared" si="433"/>
        <v/>
      </c>
      <c r="AE1283" s="527">
        <f t="shared" si="434"/>
        <v>0</v>
      </c>
      <c r="AF1283" s="527">
        <f t="shared" si="435"/>
        <v>0</v>
      </c>
      <c r="AG1283" s="485"/>
      <c r="AH1283" s="485"/>
      <c r="AI1283" s="404"/>
    </row>
    <row r="1284" spans="1:35" ht="12.75" thickBot="1">
      <c r="C1284" s="486" t="s">
        <v>119</v>
      </c>
      <c r="D1284" s="487">
        <f>SUMIF(FS!$BE$89:$BE$119,개요!$B$397&amp;RIGHT(NAV!C1284,LEN(C1284)),FS!$BH$89:$BH$119)</f>
        <v>0</v>
      </c>
      <c r="E1284" s="487">
        <f>D1284</f>
        <v>0</v>
      </c>
      <c r="J1284" s="551"/>
      <c r="K1284" s="552"/>
      <c r="L1284" s="551"/>
      <c r="M1284" s="553"/>
      <c r="N1284" s="553"/>
      <c r="O1284" s="551"/>
      <c r="P1284" s="553"/>
      <c r="Q1284" s="524"/>
      <c r="R1284" s="478">
        <f>IFERROR(INDEX(기초자산!M$6:M$408,MATCH(K1284&amp;N1284&amp;O1284,기초자산!$A$6:$A$408,0),0),0)</f>
        <v>0</v>
      </c>
      <c r="S1284" s="479">
        <f t="shared" si="429"/>
        <v>0</v>
      </c>
      <c r="T1284" s="553"/>
      <c r="U1284" s="471" t="s">
        <v>94</v>
      </c>
      <c r="V1284" s="480">
        <f>IF(U1284="한국 원화(KRW)",1,IF(OR(U1284=환율!$A$6,U1284=환율!$A$7),VLOOKUP(NAV!U1284,환율!$A$6:$B$7,2,),IF(RIGHT(U1284,5)="(100)",(VLOOKUP(NAV!U1284,환율!$A$11:$B$65,2,))/100,VLOOKUP(NAV!U1284,환율!$A$11:$B$65,2,))))</f>
        <v>1</v>
      </c>
      <c r="W1284" s="481"/>
      <c r="X1284" s="482">
        <f t="shared" si="430"/>
        <v>0</v>
      </c>
      <c r="Y1284" s="481"/>
      <c r="Z1284" s="481"/>
      <c r="AA1284" s="483">
        <f t="shared" si="431"/>
        <v>0</v>
      </c>
      <c r="AB1284" s="554"/>
      <c r="AC1284" s="526" t="str">
        <f t="shared" si="432"/>
        <v>2년이상</v>
      </c>
      <c r="AD1284" s="520" t="str">
        <f t="shared" si="433"/>
        <v/>
      </c>
      <c r="AE1284" s="527">
        <f t="shared" si="434"/>
        <v>0</v>
      </c>
      <c r="AF1284" s="527">
        <f t="shared" si="435"/>
        <v>0</v>
      </c>
      <c r="AG1284" s="485"/>
      <c r="AH1284" s="485"/>
      <c r="AI1284" s="404"/>
    </row>
    <row r="1285" spans="1:35" ht="12.75" thickBot="1">
      <c r="A1285" s="489"/>
      <c r="B1285" s="415"/>
      <c r="C1285" s="486" t="s">
        <v>121</v>
      </c>
      <c r="D1285" s="487">
        <f>SUMIF(FS!$BE$89:$BE$119,개요!$B$397&amp;RIGHT(NAV!C1285,LEN(C1285)),FS!$BH$89:$BH$119)</f>
        <v>0</v>
      </c>
      <c r="E1285" s="487">
        <f>D1285</f>
        <v>0</v>
      </c>
      <c r="J1285" s="551"/>
      <c r="K1285" s="552"/>
      <c r="L1285" s="551"/>
      <c r="M1285" s="553"/>
      <c r="N1285" s="553"/>
      <c r="O1285" s="551"/>
      <c r="P1285" s="553"/>
      <c r="Q1285" s="524"/>
      <c r="R1285" s="478">
        <f>IFERROR(INDEX(기초자산!M$6:M$408,MATCH(K1285&amp;N1285&amp;O1285,기초자산!$A$6:$A$408,0),0),0)</f>
        <v>0</v>
      </c>
      <c r="S1285" s="479">
        <f t="shared" si="429"/>
        <v>0</v>
      </c>
      <c r="T1285" s="553"/>
      <c r="U1285" s="471" t="s">
        <v>94</v>
      </c>
      <c r="V1285" s="480">
        <f>IF(U1285="한국 원화(KRW)",1,IF(OR(U1285=환율!$A$6,U1285=환율!$A$7),VLOOKUP(NAV!U1285,환율!$A$6:$B$7,2,),IF(RIGHT(U1285,5)="(100)",(VLOOKUP(NAV!U1285,환율!$A$11:$B$65,2,))/100,VLOOKUP(NAV!U1285,환율!$A$11:$B$65,2,))))</f>
        <v>1</v>
      </c>
      <c r="W1285" s="481"/>
      <c r="X1285" s="482">
        <f t="shared" si="430"/>
        <v>0</v>
      </c>
      <c r="Y1285" s="481"/>
      <c r="Z1285" s="481"/>
      <c r="AA1285" s="483">
        <f t="shared" si="431"/>
        <v>0</v>
      </c>
      <c r="AB1285" s="554"/>
      <c r="AC1285" s="526" t="str">
        <f t="shared" si="432"/>
        <v>2년이상</v>
      </c>
      <c r="AD1285" s="520" t="str">
        <f t="shared" si="433"/>
        <v/>
      </c>
      <c r="AE1285" s="527">
        <f t="shared" si="434"/>
        <v>0</v>
      </c>
      <c r="AF1285" s="527">
        <f t="shared" si="435"/>
        <v>0</v>
      </c>
      <c r="AG1285" s="485"/>
      <c r="AH1285" s="485"/>
      <c r="AI1285" s="404"/>
    </row>
    <row r="1286" spans="1:35" ht="12.75" thickBot="1">
      <c r="A1286" s="489" t="s">
        <v>411</v>
      </c>
      <c r="B1286" s="415" t="b">
        <f>D1286=SUM(D1283:D1285)</f>
        <v>1</v>
      </c>
      <c r="C1286" s="493" t="s">
        <v>79</v>
      </c>
      <c r="D1286" s="494">
        <f>D1273-D1282</f>
        <v>0</v>
      </c>
      <c r="E1286" s="494">
        <f>E1273-E1282</f>
        <v>0</v>
      </c>
      <c r="J1286" s="551"/>
      <c r="K1286" s="552"/>
      <c r="L1286" s="551"/>
      <c r="M1286" s="553"/>
      <c r="N1286" s="553"/>
      <c r="O1286" s="551"/>
      <c r="P1286" s="553"/>
      <c r="Q1286" s="524"/>
      <c r="R1286" s="478">
        <f>IFERROR(INDEX(기초자산!M$6:M$408,MATCH(K1286&amp;N1286&amp;O1286,기초자산!$A$6:$A$408,0),0),0)</f>
        <v>0</v>
      </c>
      <c r="S1286" s="479">
        <f t="shared" si="429"/>
        <v>0</v>
      </c>
      <c r="T1286" s="553"/>
      <c r="U1286" s="471" t="s">
        <v>94</v>
      </c>
      <c r="V1286" s="480">
        <f>IF(U1286="한국 원화(KRW)",1,IF(OR(U1286=환율!$A$6,U1286=환율!$A$7),VLOOKUP(NAV!U1286,환율!$A$6:$B$7,2,),IF(RIGHT(U1286,5)="(100)",(VLOOKUP(NAV!U1286,환율!$A$11:$B$65,2,))/100,VLOOKUP(NAV!U1286,환율!$A$11:$B$65,2,))))</f>
        <v>1</v>
      </c>
      <c r="W1286" s="481"/>
      <c r="X1286" s="482">
        <f t="shared" si="430"/>
        <v>0</v>
      </c>
      <c r="Y1286" s="481"/>
      <c r="Z1286" s="481"/>
      <c r="AA1286" s="483">
        <f t="shared" si="431"/>
        <v>0</v>
      </c>
      <c r="AB1286" s="554"/>
      <c r="AC1286" s="526" t="str">
        <f t="shared" si="432"/>
        <v>2년이상</v>
      </c>
      <c r="AD1286" s="520" t="str">
        <f t="shared" si="433"/>
        <v/>
      </c>
      <c r="AE1286" s="527">
        <f t="shared" si="434"/>
        <v>0</v>
      </c>
      <c r="AF1286" s="527">
        <f t="shared" si="435"/>
        <v>0</v>
      </c>
      <c r="AG1286" s="485"/>
      <c r="AH1286" s="485"/>
      <c r="AI1286" s="404"/>
    </row>
    <row r="1287" spans="1:35" ht="12.75" thickBot="1">
      <c r="A1287" s="489"/>
      <c r="B1287" s="415"/>
      <c r="C1287" s="486" t="s">
        <v>413</v>
      </c>
      <c r="D1287" s="487">
        <v>0</v>
      </c>
      <c r="E1287" s="499">
        <v>0</v>
      </c>
      <c r="J1287" s="551"/>
      <c r="K1287" s="552"/>
      <c r="L1287" s="551"/>
      <c r="M1287" s="553"/>
      <c r="N1287" s="553"/>
      <c r="O1287" s="551"/>
      <c r="P1287" s="553"/>
      <c r="Q1287" s="524"/>
      <c r="R1287" s="478">
        <f>IFERROR(INDEX(기초자산!M$6:M$408,MATCH(K1287&amp;N1287&amp;O1287,기초자산!$A$6:$A$408,0),0),0)</f>
        <v>0</v>
      </c>
      <c r="S1287" s="479">
        <f t="shared" si="429"/>
        <v>0</v>
      </c>
      <c r="T1287" s="553"/>
      <c r="U1287" s="471" t="s">
        <v>94</v>
      </c>
      <c r="V1287" s="480">
        <f>IF(U1287="한국 원화(KRW)",1,IF(OR(U1287=환율!$A$6,U1287=환율!$A$7),VLOOKUP(NAV!U1287,환율!$A$6:$B$7,2,),IF(RIGHT(U1287,5)="(100)",(VLOOKUP(NAV!U1287,환율!$A$11:$B$65,2,))/100,VLOOKUP(NAV!U1287,환율!$A$11:$B$65,2,))))</f>
        <v>1</v>
      </c>
      <c r="W1287" s="481"/>
      <c r="X1287" s="482">
        <f t="shared" si="430"/>
        <v>0</v>
      </c>
      <c r="Y1287" s="481"/>
      <c r="Z1287" s="481"/>
      <c r="AA1287" s="483">
        <f t="shared" si="431"/>
        <v>0</v>
      </c>
      <c r="AB1287" s="554"/>
      <c r="AC1287" s="526" t="str">
        <f t="shared" si="432"/>
        <v>2년이상</v>
      </c>
      <c r="AD1287" s="520" t="str">
        <f t="shared" si="433"/>
        <v/>
      </c>
      <c r="AE1287" s="527">
        <f t="shared" si="434"/>
        <v>0</v>
      </c>
      <c r="AF1287" s="527">
        <f t="shared" si="435"/>
        <v>0</v>
      </c>
      <c r="AG1287" s="485"/>
      <c r="AH1287" s="485"/>
      <c r="AI1287" s="404"/>
    </row>
    <row r="1288" spans="1:35">
      <c r="A1288" s="489"/>
      <c r="B1288" s="415"/>
      <c r="C1288" s="486" t="s">
        <v>414</v>
      </c>
      <c r="D1288" s="487">
        <v>0</v>
      </c>
      <c r="E1288" s="499">
        <v>0</v>
      </c>
      <c r="J1288" s="495"/>
      <c r="K1288" s="415"/>
      <c r="L1288" s="495"/>
      <c r="M1288" s="415"/>
      <c r="N1288" s="415"/>
      <c r="O1288" s="415"/>
      <c r="P1288" s="415"/>
      <c r="Q1288" s="422"/>
      <c r="R1288" s="415"/>
      <c r="S1288" s="415"/>
      <c r="T1288" s="415"/>
      <c r="U1288" s="415"/>
      <c r="V1288" s="415"/>
      <c r="W1288" s="422"/>
      <c r="X1288" s="415"/>
      <c r="Y1288" s="458"/>
      <c r="Z1288" s="422"/>
      <c r="AA1288" s="556"/>
      <c r="AB1288" s="556"/>
      <c r="AC1288" s="415"/>
      <c r="AE1288" s="415"/>
      <c r="AI1288" s="404"/>
    </row>
    <row r="1289" spans="1:35">
      <c r="A1289" s="489"/>
      <c r="B1289" s="415"/>
      <c r="C1289" s="493" t="s">
        <v>123</v>
      </c>
      <c r="D1289" s="494">
        <f>D1286+D1287-D1288</f>
        <v>0</v>
      </c>
      <c r="E1289" s="494">
        <f>IF(E1286+E1287-E1288&gt;0,E1286+E1287-E1288,0)</f>
        <v>0</v>
      </c>
      <c r="J1289" s="305"/>
      <c r="K1289" s="415"/>
      <c r="L1289" s="305"/>
      <c r="M1289" s="415"/>
      <c r="N1289" s="415"/>
      <c r="O1289" s="415"/>
      <c r="S1289" s="415"/>
      <c r="T1289" s="415"/>
      <c r="U1289" s="415"/>
      <c r="V1289" s="415"/>
      <c r="Y1289" s="458"/>
      <c r="AD1289" s="557" t="str">
        <f>B1263&amp;"순자산가치"</f>
        <v>SPC없음순자산가치</v>
      </c>
      <c r="AE1289" s="529">
        <f>IF(E1269+SUM(AE1269:AE1274)+SUM(AE1277:AE1287)-E1282&gt;0,E1269+SUM(AE1269:AE1274)+SUM(AE1277:AE1287)-E1282,0)</f>
        <v>0</v>
      </c>
      <c r="AF1289" s="529">
        <f>IF(E1269+SUM(AF1269:AF1274)+SUM(AF1277:AF1287)-E1282&gt;0,E1269+SUM(AF1269:AF1274)+SUM(AF1277:AF1287)-E1282,0)</f>
        <v>0</v>
      </c>
      <c r="AI1289" s="404"/>
    </row>
    <row r="1290" spans="1:35">
      <c r="A1290" s="489"/>
      <c r="B1290" s="558" t="str">
        <f>B1263&amp;C1290</f>
        <v>SPC없음보유지분율(%)</v>
      </c>
      <c r="C1290" s="493" t="s">
        <v>416</v>
      </c>
      <c r="D1290" s="559">
        <f>개요!$C$166</f>
        <v>0</v>
      </c>
      <c r="E1290" s="494">
        <f>E1289*D1290</f>
        <v>0</v>
      </c>
      <c r="F1290" s="560" t="s">
        <v>417</v>
      </c>
      <c r="G1290" s="560"/>
      <c r="J1290" s="495"/>
      <c r="K1290" s="415"/>
      <c r="L1290" s="495"/>
      <c r="M1290" s="415"/>
      <c r="N1290" s="415"/>
      <c r="O1290" s="415"/>
      <c r="S1290" s="415"/>
      <c r="T1290" s="415"/>
      <c r="U1290" s="415"/>
      <c r="V1290" s="415"/>
      <c r="Y1290" s="458"/>
      <c r="AD1290" s="557" t="s">
        <v>272</v>
      </c>
      <c r="AE1290" s="561">
        <f>$D1290</f>
        <v>0</v>
      </c>
      <c r="AF1290" s="561">
        <f>$D1290</f>
        <v>0</v>
      </c>
      <c r="AI1290" s="404"/>
    </row>
    <row r="1291" spans="1:35">
      <c r="A1291" s="489"/>
      <c r="B1291" s="415"/>
      <c r="G1291" s="503" t="s">
        <v>419</v>
      </c>
      <c r="I1291" s="562"/>
      <c r="J1291" s="495"/>
      <c r="K1291" s="415"/>
      <c r="L1291" s="495"/>
      <c r="M1291" s="415"/>
      <c r="N1291" s="415"/>
      <c r="O1291" s="415"/>
      <c r="S1291" s="415"/>
      <c r="T1291" s="415"/>
      <c r="U1291" s="415"/>
      <c r="V1291" s="415"/>
      <c r="Y1291" s="458"/>
      <c r="AD1291" s="557" t="str">
        <f>B1263&amp;"지분율 반영 순자산가치"</f>
        <v>SPC없음지분율 반영 순자산가치</v>
      </c>
      <c r="AE1291" s="529">
        <f>AE1289*AE1290</f>
        <v>0</v>
      </c>
      <c r="AF1291" s="529">
        <f>AF1289*AF1290</f>
        <v>0</v>
      </c>
      <c r="AI1291" s="404"/>
    </row>
    <row r="1292" spans="1:35">
      <c r="A1292" s="489"/>
      <c r="D1292" s="504" t="s">
        <v>43</v>
      </c>
      <c r="E1292" s="505">
        <f>$C$7</f>
        <v>45473</v>
      </c>
      <c r="F1292" s="506"/>
      <c r="G1292" s="505"/>
      <c r="I1292" s="563"/>
      <c r="J1292" s="495"/>
      <c r="K1292" s="415"/>
      <c r="L1292" s="495"/>
      <c r="M1292" s="415"/>
      <c r="N1292" s="415"/>
      <c r="O1292" s="415"/>
      <c r="S1292" s="415"/>
      <c r="T1292" s="415"/>
      <c r="U1292" s="415"/>
      <c r="V1292" s="415"/>
      <c r="Y1292" s="422"/>
      <c r="AI1292" s="404"/>
    </row>
    <row r="1293" spans="1:35">
      <c r="D1293" s="486" t="s">
        <v>79</v>
      </c>
      <c r="E1293" s="487">
        <f>E1289</f>
        <v>0</v>
      </c>
      <c r="F1293" s="507" t="e">
        <f>E1293/G1293-1</f>
        <v>#DIV/0!</v>
      </c>
      <c r="G1293" s="487"/>
      <c r="I1293" s="564"/>
      <c r="J1293" s="495"/>
      <c r="K1293" s="415"/>
      <c r="L1293" s="495"/>
      <c r="M1293" s="415"/>
      <c r="S1293" s="415"/>
      <c r="T1293" s="415"/>
      <c r="U1293" s="415"/>
      <c r="V1293" s="415"/>
      <c r="Y1293" s="422"/>
      <c r="AI1293" s="404"/>
    </row>
    <row r="1294" spans="1:35">
      <c r="A1294" s="489"/>
      <c r="B1294" s="415"/>
      <c r="D1294" s="486" t="s">
        <v>272</v>
      </c>
      <c r="E1294" s="565">
        <f>$D$1290</f>
        <v>0</v>
      </c>
      <c r="F1294" s="507"/>
      <c r="G1294" s="565"/>
      <c r="I1294" s="566"/>
      <c r="J1294" s="305"/>
      <c r="K1294" s="415"/>
      <c r="L1294" s="305"/>
      <c r="M1294" s="415"/>
      <c r="S1294" s="415"/>
      <c r="T1294" s="415"/>
      <c r="U1294" s="415"/>
      <c r="V1294" s="415"/>
      <c r="Y1294" s="422"/>
      <c r="AI1294" s="404"/>
    </row>
    <row r="1295" spans="1:35">
      <c r="A1295" s="489"/>
      <c r="B1295" s="415"/>
      <c r="D1295" s="567" t="s">
        <v>246</v>
      </c>
      <c r="E1295" s="568">
        <f>E1293*E1294</f>
        <v>0</v>
      </c>
      <c r="F1295" s="507" t="e">
        <f>E1295/G1295-1</f>
        <v>#DIV/0!</v>
      </c>
      <c r="G1295" s="568"/>
      <c r="I1295" s="564"/>
      <c r="AI1295" s="404"/>
    </row>
    <row r="1296" spans="1:35">
      <c r="E1296" s="304" t="b">
        <f>E1295=E1290</f>
        <v>1</v>
      </c>
      <c r="AI1296" s="404"/>
    </row>
    <row r="1297" spans="1:35">
      <c r="F1297" s="507"/>
      <c r="G1297" s="507"/>
      <c r="AI1297" s="404"/>
    </row>
    <row r="1298" spans="1:35" ht="12.75" thickBot="1">
      <c r="A1298" s="536"/>
      <c r="B1298" s="536"/>
      <c r="C1298" s="536"/>
      <c r="D1298" s="536"/>
      <c r="E1298" s="536"/>
      <c r="F1298" s="572"/>
      <c r="G1298" s="572"/>
      <c r="H1298" s="536"/>
      <c r="I1298" s="537"/>
      <c r="J1298" s="536"/>
      <c r="K1298" s="536"/>
      <c r="L1298" s="536"/>
      <c r="M1298" s="536"/>
      <c r="N1298" s="536"/>
      <c r="O1298" s="536"/>
      <c r="P1298" s="536"/>
      <c r="Q1298" s="540"/>
      <c r="R1298" s="536"/>
      <c r="S1298" s="536"/>
      <c r="T1298" s="536"/>
      <c r="U1298" s="536"/>
      <c r="V1298" s="536"/>
      <c r="W1298" s="540"/>
      <c r="X1298" s="536"/>
      <c r="Y1298" s="540"/>
      <c r="Z1298" s="540"/>
      <c r="AA1298" s="536"/>
      <c r="AB1298" s="536"/>
      <c r="AC1298" s="536"/>
      <c r="AD1298" s="541"/>
      <c r="AE1298" s="536"/>
      <c r="AF1298" s="536"/>
      <c r="AG1298" s="536"/>
      <c r="AH1298" s="536"/>
      <c r="AI1298" s="404"/>
    </row>
    <row r="1299" spans="1:35" ht="12.75" thickTop="1">
      <c r="F1299" s="507"/>
      <c r="G1299" s="507"/>
    </row>
  </sheetData>
  <mergeCells count="31">
    <mergeCell ref="AE1267:AF1267"/>
    <mergeCell ref="AE1077:AF1077"/>
    <mergeCell ref="AE1115:AF1115"/>
    <mergeCell ref="AE1153:AF1153"/>
    <mergeCell ref="AE963:AF963"/>
    <mergeCell ref="AE1001:AF1001"/>
    <mergeCell ref="AE1039:AF1039"/>
    <mergeCell ref="AE1191:AF1191"/>
    <mergeCell ref="AE1229:AF1229"/>
    <mergeCell ref="AE925:AF925"/>
    <mergeCell ref="AE773:AF773"/>
    <mergeCell ref="AE545:AF545"/>
    <mergeCell ref="AE583:AF583"/>
    <mergeCell ref="AE621:AF621"/>
    <mergeCell ref="AE659:AF659"/>
    <mergeCell ref="AE697:AF697"/>
    <mergeCell ref="AE735:AF735"/>
    <mergeCell ref="AE811:AF811"/>
    <mergeCell ref="AE849:AF849"/>
    <mergeCell ref="AE887:AF887"/>
    <mergeCell ref="C40:C41"/>
    <mergeCell ref="AE10:AF10"/>
    <mergeCell ref="AE203:AF203"/>
    <mergeCell ref="AE241:AF241"/>
    <mergeCell ref="AE279:AF279"/>
    <mergeCell ref="AE317:AF317"/>
    <mergeCell ref="AE507:AF507"/>
    <mergeCell ref="AE469:AF469"/>
    <mergeCell ref="AE431:AF431"/>
    <mergeCell ref="AE393:AF393"/>
    <mergeCell ref="AE355:AF355"/>
  </mergeCells>
  <phoneticPr fontId="8" type="noConversion"/>
  <conditionalFormatting sqref="AA193">
    <cfRule type="cellIs" dxfId="489" priority="1536" operator="notBetween">
      <formula>0.2</formula>
      <formula>-0.2</formula>
    </cfRule>
  </conditionalFormatting>
  <conditionalFormatting sqref="Q43:Q192">
    <cfRule type="expression" dxfId="488" priority="1484">
      <formula>P43="만원당"</formula>
    </cfRule>
  </conditionalFormatting>
  <conditionalFormatting sqref="AC43:AC193">
    <cfRule type="expression" dxfId="487" priority="1470">
      <formula>AC43="2년미만"</formula>
    </cfRule>
    <cfRule type="cellIs" dxfId="486" priority="1471" operator="greaterThan">
      <formula>2</formula>
    </cfRule>
  </conditionalFormatting>
  <conditionalFormatting sqref="X43:X193">
    <cfRule type="cellIs" dxfId="485" priority="840" operator="greaterThan">
      <formula>1</formula>
    </cfRule>
  </conditionalFormatting>
  <conditionalFormatting sqref="X43:X193">
    <cfRule type="cellIs" dxfId="484" priority="839" operator="greaterThan">
      <formula>1</formula>
    </cfRule>
  </conditionalFormatting>
  <conditionalFormatting sqref="C200:C202">
    <cfRule type="expression" dxfId="483" priority="776">
      <formula>$B$199="SPC없음"</formula>
    </cfRule>
  </conditionalFormatting>
  <conditionalFormatting sqref="C238:C240">
    <cfRule type="expression" dxfId="482" priority="775">
      <formula>$B$237="SPC없음"</formula>
    </cfRule>
  </conditionalFormatting>
  <conditionalFormatting sqref="C276:C278">
    <cfRule type="expression" dxfId="481" priority="773">
      <formula>$B$275="SPC없음"</formula>
    </cfRule>
  </conditionalFormatting>
  <conditionalFormatting sqref="C314:C316">
    <cfRule type="expression" dxfId="480" priority="772">
      <formula>$B$313="SPC없음"</formula>
    </cfRule>
  </conditionalFormatting>
  <conditionalFormatting sqref="C352:C354">
    <cfRule type="expression" dxfId="479" priority="771">
      <formula>$B$351="SPC없음"</formula>
    </cfRule>
  </conditionalFormatting>
  <conditionalFormatting sqref="C390:C392">
    <cfRule type="expression" dxfId="478" priority="770">
      <formula>$B$389="SPC없음"</formula>
    </cfRule>
  </conditionalFormatting>
  <conditionalFormatting sqref="C428:C430">
    <cfRule type="expression" dxfId="477" priority="769">
      <formula>$B$427="SPC없음"</formula>
    </cfRule>
  </conditionalFormatting>
  <conditionalFormatting sqref="C466:C468">
    <cfRule type="expression" dxfId="476" priority="768">
      <formula>$B$465="SPC없음"</formula>
    </cfRule>
  </conditionalFormatting>
  <conditionalFormatting sqref="C504:C506">
    <cfRule type="expression" dxfId="475" priority="767">
      <formula>$B$503="SPC없음"</formula>
    </cfRule>
  </conditionalFormatting>
  <conditionalFormatting sqref="C542:C544">
    <cfRule type="expression" dxfId="474" priority="766">
      <formula>$B$541="SPC없음"</formula>
    </cfRule>
  </conditionalFormatting>
  <conditionalFormatting sqref="C580:C582">
    <cfRule type="expression" dxfId="473" priority="765">
      <formula>$B$579="SPC없음"</formula>
    </cfRule>
  </conditionalFormatting>
  <conditionalFormatting sqref="C618:C620">
    <cfRule type="expression" dxfId="472" priority="764">
      <formula>$B$617="SPC없음"</formula>
    </cfRule>
  </conditionalFormatting>
  <conditionalFormatting sqref="C656:C658">
    <cfRule type="expression" dxfId="471" priority="763">
      <formula>$B$655="SPC없음"</formula>
    </cfRule>
  </conditionalFormatting>
  <conditionalFormatting sqref="C694:C696">
    <cfRule type="expression" dxfId="470" priority="762">
      <formula>$B$693="SPC없음"</formula>
    </cfRule>
  </conditionalFormatting>
  <conditionalFormatting sqref="C732:C734">
    <cfRule type="expression" dxfId="469" priority="761">
      <formula>$B$731="SPC없음"</formula>
    </cfRule>
  </conditionalFormatting>
  <conditionalFormatting sqref="C770:C772">
    <cfRule type="expression" dxfId="468" priority="760">
      <formula>$B$769="SPC없음"</formula>
    </cfRule>
  </conditionalFormatting>
  <conditionalFormatting sqref="C808:C810">
    <cfRule type="expression" dxfId="467" priority="759">
      <formula>$B$807="SPC없음"</formula>
    </cfRule>
  </conditionalFormatting>
  <conditionalFormatting sqref="C846:C848">
    <cfRule type="expression" dxfId="466" priority="758">
      <formula>$B$845="SPC없음"</formula>
    </cfRule>
  </conditionalFormatting>
  <conditionalFormatting sqref="C884:C886">
    <cfRule type="expression" dxfId="465" priority="757">
      <formula>$B$883="SPC없음"</formula>
    </cfRule>
  </conditionalFormatting>
  <conditionalFormatting sqref="C924">
    <cfRule type="expression" dxfId="464" priority="756">
      <formula>$B$921="SPC없음"</formula>
    </cfRule>
  </conditionalFormatting>
  <conditionalFormatting sqref="C922:C924">
    <cfRule type="expression" dxfId="463" priority="755">
      <formula>$B$921="SPC없음"</formula>
    </cfRule>
  </conditionalFormatting>
  <conditionalFormatting sqref="C960:C962">
    <cfRule type="expression" dxfId="462" priority="754">
      <formula>$B$959="SPC없음"</formula>
    </cfRule>
  </conditionalFormatting>
  <conditionalFormatting sqref="C998:C1000">
    <cfRule type="expression" dxfId="461" priority="753">
      <formula>$B$997="SPC없음"</formula>
    </cfRule>
  </conditionalFormatting>
  <conditionalFormatting sqref="C1036:C1038">
    <cfRule type="expression" dxfId="460" priority="752">
      <formula>$B$1035="SPC없음"</formula>
    </cfRule>
  </conditionalFormatting>
  <conditionalFormatting sqref="C1074:C1076">
    <cfRule type="expression" dxfId="459" priority="751">
      <formula>$B$1073="SPC없음"</formula>
    </cfRule>
  </conditionalFormatting>
  <conditionalFormatting sqref="C1112:C1114">
    <cfRule type="expression" dxfId="458" priority="750">
      <formula>$B$1111="SPC없음"</formula>
    </cfRule>
  </conditionalFormatting>
  <conditionalFormatting sqref="C1150:C1152">
    <cfRule type="expression" dxfId="457" priority="749">
      <formula>$B$1149="SPC없음"</formula>
    </cfRule>
  </conditionalFormatting>
  <conditionalFormatting sqref="C1188:C1190">
    <cfRule type="expression" dxfId="456" priority="748">
      <formula>$B$1187="SPC없음"</formula>
    </cfRule>
  </conditionalFormatting>
  <conditionalFormatting sqref="C1226:C1228">
    <cfRule type="expression" dxfId="455" priority="747">
      <formula>$B$1225="SPC없음"</formula>
    </cfRule>
  </conditionalFormatting>
  <conditionalFormatting sqref="C1264:C1266">
    <cfRule type="expression" dxfId="454" priority="746">
      <formula>$B$1263="SPC없음"</formula>
    </cfRule>
  </conditionalFormatting>
  <conditionalFormatting sqref="AC213:AC223">
    <cfRule type="cellIs" dxfId="453" priority="714" operator="greaterThan">
      <formula>2</formula>
    </cfRule>
  </conditionalFormatting>
  <conditionalFormatting sqref="AC213:AC223">
    <cfRule type="expression" dxfId="452" priority="713">
      <formula>AC213="2년미만"</formula>
    </cfRule>
  </conditionalFormatting>
  <conditionalFormatting sqref="AC251:AC261">
    <cfRule type="cellIs" dxfId="451" priority="712" operator="greaterThan">
      <formula>2</formula>
    </cfRule>
  </conditionalFormatting>
  <conditionalFormatting sqref="AC251:AC261">
    <cfRule type="expression" dxfId="450" priority="711">
      <formula>AC251="2년미만"</formula>
    </cfRule>
  </conditionalFormatting>
  <conditionalFormatting sqref="AC289:AC299">
    <cfRule type="cellIs" dxfId="449" priority="710" operator="greaterThan">
      <formula>2</formula>
    </cfRule>
  </conditionalFormatting>
  <conditionalFormatting sqref="AC289:AC299">
    <cfRule type="expression" dxfId="448" priority="709">
      <formula>AC289="2년미만"</formula>
    </cfRule>
  </conditionalFormatting>
  <conditionalFormatting sqref="AC327:AC337">
    <cfRule type="cellIs" dxfId="447" priority="708" operator="greaterThan">
      <formula>2</formula>
    </cfRule>
  </conditionalFormatting>
  <conditionalFormatting sqref="AC327:AC337">
    <cfRule type="expression" dxfId="446" priority="707">
      <formula>AC327="2년미만"</formula>
    </cfRule>
  </conditionalFormatting>
  <conditionalFormatting sqref="AC365:AC375">
    <cfRule type="cellIs" dxfId="445" priority="706" operator="greaterThan">
      <formula>2</formula>
    </cfRule>
  </conditionalFormatting>
  <conditionalFormatting sqref="AC365:AC375">
    <cfRule type="expression" dxfId="444" priority="705">
      <formula>AC365="2년미만"</formula>
    </cfRule>
  </conditionalFormatting>
  <conditionalFormatting sqref="AC403:AC413">
    <cfRule type="cellIs" dxfId="443" priority="704" operator="greaterThan">
      <formula>2</formula>
    </cfRule>
  </conditionalFormatting>
  <conditionalFormatting sqref="AC403:AC413">
    <cfRule type="expression" dxfId="442" priority="703">
      <formula>AC403="2년미만"</formula>
    </cfRule>
  </conditionalFormatting>
  <conditionalFormatting sqref="AC441:AC451">
    <cfRule type="cellIs" dxfId="441" priority="702" operator="greaterThan">
      <formula>2</formula>
    </cfRule>
  </conditionalFormatting>
  <conditionalFormatting sqref="AC441:AC451">
    <cfRule type="expression" dxfId="440" priority="701">
      <formula>AC441="2년미만"</formula>
    </cfRule>
  </conditionalFormatting>
  <conditionalFormatting sqref="AC479:AC489">
    <cfRule type="cellIs" dxfId="439" priority="700" operator="greaterThan">
      <formula>2</formula>
    </cfRule>
  </conditionalFormatting>
  <conditionalFormatting sqref="AC479:AC489">
    <cfRule type="expression" dxfId="438" priority="699">
      <formula>AC479="2년미만"</formula>
    </cfRule>
  </conditionalFormatting>
  <conditionalFormatting sqref="AC517:AC527">
    <cfRule type="cellIs" dxfId="437" priority="698" operator="greaterThan">
      <formula>2</formula>
    </cfRule>
  </conditionalFormatting>
  <conditionalFormatting sqref="AC517:AC527">
    <cfRule type="expression" dxfId="436" priority="697">
      <formula>AC517="2년미만"</formula>
    </cfRule>
  </conditionalFormatting>
  <conditionalFormatting sqref="AC555:AC565">
    <cfRule type="cellIs" dxfId="435" priority="696" operator="greaterThan">
      <formula>2</formula>
    </cfRule>
  </conditionalFormatting>
  <conditionalFormatting sqref="AC555:AC565">
    <cfRule type="expression" dxfId="434" priority="695">
      <formula>AC555="2년미만"</formula>
    </cfRule>
  </conditionalFormatting>
  <conditionalFormatting sqref="AC593:AC603">
    <cfRule type="cellIs" dxfId="433" priority="694" operator="greaterThan">
      <formula>2</formula>
    </cfRule>
  </conditionalFormatting>
  <conditionalFormatting sqref="AC593:AC603">
    <cfRule type="expression" dxfId="432" priority="693">
      <formula>AC593="2년미만"</formula>
    </cfRule>
  </conditionalFormatting>
  <conditionalFormatting sqref="AC631:AC641">
    <cfRule type="cellIs" dxfId="431" priority="692" operator="greaterThan">
      <formula>2</formula>
    </cfRule>
  </conditionalFormatting>
  <conditionalFormatting sqref="AC631:AC641">
    <cfRule type="expression" dxfId="430" priority="691">
      <formula>AC631="2년미만"</formula>
    </cfRule>
  </conditionalFormatting>
  <conditionalFormatting sqref="AC669:AC679">
    <cfRule type="cellIs" dxfId="429" priority="690" operator="greaterThan">
      <formula>2</formula>
    </cfRule>
  </conditionalFormatting>
  <conditionalFormatting sqref="AC669:AC679">
    <cfRule type="expression" dxfId="428" priority="689">
      <formula>AC669="2년미만"</formula>
    </cfRule>
  </conditionalFormatting>
  <conditionalFormatting sqref="AC707:AC717">
    <cfRule type="cellIs" dxfId="427" priority="688" operator="greaterThan">
      <formula>2</formula>
    </cfRule>
  </conditionalFormatting>
  <conditionalFormatting sqref="AC707:AC717">
    <cfRule type="expression" dxfId="426" priority="687">
      <formula>AC707="2년미만"</formula>
    </cfRule>
  </conditionalFormatting>
  <conditionalFormatting sqref="AC745:AC755">
    <cfRule type="cellIs" dxfId="425" priority="686" operator="greaterThan">
      <formula>2</formula>
    </cfRule>
  </conditionalFormatting>
  <conditionalFormatting sqref="AC745:AC755">
    <cfRule type="expression" dxfId="424" priority="685">
      <formula>AC745="2년미만"</formula>
    </cfRule>
  </conditionalFormatting>
  <conditionalFormatting sqref="AC783:AC793">
    <cfRule type="cellIs" dxfId="423" priority="684" operator="greaterThan">
      <formula>2</formula>
    </cfRule>
  </conditionalFormatting>
  <conditionalFormatting sqref="AC783:AC793">
    <cfRule type="expression" dxfId="422" priority="683">
      <formula>AC783="2년미만"</formula>
    </cfRule>
  </conditionalFormatting>
  <conditionalFormatting sqref="AC821:AC831">
    <cfRule type="cellIs" dxfId="421" priority="682" operator="greaterThan">
      <formula>2</formula>
    </cfRule>
  </conditionalFormatting>
  <conditionalFormatting sqref="AC821:AC831">
    <cfRule type="expression" dxfId="420" priority="681">
      <formula>AC821="2년미만"</formula>
    </cfRule>
  </conditionalFormatting>
  <conditionalFormatting sqref="AC859:AC869">
    <cfRule type="cellIs" dxfId="419" priority="680" operator="greaterThan">
      <formula>2</formula>
    </cfRule>
  </conditionalFormatting>
  <conditionalFormatting sqref="AC859:AC869">
    <cfRule type="expression" dxfId="418" priority="679">
      <formula>AC859="2년미만"</formula>
    </cfRule>
  </conditionalFormatting>
  <conditionalFormatting sqref="AC897:AC907">
    <cfRule type="cellIs" dxfId="417" priority="678" operator="greaterThan">
      <formula>2</formula>
    </cfRule>
  </conditionalFormatting>
  <conditionalFormatting sqref="AC897:AC907">
    <cfRule type="expression" dxfId="416" priority="677">
      <formula>AC897="2년미만"</formula>
    </cfRule>
  </conditionalFormatting>
  <conditionalFormatting sqref="AC935:AC945">
    <cfRule type="cellIs" dxfId="415" priority="676" operator="greaterThan">
      <formula>2</formula>
    </cfRule>
  </conditionalFormatting>
  <conditionalFormatting sqref="AC935:AC945">
    <cfRule type="expression" dxfId="414" priority="675">
      <formula>AC935="2년미만"</formula>
    </cfRule>
  </conditionalFormatting>
  <conditionalFormatting sqref="AC973:AC983">
    <cfRule type="cellIs" dxfId="413" priority="674" operator="greaterThan">
      <formula>2</formula>
    </cfRule>
  </conditionalFormatting>
  <conditionalFormatting sqref="AC973:AC983">
    <cfRule type="expression" dxfId="412" priority="673">
      <formula>AC973="2년미만"</formula>
    </cfRule>
  </conditionalFormatting>
  <conditionalFormatting sqref="AC1011:AC1021">
    <cfRule type="cellIs" dxfId="411" priority="672" operator="greaterThan">
      <formula>2</formula>
    </cfRule>
  </conditionalFormatting>
  <conditionalFormatting sqref="AC1011:AC1021">
    <cfRule type="expression" dxfId="410" priority="671">
      <formula>AC1011="2년미만"</formula>
    </cfRule>
  </conditionalFormatting>
  <conditionalFormatting sqref="AC1049:AC1059">
    <cfRule type="cellIs" dxfId="409" priority="670" operator="greaterThan">
      <formula>2</formula>
    </cfRule>
  </conditionalFormatting>
  <conditionalFormatting sqref="AC1049:AC1059">
    <cfRule type="expression" dxfId="408" priority="669">
      <formula>AC1049="2년미만"</formula>
    </cfRule>
  </conditionalFormatting>
  <conditionalFormatting sqref="AC1087:AC1097">
    <cfRule type="cellIs" dxfId="407" priority="668" operator="greaterThan">
      <formula>2</formula>
    </cfRule>
  </conditionalFormatting>
  <conditionalFormatting sqref="AC1087:AC1097">
    <cfRule type="expression" dxfId="406" priority="667">
      <formula>AC1087="2년미만"</formula>
    </cfRule>
  </conditionalFormatting>
  <conditionalFormatting sqref="AC1125:AC1135">
    <cfRule type="cellIs" dxfId="405" priority="666" operator="greaterThan">
      <formula>2</formula>
    </cfRule>
  </conditionalFormatting>
  <conditionalFormatting sqref="AC1125:AC1135">
    <cfRule type="expression" dxfId="404" priority="665">
      <formula>AC1125="2년미만"</formula>
    </cfRule>
  </conditionalFormatting>
  <conditionalFormatting sqref="AC1163:AC1173">
    <cfRule type="cellIs" dxfId="403" priority="664" operator="greaterThan">
      <formula>2</formula>
    </cfRule>
  </conditionalFormatting>
  <conditionalFormatting sqref="AC1163:AC1173">
    <cfRule type="expression" dxfId="402" priority="663">
      <formula>AC1163="2년미만"</formula>
    </cfRule>
  </conditionalFormatting>
  <conditionalFormatting sqref="AC1201:AC1211">
    <cfRule type="cellIs" dxfId="401" priority="662" operator="greaterThan">
      <formula>2</formula>
    </cfRule>
  </conditionalFormatting>
  <conditionalFormatting sqref="AC1201:AC1211">
    <cfRule type="expression" dxfId="400" priority="661">
      <formula>AC1201="2년미만"</formula>
    </cfRule>
  </conditionalFormatting>
  <conditionalFormatting sqref="AC1239:AC1249">
    <cfRule type="cellIs" dxfId="399" priority="660" operator="greaterThan">
      <formula>2</formula>
    </cfRule>
  </conditionalFormatting>
  <conditionalFormatting sqref="AC1239:AC1249">
    <cfRule type="expression" dxfId="398" priority="659">
      <formula>AC1239="2년미만"</formula>
    </cfRule>
  </conditionalFormatting>
  <conditionalFormatting sqref="AC1277:AC1287">
    <cfRule type="cellIs" dxfId="397" priority="658" operator="greaterThan">
      <formula>2</formula>
    </cfRule>
  </conditionalFormatting>
  <conditionalFormatting sqref="AC1277:AC1287">
    <cfRule type="expression" dxfId="396" priority="657">
      <formula>AC1277="2년미만"</formula>
    </cfRule>
  </conditionalFormatting>
  <conditionalFormatting sqref="AG43">
    <cfRule type="expression" dxfId="395" priority="643">
      <formula>OR(T43="MTP",T43="과거거래 이용법",T43="취득원가 준용",T43="장부가액 준용",T43="상장종가 적용")</formula>
    </cfRule>
  </conditionalFormatting>
  <conditionalFormatting sqref="AH43">
    <cfRule type="expression" dxfId="394" priority="641">
      <formula>OR(T43="MTP",T43="과거거래 이용법",T43="취득원가 준용",T43="장부가액 준용",T43="상장종가 적용")</formula>
    </cfRule>
  </conditionalFormatting>
  <conditionalFormatting sqref="X213:X223">
    <cfRule type="cellIs" dxfId="393" priority="494" operator="greaterThan">
      <formula>1</formula>
    </cfRule>
  </conditionalFormatting>
  <conditionalFormatting sqref="X213:X223">
    <cfRule type="cellIs" dxfId="392" priority="493" operator="greaterThan">
      <formula>1</formula>
    </cfRule>
  </conditionalFormatting>
  <conditionalFormatting sqref="X251:X261">
    <cfRule type="cellIs" dxfId="391" priority="492" operator="greaterThan">
      <formula>1</formula>
    </cfRule>
  </conditionalFormatting>
  <conditionalFormatting sqref="X251:X261">
    <cfRule type="cellIs" dxfId="390" priority="491" operator="greaterThan">
      <formula>1</formula>
    </cfRule>
  </conditionalFormatting>
  <conditionalFormatting sqref="X289:X299">
    <cfRule type="cellIs" dxfId="389" priority="490" operator="greaterThan">
      <formula>1</formula>
    </cfRule>
  </conditionalFormatting>
  <conditionalFormatting sqref="X289:X299">
    <cfRule type="cellIs" dxfId="388" priority="489" operator="greaterThan">
      <formula>1</formula>
    </cfRule>
  </conditionalFormatting>
  <conditionalFormatting sqref="X327:X337">
    <cfRule type="cellIs" dxfId="387" priority="488" operator="greaterThan">
      <formula>1</formula>
    </cfRule>
  </conditionalFormatting>
  <conditionalFormatting sqref="X327:X337">
    <cfRule type="cellIs" dxfId="386" priority="487" operator="greaterThan">
      <formula>1</formula>
    </cfRule>
  </conditionalFormatting>
  <conditionalFormatting sqref="X365:X375">
    <cfRule type="cellIs" dxfId="385" priority="484" operator="greaterThan">
      <formula>1</formula>
    </cfRule>
  </conditionalFormatting>
  <conditionalFormatting sqref="X365:X375">
    <cfRule type="cellIs" dxfId="384" priority="483" operator="greaterThan">
      <formula>1</formula>
    </cfRule>
  </conditionalFormatting>
  <conditionalFormatting sqref="X403:X413">
    <cfRule type="cellIs" dxfId="383" priority="482" operator="greaterThan">
      <formula>1</formula>
    </cfRule>
  </conditionalFormatting>
  <conditionalFormatting sqref="X403:X413">
    <cfRule type="cellIs" dxfId="382" priority="481" operator="greaterThan">
      <formula>1</formula>
    </cfRule>
  </conditionalFormatting>
  <conditionalFormatting sqref="X441:X451">
    <cfRule type="cellIs" dxfId="381" priority="480" operator="greaterThan">
      <formula>1</formula>
    </cfRule>
  </conditionalFormatting>
  <conditionalFormatting sqref="X441:X451">
    <cfRule type="cellIs" dxfId="380" priority="479" operator="greaterThan">
      <formula>1</formula>
    </cfRule>
  </conditionalFormatting>
  <conditionalFormatting sqref="X479:X489">
    <cfRule type="cellIs" dxfId="379" priority="478" operator="greaterThan">
      <formula>1</formula>
    </cfRule>
  </conditionalFormatting>
  <conditionalFormatting sqref="X479:X489">
    <cfRule type="cellIs" dxfId="378" priority="477" operator="greaterThan">
      <formula>1</formula>
    </cfRule>
  </conditionalFormatting>
  <conditionalFormatting sqref="X517:X527">
    <cfRule type="cellIs" dxfId="377" priority="476" operator="greaterThan">
      <formula>1</formula>
    </cfRule>
  </conditionalFormatting>
  <conditionalFormatting sqref="X517:X527">
    <cfRule type="cellIs" dxfId="376" priority="475" operator="greaterThan">
      <formula>1</formula>
    </cfRule>
  </conditionalFormatting>
  <conditionalFormatting sqref="X555:X565">
    <cfRule type="cellIs" dxfId="375" priority="474" operator="greaterThan">
      <formula>1</formula>
    </cfRule>
  </conditionalFormatting>
  <conditionalFormatting sqref="X555:X565">
    <cfRule type="cellIs" dxfId="374" priority="473" operator="greaterThan">
      <formula>1</formula>
    </cfRule>
  </conditionalFormatting>
  <conditionalFormatting sqref="X593:X603">
    <cfRule type="cellIs" dxfId="373" priority="472" operator="greaterThan">
      <formula>1</formula>
    </cfRule>
  </conditionalFormatting>
  <conditionalFormatting sqref="X593:X603">
    <cfRule type="cellIs" dxfId="372" priority="471" operator="greaterThan">
      <formula>1</formula>
    </cfRule>
  </conditionalFormatting>
  <conditionalFormatting sqref="X631:X641">
    <cfRule type="cellIs" dxfId="371" priority="470" operator="greaterThan">
      <formula>1</formula>
    </cfRule>
  </conditionalFormatting>
  <conditionalFormatting sqref="X631:X641">
    <cfRule type="cellIs" dxfId="370" priority="469" operator="greaterThan">
      <formula>1</formula>
    </cfRule>
  </conditionalFormatting>
  <conditionalFormatting sqref="X669:X679">
    <cfRule type="cellIs" dxfId="369" priority="468" operator="greaterThan">
      <formula>1</formula>
    </cfRule>
  </conditionalFormatting>
  <conditionalFormatting sqref="X669:X679">
    <cfRule type="cellIs" dxfId="368" priority="467" operator="greaterThan">
      <formula>1</formula>
    </cfRule>
  </conditionalFormatting>
  <conditionalFormatting sqref="X707:X717">
    <cfRule type="cellIs" dxfId="367" priority="466" operator="greaterThan">
      <formula>1</formula>
    </cfRule>
  </conditionalFormatting>
  <conditionalFormatting sqref="X707:X717">
    <cfRule type="cellIs" dxfId="366" priority="465" operator="greaterThan">
      <formula>1</formula>
    </cfRule>
  </conditionalFormatting>
  <conditionalFormatting sqref="X745:X755">
    <cfRule type="cellIs" dxfId="365" priority="464" operator="greaterThan">
      <formula>1</formula>
    </cfRule>
  </conditionalFormatting>
  <conditionalFormatting sqref="X745:X755">
    <cfRule type="cellIs" dxfId="364" priority="463" operator="greaterThan">
      <formula>1</formula>
    </cfRule>
  </conditionalFormatting>
  <conditionalFormatting sqref="X783:X793">
    <cfRule type="cellIs" dxfId="363" priority="462" operator="greaterThan">
      <formula>1</formula>
    </cfRule>
  </conditionalFormatting>
  <conditionalFormatting sqref="X783:X793">
    <cfRule type="cellIs" dxfId="362" priority="461" operator="greaterThan">
      <formula>1</formula>
    </cfRule>
  </conditionalFormatting>
  <conditionalFormatting sqref="X821:X831">
    <cfRule type="cellIs" dxfId="361" priority="460" operator="greaterThan">
      <formula>1</formula>
    </cfRule>
  </conditionalFormatting>
  <conditionalFormatting sqref="X821:X831">
    <cfRule type="cellIs" dxfId="360" priority="459" operator="greaterThan">
      <formula>1</formula>
    </cfRule>
  </conditionalFormatting>
  <conditionalFormatting sqref="X859:X869">
    <cfRule type="cellIs" dxfId="359" priority="458" operator="greaterThan">
      <formula>1</formula>
    </cfRule>
  </conditionalFormatting>
  <conditionalFormatting sqref="X859:X869">
    <cfRule type="cellIs" dxfId="358" priority="457" operator="greaterThan">
      <formula>1</formula>
    </cfRule>
  </conditionalFormatting>
  <conditionalFormatting sqref="X897:X907">
    <cfRule type="cellIs" dxfId="357" priority="456" operator="greaterThan">
      <formula>1</formula>
    </cfRule>
  </conditionalFormatting>
  <conditionalFormatting sqref="X897:X907">
    <cfRule type="cellIs" dxfId="356" priority="455" operator="greaterThan">
      <formula>1</formula>
    </cfRule>
  </conditionalFormatting>
  <conditionalFormatting sqref="X935:X945">
    <cfRule type="cellIs" dxfId="355" priority="454" operator="greaterThan">
      <formula>1</formula>
    </cfRule>
  </conditionalFormatting>
  <conditionalFormatting sqref="X935:X945">
    <cfRule type="cellIs" dxfId="354" priority="453" operator="greaterThan">
      <formula>1</formula>
    </cfRule>
  </conditionalFormatting>
  <conditionalFormatting sqref="X973:X983">
    <cfRule type="cellIs" dxfId="353" priority="452" operator="greaterThan">
      <formula>1</formula>
    </cfRule>
  </conditionalFormatting>
  <conditionalFormatting sqref="X973:X983">
    <cfRule type="cellIs" dxfId="352" priority="451" operator="greaterThan">
      <formula>1</formula>
    </cfRule>
  </conditionalFormatting>
  <conditionalFormatting sqref="X1011:X1021">
    <cfRule type="cellIs" dxfId="351" priority="450" operator="greaterThan">
      <formula>1</formula>
    </cfRule>
  </conditionalFormatting>
  <conditionalFormatting sqref="X1011:X1021">
    <cfRule type="cellIs" dxfId="350" priority="449" operator="greaterThan">
      <formula>1</formula>
    </cfRule>
  </conditionalFormatting>
  <conditionalFormatting sqref="X1049:X1059">
    <cfRule type="cellIs" dxfId="349" priority="448" operator="greaterThan">
      <formula>1</formula>
    </cfRule>
  </conditionalFormatting>
  <conditionalFormatting sqref="X1049:X1059">
    <cfRule type="cellIs" dxfId="348" priority="447" operator="greaterThan">
      <formula>1</formula>
    </cfRule>
  </conditionalFormatting>
  <conditionalFormatting sqref="X1087:X1097">
    <cfRule type="cellIs" dxfId="347" priority="446" operator="greaterThan">
      <formula>1</formula>
    </cfRule>
  </conditionalFormatting>
  <conditionalFormatting sqref="X1087:X1097">
    <cfRule type="cellIs" dxfId="346" priority="445" operator="greaterThan">
      <formula>1</formula>
    </cfRule>
  </conditionalFormatting>
  <conditionalFormatting sqref="X1125:X1135">
    <cfRule type="cellIs" dxfId="345" priority="444" operator="greaterThan">
      <formula>1</formula>
    </cfRule>
  </conditionalFormatting>
  <conditionalFormatting sqref="X1125:X1135">
    <cfRule type="cellIs" dxfId="344" priority="443" operator="greaterThan">
      <formula>1</formula>
    </cfRule>
  </conditionalFormatting>
  <conditionalFormatting sqref="X1163:X1173">
    <cfRule type="cellIs" dxfId="343" priority="442" operator="greaterThan">
      <formula>1</formula>
    </cfRule>
  </conditionalFormatting>
  <conditionalFormatting sqref="X1163:X1173">
    <cfRule type="cellIs" dxfId="342" priority="441" operator="greaterThan">
      <formula>1</formula>
    </cfRule>
  </conditionalFormatting>
  <conditionalFormatting sqref="X1201:X1211">
    <cfRule type="cellIs" dxfId="341" priority="440" operator="greaterThan">
      <formula>1</formula>
    </cfRule>
  </conditionalFormatting>
  <conditionalFormatting sqref="X1201:X1211">
    <cfRule type="cellIs" dxfId="340" priority="439" operator="greaterThan">
      <formula>1</formula>
    </cfRule>
  </conditionalFormatting>
  <conditionalFormatting sqref="X1239:X1249">
    <cfRule type="cellIs" dxfId="339" priority="438" operator="greaterThan">
      <formula>1</formula>
    </cfRule>
  </conditionalFormatting>
  <conditionalFormatting sqref="X1239:X1249">
    <cfRule type="cellIs" dxfId="338" priority="437" operator="greaterThan">
      <formula>1</formula>
    </cfRule>
  </conditionalFormatting>
  <conditionalFormatting sqref="X1277:X1287">
    <cfRule type="cellIs" dxfId="337" priority="436" operator="greaterThan">
      <formula>1</formula>
    </cfRule>
  </conditionalFormatting>
  <conditionalFormatting sqref="X1277:X1287">
    <cfRule type="cellIs" dxfId="336" priority="435" operator="greaterThan">
      <formula>1</formula>
    </cfRule>
  </conditionalFormatting>
  <conditionalFormatting sqref="AA41">
    <cfRule type="containsText" dxfId="335" priority="432" operator="containsText" text="특이사항 확인">
      <formula>NOT(ISERROR(SEARCH("특이사항 확인",AA41)))</formula>
    </cfRule>
  </conditionalFormatting>
  <conditionalFormatting sqref="X12:X40">
    <cfRule type="cellIs" dxfId="334" priority="431" operator="greaterThan">
      <formula>1</formula>
    </cfRule>
  </conditionalFormatting>
  <conditionalFormatting sqref="X12:X40">
    <cfRule type="cellIs" dxfId="333" priority="430" operator="greaterThan">
      <formula>1</formula>
    </cfRule>
  </conditionalFormatting>
  <conditionalFormatting sqref="X205:X210">
    <cfRule type="cellIs" dxfId="332" priority="429" operator="greaterThan">
      <formula>1</formula>
    </cfRule>
  </conditionalFormatting>
  <conditionalFormatting sqref="X205:X210">
    <cfRule type="cellIs" dxfId="331" priority="428" operator="greaterThan">
      <formula>1</formula>
    </cfRule>
  </conditionalFormatting>
  <conditionalFormatting sqref="X243:X248">
    <cfRule type="cellIs" dxfId="330" priority="427" operator="greaterThan">
      <formula>1</formula>
    </cfRule>
  </conditionalFormatting>
  <conditionalFormatting sqref="X243:X248">
    <cfRule type="cellIs" dxfId="329" priority="426" operator="greaterThan">
      <formula>1</formula>
    </cfRule>
  </conditionalFormatting>
  <conditionalFormatting sqref="X281:X286">
    <cfRule type="cellIs" dxfId="328" priority="425" operator="greaterThan">
      <formula>1</formula>
    </cfRule>
  </conditionalFormatting>
  <conditionalFormatting sqref="X281:X286">
    <cfRule type="cellIs" dxfId="327" priority="424" operator="greaterThan">
      <formula>1</formula>
    </cfRule>
  </conditionalFormatting>
  <conditionalFormatting sqref="X319:X324">
    <cfRule type="cellIs" dxfId="326" priority="423" operator="greaterThan">
      <formula>1</formula>
    </cfRule>
  </conditionalFormatting>
  <conditionalFormatting sqref="X319:X324">
    <cfRule type="cellIs" dxfId="325" priority="422" operator="greaterThan">
      <formula>1</formula>
    </cfRule>
  </conditionalFormatting>
  <conditionalFormatting sqref="X357:X362">
    <cfRule type="cellIs" dxfId="324" priority="421" operator="greaterThan">
      <formula>1</formula>
    </cfRule>
  </conditionalFormatting>
  <conditionalFormatting sqref="X357:X362">
    <cfRule type="cellIs" dxfId="323" priority="420" operator="greaterThan">
      <formula>1</formula>
    </cfRule>
  </conditionalFormatting>
  <conditionalFormatting sqref="X395:X400">
    <cfRule type="cellIs" dxfId="322" priority="419" operator="greaterThan">
      <formula>1</formula>
    </cfRule>
  </conditionalFormatting>
  <conditionalFormatting sqref="X395:X400">
    <cfRule type="cellIs" dxfId="321" priority="418" operator="greaterThan">
      <formula>1</formula>
    </cfRule>
  </conditionalFormatting>
  <conditionalFormatting sqref="X433:X438">
    <cfRule type="cellIs" dxfId="320" priority="417" operator="greaterThan">
      <formula>1</formula>
    </cfRule>
  </conditionalFormatting>
  <conditionalFormatting sqref="X433:X438">
    <cfRule type="cellIs" dxfId="319" priority="416" operator="greaterThan">
      <formula>1</formula>
    </cfRule>
  </conditionalFormatting>
  <conditionalFormatting sqref="X471:X476">
    <cfRule type="cellIs" dxfId="318" priority="415" operator="greaterThan">
      <formula>1</formula>
    </cfRule>
  </conditionalFormatting>
  <conditionalFormatting sqref="X471:X476">
    <cfRule type="cellIs" dxfId="317" priority="414" operator="greaterThan">
      <formula>1</formula>
    </cfRule>
  </conditionalFormatting>
  <conditionalFormatting sqref="X509:X514">
    <cfRule type="cellIs" dxfId="316" priority="413" operator="greaterThan">
      <formula>1</formula>
    </cfRule>
  </conditionalFormatting>
  <conditionalFormatting sqref="X509:X514">
    <cfRule type="cellIs" dxfId="315" priority="412" operator="greaterThan">
      <formula>1</formula>
    </cfRule>
  </conditionalFormatting>
  <conditionalFormatting sqref="X547:X552">
    <cfRule type="cellIs" dxfId="314" priority="411" operator="greaterThan">
      <formula>1</formula>
    </cfRule>
  </conditionalFormatting>
  <conditionalFormatting sqref="X547:X552">
    <cfRule type="cellIs" dxfId="313" priority="410" operator="greaterThan">
      <formula>1</formula>
    </cfRule>
  </conditionalFormatting>
  <conditionalFormatting sqref="X585:X590">
    <cfRule type="cellIs" dxfId="312" priority="409" operator="greaterThan">
      <formula>1</formula>
    </cfRule>
  </conditionalFormatting>
  <conditionalFormatting sqref="X585:X590">
    <cfRule type="cellIs" dxfId="311" priority="408" operator="greaterThan">
      <formula>1</formula>
    </cfRule>
  </conditionalFormatting>
  <conditionalFormatting sqref="X623:X628">
    <cfRule type="cellIs" dxfId="310" priority="407" operator="greaterThan">
      <formula>1</formula>
    </cfRule>
  </conditionalFormatting>
  <conditionalFormatting sqref="X623:X628">
    <cfRule type="cellIs" dxfId="309" priority="406" operator="greaterThan">
      <formula>1</formula>
    </cfRule>
  </conditionalFormatting>
  <conditionalFormatting sqref="X661:X666">
    <cfRule type="cellIs" dxfId="308" priority="405" operator="greaterThan">
      <formula>1</formula>
    </cfRule>
  </conditionalFormatting>
  <conditionalFormatting sqref="X661:X666">
    <cfRule type="cellIs" dxfId="307" priority="404" operator="greaterThan">
      <formula>1</formula>
    </cfRule>
  </conditionalFormatting>
  <conditionalFormatting sqref="X699:X704">
    <cfRule type="cellIs" dxfId="306" priority="403" operator="greaterThan">
      <formula>1</formula>
    </cfRule>
  </conditionalFormatting>
  <conditionalFormatting sqref="X699:X704">
    <cfRule type="cellIs" dxfId="305" priority="402" operator="greaterThan">
      <formula>1</formula>
    </cfRule>
  </conditionalFormatting>
  <conditionalFormatting sqref="X737:X742">
    <cfRule type="cellIs" dxfId="304" priority="401" operator="greaterThan">
      <formula>1</formula>
    </cfRule>
  </conditionalFormatting>
  <conditionalFormatting sqref="X737:X742">
    <cfRule type="cellIs" dxfId="303" priority="400" operator="greaterThan">
      <formula>1</formula>
    </cfRule>
  </conditionalFormatting>
  <conditionalFormatting sqref="X775:X780">
    <cfRule type="cellIs" dxfId="302" priority="399" operator="greaterThan">
      <formula>1</formula>
    </cfRule>
  </conditionalFormatting>
  <conditionalFormatting sqref="X775:X780">
    <cfRule type="cellIs" dxfId="301" priority="398" operator="greaterThan">
      <formula>1</formula>
    </cfRule>
  </conditionalFormatting>
  <conditionalFormatting sqref="X813:X818">
    <cfRule type="cellIs" dxfId="300" priority="397" operator="greaterThan">
      <formula>1</formula>
    </cfRule>
  </conditionalFormatting>
  <conditionalFormatting sqref="X813:X818">
    <cfRule type="cellIs" dxfId="299" priority="396" operator="greaterThan">
      <formula>1</formula>
    </cfRule>
  </conditionalFormatting>
  <conditionalFormatting sqref="X851:X856">
    <cfRule type="cellIs" dxfId="298" priority="395" operator="greaterThan">
      <formula>1</formula>
    </cfRule>
  </conditionalFormatting>
  <conditionalFormatting sqref="X851:X856">
    <cfRule type="cellIs" dxfId="297" priority="394" operator="greaterThan">
      <formula>1</formula>
    </cfRule>
  </conditionalFormatting>
  <conditionalFormatting sqref="X889:X894">
    <cfRule type="cellIs" dxfId="296" priority="393" operator="greaterThan">
      <formula>1</formula>
    </cfRule>
  </conditionalFormatting>
  <conditionalFormatting sqref="X889:X894">
    <cfRule type="cellIs" dxfId="295" priority="392" operator="greaterThan">
      <formula>1</formula>
    </cfRule>
  </conditionalFormatting>
  <conditionalFormatting sqref="X927:X932">
    <cfRule type="cellIs" dxfId="294" priority="391" operator="greaterThan">
      <formula>1</formula>
    </cfRule>
  </conditionalFormatting>
  <conditionalFormatting sqref="X927:X932">
    <cfRule type="cellIs" dxfId="293" priority="390" operator="greaterThan">
      <formula>1</formula>
    </cfRule>
  </conditionalFormatting>
  <conditionalFormatting sqref="X965:X970">
    <cfRule type="cellIs" dxfId="292" priority="389" operator="greaterThan">
      <formula>1</formula>
    </cfRule>
  </conditionalFormatting>
  <conditionalFormatting sqref="X965:X970">
    <cfRule type="cellIs" dxfId="291" priority="388" operator="greaterThan">
      <formula>1</formula>
    </cfRule>
  </conditionalFormatting>
  <conditionalFormatting sqref="X1003:X1008">
    <cfRule type="cellIs" dxfId="290" priority="387" operator="greaterThan">
      <formula>1</formula>
    </cfRule>
  </conditionalFormatting>
  <conditionalFormatting sqref="X1003:X1008">
    <cfRule type="cellIs" dxfId="289" priority="386" operator="greaterThan">
      <formula>1</formula>
    </cfRule>
  </conditionalFormatting>
  <conditionalFormatting sqref="X1041:X1046">
    <cfRule type="cellIs" dxfId="288" priority="385" operator="greaterThan">
      <formula>1</formula>
    </cfRule>
  </conditionalFormatting>
  <conditionalFormatting sqref="X1041:X1046">
    <cfRule type="cellIs" dxfId="287" priority="384" operator="greaterThan">
      <formula>1</formula>
    </cfRule>
  </conditionalFormatting>
  <conditionalFormatting sqref="X1079:X1084">
    <cfRule type="cellIs" dxfId="286" priority="383" operator="greaterThan">
      <formula>1</formula>
    </cfRule>
  </conditionalFormatting>
  <conditionalFormatting sqref="X1079:X1084">
    <cfRule type="cellIs" dxfId="285" priority="382" operator="greaterThan">
      <formula>1</formula>
    </cfRule>
  </conditionalFormatting>
  <conditionalFormatting sqref="X1117:X1122">
    <cfRule type="cellIs" dxfId="284" priority="381" operator="greaterThan">
      <formula>1</formula>
    </cfRule>
  </conditionalFormatting>
  <conditionalFormatting sqref="X1117:X1122">
    <cfRule type="cellIs" dxfId="283" priority="380" operator="greaterThan">
      <formula>1</formula>
    </cfRule>
  </conditionalFormatting>
  <conditionalFormatting sqref="X1155:X1160">
    <cfRule type="cellIs" dxfId="282" priority="379" operator="greaterThan">
      <formula>1</formula>
    </cfRule>
  </conditionalFormatting>
  <conditionalFormatting sqref="X1155:X1160">
    <cfRule type="cellIs" dxfId="281" priority="378" operator="greaterThan">
      <formula>1</formula>
    </cfRule>
  </conditionalFormatting>
  <conditionalFormatting sqref="X1193:X1198">
    <cfRule type="cellIs" dxfId="280" priority="377" operator="greaterThan">
      <formula>1</formula>
    </cfRule>
  </conditionalFormatting>
  <conditionalFormatting sqref="X1193:X1198">
    <cfRule type="cellIs" dxfId="279" priority="376" operator="greaterThan">
      <formula>1</formula>
    </cfRule>
  </conditionalFormatting>
  <conditionalFormatting sqref="X1231:X1236">
    <cfRule type="cellIs" dxfId="278" priority="375" operator="greaterThan">
      <formula>1</formula>
    </cfRule>
  </conditionalFormatting>
  <conditionalFormatting sqref="X1231:X1236">
    <cfRule type="cellIs" dxfId="277" priority="374" operator="greaterThan">
      <formula>1</formula>
    </cfRule>
  </conditionalFormatting>
  <conditionalFormatting sqref="X1269:X1274">
    <cfRule type="cellIs" dxfId="276" priority="373" operator="greaterThan">
      <formula>1</formula>
    </cfRule>
  </conditionalFormatting>
  <conditionalFormatting sqref="X1269:X1274">
    <cfRule type="cellIs" dxfId="275" priority="372" operator="greaterThan">
      <formula>1</formula>
    </cfRule>
  </conditionalFormatting>
  <conditionalFormatting sqref="AA12:AA40">
    <cfRule type="cellIs" dxfId="274" priority="371" operator="notBetween">
      <formula>0.2</formula>
      <formula>-0.2</formula>
    </cfRule>
  </conditionalFormatting>
  <conditionalFormatting sqref="AA10">
    <cfRule type="containsText" dxfId="273" priority="370" operator="containsText" text="특이사항 확인">
      <formula>NOT(ISERROR(SEARCH("특이사항 확인",AA10)))</formula>
    </cfRule>
  </conditionalFormatting>
  <conditionalFormatting sqref="AA203">
    <cfRule type="containsText" dxfId="272" priority="368" operator="containsText" text="특이사항 확인">
      <formula>NOT(ISERROR(SEARCH("특이사항 확인",AA203)))</formula>
    </cfRule>
  </conditionalFormatting>
  <conditionalFormatting sqref="AA241">
    <cfRule type="containsText" dxfId="271" priority="366" operator="containsText" text="특이사항 확인">
      <formula>NOT(ISERROR(SEARCH("특이사항 확인",AA241)))</formula>
    </cfRule>
  </conditionalFormatting>
  <conditionalFormatting sqref="AA279">
    <cfRule type="containsText" dxfId="270" priority="364" operator="containsText" text="특이사항 확인">
      <formula>NOT(ISERROR(SEARCH("특이사항 확인",AA279)))</formula>
    </cfRule>
  </conditionalFormatting>
  <conditionalFormatting sqref="AA317">
    <cfRule type="containsText" dxfId="269" priority="362" operator="containsText" text="특이사항 확인">
      <formula>NOT(ISERROR(SEARCH("특이사항 확인",AA317)))</formula>
    </cfRule>
  </conditionalFormatting>
  <conditionalFormatting sqref="Q213:Q223">
    <cfRule type="expression" dxfId="268" priority="303">
      <formula>P213="만원당"</formula>
    </cfRule>
  </conditionalFormatting>
  <conditionalFormatting sqref="Q251:Q261">
    <cfRule type="expression" dxfId="267" priority="302">
      <formula>P251="만원당"</formula>
    </cfRule>
  </conditionalFormatting>
  <conditionalFormatting sqref="Q289:Q299">
    <cfRule type="expression" dxfId="266" priority="301">
      <formula>P289="만원당"</formula>
    </cfRule>
  </conditionalFormatting>
  <conditionalFormatting sqref="Q327:Q337">
    <cfRule type="expression" dxfId="265" priority="300">
      <formula>P327="만원당"</formula>
    </cfRule>
  </conditionalFormatting>
  <conditionalFormatting sqref="Q365:Q375">
    <cfRule type="expression" dxfId="264" priority="299">
      <formula>P365="만원당"</formula>
    </cfRule>
  </conditionalFormatting>
  <conditionalFormatting sqref="Q403:Q413">
    <cfRule type="expression" dxfId="263" priority="298">
      <formula>P403="만원당"</formula>
    </cfRule>
  </conditionalFormatting>
  <conditionalFormatting sqref="Q441:Q451">
    <cfRule type="expression" dxfId="262" priority="297">
      <formula>P441="만원당"</formula>
    </cfRule>
  </conditionalFormatting>
  <conditionalFormatting sqref="Q479:Q489">
    <cfRule type="expression" dxfId="261" priority="296">
      <formula>P479="만원당"</formula>
    </cfRule>
  </conditionalFormatting>
  <conditionalFormatting sqref="Q517:Q527">
    <cfRule type="expression" dxfId="260" priority="295">
      <formula>P517="만원당"</formula>
    </cfRule>
  </conditionalFormatting>
  <conditionalFormatting sqref="Q555:Q565">
    <cfRule type="expression" dxfId="259" priority="294">
      <formula>P555="만원당"</formula>
    </cfRule>
  </conditionalFormatting>
  <conditionalFormatting sqref="Q593:Q603">
    <cfRule type="expression" dxfId="258" priority="293">
      <formula>P593="만원당"</formula>
    </cfRule>
  </conditionalFormatting>
  <conditionalFormatting sqref="Q631:Q641">
    <cfRule type="expression" dxfId="257" priority="292">
      <formula>P631="만원당"</formula>
    </cfRule>
  </conditionalFormatting>
  <conditionalFormatting sqref="Q669:Q679">
    <cfRule type="expression" dxfId="256" priority="291">
      <formula>P669="만원당"</formula>
    </cfRule>
  </conditionalFormatting>
  <conditionalFormatting sqref="Q707:Q717">
    <cfRule type="expression" dxfId="255" priority="290">
      <formula>P707="만원당"</formula>
    </cfRule>
  </conditionalFormatting>
  <conditionalFormatting sqref="Q745:Q755">
    <cfRule type="expression" dxfId="254" priority="289">
      <formula>P745="만원당"</formula>
    </cfRule>
  </conditionalFormatting>
  <conditionalFormatting sqref="Q783:Q793">
    <cfRule type="expression" dxfId="253" priority="288">
      <formula>P783="만원당"</formula>
    </cfRule>
  </conditionalFormatting>
  <conditionalFormatting sqref="Q821:Q831">
    <cfRule type="expression" dxfId="252" priority="287">
      <formula>P821="만원당"</formula>
    </cfRule>
  </conditionalFormatting>
  <conditionalFormatting sqref="Q859:Q869">
    <cfRule type="expression" dxfId="251" priority="286">
      <formula>P859="만원당"</formula>
    </cfRule>
  </conditionalFormatting>
  <conditionalFormatting sqref="Q897:Q907">
    <cfRule type="expression" dxfId="250" priority="285">
      <formula>P897="만원당"</formula>
    </cfRule>
  </conditionalFormatting>
  <conditionalFormatting sqref="Q935:Q945">
    <cfRule type="expression" dxfId="249" priority="284">
      <formula>P935="만원당"</formula>
    </cfRule>
  </conditionalFormatting>
  <conditionalFormatting sqref="Q973:Q983">
    <cfRule type="expression" dxfId="248" priority="283">
      <formula>P973="만원당"</formula>
    </cfRule>
  </conditionalFormatting>
  <conditionalFormatting sqref="Q1011:Q1021">
    <cfRule type="expression" dxfId="247" priority="282">
      <formula>P1011="만원당"</formula>
    </cfRule>
  </conditionalFormatting>
  <conditionalFormatting sqref="Q1049:Q1059">
    <cfRule type="expression" dxfId="246" priority="281">
      <formula>P1049="만원당"</formula>
    </cfRule>
  </conditionalFormatting>
  <conditionalFormatting sqref="Q1087:Q1097">
    <cfRule type="expression" dxfId="245" priority="280">
      <formula>P1087="만원당"</formula>
    </cfRule>
  </conditionalFormatting>
  <conditionalFormatting sqref="Q1125:Q1135">
    <cfRule type="expression" dxfId="244" priority="279">
      <formula>P1125="만원당"</formula>
    </cfRule>
  </conditionalFormatting>
  <conditionalFormatting sqref="Q1163:Q1173">
    <cfRule type="expression" dxfId="243" priority="278">
      <formula>P1163="만원당"</formula>
    </cfRule>
  </conditionalFormatting>
  <conditionalFormatting sqref="Q1201:Q1211">
    <cfRule type="expression" dxfId="242" priority="277">
      <formula>P1201="만원당"</formula>
    </cfRule>
  </conditionalFormatting>
  <conditionalFormatting sqref="Q1239:Q1249">
    <cfRule type="expression" dxfId="241" priority="276">
      <formula>P1239="만원당"</formula>
    </cfRule>
  </conditionalFormatting>
  <conditionalFormatting sqref="Q1277:Q1287">
    <cfRule type="expression" dxfId="240" priority="275">
      <formula>P1277="만원당"</formula>
    </cfRule>
  </conditionalFormatting>
  <conditionalFormatting sqref="R12">
    <cfRule type="expression" dxfId="239" priority="274">
      <formula>P12="총액"</formula>
    </cfRule>
  </conditionalFormatting>
  <conditionalFormatting sqref="Q12">
    <cfRule type="expression" dxfId="238" priority="273">
      <formula>P12="총액"</formula>
    </cfRule>
  </conditionalFormatting>
  <conditionalFormatting sqref="R13:R40">
    <cfRule type="expression" dxfId="237" priority="270">
      <formula>P13="총액"</formula>
    </cfRule>
  </conditionalFormatting>
  <conditionalFormatting sqref="Q13:Q40">
    <cfRule type="expression" dxfId="236" priority="269">
      <formula>P13="총액"</formula>
    </cfRule>
  </conditionalFormatting>
  <conditionalFormatting sqref="R205:R210">
    <cfRule type="expression" dxfId="235" priority="268">
      <formula>P205="총액"</formula>
    </cfRule>
  </conditionalFormatting>
  <conditionalFormatting sqref="Q205:Q210">
    <cfRule type="expression" dxfId="234" priority="267">
      <formula>P205="총액"</formula>
    </cfRule>
  </conditionalFormatting>
  <conditionalFormatting sqref="R243:R248">
    <cfRule type="expression" dxfId="233" priority="266">
      <formula>P243="총액"</formula>
    </cfRule>
  </conditionalFormatting>
  <conditionalFormatting sqref="Q243:Q248">
    <cfRule type="expression" dxfId="232" priority="265">
      <formula>P243="총액"</formula>
    </cfRule>
  </conditionalFormatting>
  <conditionalFormatting sqref="R281:R286">
    <cfRule type="expression" dxfId="231" priority="264">
      <formula>P281="총액"</formula>
    </cfRule>
  </conditionalFormatting>
  <conditionalFormatting sqref="Q281:Q286">
    <cfRule type="expression" dxfId="230" priority="263">
      <formula>P281="총액"</formula>
    </cfRule>
  </conditionalFormatting>
  <conditionalFormatting sqref="R319:R324">
    <cfRule type="expression" dxfId="229" priority="262">
      <formula>P319="총액"</formula>
    </cfRule>
  </conditionalFormatting>
  <conditionalFormatting sqref="Q319:Q324">
    <cfRule type="expression" dxfId="228" priority="261">
      <formula>P319="총액"</formula>
    </cfRule>
  </conditionalFormatting>
  <conditionalFormatting sqref="R357:R362">
    <cfRule type="expression" dxfId="227" priority="260">
      <formula>P357="총액"</formula>
    </cfRule>
  </conditionalFormatting>
  <conditionalFormatting sqref="Q357:Q362">
    <cfRule type="expression" dxfId="226" priority="259">
      <formula>P357="총액"</formula>
    </cfRule>
  </conditionalFormatting>
  <conditionalFormatting sqref="R395:R400">
    <cfRule type="expression" dxfId="225" priority="258">
      <formula>P395="총액"</formula>
    </cfRule>
  </conditionalFormatting>
  <conditionalFormatting sqref="Q395:Q400">
    <cfRule type="expression" dxfId="224" priority="257">
      <formula>P395="총액"</formula>
    </cfRule>
  </conditionalFormatting>
  <conditionalFormatting sqref="R433:R438">
    <cfRule type="expression" dxfId="223" priority="256">
      <formula>P433="총액"</formula>
    </cfRule>
  </conditionalFormatting>
  <conditionalFormatting sqref="Q433:Q438">
    <cfRule type="expression" dxfId="222" priority="255">
      <formula>P433="총액"</formula>
    </cfRule>
  </conditionalFormatting>
  <conditionalFormatting sqref="R471:R476">
    <cfRule type="expression" dxfId="221" priority="254">
      <formula>P471="총액"</formula>
    </cfRule>
  </conditionalFormatting>
  <conditionalFormatting sqref="Q471:Q476">
    <cfRule type="expression" dxfId="220" priority="253">
      <formula>P471="총액"</formula>
    </cfRule>
  </conditionalFormatting>
  <conditionalFormatting sqref="R509:R514">
    <cfRule type="expression" dxfId="219" priority="252">
      <formula>P509="총액"</formula>
    </cfRule>
  </conditionalFormatting>
  <conditionalFormatting sqref="Q509:Q514">
    <cfRule type="expression" dxfId="218" priority="251">
      <formula>P509="총액"</formula>
    </cfRule>
  </conditionalFormatting>
  <conditionalFormatting sqref="R547:R552">
    <cfRule type="expression" dxfId="217" priority="250">
      <formula>P547="총액"</formula>
    </cfRule>
  </conditionalFormatting>
  <conditionalFormatting sqref="Q547:Q552">
    <cfRule type="expression" dxfId="216" priority="249">
      <formula>P547="총액"</formula>
    </cfRule>
  </conditionalFormatting>
  <conditionalFormatting sqref="R585:R590">
    <cfRule type="expression" dxfId="215" priority="248">
      <formula>P585="총액"</formula>
    </cfRule>
  </conditionalFormatting>
  <conditionalFormatting sqref="Q585:Q590">
    <cfRule type="expression" dxfId="214" priority="247">
      <formula>P585="총액"</formula>
    </cfRule>
  </conditionalFormatting>
  <conditionalFormatting sqref="R623:R628">
    <cfRule type="expression" dxfId="213" priority="246">
      <formula>P623="총액"</formula>
    </cfRule>
  </conditionalFormatting>
  <conditionalFormatting sqref="Q623:Q628">
    <cfRule type="expression" dxfId="212" priority="245">
      <formula>P623="총액"</formula>
    </cfRule>
  </conditionalFormatting>
  <conditionalFormatting sqref="R661:R666">
    <cfRule type="expression" dxfId="211" priority="244">
      <formula>P661="총액"</formula>
    </cfRule>
  </conditionalFormatting>
  <conditionalFormatting sqref="Q661:Q666">
    <cfRule type="expression" dxfId="210" priority="243">
      <formula>P661="총액"</formula>
    </cfRule>
  </conditionalFormatting>
  <conditionalFormatting sqref="R699:R704">
    <cfRule type="expression" dxfId="209" priority="242">
      <formula>P699="총액"</formula>
    </cfRule>
  </conditionalFormatting>
  <conditionalFormatting sqref="Q699:Q704">
    <cfRule type="expression" dxfId="208" priority="241">
      <formula>P699="총액"</formula>
    </cfRule>
  </conditionalFormatting>
  <conditionalFormatting sqref="R737:R742">
    <cfRule type="expression" dxfId="207" priority="240">
      <formula>P737="총액"</formula>
    </cfRule>
  </conditionalFormatting>
  <conditionalFormatting sqref="Q737:Q742">
    <cfRule type="expression" dxfId="206" priority="239">
      <formula>P737="총액"</formula>
    </cfRule>
  </conditionalFormatting>
  <conditionalFormatting sqref="R775:R780">
    <cfRule type="expression" dxfId="205" priority="238">
      <formula>P775="총액"</formula>
    </cfRule>
  </conditionalFormatting>
  <conditionalFormatting sqref="Q775:Q780">
    <cfRule type="expression" dxfId="204" priority="237">
      <formula>P775="총액"</formula>
    </cfRule>
  </conditionalFormatting>
  <conditionalFormatting sqref="R813:R818">
    <cfRule type="expression" dxfId="203" priority="236">
      <formula>P813="총액"</formula>
    </cfRule>
  </conditionalFormatting>
  <conditionalFormatting sqref="Q813:Q818">
    <cfRule type="expression" dxfId="202" priority="235">
      <formula>P813="총액"</formula>
    </cfRule>
  </conditionalFormatting>
  <conditionalFormatting sqref="R851:R856">
    <cfRule type="expression" dxfId="201" priority="234">
      <formula>P851="총액"</formula>
    </cfRule>
  </conditionalFormatting>
  <conditionalFormatting sqref="Q851:Q856">
    <cfRule type="expression" dxfId="200" priority="233">
      <formula>P851="총액"</formula>
    </cfRule>
  </conditionalFormatting>
  <conditionalFormatting sqref="R889:R894">
    <cfRule type="expression" dxfId="199" priority="232">
      <formula>P889="총액"</formula>
    </cfRule>
  </conditionalFormatting>
  <conditionalFormatting sqref="Q889:Q894">
    <cfRule type="expression" dxfId="198" priority="231">
      <formula>P889="총액"</formula>
    </cfRule>
  </conditionalFormatting>
  <conditionalFormatting sqref="R927:R932">
    <cfRule type="expression" dxfId="197" priority="230">
      <formula>P927="총액"</formula>
    </cfRule>
  </conditionalFormatting>
  <conditionalFormatting sqref="Q927:Q932">
    <cfRule type="expression" dxfId="196" priority="229">
      <formula>P927="총액"</formula>
    </cfRule>
  </conditionalFormatting>
  <conditionalFormatting sqref="R965:R970">
    <cfRule type="expression" dxfId="195" priority="228">
      <formula>P965="총액"</formula>
    </cfRule>
  </conditionalFormatting>
  <conditionalFormatting sqref="Q965:Q970">
    <cfRule type="expression" dxfId="194" priority="227">
      <formula>P965="총액"</formula>
    </cfRule>
  </conditionalFormatting>
  <conditionalFormatting sqref="R1003:R1008">
    <cfRule type="expression" dxfId="193" priority="226">
      <formula>P1003="총액"</formula>
    </cfRule>
  </conditionalFormatting>
  <conditionalFormatting sqref="Q1003:Q1008">
    <cfRule type="expression" dxfId="192" priority="225">
      <formula>P1003="총액"</formula>
    </cfRule>
  </conditionalFormatting>
  <conditionalFormatting sqref="R1041:R1046">
    <cfRule type="expression" dxfId="191" priority="224">
      <formula>P1041="총액"</formula>
    </cfRule>
  </conditionalFormatting>
  <conditionalFormatting sqref="Q1041:Q1046">
    <cfRule type="expression" dxfId="190" priority="223">
      <formula>P1041="총액"</formula>
    </cfRule>
  </conditionalFormatting>
  <conditionalFormatting sqref="R1079:R1084">
    <cfRule type="expression" dxfId="189" priority="222">
      <formula>P1079="총액"</formula>
    </cfRule>
  </conditionalFormatting>
  <conditionalFormatting sqref="Q1079:Q1084">
    <cfRule type="expression" dxfId="188" priority="221">
      <formula>P1079="총액"</formula>
    </cfRule>
  </conditionalFormatting>
  <conditionalFormatting sqref="R1117:R1122">
    <cfRule type="expression" dxfId="187" priority="220">
      <formula>P1117="총액"</formula>
    </cfRule>
  </conditionalFormatting>
  <conditionalFormatting sqref="Q1117:Q1122">
    <cfRule type="expression" dxfId="186" priority="219">
      <formula>P1117="총액"</formula>
    </cfRule>
  </conditionalFormatting>
  <conditionalFormatting sqref="R1155:R1160">
    <cfRule type="expression" dxfId="185" priority="218">
      <formula>P1155="총액"</formula>
    </cfRule>
  </conditionalFormatting>
  <conditionalFormatting sqref="Q1155:Q1160">
    <cfRule type="expression" dxfId="184" priority="217">
      <formula>P1155="총액"</formula>
    </cfRule>
  </conditionalFormatting>
  <conditionalFormatting sqref="R1193:R1198">
    <cfRule type="expression" dxfId="183" priority="216">
      <formula>P1193="총액"</formula>
    </cfRule>
  </conditionalFormatting>
  <conditionalFormatting sqref="Q1193:Q1198">
    <cfRule type="expression" dxfId="182" priority="215">
      <formula>P1193="총액"</formula>
    </cfRule>
  </conditionalFormatting>
  <conditionalFormatting sqref="R1231:R1236">
    <cfRule type="expression" dxfId="181" priority="214">
      <formula>P1231="총액"</formula>
    </cfRule>
  </conditionalFormatting>
  <conditionalFormatting sqref="Q1231:Q1236">
    <cfRule type="expression" dxfId="180" priority="213">
      <formula>P1231="총액"</formula>
    </cfRule>
  </conditionalFormatting>
  <conditionalFormatting sqref="R1269:R1274">
    <cfRule type="expression" dxfId="179" priority="212">
      <formula>P1269="총액"</formula>
    </cfRule>
  </conditionalFormatting>
  <conditionalFormatting sqref="Q1269:Q1274">
    <cfRule type="expression" dxfId="178" priority="211">
      <formula>P1269="총액"</formula>
    </cfRule>
  </conditionalFormatting>
  <conditionalFormatting sqref="AA43:AA192">
    <cfRule type="cellIs" dxfId="177" priority="150" operator="notBetween">
      <formula>0.2</formula>
      <formula>-0.2</formula>
    </cfRule>
  </conditionalFormatting>
  <conditionalFormatting sqref="AA205">
    <cfRule type="cellIs" dxfId="176" priority="149" operator="notBetween">
      <formula>0.2</formula>
      <formula>-0.2</formula>
    </cfRule>
  </conditionalFormatting>
  <conditionalFormatting sqref="AA206:AA210">
    <cfRule type="cellIs" dxfId="175" priority="148" operator="notBetween">
      <formula>0.2</formula>
      <formula>-0.2</formula>
    </cfRule>
  </conditionalFormatting>
  <conditionalFormatting sqref="AA213:AA223">
    <cfRule type="cellIs" dxfId="174" priority="147" operator="notBetween">
      <formula>0.2</formula>
      <formula>-0.2</formula>
    </cfRule>
  </conditionalFormatting>
  <conditionalFormatting sqref="AA243">
    <cfRule type="cellIs" dxfId="173" priority="146" operator="notBetween">
      <formula>0.2</formula>
      <formula>-0.2</formula>
    </cfRule>
  </conditionalFormatting>
  <conditionalFormatting sqref="AA244:AA248">
    <cfRule type="cellIs" dxfId="172" priority="145" operator="notBetween">
      <formula>0.2</formula>
      <formula>-0.2</formula>
    </cfRule>
  </conditionalFormatting>
  <conditionalFormatting sqref="AA251:AA261">
    <cfRule type="cellIs" dxfId="171" priority="144" operator="notBetween">
      <formula>0.2</formula>
      <formula>-0.2</formula>
    </cfRule>
  </conditionalFormatting>
  <conditionalFormatting sqref="AA281">
    <cfRule type="cellIs" dxfId="170" priority="143" operator="notBetween">
      <formula>0.2</formula>
      <formula>-0.2</formula>
    </cfRule>
  </conditionalFormatting>
  <conditionalFormatting sqref="AA282:AA286">
    <cfRule type="cellIs" dxfId="169" priority="142" operator="notBetween">
      <formula>0.2</formula>
      <formula>-0.2</formula>
    </cfRule>
  </conditionalFormatting>
  <conditionalFormatting sqref="AA289:AA299">
    <cfRule type="cellIs" dxfId="168" priority="141" operator="notBetween">
      <formula>0.2</formula>
      <formula>-0.2</formula>
    </cfRule>
  </conditionalFormatting>
  <conditionalFormatting sqref="AA319">
    <cfRule type="cellIs" dxfId="167" priority="140" operator="notBetween">
      <formula>0.2</formula>
      <formula>-0.2</formula>
    </cfRule>
  </conditionalFormatting>
  <conditionalFormatting sqref="AA320:AA324">
    <cfRule type="cellIs" dxfId="166" priority="139" operator="notBetween">
      <formula>0.2</formula>
      <formula>-0.2</formula>
    </cfRule>
  </conditionalFormatting>
  <conditionalFormatting sqref="AA327:AA337">
    <cfRule type="cellIs" dxfId="165" priority="138" operator="notBetween">
      <formula>0.2</formula>
      <formula>-0.2</formula>
    </cfRule>
  </conditionalFormatting>
  <conditionalFormatting sqref="AA357">
    <cfRule type="cellIs" dxfId="164" priority="137" operator="notBetween">
      <formula>0.2</formula>
      <formula>-0.2</formula>
    </cfRule>
  </conditionalFormatting>
  <conditionalFormatting sqref="AA358:AA362">
    <cfRule type="cellIs" dxfId="163" priority="136" operator="notBetween">
      <formula>0.2</formula>
      <formula>-0.2</formula>
    </cfRule>
  </conditionalFormatting>
  <conditionalFormatting sqref="AA365:AA375">
    <cfRule type="cellIs" dxfId="162" priority="135" operator="notBetween">
      <formula>0.2</formula>
      <formula>-0.2</formula>
    </cfRule>
  </conditionalFormatting>
  <conditionalFormatting sqref="AA395">
    <cfRule type="cellIs" dxfId="161" priority="134" operator="notBetween">
      <formula>0.2</formula>
      <formula>-0.2</formula>
    </cfRule>
  </conditionalFormatting>
  <conditionalFormatting sqref="AA396:AA400">
    <cfRule type="cellIs" dxfId="160" priority="133" operator="notBetween">
      <formula>0.2</formula>
      <formula>-0.2</formula>
    </cfRule>
  </conditionalFormatting>
  <conditionalFormatting sqref="AA403:AA413">
    <cfRule type="cellIs" dxfId="159" priority="132" operator="notBetween">
      <formula>0.2</formula>
      <formula>-0.2</formula>
    </cfRule>
  </conditionalFormatting>
  <conditionalFormatting sqref="AA433">
    <cfRule type="cellIs" dxfId="158" priority="131" operator="notBetween">
      <formula>0.2</formula>
      <formula>-0.2</formula>
    </cfRule>
  </conditionalFormatting>
  <conditionalFormatting sqref="AA434:AA438">
    <cfRule type="cellIs" dxfId="157" priority="130" operator="notBetween">
      <formula>0.2</formula>
      <formula>-0.2</formula>
    </cfRule>
  </conditionalFormatting>
  <conditionalFormatting sqref="AA441:AA451">
    <cfRule type="cellIs" dxfId="156" priority="129" operator="notBetween">
      <formula>0.2</formula>
      <formula>-0.2</formula>
    </cfRule>
  </conditionalFormatting>
  <conditionalFormatting sqref="AA471">
    <cfRule type="cellIs" dxfId="155" priority="128" operator="notBetween">
      <formula>0.2</formula>
      <formula>-0.2</formula>
    </cfRule>
  </conditionalFormatting>
  <conditionalFormatting sqref="AA472:AA476">
    <cfRule type="cellIs" dxfId="154" priority="127" operator="notBetween">
      <formula>0.2</formula>
      <formula>-0.2</formula>
    </cfRule>
  </conditionalFormatting>
  <conditionalFormatting sqref="AA479:AA489">
    <cfRule type="cellIs" dxfId="153" priority="126" operator="notBetween">
      <formula>0.2</formula>
      <formula>-0.2</formula>
    </cfRule>
  </conditionalFormatting>
  <conditionalFormatting sqref="AA509">
    <cfRule type="cellIs" dxfId="152" priority="125" operator="notBetween">
      <formula>0.2</formula>
      <formula>-0.2</formula>
    </cfRule>
  </conditionalFormatting>
  <conditionalFormatting sqref="AA510:AA514">
    <cfRule type="cellIs" dxfId="151" priority="124" operator="notBetween">
      <formula>0.2</formula>
      <formula>-0.2</formula>
    </cfRule>
  </conditionalFormatting>
  <conditionalFormatting sqref="AA517:AA527">
    <cfRule type="cellIs" dxfId="150" priority="123" operator="notBetween">
      <formula>0.2</formula>
      <formula>-0.2</formula>
    </cfRule>
  </conditionalFormatting>
  <conditionalFormatting sqref="AA547">
    <cfRule type="cellIs" dxfId="149" priority="122" operator="notBetween">
      <formula>0.2</formula>
      <formula>-0.2</formula>
    </cfRule>
  </conditionalFormatting>
  <conditionalFormatting sqref="AA548:AA552">
    <cfRule type="cellIs" dxfId="148" priority="121" operator="notBetween">
      <formula>0.2</formula>
      <formula>-0.2</formula>
    </cfRule>
  </conditionalFormatting>
  <conditionalFormatting sqref="AA555:AA565">
    <cfRule type="cellIs" dxfId="147" priority="120" operator="notBetween">
      <formula>0.2</formula>
      <formula>-0.2</formula>
    </cfRule>
  </conditionalFormatting>
  <conditionalFormatting sqref="AA585">
    <cfRule type="cellIs" dxfId="146" priority="119" operator="notBetween">
      <formula>0.2</formula>
      <formula>-0.2</formula>
    </cfRule>
  </conditionalFormatting>
  <conditionalFormatting sqref="AA586:AA590">
    <cfRule type="cellIs" dxfId="145" priority="118" operator="notBetween">
      <formula>0.2</formula>
      <formula>-0.2</formula>
    </cfRule>
  </conditionalFormatting>
  <conditionalFormatting sqref="AA593:AA603">
    <cfRule type="cellIs" dxfId="144" priority="117" operator="notBetween">
      <formula>0.2</formula>
      <formula>-0.2</formula>
    </cfRule>
  </conditionalFormatting>
  <conditionalFormatting sqref="AA623">
    <cfRule type="cellIs" dxfId="143" priority="116" operator="notBetween">
      <formula>0.2</formula>
      <formula>-0.2</formula>
    </cfRule>
  </conditionalFormatting>
  <conditionalFormatting sqref="AA624:AA628">
    <cfRule type="cellIs" dxfId="142" priority="115" operator="notBetween">
      <formula>0.2</formula>
      <formula>-0.2</formula>
    </cfRule>
  </conditionalFormatting>
  <conditionalFormatting sqref="AA631:AA641">
    <cfRule type="cellIs" dxfId="141" priority="114" operator="notBetween">
      <formula>0.2</formula>
      <formula>-0.2</formula>
    </cfRule>
  </conditionalFormatting>
  <conditionalFormatting sqref="AA661">
    <cfRule type="cellIs" dxfId="140" priority="113" operator="notBetween">
      <formula>0.2</formula>
      <formula>-0.2</formula>
    </cfRule>
  </conditionalFormatting>
  <conditionalFormatting sqref="AA662:AA666">
    <cfRule type="cellIs" dxfId="139" priority="112" operator="notBetween">
      <formula>0.2</formula>
      <formula>-0.2</formula>
    </cfRule>
  </conditionalFormatting>
  <conditionalFormatting sqref="AA669:AA679">
    <cfRule type="cellIs" dxfId="138" priority="111" operator="notBetween">
      <formula>0.2</formula>
      <formula>-0.2</formula>
    </cfRule>
  </conditionalFormatting>
  <conditionalFormatting sqref="AA699">
    <cfRule type="cellIs" dxfId="137" priority="110" operator="notBetween">
      <formula>0.2</formula>
      <formula>-0.2</formula>
    </cfRule>
  </conditionalFormatting>
  <conditionalFormatting sqref="AA700:AA704">
    <cfRule type="cellIs" dxfId="136" priority="109" operator="notBetween">
      <formula>0.2</formula>
      <formula>-0.2</formula>
    </cfRule>
  </conditionalFormatting>
  <conditionalFormatting sqref="AA707:AA717">
    <cfRule type="cellIs" dxfId="135" priority="108" operator="notBetween">
      <formula>0.2</formula>
      <formula>-0.2</formula>
    </cfRule>
  </conditionalFormatting>
  <conditionalFormatting sqref="AA737">
    <cfRule type="cellIs" dxfId="134" priority="107" operator="notBetween">
      <formula>0.2</formula>
      <formula>-0.2</formula>
    </cfRule>
  </conditionalFormatting>
  <conditionalFormatting sqref="AA738:AA742">
    <cfRule type="cellIs" dxfId="133" priority="106" operator="notBetween">
      <formula>0.2</formula>
      <formula>-0.2</formula>
    </cfRule>
  </conditionalFormatting>
  <conditionalFormatting sqref="AA745:AA755">
    <cfRule type="cellIs" dxfId="132" priority="105" operator="notBetween">
      <formula>0.2</formula>
      <formula>-0.2</formula>
    </cfRule>
  </conditionalFormatting>
  <conditionalFormatting sqref="AA775">
    <cfRule type="cellIs" dxfId="131" priority="104" operator="notBetween">
      <formula>0.2</formula>
      <formula>-0.2</formula>
    </cfRule>
  </conditionalFormatting>
  <conditionalFormatting sqref="AA776:AA780">
    <cfRule type="cellIs" dxfId="130" priority="103" operator="notBetween">
      <formula>0.2</formula>
      <formula>-0.2</formula>
    </cfRule>
  </conditionalFormatting>
  <conditionalFormatting sqref="AA783:AA793">
    <cfRule type="cellIs" dxfId="129" priority="102" operator="notBetween">
      <formula>0.2</formula>
      <formula>-0.2</formula>
    </cfRule>
  </conditionalFormatting>
  <conditionalFormatting sqref="AA813">
    <cfRule type="cellIs" dxfId="128" priority="101" operator="notBetween">
      <formula>0.2</formula>
      <formula>-0.2</formula>
    </cfRule>
  </conditionalFormatting>
  <conditionalFormatting sqref="AA814:AA818">
    <cfRule type="cellIs" dxfId="127" priority="100" operator="notBetween">
      <formula>0.2</formula>
      <formula>-0.2</formula>
    </cfRule>
  </conditionalFormatting>
  <conditionalFormatting sqref="AA821:AA831">
    <cfRule type="cellIs" dxfId="126" priority="99" operator="notBetween">
      <formula>0.2</formula>
      <formula>-0.2</formula>
    </cfRule>
  </conditionalFormatting>
  <conditionalFormatting sqref="AA851">
    <cfRule type="cellIs" dxfId="125" priority="98" operator="notBetween">
      <formula>0.2</formula>
      <formula>-0.2</formula>
    </cfRule>
  </conditionalFormatting>
  <conditionalFormatting sqref="AA852:AA856">
    <cfRule type="cellIs" dxfId="124" priority="97" operator="notBetween">
      <formula>0.2</formula>
      <formula>-0.2</formula>
    </cfRule>
  </conditionalFormatting>
  <conditionalFormatting sqref="AA859:AA869">
    <cfRule type="cellIs" dxfId="123" priority="96" operator="notBetween">
      <formula>0.2</formula>
      <formula>-0.2</formula>
    </cfRule>
  </conditionalFormatting>
  <conditionalFormatting sqref="AA889">
    <cfRule type="cellIs" dxfId="122" priority="95" operator="notBetween">
      <formula>0.2</formula>
      <formula>-0.2</formula>
    </cfRule>
  </conditionalFormatting>
  <conditionalFormatting sqref="AA890:AA894">
    <cfRule type="cellIs" dxfId="121" priority="94" operator="notBetween">
      <formula>0.2</formula>
      <formula>-0.2</formula>
    </cfRule>
  </conditionalFormatting>
  <conditionalFormatting sqref="AA897:AA907">
    <cfRule type="cellIs" dxfId="120" priority="93" operator="notBetween">
      <formula>0.2</formula>
      <formula>-0.2</formula>
    </cfRule>
  </conditionalFormatting>
  <conditionalFormatting sqref="AA927">
    <cfRule type="cellIs" dxfId="119" priority="92" operator="notBetween">
      <formula>0.2</formula>
      <formula>-0.2</formula>
    </cfRule>
  </conditionalFormatting>
  <conditionalFormatting sqref="AA928:AA932">
    <cfRule type="cellIs" dxfId="118" priority="91" operator="notBetween">
      <formula>0.2</formula>
      <formula>-0.2</formula>
    </cfRule>
  </conditionalFormatting>
  <conditionalFormatting sqref="AA935:AA945">
    <cfRule type="cellIs" dxfId="117" priority="90" operator="notBetween">
      <formula>0.2</formula>
      <formula>-0.2</formula>
    </cfRule>
  </conditionalFormatting>
  <conditionalFormatting sqref="AA965">
    <cfRule type="cellIs" dxfId="116" priority="89" operator="notBetween">
      <formula>0.2</formula>
      <formula>-0.2</formula>
    </cfRule>
  </conditionalFormatting>
  <conditionalFormatting sqref="AA966:AA970">
    <cfRule type="cellIs" dxfId="115" priority="88" operator="notBetween">
      <formula>0.2</formula>
      <formula>-0.2</formula>
    </cfRule>
  </conditionalFormatting>
  <conditionalFormatting sqref="AA973:AA983">
    <cfRule type="cellIs" dxfId="114" priority="87" operator="notBetween">
      <formula>0.2</formula>
      <formula>-0.2</formula>
    </cfRule>
  </conditionalFormatting>
  <conditionalFormatting sqref="AA1003">
    <cfRule type="cellIs" dxfId="113" priority="86" operator="notBetween">
      <formula>0.2</formula>
      <formula>-0.2</formula>
    </cfRule>
  </conditionalFormatting>
  <conditionalFormatting sqref="AA1004:AA1008">
    <cfRule type="cellIs" dxfId="112" priority="85" operator="notBetween">
      <formula>0.2</formula>
      <formula>-0.2</formula>
    </cfRule>
  </conditionalFormatting>
  <conditionalFormatting sqref="AA1011:AA1021">
    <cfRule type="cellIs" dxfId="111" priority="84" operator="notBetween">
      <formula>0.2</formula>
      <formula>-0.2</formula>
    </cfRule>
  </conditionalFormatting>
  <conditionalFormatting sqref="AA1041">
    <cfRule type="cellIs" dxfId="110" priority="83" operator="notBetween">
      <formula>0.2</formula>
      <formula>-0.2</formula>
    </cfRule>
  </conditionalFormatting>
  <conditionalFormatting sqref="AA1042:AA1046">
    <cfRule type="cellIs" dxfId="109" priority="82" operator="notBetween">
      <formula>0.2</formula>
      <formula>-0.2</formula>
    </cfRule>
  </conditionalFormatting>
  <conditionalFormatting sqref="AA1049:AA1059">
    <cfRule type="cellIs" dxfId="108" priority="81" operator="notBetween">
      <formula>0.2</formula>
      <formula>-0.2</formula>
    </cfRule>
  </conditionalFormatting>
  <conditionalFormatting sqref="AA1079">
    <cfRule type="cellIs" dxfId="107" priority="80" operator="notBetween">
      <formula>0.2</formula>
      <formula>-0.2</formula>
    </cfRule>
  </conditionalFormatting>
  <conditionalFormatting sqref="AA1080:AA1084">
    <cfRule type="cellIs" dxfId="106" priority="79" operator="notBetween">
      <formula>0.2</formula>
      <formula>-0.2</formula>
    </cfRule>
  </conditionalFormatting>
  <conditionalFormatting sqref="AA1087:AA1097">
    <cfRule type="cellIs" dxfId="105" priority="78" operator="notBetween">
      <formula>0.2</formula>
      <formula>-0.2</formula>
    </cfRule>
  </conditionalFormatting>
  <conditionalFormatting sqref="AA1117">
    <cfRule type="cellIs" dxfId="104" priority="77" operator="notBetween">
      <formula>0.2</formula>
      <formula>-0.2</formula>
    </cfRule>
  </conditionalFormatting>
  <conditionalFormatting sqref="AA1118:AA1122">
    <cfRule type="cellIs" dxfId="103" priority="76" operator="notBetween">
      <formula>0.2</formula>
      <formula>-0.2</formula>
    </cfRule>
  </conditionalFormatting>
  <conditionalFormatting sqref="AA1125:AA1135">
    <cfRule type="cellIs" dxfId="102" priority="75" operator="notBetween">
      <formula>0.2</formula>
      <formula>-0.2</formula>
    </cfRule>
  </conditionalFormatting>
  <conditionalFormatting sqref="AA1155">
    <cfRule type="cellIs" dxfId="101" priority="74" operator="notBetween">
      <formula>0.2</formula>
      <formula>-0.2</formula>
    </cfRule>
  </conditionalFormatting>
  <conditionalFormatting sqref="AA1156:AA1160">
    <cfRule type="cellIs" dxfId="100" priority="73" operator="notBetween">
      <formula>0.2</formula>
      <formula>-0.2</formula>
    </cfRule>
  </conditionalFormatting>
  <conditionalFormatting sqref="AA1163:AA1173">
    <cfRule type="cellIs" dxfId="99" priority="72" operator="notBetween">
      <formula>0.2</formula>
      <formula>-0.2</formula>
    </cfRule>
  </conditionalFormatting>
  <conditionalFormatting sqref="AA1193">
    <cfRule type="cellIs" dxfId="98" priority="71" operator="notBetween">
      <formula>0.2</formula>
      <formula>-0.2</formula>
    </cfRule>
  </conditionalFormatting>
  <conditionalFormatting sqref="AA1194:AA1198">
    <cfRule type="cellIs" dxfId="97" priority="70" operator="notBetween">
      <formula>0.2</formula>
      <formula>-0.2</formula>
    </cfRule>
  </conditionalFormatting>
  <conditionalFormatting sqref="AA1201:AA1211">
    <cfRule type="cellIs" dxfId="96" priority="69" operator="notBetween">
      <formula>0.2</formula>
      <formula>-0.2</formula>
    </cfRule>
  </conditionalFormatting>
  <conditionalFormatting sqref="AA1231">
    <cfRule type="cellIs" dxfId="95" priority="68" operator="notBetween">
      <formula>0.2</formula>
      <formula>-0.2</formula>
    </cfRule>
  </conditionalFormatting>
  <conditionalFormatting sqref="AA1232:AA1236">
    <cfRule type="cellIs" dxfId="94" priority="67" operator="notBetween">
      <formula>0.2</formula>
      <formula>-0.2</formula>
    </cfRule>
  </conditionalFormatting>
  <conditionalFormatting sqref="AA1239:AA1249">
    <cfRule type="cellIs" dxfId="93" priority="66" operator="notBetween">
      <formula>0.2</formula>
      <formula>-0.2</formula>
    </cfRule>
  </conditionalFormatting>
  <conditionalFormatting sqref="AA1269">
    <cfRule type="cellIs" dxfId="92" priority="65" operator="notBetween">
      <formula>0.2</formula>
      <formula>-0.2</formula>
    </cfRule>
  </conditionalFormatting>
  <conditionalFormatting sqref="AA1270:AA1274">
    <cfRule type="cellIs" dxfId="91" priority="64" operator="notBetween">
      <formula>0.2</formula>
      <formula>-0.2</formula>
    </cfRule>
  </conditionalFormatting>
  <conditionalFormatting sqref="AA1277:AA1287">
    <cfRule type="cellIs" dxfId="90" priority="63" operator="notBetween">
      <formula>0.2</formula>
      <formula>-0.2</formula>
    </cfRule>
  </conditionalFormatting>
  <conditionalFormatting sqref="AG44">
    <cfRule type="expression" dxfId="89" priority="62">
      <formula>OR(T44="MTP",T44="과거거래 이용법",T44="취득원가 준용",T44="장부가액 준용",T44="상장종가 적용")</formula>
    </cfRule>
  </conditionalFormatting>
  <conditionalFormatting sqref="AH44">
    <cfRule type="expression" dxfId="88" priority="61">
      <formula>OR(T44="MTP",T44="과거거래 이용법",T44="취득원가 준용",T44="장부가액 준용",T44="상장종가 적용")</formula>
    </cfRule>
  </conditionalFormatting>
  <conditionalFormatting sqref="AG45:AG192">
    <cfRule type="expression" dxfId="87" priority="60">
      <formula>OR(T45="MTP",T45="과거거래 이용법",T45="취득원가 준용",T45="장부가액 준용",T45="상장종가 적용")</formula>
    </cfRule>
  </conditionalFormatting>
  <conditionalFormatting sqref="AH45:AH192">
    <cfRule type="expression" dxfId="86" priority="59">
      <formula>OR(T45="MTP",T45="과거거래 이용법",T45="취득원가 준용",T45="장부가액 준용",T45="상장종가 적용")</formula>
    </cfRule>
  </conditionalFormatting>
  <conditionalFormatting sqref="AG213:AG223">
    <cfRule type="expression" dxfId="85" priority="58">
      <formula>OR(T213="MTP",T213="과거거래 이용법",T213="취득원가 준용",T213="장부가액 준용",T213="상장종가 적용")</formula>
    </cfRule>
  </conditionalFormatting>
  <conditionalFormatting sqref="AH213:AH223">
    <cfRule type="expression" dxfId="84" priority="57">
      <formula>OR(T213="MTP",T213="과거거래 이용법",T213="취득원가 준용",T213="장부가액 준용",T213="상장종가 적용")</formula>
    </cfRule>
  </conditionalFormatting>
  <conditionalFormatting sqref="AG251:AG261">
    <cfRule type="expression" dxfId="83" priority="56">
      <formula>OR(T251="MTP",T251="과거거래 이용법",T251="취득원가 준용",T251="장부가액 준용",T251="상장종가 적용")</formula>
    </cfRule>
  </conditionalFormatting>
  <conditionalFormatting sqref="AH251:AH261">
    <cfRule type="expression" dxfId="82" priority="55">
      <formula>OR(T251="MTP",T251="과거거래 이용법",T251="취득원가 준용",T251="장부가액 준용",T251="상장종가 적용")</formula>
    </cfRule>
  </conditionalFormatting>
  <conditionalFormatting sqref="AG289:AG299">
    <cfRule type="expression" dxfId="81" priority="54">
      <formula>OR(T289="MTP",T289="과거거래 이용법",T289="취득원가 준용",T289="장부가액 준용",T289="상장종가 적용")</formula>
    </cfRule>
  </conditionalFormatting>
  <conditionalFormatting sqref="AH289:AH299">
    <cfRule type="expression" dxfId="80" priority="53">
      <formula>OR(T289="MTP",T289="과거거래 이용법",T289="취득원가 준용",T289="장부가액 준용",T289="상장종가 적용")</formula>
    </cfRule>
  </conditionalFormatting>
  <conditionalFormatting sqref="AG327:AG337">
    <cfRule type="expression" dxfId="79" priority="52">
      <formula>OR(T327="MTP",T327="과거거래 이용법",T327="취득원가 준용",T327="장부가액 준용",T327="상장종가 적용")</formula>
    </cfRule>
  </conditionalFormatting>
  <conditionalFormatting sqref="AH327:AH337">
    <cfRule type="expression" dxfId="78" priority="51">
      <formula>OR(T327="MTP",T327="과거거래 이용법",T327="취득원가 준용",T327="장부가액 준용",T327="상장종가 적용")</formula>
    </cfRule>
  </conditionalFormatting>
  <conditionalFormatting sqref="AG365:AG375">
    <cfRule type="expression" dxfId="77" priority="50">
      <formula>OR(T365="MTP",T365="과거거래 이용법",T365="취득원가 준용",T365="장부가액 준용",T365="상장종가 적용")</formula>
    </cfRule>
  </conditionalFormatting>
  <conditionalFormatting sqref="AH365:AH375">
    <cfRule type="expression" dxfId="76" priority="49">
      <formula>OR(T365="MTP",T365="과거거래 이용법",T365="취득원가 준용",T365="장부가액 준용",T365="상장종가 적용")</formula>
    </cfRule>
  </conditionalFormatting>
  <conditionalFormatting sqref="AG403:AG413">
    <cfRule type="expression" dxfId="75" priority="48">
      <formula>OR(T403="MTP",T403="과거거래 이용법",T403="취득원가 준용",T403="장부가액 준용",T403="상장종가 적용")</formula>
    </cfRule>
  </conditionalFormatting>
  <conditionalFormatting sqref="AH403:AH413">
    <cfRule type="expression" dxfId="74" priority="47">
      <formula>OR(T403="MTP",T403="과거거래 이용법",T403="취득원가 준용",T403="장부가액 준용",T403="상장종가 적용")</formula>
    </cfRule>
  </conditionalFormatting>
  <conditionalFormatting sqref="AG441:AG451">
    <cfRule type="expression" dxfId="73" priority="46">
      <formula>OR(T441="MTP",T441="과거거래 이용법",T441="취득원가 준용",T441="장부가액 준용",T441="상장종가 적용")</formula>
    </cfRule>
  </conditionalFormatting>
  <conditionalFormatting sqref="AH441:AH451">
    <cfRule type="expression" dxfId="72" priority="45">
      <formula>OR(T441="MTP",T441="과거거래 이용법",T441="취득원가 준용",T441="장부가액 준용",T441="상장종가 적용")</formula>
    </cfRule>
  </conditionalFormatting>
  <conditionalFormatting sqref="AG479:AG489">
    <cfRule type="expression" dxfId="71" priority="44">
      <formula>OR(T479="MTP",T479="과거거래 이용법",T479="취득원가 준용",T479="장부가액 준용",T479="상장종가 적용")</formula>
    </cfRule>
  </conditionalFormatting>
  <conditionalFormatting sqref="AH479:AH489">
    <cfRule type="expression" dxfId="70" priority="43">
      <formula>OR(T479="MTP",T479="과거거래 이용법",T479="취득원가 준용",T479="장부가액 준용",T479="상장종가 적용")</formula>
    </cfRule>
  </conditionalFormatting>
  <conditionalFormatting sqref="AG517:AG527">
    <cfRule type="expression" dxfId="69" priority="42">
      <formula>OR(T517="MTP",T517="과거거래 이용법",T517="취득원가 준용",T517="장부가액 준용",T517="상장종가 적용")</formula>
    </cfRule>
  </conditionalFormatting>
  <conditionalFormatting sqref="AH517:AH527">
    <cfRule type="expression" dxfId="68" priority="41">
      <formula>OR(T517="MTP",T517="과거거래 이용법",T517="취득원가 준용",T517="장부가액 준용",T517="상장종가 적용")</formula>
    </cfRule>
  </conditionalFormatting>
  <conditionalFormatting sqref="AG555:AG565">
    <cfRule type="expression" dxfId="67" priority="40">
      <formula>OR(T555="MTP",T555="과거거래 이용법",T555="취득원가 준용",T555="장부가액 준용",T555="상장종가 적용")</formula>
    </cfRule>
  </conditionalFormatting>
  <conditionalFormatting sqref="AH555:AH565">
    <cfRule type="expression" dxfId="66" priority="39">
      <formula>OR(T555="MTP",T555="과거거래 이용법",T555="취득원가 준용",T555="장부가액 준용",T555="상장종가 적용")</formula>
    </cfRule>
  </conditionalFormatting>
  <conditionalFormatting sqref="AG593:AG603">
    <cfRule type="expression" dxfId="65" priority="38">
      <formula>OR(T593="MTP",T593="과거거래 이용법",T593="취득원가 준용",T593="장부가액 준용",T593="상장종가 적용")</formula>
    </cfRule>
  </conditionalFormatting>
  <conditionalFormatting sqref="AH593:AH603">
    <cfRule type="expression" dxfId="64" priority="37">
      <formula>OR(T593="MTP",T593="과거거래 이용법",T593="취득원가 준용",T593="장부가액 준용",T593="상장종가 적용")</formula>
    </cfRule>
  </conditionalFormatting>
  <conditionalFormatting sqref="AG631:AG641">
    <cfRule type="expression" dxfId="63" priority="36">
      <formula>OR(T631="MTP",T631="과거거래 이용법",T631="취득원가 준용",T631="장부가액 준용",T631="상장종가 적용")</formula>
    </cfRule>
  </conditionalFormatting>
  <conditionalFormatting sqref="AH631:AH641">
    <cfRule type="expression" dxfId="62" priority="35">
      <formula>OR(T631="MTP",T631="과거거래 이용법",T631="취득원가 준용",T631="장부가액 준용",T631="상장종가 적용")</formula>
    </cfRule>
  </conditionalFormatting>
  <conditionalFormatting sqref="AG669:AG679">
    <cfRule type="expression" dxfId="61" priority="34">
      <formula>OR(T669="MTP",T669="과거거래 이용법",T669="취득원가 준용",T669="장부가액 준용",T669="상장종가 적용")</formula>
    </cfRule>
  </conditionalFormatting>
  <conditionalFormatting sqref="AH669:AH679">
    <cfRule type="expression" dxfId="60" priority="33">
      <formula>OR(T669="MTP",T669="과거거래 이용법",T669="취득원가 준용",T669="장부가액 준용",T669="상장종가 적용")</formula>
    </cfRule>
  </conditionalFormatting>
  <conditionalFormatting sqref="AG707:AG717">
    <cfRule type="expression" dxfId="59" priority="32">
      <formula>OR(T707="MTP",T707="과거거래 이용법",T707="취득원가 준용",T707="장부가액 준용",T707="상장종가 적용")</formula>
    </cfRule>
  </conditionalFormatting>
  <conditionalFormatting sqref="AH707:AH717">
    <cfRule type="expression" dxfId="58" priority="31">
      <formula>OR(T707="MTP",T707="과거거래 이용법",T707="취득원가 준용",T707="장부가액 준용",T707="상장종가 적용")</formula>
    </cfRule>
  </conditionalFormatting>
  <conditionalFormatting sqref="AG745:AG755">
    <cfRule type="expression" dxfId="57" priority="30">
      <formula>OR(T745="MTP",T745="과거거래 이용법",T745="취득원가 준용",T745="장부가액 준용",T745="상장종가 적용")</formula>
    </cfRule>
  </conditionalFormatting>
  <conditionalFormatting sqref="AH745:AH755">
    <cfRule type="expression" dxfId="56" priority="29">
      <formula>OR(T745="MTP",T745="과거거래 이용법",T745="취득원가 준용",T745="장부가액 준용",T745="상장종가 적용")</formula>
    </cfRule>
  </conditionalFormatting>
  <conditionalFormatting sqref="AG783:AG793">
    <cfRule type="expression" dxfId="55" priority="28">
      <formula>OR(T783="MTP",T783="과거거래 이용법",T783="취득원가 준용",T783="장부가액 준용",T783="상장종가 적용")</formula>
    </cfRule>
  </conditionalFormatting>
  <conditionalFormatting sqref="AH783:AH793">
    <cfRule type="expression" dxfId="54" priority="27">
      <formula>OR(T783="MTP",T783="과거거래 이용법",T783="취득원가 준용",T783="장부가액 준용",T783="상장종가 적용")</formula>
    </cfRule>
  </conditionalFormatting>
  <conditionalFormatting sqref="AG821:AG831">
    <cfRule type="expression" dxfId="53" priority="26">
      <formula>OR(T821="MTP",T821="과거거래 이용법",T821="취득원가 준용",T821="장부가액 준용",T821="상장종가 적용")</formula>
    </cfRule>
  </conditionalFormatting>
  <conditionalFormatting sqref="AH821:AH831">
    <cfRule type="expression" dxfId="52" priority="25">
      <formula>OR(T821="MTP",T821="과거거래 이용법",T821="취득원가 준용",T821="장부가액 준용",T821="상장종가 적용")</formula>
    </cfRule>
  </conditionalFormatting>
  <conditionalFormatting sqref="AG859:AG869">
    <cfRule type="expression" dxfId="51" priority="24">
      <formula>OR(T859="MTP",T859="과거거래 이용법",T859="취득원가 준용",T859="장부가액 준용",T859="상장종가 적용")</formula>
    </cfRule>
  </conditionalFormatting>
  <conditionalFormatting sqref="AH859:AH869">
    <cfRule type="expression" dxfId="50" priority="23">
      <formula>OR(T859="MTP",T859="과거거래 이용법",T859="취득원가 준용",T859="장부가액 준용",T859="상장종가 적용")</formula>
    </cfRule>
  </conditionalFormatting>
  <conditionalFormatting sqref="AG897:AG907">
    <cfRule type="expression" dxfId="49" priority="22">
      <formula>OR(T897="MTP",T897="과거거래 이용법",T897="취득원가 준용",T897="장부가액 준용",T897="상장종가 적용")</formula>
    </cfRule>
  </conditionalFormatting>
  <conditionalFormatting sqref="AH897:AH907">
    <cfRule type="expression" dxfId="48" priority="21">
      <formula>OR(T897="MTP",T897="과거거래 이용법",T897="취득원가 준용",T897="장부가액 준용",T897="상장종가 적용")</formula>
    </cfRule>
  </conditionalFormatting>
  <conditionalFormatting sqref="AG935:AG945">
    <cfRule type="expression" dxfId="47" priority="20">
      <formula>OR(T935="MTP",T935="과거거래 이용법",T935="취득원가 준용",T935="장부가액 준용",T935="상장종가 적용")</formula>
    </cfRule>
  </conditionalFormatting>
  <conditionalFormatting sqref="AH935:AH945">
    <cfRule type="expression" dxfId="46" priority="19">
      <formula>OR(T935="MTP",T935="과거거래 이용법",T935="취득원가 준용",T935="장부가액 준용",T935="상장종가 적용")</formula>
    </cfRule>
  </conditionalFormatting>
  <conditionalFormatting sqref="AG973:AG983">
    <cfRule type="expression" dxfId="45" priority="18">
      <formula>OR(T973="MTP",T973="과거거래 이용법",T973="취득원가 준용",T973="장부가액 준용",T973="상장종가 적용")</formula>
    </cfRule>
  </conditionalFormatting>
  <conditionalFormatting sqref="AH973:AH983">
    <cfRule type="expression" dxfId="44" priority="17">
      <formula>OR(T973="MTP",T973="과거거래 이용법",T973="취득원가 준용",T973="장부가액 준용",T973="상장종가 적용")</formula>
    </cfRule>
  </conditionalFormatting>
  <conditionalFormatting sqref="AG1011:AG1021">
    <cfRule type="expression" dxfId="43" priority="16">
      <formula>OR(T1011="MTP",T1011="과거거래 이용법",T1011="취득원가 준용",T1011="장부가액 준용",T1011="상장종가 적용")</formula>
    </cfRule>
  </conditionalFormatting>
  <conditionalFormatting sqref="AH1011:AH1021">
    <cfRule type="expression" dxfId="42" priority="15">
      <formula>OR(T1011="MTP",T1011="과거거래 이용법",T1011="취득원가 준용",T1011="장부가액 준용",T1011="상장종가 적용")</formula>
    </cfRule>
  </conditionalFormatting>
  <conditionalFormatting sqref="AG1049:AG1059">
    <cfRule type="expression" dxfId="41" priority="14">
      <formula>OR(T1049="MTP",T1049="과거거래 이용법",T1049="취득원가 준용",T1049="장부가액 준용",T1049="상장종가 적용")</formula>
    </cfRule>
  </conditionalFormatting>
  <conditionalFormatting sqref="AH1049:AH1059">
    <cfRule type="expression" dxfId="40" priority="13">
      <formula>OR(T1049="MTP",T1049="과거거래 이용법",T1049="취득원가 준용",T1049="장부가액 준용",T1049="상장종가 적용")</formula>
    </cfRule>
  </conditionalFormatting>
  <conditionalFormatting sqref="AG1087:AG1097">
    <cfRule type="expression" dxfId="39" priority="12">
      <formula>OR(T1087="MTP",T1087="과거거래 이용법",T1087="취득원가 준용",T1087="장부가액 준용",T1087="상장종가 적용")</formula>
    </cfRule>
  </conditionalFormatting>
  <conditionalFormatting sqref="AH1087:AH1097">
    <cfRule type="expression" dxfId="38" priority="11">
      <formula>OR(T1087="MTP",T1087="과거거래 이용법",T1087="취득원가 준용",T1087="장부가액 준용",T1087="상장종가 적용")</formula>
    </cfRule>
  </conditionalFormatting>
  <conditionalFormatting sqref="AG1125:AG1135">
    <cfRule type="expression" dxfId="37" priority="10">
      <formula>OR(T1125="MTP",T1125="과거거래 이용법",T1125="취득원가 준용",T1125="장부가액 준용",T1125="상장종가 적용")</formula>
    </cfRule>
  </conditionalFormatting>
  <conditionalFormatting sqref="AH1125:AH1135">
    <cfRule type="expression" dxfId="36" priority="9">
      <formula>OR(T1125="MTP",T1125="과거거래 이용법",T1125="취득원가 준용",T1125="장부가액 준용",T1125="상장종가 적용")</formula>
    </cfRule>
  </conditionalFormatting>
  <conditionalFormatting sqref="AG1163:AG1173">
    <cfRule type="expression" dxfId="35" priority="8">
      <formula>OR(T1163="MTP",T1163="과거거래 이용법",T1163="취득원가 준용",T1163="장부가액 준용",T1163="상장종가 적용")</formula>
    </cfRule>
  </conditionalFormatting>
  <conditionalFormatting sqref="AH1163:AH1173">
    <cfRule type="expression" dxfId="34" priority="7">
      <formula>OR(T1163="MTP",T1163="과거거래 이용법",T1163="취득원가 준용",T1163="장부가액 준용",T1163="상장종가 적용")</formula>
    </cfRule>
  </conditionalFormatting>
  <conditionalFormatting sqref="AG1201:AG1211">
    <cfRule type="expression" dxfId="33" priority="6">
      <formula>OR(T1201="MTP",T1201="과거거래 이용법",T1201="취득원가 준용",T1201="장부가액 준용",T1201="상장종가 적용")</formula>
    </cfRule>
  </conditionalFormatting>
  <conditionalFormatting sqref="AH1201:AH1211">
    <cfRule type="expression" dxfId="32" priority="5">
      <formula>OR(T1201="MTP",T1201="과거거래 이용법",T1201="취득원가 준용",T1201="장부가액 준용",T1201="상장종가 적용")</formula>
    </cfRule>
  </conditionalFormatting>
  <conditionalFormatting sqref="AG1239:AG1249">
    <cfRule type="expression" dxfId="31" priority="4">
      <formula>OR(T1239="MTP",T1239="과거거래 이용법",T1239="취득원가 준용",T1239="장부가액 준용",T1239="상장종가 적용")</formula>
    </cfRule>
  </conditionalFormatting>
  <conditionalFormatting sqref="AH1239:AH1249">
    <cfRule type="expression" dxfId="30" priority="3">
      <formula>OR(T1239="MTP",T1239="과거거래 이용법",T1239="취득원가 준용",T1239="장부가액 준용",T1239="상장종가 적용")</formula>
    </cfRule>
  </conditionalFormatting>
  <conditionalFormatting sqref="AG1277:AG1287">
    <cfRule type="expression" dxfId="29" priority="2">
      <formula>OR(T1277="MTP",T1277="과거거래 이용법",T1277="취득원가 준용",T1277="장부가액 준용",T1277="상장종가 적용")</formula>
    </cfRule>
  </conditionalFormatting>
  <conditionalFormatting sqref="AH1277:AH1287">
    <cfRule type="expression" dxfId="28" priority="1">
      <formula>OR(T1277="MTP",T1277="과거거래 이용법",T1277="취득원가 준용",T1277="장부가액 준용",T1277="상장종가 적용")</formula>
    </cfRule>
  </conditionalFormatting>
  <dataValidations xWindow="710" yWindow="553" count="3">
    <dataValidation type="list" allowBlank="1" showInputMessage="1" showErrorMessage="1" promptTitle="계산단위" prompt="CB EB BW 등 채권 : 만원당_x000a_보통주 우선주 등 주식 : 주당" sqref="P365:P375 P213:P223 P441:P451 P251:P261 P43:P192 P289:P299 P403:P413 P479:P489 P669:P679 P555:P565 P707:P717 P593:P603 P783:P793 P859:P869 P517:P527 P897:P907 P745:P755 P821:P831 P631:P641 P1049:P1059 P935:P945 P1087:P1097 P973:P983 P1163:P1173 P1239:P1249 P1277:P1287 P1125:P1135 P1201:P1211 P1011:P1021 P327:P337">
      <formula1>"주당, 만원당"</formula1>
    </dataValidation>
    <dataValidation type="list" allowBlank="1" showInputMessage="1" showErrorMessage="1" promptTitle="계산단위" sqref="P12:P40 P1041:P1046 P205:P210 P243:P248 P281:P286 P319:P324 P357:P362 P395:P400 P433:P438 P699:P704 P737:P742 P471:P476 P509:P514 P547:P552 P775:P780 P813:P818 P851:P856 P585:P590 P623:P628 P661:P666 P1079:P1084 P1117:P1122 P889:P894 P927:P932 P1155:P1160 P1193:P1198 P1231:P1236 P965:P970 P1003:P1008 P1269:P1274">
      <formula1>"총액, 주당"</formula1>
    </dataValidation>
    <dataValidation type="list" allowBlank="1" showInputMessage="1" showErrorMessage="1" sqref="M227 M569 M873 M835 M645 M607 M683 M721 M530 M417 M493 M455 M265 M303 M341 M379 M759 M911 M797 M949 M1253 M1215 M1025 M987 M1063 M1101 M1139 M1291 M1177">
      <formula1>$J$57:$J$221</formula1>
    </dataValidation>
  </dataValidations>
  <pageMargins left="0.7" right="0.7" top="0.75" bottom="0.75" header="0.3" footer="0.3"/>
  <pageSetup paperSize="9" orientation="portrait" r:id="rId1"/>
  <ignoredErrors>
    <ignoredError sqref="E2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56" r:id="rId4" name="Button 160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199</xdr:row>
                    <xdr:rowOff>85725</xdr:rowOff>
                  </from>
                  <to>
                    <xdr:col>0</xdr:col>
                    <xdr:colOff>609600</xdr:colOff>
                    <xdr:row>201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5" name="Button 161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237</xdr:row>
                    <xdr:rowOff>76200</xdr:rowOff>
                  </from>
                  <to>
                    <xdr:col>0</xdr:col>
                    <xdr:colOff>609600</xdr:colOff>
                    <xdr:row>239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6" name="Button 162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275</xdr:row>
                    <xdr:rowOff>85725</xdr:rowOff>
                  </from>
                  <to>
                    <xdr:col>0</xdr:col>
                    <xdr:colOff>609600</xdr:colOff>
                    <xdr:row>277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7" name="Button 164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313</xdr:row>
                    <xdr:rowOff>85725</xdr:rowOff>
                  </from>
                  <to>
                    <xdr:col>0</xdr:col>
                    <xdr:colOff>609600</xdr:colOff>
                    <xdr:row>315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8" name="Button 165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351</xdr:row>
                    <xdr:rowOff>85725</xdr:rowOff>
                  </from>
                  <to>
                    <xdr:col>0</xdr:col>
                    <xdr:colOff>609600</xdr:colOff>
                    <xdr:row>353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9" name="Button 166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389</xdr:row>
                    <xdr:rowOff>85725</xdr:rowOff>
                  </from>
                  <to>
                    <xdr:col>0</xdr:col>
                    <xdr:colOff>609600</xdr:colOff>
                    <xdr:row>391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0" name="Button 167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427</xdr:row>
                    <xdr:rowOff>85725</xdr:rowOff>
                  </from>
                  <to>
                    <xdr:col>0</xdr:col>
                    <xdr:colOff>609600</xdr:colOff>
                    <xdr:row>429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1" name="Button 168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465</xdr:row>
                    <xdr:rowOff>85725</xdr:rowOff>
                  </from>
                  <to>
                    <xdr:col>0</xdr:col>
                    <xdr:colOff>609600</xdr:colOff>
                    <xdr:row>467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2" name="Button 169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503</xdr:row>
                    <xdr:rowOff>85725</xdr:rowOff>
                  </from>
                  <to>
                    <xdr:col>0</xdr:col>
                    <xdr:colOff>609600</xdr:colOff>
                    <xdr:row>505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3" name="Button 170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541</xdr:row>
                    <xdr:rowOff>85725</xdr:rowOff>
                  </from>
                  <to>
                    <xdr:col>0</xdr:col>
                    <xdr:colOff>609600</xdr:colOff>
                    <xdr:row>543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4" name="Button 171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579</xdr:row>
                    <xdr:rowOff>85725</xdr:rowOff>
                  </from>
                  <to>
                    <xdr:col>0</xdr:col>
                    <xdr:colOff>609600</xdr:colOff>
                    <xdr:row>581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5" name="Button 172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617</xdr:row>
                    <xdr:rowOff>85725</xdr:rowOff>
                  </from>
                  <to>
                    <xdr:col>0</xdr:col>
                    <xdr:colOff>609600</xdr:colOff>
                    <xdr:row>619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6" name="Button 173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655</xdr:row>
                    <xdr:rowOff>85725</xdr:rowOff>
                  </from>
                  <to>
                    <xdr:col>0</xdr:col>
                    <xdr:colOff>609600</xdr:colOff>
                    <xdr:row>657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" name="Button 174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693</xdr:row>
                    <xdr:rowOff>85725</xdr:rowOff>
                  </from>
                  <to>
                    <xdr:col>0</xdr:col>
                    <xdr:colOff>609600</xdr:colOff>
                    <xdr:row>695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8" name="Button 175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731</xdr:row>
                    <xdr:rowOff>85725</xdr:rowOff>
                  </from>
                  <to>
                    <xdr:col>0</xdr:col>
                    <xdr:colOff>609600</xdr:colOff>
                    <xdr:row>733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9" name="Button 176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769</xdr:row>
                    <xdr:rowOff>85725</xdr:rowOff>
                  </from>
                  <to>
                    <xdr:col>0</xdr:col>
                    <xdr:colOff>609600</xdr:colOff>
                    <xdr:row>771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20" name="Button 177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807</xdr:row>
                    <xdr:rowOff>85725</xdr:rowOff>
                  </from>
                  <to>
                    <xdr:col>0</xdr:col>
                    <xdr:colOff>609600</xdr:colOff>
                    <xdr:row>809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21" name="Button 178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845</xdr:row>
                    <xdr:rowOff>85725</xdr:rowOff>
                  </from>
                  <to>
                    <xdr:col>0</xdr:col>
                    <xdr:colOff>609600</xdr:colOff>
                    <xdr:row>847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22" name="Button 179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883</xdr:row>
                    <xdr:rowOff>85725</xdr:rowOff>
                  </from>
                  <to>
                    <xdr:col>0</xdr:col>
                    <xdr:colOff>609600</xdr:colOff>
                    <xdr:row>885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23" name="Button 180">
              <controlPr defaultSize="0" print="0" autoFill="0" autoPict="0" macro="[0]!이동">
                <anchor moveWithCells="1" sizeWithCells="1">
                  <from>
                    <xdr:col>0</xdr:col>
                    <xdr:colOff>180975</xdr:colOff>
                    <xdr:row>921</xdr:row>
                    <xdr:rowOff>85725</xdr:rowOff>
                  </from>
                  <to>
                    <xdr:col>0</xdr:col>
                    <xdr:colOff>609600</xdr:colOff>
                    <xdr:row>923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24" name="Button 181">
              <controlPr defaultSize="0" print="0" autoFill="0" autoPict="0" macro="[0]!이동">
                <anchor moveWithCells="1" sizeWithCells="1">
                  <from>
                    <xdr:col>0</xdr:col>
                    <xdr:colOff>180975</xdr:colOff>
                    <xdr:row>959</xdr:row>
                    <xdr:rowOff>85725</xdr:rowOff>
                  </from>
                  <to>
                    <xdr:col>0</xdr:col>
                    <xdr:colOff>609600</xdr:colOff>
                    <xdr:row>961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25" name="Button 182">
              <controlPr defaultSize="0" print="0" autoFill="0" autoPict="0" macro="[0]!이동">
                <anchor moveWithCells="1" sizeWithCells="1">
                  <from>
                    <xdr:col>0</xdr:col>
                    <xdr:colOff>180975</xdr:colOff>
                    <xdr:row>997</xdr:row>
                    <xdr:rowOff>85725</xdr:rowOff>
                  </from>
                  <to>
                    <xdr:col>0</xdr:col>
                    <xdr:colOff>609600</xdr:colOff>
                    <xdr:row>999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26" name="Button 183">
              <controlPr defaultSize="0" print="0" autoFill="0" autoPict="0" macro="[0]!이동">
                <anchor moveWithCells="1" sizeWithCells="1">
                  <from>
                    <xdr:col>0</xdr:col>
                    <xdr:colOff>180975</xdr:colOff>
                    <xdr:row>1035</xdr:row>
                    <xdr:rowOff>85725</xdr:rowOff>
                  </from>
                  <to>
                    <xdr:col>0</xdr:col>
                    <xdr:colOff>609600</xdr:colOff>
                    <xdr:row>1037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27" name="Button 184">
              <controlPr defaultSize="0" print="0" autoFill="0" autoPict="0" macro="[0]!이동">
                <anchor moveWithCells="1" sizeWithCells="1">
                  <from>
                    <xdr:col>0</xdr:col>
                    <xdr:colOff>180975</xdr:colOff>
                    <xdr:row>1073</xdr:row>
                    <xdr:rowOff>85725</xdr:rowOff>
                  </from>
                  <to>
                    <xdr:col>0</xdr:col>
                    <xdr:colOff>609600</xdr:colOff>
                    <xdr:row>1075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28" name="Button 185">
              <controlPr defaultSize="0" print="0" autoFill="0" autoPict="0" macro="[0]!이동">
                <anchor moveWithCells="1" sizeWithCells="1">
                  <from>
                    <xdr:col>0</xdr:col>
                    <xdr:colOff>180975</xdr:colOff>
                    <xdr:row>1111</xdr:row>
                    <xdr:rowOff>85725</xdr:rowOff>
                  </from>
                  <to>
                    <xdr:col>0</xdr:col>
                    <xdr:colOff>609600</xdr:colOff>
                    <xdr:row>1113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29" name="Button 186">
              <controlPr defaultSize="0" print="0" autoFill="0" autoPict="0" macro="[0]!이동">
                <anchor moveWithCells="1" sizeWithCells="1">
                  <from>
                    <xdr:col>0</xdr:col>
                    <xdr:colOff>180975</xdr:colOff>
                    <xdr:row>1149</xdr:row>
                    <xdr:rowOff>85725</xdr:rowOff>
                  </from>
                  <to>
                    <xdr:col>0</xdr:col>
                    <xdr:colOff>609600</xdr:colOff>
                    <xdr:row>1151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30" name="Button 187">
              <controlPr defaultSize="0" print="0" autoFill="0" autoPict="0" macro="[0]!이동">
                <anchor moveWithCells="1" sizeWithCells="1">
                  <from>
                    <xdr:col>0</xdr:col>
                    <xdr:colOff>180975</xdr:colOff>
                    <xdr:row>1187</xdr:row>
                    <xdr:rowOff>85725</xdr:rowOff>
                  </from>
                  <to>
                    <xdr:col>0</xdr:col>
                    <xdr:colOff>609600</xdr:colOff>
                    <xdr:row>1189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31" name="Button 188">
              <controlPr defaultSize="0" print="0" autoFill="0" autoPict="0" macro="[0]!이동">
                <anchor moveWithCells="1" sizeWithCells="1">
                  <from>
                    <xdr:col>0</xdr:col>
                    <xdr:colOff>180975</xdr:colOff>
                    <xdr:row>1225</xdr:row>
                    <xdr:rowOff>85725</xdr:rowOff>
                  </from>
                  <to>
                    <xdr:col>0</xdr:col>
                    <xdr:colOff>609600</xdr:colOff>
                    <xdr:row>1227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32" name="Button 189">
              <controlPr defaultSize="0" print="0" autoFill="0" autoPict="0" macro="[0]!이동">
                <anchor moveWithCells="1" sizeWithCells="1">
                  <from>
                    <xdr:col>0</xdr:col>
                    <xdr:colOff>180975</xdr:colOff>
                    <xdr:row>1263</xdr:row>
                    <xdr:rowOff>85725</xdr:rowOff>
                  </from>
                  <to>
                    <xdr:col>0</xdr:col>
                    <xdr:colOff>609600</xdr:colOff>
                    <xdr:row>1265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33" name="Button 191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921</xdr:row>
                    <xdr:rowOff>85725</xdr:rowOff>
                  </from>
                  <to>
                    <xdr:col>0</xdr:col>
                    <xdr:colOff>609600</xdr:colOff>
                    <xdr:row>923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34" name="Button 192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959</xdr:row>
                    <xdr:rowOff>85725</xdr:rowOff>
                  </from>
                  <to>
                    <xdr:col>0</xdr:col>
                    <xdr:colOff>609600</xdr:colOff>
                    <xdr:row>961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35" name="Button 193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997</xdr:row>
                    <xdr:rowOff>85725</xdr:rowOff>
                  </from>
                  <to>
                    <xdr:col>0</xdr:col>
                    <xdr:colOff>609600</xdr:colOff>
                    <xdr:row>999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36" name="Button 194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1035</xdr:row>
                    <xdr:rowOff>85725</xdr:rowOff>
                  </from>
                  <to>
                    <xdr:col>0</xdr:col>
                    <xdr:colOff>609600</xdr:colOff>
                    <xdr:row>1037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37" name="Button 195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1073</xdr:row>
                    <xdr:rowOff>85725</xdr:rowOff>
                  </from>
                  <to>
                    <xdr:col>0</xdr:col>
                    <xdr:colOff>609600</xdr:colOff>
                    <xdr:row>1075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38" name="Button 196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1111</xdr:row>
                    <xdr:rowOff>85725</xdr:rowOff>
                  </from>
                  <to>
                    <xdr:col>0</xdr:col>
                    <xdr:colOff>609600</xdr:colOff>
                    <xdr:row>1113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39" name="Button 197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1149</xdr:row>
                    <xdr:rowOff>85725</xdr:rowOff>
                  </from>
                  <to>
                    <xdr:col>0</xdr:col>
                    <xdr:colOff>609600</xdr:colOff>
                    <xdr:row>1151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40" name="Button 198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1187</xdr:row>
                    <xdr:rowOff>85725</xdr:rowOff>
                  </from>
                  <to>
                    <xdr:col>0</xdr:col>
                    <xdr:colOff>609600</xdr:colOff>
                    <xdr:row>1189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41" name="Button 199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1225</xdr:row>
                    <xdr:rowOff>85725</xdr:rowOff>
                  </from>
                  <to>
                    <xdr:col>0</xdr:col>
                    <xdr:colOff>609600</xdr:colOff>
                    <xdr:row>1227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42" name="Button 200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1263</xdr:row>
                    <xdr:rowOff>85725</xdr:rowOff>
                  </from>
                  <to>
                    <xdr:col>0</xdr:col>
                    <xdr:colOff>609600</xdr:colOff>
                    <xdr:row>1265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" r:id="rId43" name="Button 217">
              <controlPr defaultSize="0" print="0" autoFill="0" autoPict="0" macro="[0]!NAV_SPC이동">
                <anchor moveWithCells="1" sizeWithCells="1">
                  <from>
                    <xdr:col>7</xdr:col>
                    <xdr:colOff>266700</xdr:colOff>
                    <xdr:row>10</xdr:row>
                    <xdr:rowOff>38100</xdr:rowOff>
                  </from>
                  <to>
                    <xdr:col>8</xdr:col>
                    <xdr:colOff>285750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710" yWindow="553" count="7">
        <x14:dataValidation type="list" allowBlank="1" showInputMessage="1" showErrorMessage="1">
          <x14:formula1>
            <xm:f>Dropbox!$B$3:$B$8</xm:f>
          </x14:formula1>
          <xm:sqref>M403:M413 M251:M261 M213:M223 M289:M299 M365:M375 M441:M451 M479:M489 M707:M717 M555:M565 M593:M603 M745:M755 M821:M831 M517:M527 M859:M869 M897:M907 M783:M793 M631:M641 M669:M679 M1087:M1097 M935:M945 M973:M983 M1125:M1135 M1201:M1211 M1239:M1249 M1277:M1287 M1163:M1173 M1011:M1021 M1049:M1059 M43:M192 M327:M337</xm:sqref>
        </x14:dataValidation>
        <x14:dataValidation type="list" allowBlank="1" showInputMessage="1" showErrorMessage="1">
          <x14:formula1>
            <xm:f>Dropbox!$F$3:$F$15</xm:f>
          </x14:formula1>
          <xm:sqref>T251:T261 T43:T192 T365:T375 T403:T413 T441:T451 T479:T489 T555:T565 T593:T603 T745:T755 T783:T793 T517:T527 T821:T831 T859:T869 T897:T907 T631:T641 T669:T679 T707:T717 T935:T945 T973:T983 T1125:T1135 T1163:T1173 T1201:T1211 T1239:T1249 T1277:T1287 T1011:T1021 T1049:T1059 T1087:T1097 T327:T337 T213:T223 T289:T299</xm:sqref>
        </x14:dataValidation>
        <x14:dataValidation type="list" allowBlank="1" showInputMessage="1" showErrorMessage="1" promptTitle="환율 적용" prompt="일본 엔화, 인도네이사 루피아화, 베트남 동화는 환율/100 해준값임_x000a_">
          <x14:formula1>
            <xm:f>Dropbox!$E$3:$E$60</xm:f>
          </x14:formula1>
          <xm:sqref>U205:U210 U43:U192 U213:U223 U243:U248 U281:U286 U251:U261 U1277:U1287 U289:U299 U365:U375 U403:U413 U433:U438 U441:U451 U471:U476 U479:U489 U509:U514 U517:U527 U547:U552 U555:U565 U585:U590 U593:U603 U623:U628 U631:U641 U661:U666 U669:U679 U699:U704 U707:U717 U737:U742 U745:U755 U775:U780 U783:U793 U813:U818 U821:U831 U851:U856 U859:U869 U889:U894 U897:U907 U927:U932 U935:U945 U965:U970 U973:U983 U1003:U1008 U1011:U1021 U1041:U1046 U1049:U1059 U1079:U1084 U1087:U1097 U1117:U1122 U1125:U1135 U1155:U1160 U1163:U1173 U1193:U1198 U1201:U1211 U1231:U1236 U1239:U1249 U1269:U1274 U327:U337 U395:U400 U357:U362 U319:U324 U12:U40</xm:sqref>
        </x14:dataValidation>
        <x14:dataValidation type="list" allowBlank="1" showInputMessage="1" showErrorMessage="1">
          <x14:formula1>
            <xm:f>Dropbox!$C$3:$C$26</xm:f>
          </x14:formula1>
          <xm:sqref>N327:N337 N1125:N1135 N1087:N1097 N1049:N1059 N1277:N1287 N1239:N1249 N973:N983 N1201:N1211 N935:N945 N1163:N1173 N1011:N1021 N745:N755 N707:N717 N669:N679 N897:N907 N517:N527 N859:N869 N593:N603 N821:N831 N555:N565 N783:N793 N631:N641 N479:N489 N441:N451 N403:N413 N251:N261 N365:N375 N289:N299 N213:N223 N43:N192</xm:sqref>
        </x14:dataValidation>
        <x14:dataValidation type="list" allowBlank="1" showInputMessage="1">
          <x14:formula1>
            <xm:f>Dropbox!$I$3:$I$52</xm:f>
          </x14:formula1>
          <xm:sqref>J205:J210 J1269:J1274 J1231:J1236 J1193:J1198 J1155:J1160 J1117:J1122 J1079:J1084 J1041:J1046 J1003:J1008 J965:J970 J927:J932 J889:J894 J851:J856 J813:J818 J775:J780 J737:J742 J699:J704 J661:J666 J623:J628 J585:J590 J547:J552 J509:J514 J471:J476 J433:J438 J395:J400 J357:J362 J319:J324 J281:J286 J243:J248 J12:J40</xm:sqref>
        </x14:dataValidation>
        <x14:dataValidation type="list" allowBlank="1" showInputMessage="1" showErrorMessage="1">
          <x14:formula1>
            <xm:f>Dropbox!$F$22:$F$25</xm:f>
          </x14:formula1>
          <xm:sqref>T12:T40 T433:T438 T1079:T1084 T1041:T1046 T1003:T1008 T1269:T1274 T1231:T1236 T1193:T1198 T965:T970 T927:T932 T1155:T1160 T1117:T1122 T699:T704 T661:T666 T623:T628 T889:T894 T851:T856 T813:T818 T585:T590 T547:T552 T509:T514 T775:T780 T737:T742 T471:T476 T395:T400 T357:T362 T319:T324 T281:T286 T243:T248 T205:T210</xm:sqref>
        </x14:dataValidation>
        <x14:dataValidation type="list" allowBlank="1" showInputMessage="1" showErrorMessage="1">
          <x14:formula1>
            <xm:f>Dropbox!$C$29:$C$34</xm:f>
          </x14:formula1>
          <xm:sqref>O12:O40 O1269:O1274 O1193:O1198 O1155:O1160 O1117:O1122 O1079:O1084 O1041:O1046 O1003:O1008 O965:O970 O927:O932 O889:O894 O851:O856 O813:O818 O775:O780 O737:O742 O699:O704 O661:O666 O623:O628 O585:O590 O547:O552 O509:O514 O471:O476 O433:O438 O395:O400 O357:O362 O319:O324 O281:O286 O243:O248 O205:O210 O1231:O1236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-0.249977111117893"/>
  </sheetPr>
  <dimension ref="A2:R1384"/>
  <sheetViews>
    <sheetView showGridLines="0" zoomScaleNormal="100" workbookViewId="0"/>
  </sheetViews>
  <sheetFormatPr defaultColWidth="8.88671875" defaultRowHeight="12" outlineLevelRow="1"/>
  <cols>
    <col min="1" max="1" width="4.6640625" style="149" customWidth="1"/>
    <col min="2" max="5" width="21.88671875" style="149" customWidth="1"/>
    <col min="6" max="6" width="6.21875" style="149" customWidth="1"/>
    <col min="7" max="7" width="22.33203125" style="149" customWidth="1"/>
    <col min="8" max="11" width="17.88671875" style="149" customWidth="1"/>
    <col min="12" max="19" width="19.88671875" style="149" customWidth="1"/>
    <col min="20" max="16384" width="8.88671875" style="149"/>
  </cols>
  <sheetData>
    <row r="2" spans="2:12" ht="12.75" thickBot="1">
      <c r="B2" s="148" t="s">
        <v>44</v>
      </c>
    </row>
    <row r="3" spans="2:12" ht="12.75" thickBot="1">
      <c r="B3" s="343" t="s">
        <v>45</v>
      </c>
      <c r="C3" s="344" t="str">
        <f>개요!$C$7</f>
        <v>포스코KAICI신기술사업투자조합제1호</v>
      </c>
      <c r="E3" s="304"/>
    </row>
    <row r="4" spans="2:12" ht="12.75" thickBot="1">
      <c r="B4" s="343" t="s">
        <v>3528</v>
      </c>
      <c r="C4" s="345">
        <f>개요!$C$9</f>
        <v>0</v>
      </c>
      <c r="D4" s="346"/>
      <c r="E4" s="304"/>
    </row>
    <row r="5" spans="2:12" ht="12.75" thickBot="1">
      <c r="B5" s="343" t="s">
        <v>43</v>
      </c>
      <c r="C5" s="347">
        <f>NAV!$C$7</f>
        <v>45473</v>
      </c>
      <c r="D5" s="346"/>
      <c r="E5" s="304"/>
    </row>
    <row r="6" spans="2:12" ht="12.75" thickBot="1">
      <c r="B6" s="343" t="s">
        <v>758</v>
      </c>
      <c r="C6" s="347">
        <f>NAV!$C$8</f>
        <v>45473</v>
      </c>
      <c r="D6" s="346"/>
      <c r="E6" s="304"/>
    </row>
    <row r="7" spans="2:12" ht="12.75" thickBot="1">
      <c r="B7" s="343" t="s">
        <v>3527</v>
      </c>
      <c r="C7" s="345">
        <f>개요!$C$16</f>
        <v>1</v>
      </c>
      <c r="D7" s="346"/>
      <c r="E7" s="304"/>
    </row>
    <row r="8" spans="2:12" ht="12.75" thickBot="1">
      <c r="B8" s="343" t="s">
        <v>46</v>
      </c>
      <c r="C8" s="348">
        <f>IFERROR(NAV!$D$2,0)</f>
        <v>2.2156856236637315</v>
      </c>
      <c r="D8" s="349" t="s">
        <v>760</v>
      </c>
      <c r="E8" s="304"/>
    </row>
    <row r="9" spans="2:12" ht="12.75" thickBot="1">
      <c r="C9" s="350"/>
      <c r="E9" s="304"/>
    </row>
    <row r="10" spans="2:12" ht="12.75" thickBot="1">
      <c r="B10" s="343" t="s">
        <v>3451</v>
      </c>
      <c r="C10" s="351" t="str">
        <f>개요!C20</f>
        <v>YES</v>
      </c>
      <c r="E10" s="304"/>
    </row>
    <row r="11" spans="2:12" ht="12.75" thickBot="1">
      <c r="B11" s="343" t="s">
        <v>144</v>
      </c>
      <c r="C11" s="351" t="str">
        <f>개요!C21</f>
        <v>YES</v>
      </c>
    </row>
    <row r="13" spans="2:12" ht="12.75" customHeight="1" thickBot="1">
      <c r="B13" s="148" t="s">
        <v>57</v>
      </c>
      <c r="H13" s="148" t="s">
        <v>3518</v>
      </c>
    </row>
    <row r="14" spans="2:12" ht="12.75" customHeight="1" thickBot="1">
      <c r="B14" s="343" t="s">
        <v>54</v>
      </c>
      <c r="C14" s="352" t="s">
        <v>4</v>
      </c>
      <c r="D14" s="352" t="s">
        <v>3445</v>
      </c>
      <c r="H14" s="353" t="s">
        <v>4</v>
      </c>
      <c r="I14" s="810" t="s">
        <v>3519</v>
      </c>
      <c r="J14" s="811"/>
      <c r="K14" s="811"/>
      <c r="L14" s="812"/>
    </row>
    <row r="15" spans="2:12" ht="12.75" customHeight="1" thickBot="1">
      <c r="B15" s="815">
        <f>C5</f>
        <v>45473</v>
      </c>
      <c r="C15" s="354" t="s">
        <v>55</v>
      </c>
      <c r="D15" s="355">
        <f>NAV!$E$36</f>
        <v>25871686234</v>
      </c>
      <c r="H15" s="821" t="s">
        <v>3520</v>
      </c>
      <c r="I15" s="806" t="str">
        <f>C3&amp;"(이하 “회사”)는 자본시장과금융투자업에관한법률(이하 “자본시장법”) 제9조 제19항 제1호에 의하여 설립된 사모투자합자회사입니다. 회사는 자본시장법 및 기타 관련 법령이 허용하는 한도 내에서 회사의 재산을 운용하여 그 수익을 사원에게 분배하는 것을 목적으로 하고 있습니다."</f>
        <v>포스코KAICI신기술사업투자조합제1호(이하 “회사”)는 자본시장과금융투자업에관한법률(이하 “자본시장법”) 제9조 제19항 제1호에 의하여 설립된 사모투자합자회사입니다. 회사는 자본시장법 및 기타 관련 법령이 허용하는 한도 내에서 회사의 재산을 운용하여 그 수익을 사원에게 분배하는 것을 목적으로 하고 있습니다.</v>
      </c>
      <c r="J15" s="806"/>
      <c r="K15" s="806"/>
      <c r="L15" s="807"/>
    </row>
    <row r="16" spans="2:12" ht="12.75" customHeight="1" thickBot="1">
      <c r="B16" s="816"/>
      <c r="C16" s="356" t="s">
        <v>3437</v>
      </c>
      <c r="D16" s="357">
        <f>IFERROR($C$8,0)</f>
        <v>2.2156856236637315</v>
      </c>
      <c r="E16" s="349" t="s">
        <v>760</v>
      </c>
      <c r="H16" s="821"/>
      <c r="I16" s="806"/>
      <c r="J16" s="806"/>
      <c r="K16" s="806"/>
      <c r="L16" s="807"/>
    </row>
    <row r="17" spans="1:12" ht="12.75" customHeight="1" thickBot="1">
      <c r="B17" s="149" t="s">
        <v>3448</v>
      </c>
      <c r="H17" s="821"/>
      <c r="I17" s="806"/>
      <c r="J17" s="806"/>
      <c r="K17" s="806"/>
      <c r="L17" s="807"/>
    </row>
    <row r="18" spans="1:12" ht="14.25" customHeight="1" thickBot="1">
      <c r="H18" s="821" t="s">
        <v>3521</v>
      </c>
      <c r="I18" s="806" t="str">
        <f>C3&amp;"(이하 “조합”)은 여신전문금융업법 및 동법 시행령, 시행규칙과 관련 법령에서 위임한 사항과 그 세부운용 방법 등의 시행에 있어 여신전문금융업법에 따라 설립된 업무집행조합원을 주관으로 투자조합의 효율적인 운영, 관리 및 재산의 배분 등을 위해 설립되었습니다."</f>
        <v>포스코KAICI신기술사업투자조합제1호(이하 “조합”)은 여신전문금융업법 및 동법 시행령, 시행규칙과 관련 법령에서 위임한 사항과 그 세부운용 방법 등의 시행에 있어 여신전문금융업법에 따라 설립된 업무집행조합원을 주관으로 투자조합의 효율적인 운영, 관리 및 재산의 배분 등을 위해 설립되었습니다.</v>
      </c>
      <c r="J18" s="806"/>
      <c r="K18" s="806"/>
      <c r="L18" s="807"/>
    </row>
    <row r="19" spans="1:12" ht="14.25" customHeight="1" thickBot="1">
      <c r="B19" s="148" t="s">
        <v>58</v>
      </c>
      <c r="H19" s="821"/>
      <c r="I19" s="806"/>
      <c r="J19" s="806"/>
      <c r="K19" s="806"/>
      <c r="L19" s="807"/>
    </row>
    <row r="20" spans="1:12" ht="14.25" customHeight="1" thickBot="1">
      <c r="B20" s="353" t="s">
        <v>49</v>
      </c>
      <c r="C20" s="358" t="s">
        <v>282</v>
      </c>
      <c r="D20" s="358" t="s">
        <v>5</v>
      </c>
      <c r="E20" s="358" t="s">
        <v>20</v>
      </c>
      <c r="F20" s="358" t="s">
        <v>6</v>
      </c>
      <c r="H20" s="822"/>
      <c r="I20" s="808"/>
      <c r="J20" s="808"/>
      <c r="K20" s="808"/>
      <c r="L20" s="809"/>
    </row>
    <row r="21" spans="1:12" ht="12.75" thickBot="1">
      <c r="A21" s="149">
        <v>1</v>
      </c>
      <c r="B21" s="359" t="str">
        <f>개요!K8</f>
        <v>업무집행사원(GP)</v>
      </c>
      <c r="C21" s="360" t="str">
        <f>개요!M8</f>
        <v>코리아에셋투자증권㈜</v>
      </c>
      <c r="D21" s="361">
        <f>개요!Q8</f>
        <v>50000000</v>
      </c>
      <c r="E21" s="361">
        <f>개요!Q8/개요!$C$16</f>
        <v>50000000</v>
      </c>
      <c r="F21" s="362">
        <f>IFERROR(E21/$E$70*100,0)</f>
        <v>0.47619047619047622</v>
      </c>
    </row>
    <row r="22" spans="1:12" ht="12.75" thickBot="1">
      <c r="A22" s="149">
        <v>2</v>
      </c>
      <c r="B22" s="359" t="str">
        <f>개요!K9</f>
        <v>업무집행사원(GP)</v>
      </c>
      <c r="C22" s="360" t="str">
        <f>개요!M9</f>
        <v>창인파트너스㈜</v>
      </c>
      <c r="D22" s="361">
        <f>개요!Q9</f>
        <v>50000000</v>
      </c>
      <c r="E22" s="361">
        <f>개요!Q9/개요!$C$16</f>
        <v>50000000</v>
      </c>
      <c r="F22" s="362">
        <f t="shared" ref="F22:F69" si="0">IFERROR(E22/$E$70*100,0)</f>
        <v>0.47619047619047622</v>
      </c>
    </row>
    <row r="23" spans="1:12" ht="12.75" thickBot="1">
      <c r="A23" s="149">
        <v>3</v>
      </c>
      <c r="B23" s="359" t="str">
        <f>개요!K10</f>
        <v>유한책임사원(LP)</v>
      </c>
      <c r="C23" s="360" t="str">
        <f>개요!M10</f>
        <v>P펀드</v>
      </c>
      <c r="D23" s="361">
        <f>개요!Q10</f>
        <v>6000000000</v>
      </c>
      <c r="E23" s="361">
        <f>개요!Q10/개요!$C$16</f>
        <v>6000000000</v>
      </c>
      <c r="F23" s="362">
        <f t="shared" si="0"/>
        <v>57.142857142857139</v>
      </c>
    </row>
    <row r="24" spans="1:12" ht="12.75" thickBot="1">
      <c r="A24" s="149">
        <v>4</v>
      </c>
      <c r="B24" s="359" t="str">
        <f>개요!K11</f>
        <v>유한책임사원(LP)</v>
      </c>
      <c r="C24" s="360" t="str">
        <f>개요!M11</f>
        <v>M사</v>
      </c>
      <c r="D24" s="361">
        <f>개요!Q11</f>
        <v>1000000000</v>
      </c>
      <c r="E24" s="361">
        <f>개요!Q11/개요!$C$16</f>
        <v>1000000000</v>
      </c>
      <c r="F24" s="362">
        <f t="shared" si="0"/>
        <v>9.5238095238095237</v>
      </c>
    </row>
    <row r="25" spans="1:12" ht="12.75" thickBot="1">
      <c r="A25" s="149">
        <v>5</v>
      </c>
      <c r="B25" s="359" t="str">
        <f>개요!K12</f>
        <v>유한책임사원(LP)</v>
      </c>
      <c r="C25" s="360" t="str">
        <f>개요!M12</f>
        <v>흥국생명보험㈜</v>
      </c>
      <c r="D25" s="361">
        <f>개요!Q12</f>
        <v>1000000000</v>
      </c>
      <c r="E25" s="361">
        <f>개요!Q12/개요!$C$16</f>
        <v>1000000000</v>
      </c>
      <c r="F25" s="362">
        <f t="shared" si="0"/>
        <v>9.5238095238095237</v>
      </c>
    </row>
    <row r="26" spans="1:12" ht="12.75" thickBot="1">
      <c r="A26" s="149">
        <v>6</v>
      </c>
      <c r="B26" s="359" t="str">
        <f>개요!K13</f>
        <v>유한책임사원(LP)</v>
      </c>
      <c r="C26" s="360" t="str">
        <f>개요!M13</f>
        <v>M사</v>
      </c>
      <c r="D26" s="361">
        <f>개요!Q13</f>
        <v>1000000000</v>
      </c>
      <c r="E26" s="361">
        <f>개요!Q13/개요!$C$16</f>
        <v>1000000000</v>
      </c>
      <c r="F26" s="362">
        <f t="shared" si="0"/>
        <v>9.5238095238095237</v>
      </c>
    </row>
    <row r="27" spans="1:12" ht="12.75" thickBot="1">
      <c r="A27" s="149">
        <v>7</v>
      </c>
      <c r="B27" s="359" t="str">
        <f>개요!K14</f>
        <v>유한책임사원(LP)</v>
      </c>
      <c r="C27" s="360" t="str">
        <f>개요!M14</f>
        <v>김OO</v>
      </c>
      <c r="D27" s="361">
        <f>개요!Q14</f>
        <v>400000000</v>
      </c>
      <c r="E27" s="361">
        <f>개요!Q14/개요!$C$16</f>
        <v>400000000</v>
      </c>
      <c r="F27" s="362">
        <f t="shared" si="0"/>
        <v>3.8095238095238098</v>
      </c>
    </row>
    <row r="28" spans="1:12" ht="12.75" thickBot="1">
      <c r="A28" s="149">
        <v>8</v>
      </c>
      <c r="B28" s="359" t="str">
        <f>개요!K15</f>
        <v>유한책임사원(LP)</v>
      </c>
      <c r="C28" s="360" t="str">
        <f>개요!M15</f>
        <v>손OO</v>
      </c>
      <c r="D28" s="361">
        <f>개요!Q15</f>
        <v>250000000</v>
      </c>
      <c r="E28" s="361">
        <f>개요!Q15/개요!$C$16</f>
        <v>250000000</v>
      </c>
      <c r="F28" s="362">
        <f t="shared" si="0"/>
        <v>2.3809523809523809</v>
      </c>
    </row>
    <row r="29" spans="1:12" ht="12.75" thickBot="1">
      <c r="A29" s="149">
        <v>9</v>
      </c>
      <c r="B29" s="359" t="str">
        <f>개요!K16</f>
        <v>유한책임사원(LP)</v>
      </c>
      <c r="C29" s="360" t="str">
        <f>개요!M16</f>
        <v>임OO</v>
      </c>
      <c r="D29" s="361">
        <f>개요!Q16</f>
        <v>250000000</v>
      </c>
      <c r="E29" s="361">
        <f>개요!Q16/개요!$C$16</f>
        <v>250000000</v>
      </c>
      <c r="F29" s="362">
        <f t="shared" si="0"/>
        <v>2.3809523809523809</v>
      </c>
    </row>
    <row r="30" spans="1:12" ht="12.75" thickBot="1">
      <c r="A30" s="149">
        <v>10</v>
      </c>
      <c r="B30" s="359" t="str">
        <f>개요!K17</f>
        <v>유한책임사원(LP)</v>
      </c>
      <c r="C30" s="360" t="str">
        <f>개요!M17</f>
        <v>최OO</v>
      </c>
      <c r="D30" s="361">
        <f>개요!Q17</f>
        <v>250000000</v>
      </c>
      <c r="E30" s="361">
        <f>개요!Q17/개요!$C$16</f>
        <v>250000000</v>
      </c>
      <c r="F30" s="362">
        <f t="shared" si="0"/>
        <v>2.3809523809523809</v>
      </c>
    </row>
    <row r="31" spans="1:12" ht="12.75" thickBot="1">
      <c r="A31" s="149">
        <v>11</v>
      </c>
      <c r="B31" s="359" t="str">
        <f>개요!K18</f>
        <v>유한책임사원(LP)</v>
      </c>
      <c r="C31" s="360" t="str">
        <f>개요!M18</f>
        <v>한OO</v>
      </c>
      <c r="D31" s="361">
        <f>개요!Q18</f>
        <v>250000000</v>
      </c>
      <c r="E31" s="361">
        <f>개요!Q18/개요!$C$16</f>
        <v>250000000</v>
      </c>
      <c r="F31" s="362">
        <f t="shared" si="0"/>
        <v>2.3809523809523809</v>
      </c>
    </row>
    <row r="32" spans="1:12" ht="12.75" thickBot="1">
      <c r="A32" s="149">
        <v>12</v>
      </c>
      <c r="B32" s="359">
        <f>개요!K19</f>
        <v>0</v>
      </c>
      <c r="C32" s="360">
        <f>개요!M19</f>
        <v>0</v>
      </c>
      <c r="D32" s="361">
        <f>개요!Q19</f>
        <v>0</v>
      </c>
      <c r="E32" s="361">
        <f>개요!Q19/개요!$C$16</f>
        <v>0</v>
      </c>
      <c r="F32" s="362">
        <f t="shared" si="0"/>
        <v>0</v>
      </c>
    </row>
    <row r="33" spans="1:6" ht="12.75" thickBot="1">
      <c r="A33" s="149">
        <v>13</v>
      </c>
      <c r="B33" s="359">
        <f>개요!K20</f>
        <v>0</v>
      </c>
      <c r="C33" s="360">
        <f>개요!M20</f>
        <v>0</v>
      </c>
      <c r="D33" s="361">
        <f>개요!Q20</f>
        <v>0</v>
      </c>
      <c r="E33" s="361">
        <f>개요!Q20/개요!$C$16</f>
        <v>0</v>
      </c>
      <c r="F33" s="362">
        <f t="shared" si="0"/>
        <v>0</v>
      </c>
    </row>
    <row r="34" spans="1:6" ht="12.75" thickBot="1">
      <c r="A34" s="149">
        <v>14</v>
      </c>
      <c r="B34" s="359">
        <f>개요!K21</f>
        <v>0</v>
      </c>
      <c r="C34" s="360">
        <f>개요!M21</f>
        <v>0</v>
      </c>
      <c r="D34" s="361">
        <f>개요!Q21</f>
        <v>0</v>
      </c>
      <c r="E34" s="361">
        <f>개요!Q21/개요!$C$16</f>
        <v>0</v>
      </c>
      <c r="F34" s="362">
        <f t="shared" si="0"/>
        <v>0</v>
      </c>
    </row>
    <row r="35" spans="1:6" ht="12.75" thickBot="1">
      <c r="A35" s="149">
        <v>15</v>
      </c>
      <c r="B35" s="359">
        <f>개요!K22</f>
        <v>0</v>
      </c>
      <c r="C35" s="360">
        <f>개요!M22</f>
        <v>0</v>
      </c>
      <c r="D35" s="361">
        <f>개요!Q22</f>
        <v>0</v>
      </c>
      <c r="E35" s="361">
        <f>개요!Q22/개요!$C$16</f>
        <v>0</v>
      </c>
      <c r="F35" s="362">
        <f t="shared" si="0"/>
        <v>0</v>
      </c>
    </row>
    <row r="36" spans="1:6" ht="12.75" thickBot="1">
      <c r="A36" s="149">
        <v>16</v>
      </c>
      <c r="B36" s="359">
        <f>개요!K23</f>
        <v>0</v>
      </c>
      <c r="C36" s="360">
        <f>개요!M23</f>
        <v>0</v>
      </c>
      <c r="D36" s="361">
        <f>개요!Q23</f>
        <v>0</v>
      </c>
      <c r="E36" s="361">
        <f>개요!Q23/개요!$C$16</f>
        <v>0</v>
      </c>
      <c r="F36" s="362">
        <f t="shared" si="0"/>
        <v>0</v>
      </c>
    </row>
    <row r="37" spans="1:6" ht="12.75" thickBot="1">
      <c r="A37" s="149">
        <v>17</v>
      </c>
      <c r="B37" s="359">
        <f>개요!K24</f>
        <v>0</v>
      </c>
      <c r="C37" s="360">
        <f>개요!M24</f>
        <v>0</v>
      </c>
      <c r="D37" s="361">
        <f>개요!Q24</f>
        <v>0</v>
      </c>
      <c r="E37" s="361">
        <f>개요!Q24/개요!$C$16</f>
        <v>0</v>
      </c>
      <c r="F37" s="362">
        <f t="shared" si="0"/>
        <v>0</v>
      </c>
    </row>
    <row r="38" spans="1:6" ht="12.75" thickBot="1">
      <c r="A38" s="149">
        <v>18</v>
      </c>
      <c r="B38" s="359">
        <f>개요!K25</f>
        <v>0</v>
      </c>
      <c r="C38" s="360">
        <f>개요!M25</f>
        <v>0</v>
      </c>
      <c r="D38" s="361">
        <f>개요!Q25</f>
        <v>0</v>
      </c>
      <c r="E38" s="361">
        <f>개요!Q25/개요!$C$16</f>
        <v>0</v>
      </c>
      <c r="F38" s="362">
        <f t="shared" si="0"/>
        <v>0</v>
      </c>
    </row>
    <row r="39" spans="1:6" ht="12.75" thickBot="1">
      <c r="A39" s="149">
        <v>19</v>
      </c>
      <c r="B39" s="359">
        <f>개요!K26</f>
        <v>0</v>
      </c>
      <c r="C39" s="360">
        <f>개요!M26</f>
        <v>0</v>
      </c>
      <c r="D39" s="361">
        <f>개요!Q26</f>
        <v>0</v>
      </c>
      <c r="E39" s="361">
        <f>개요!Q26/개요!$C$16</f>
        <v>0</v>
      </c>
      <c r="F39" s="362">
        <f t="shared" si="0"/>
        <v>0</v>
      </c>
    </row>
    <row r="40" spans="1:6" ht="12.75" thickBot="1">
      <c r="A40" s="149">
        <v>20</v>
      </c>
      <c r="B40" s="359">
        <f>개요!K27</f>
        <v>0</v>
      </c>
      <c r="C40" s="360">
        <f>개요!M27</f>
        <v>0</v>
      </c>
      <c r="D40" s="361">
        <f>개요!Q27</f>
        <v>0</v>
      </c>
      <c r="E40" s="361">
        <f>개요!Q27/개요!$C$16</f>
        <v>0</v>
      </c>
      <c r="F40" s="362">
        <f t="shared" si="0"/>
        <v>0</v>
      </c>
    </row>
    <row r="41" spans="1:6" ht="12.75" thickBot="1">
      <c r="A41" s="149">
        <v>21</v>
      </c>
      <c r="B41" s="359">
        <f>개요!K28</f>
        <v>0</v>
      </c>
      <c r="C41" s="360">
        <f>개요!M28</f>
        <v>0</v>
      </c>
      <c r="D41" s="361">
        <f>개요!Q28</f>
        <v>0</v>
      </c>
      <c r="E41" s="361">
        <f>개요!Q28/개요!$C$16</f>
        <v>0</v>
      </c>
      <c r="F41" s="362">
        <f t="shared" si="0"/>
        <v>0</v>
      </c>
    </row>
    <row r="42" spans="1:6" ht="12.75" thickBot="1">
      <c r="A42" s="149">
        <v>22</v>
      </c>
      <c r="B42" s="359">
        <f>개요!K29</f>
        <v>0</v>
      </c>
      <c r="C42" s="360">
        <f>개요!M29</f>
        <v>0</v>
      </c>
      <c r="D42" s="361">
        <f>개요!Q29</f>
        <v>0</v>
      </c>
      <c r="E42" s="361">
        <f>개요!Q29/개요!$C$16</f>
        <v>0</v>
      </c>
      <c r="F42" s="362">
        <f t="shared" si="0"/>
        <v>0</v>
      </c>
    </row>
    <row r="43" spans="1:6" ht="12.75" thickBot="1">
      <c r="A43" s="149">
        <v>23</v>
      </c>
      <c r="B43" s="359">
        <f>개요!K30</f>
        <v>0</v>
      </c>
      <c r="C43" s="360">
        <f>개요!M30</f>
        <v>0</v>
      </c>
      <c r="D43" s="361">
        <f>개요!Q30</f>
        <v>0</v>
      </c>
      <c r="E43" s="361">
        <f>개요!Q30/개요!$C$16</f>
        <v>0</v>
      </c>
      <c r="F43" s="362">
        <f t="shared" si="0"/>
        <v>0</v>
      </c>
    </row>
    <row r="44" spans="1:6" ht="12.75" thickBot="1">
      <c r="A44" s="149">
        <v>24</v>
      </c>
      <c r="B44" s="359">
        <f>개요!K31</f>
        <v>0</v>
      </c>
      <c r="C44" s="360">
        <f>개요!M31</f>
        <v>0</v>
      </c>
      <c r="D44" s="361">
        <f>개요!Q31</f>
        <v>0</v>
      </c>
      <c r="E44" s="361">
        <f>개요!Q31/개요!$C$16</f>
        <v>0</v>
      </c>
      <c r="F44" s="362">
        <f t="shared" si="0"/>
        <v>0</v>
      </c>
    </row>
    <row r="45" spans="1:6" ht="12.75" thickBot="1">
      <c r="A45" s="149">
        <v>25</v>
      </c>
      <c r="B45" s="359">
        <f>개요!K32</f>
        <v>0</v>
      </c>
      <c r="C45" s="360">
        <f>개요!M32</f>
        <v>0</v>
      </c>
      <c r="D45" s="361">
        <f>개요!Q32</f>
        <v>0</v>
      </c>
      <c r="E45" s="361">
        <f>개요!Q32/개요!$C$16</f>
        <v>0</v>
      </c>
      <c r="F45" s="362">
        <f t="shared" si="0"/>
        <v>0</v>
      </c>
    </row>
    <row r="46" spans="1:6" ht="12.75" thickBot="1">
      <c r="A46" s="149">
        <v>26</v>
      </c>
      <c r="B46" s="359">
        <f>개요!K33</f>
        <v>0</v>
      </c>
      <c r="C46" s="360">
        <f>개요!M33</f>
        <v>0</v>
      </c>
      <c r="D46" s="361">
        <f>개요!Q33</f>
        <v>0</v>
      </c>
      <c r="E46" s="361">
        <f>개요!Q33/개요!$C$16</f>
        <v>0</v>
      </c>
      <c r="F46" s="362">
        <f t="shared" si="0"/>
        <v>0</v>
      </c>
    </row>
    <row r="47" spans="1:6" ht="12.75" thickBot="1">
      <c r="A47" s="149">
        <v>27</v>
      </c>
      <c r="B47" s="359">
        <f>개요!K34</f>
        <v>0</v>
      </c>
      <c r="C47" s="360">
        <f>개요!M34</f>
        <v>0</v>
      </c>
      <c r="D47" s="361">
        <f>개요!Q34</f>
        <v>0</v>
      </c>
      <c r="E47" s="361">
        <f>개요!Q34/개요!$C$16</f>
        <v>0</v>
      </c>
      <c r="F47" s="362">
        <f t="shared" si="0"/>
        <v>0</v>
      </c>
    </row>
    <row r="48" spans="1:6" ht="12.75" thickBot="1">
      <c r="A48" s="149">
        <v>28</v>
      </c>
      <c r="B48" s="359">
        <f>개요!K35</f>
        <v>0</v>
      </c>
      <c r="C48" s="360">
        <f>개요!M35</f>
        <v>0</v>
      </c>
      <c r="D48" s="361">
        <f>개요!Q35</f>
        <v>0</v>
      </c>
      <c r="E48" s="361">
        <f>개요!Q35/개요!$C$16</f>
        <v>0</v>
      </c>
      <c r="F48" s="362">
        <f t="shared" si="0"/>
        <v>0</v>
      </c>
    </row>
    <row r="49" spans="1:6" ht="12.75" thickBot="1">
      <c r="A49" s="149">
        <v>29</v>
      </c>
      <c r="B49" s="359">
        <f>개요!K36</f>
        <v>0</v>
      </c>
      <c r="C49" s="360">
        <f>개요!M36</f>
        <v>0</v>
      </c>
      <c r="D49" s="361">
        <f>개요!Q36</f>
        <v>0</v>
      </c>
      <c r="E49" s="361">
        <f>개요!Q36/개요!$C$16</f>
        <v>0</v>
      </c>
      <c r="F49" s="362">
        <f t="shared" si="0"/>
        <v>0</v>
      </c>
    </row>
    <row r="50" spans="1:6" ht="12.75" thickBot="1">
      <c r="A50" s="149">
        <v>30</v>
      </c>
      <c r="B50" s="359">
        <f>개요!K37</f>
        <v>0</v>
      </c>
      <c r="C50" s="360">
        <f>개요!M37</f>
        <v>0</v>
      </c>
      <c r="D50" s="361">
        <f>개요!Q37</f>
        <v>0</v>
      </c>
      <c r="E50" s="361">
        <f>개요!Q37/개요!$C$16</f>
        <v>0</v>
      </c>
      <c r="F50" s="362">
        <f t="shared" si="0"/>
        <v>0</v>
      </c>
    </row>
    <row r="51" spans="1:6" ht="12.75" thickBot="1">
      <c r="A51" s="149">
        <v>31</v>
      </c>
      <c r="B51" s="359">
        <f>개요!K38</f>
        <v>0</v>
      </c>
      <c r="C51" s="360">
        <f>개요!M38</f>
        <v>0</v>
      </c>
      <c r="D51" s="361">
        <f>개요!Q38</f>
        <v>0</v>
      </c>
      <c r="E51" s="361">
        <f>개요!Q38/개요!$C$16</f>
        <v>0</v>
      </c>
      <c r="F51" s="362">
        <f t="shared" si="0"/>
        <v>0</v>
      </c>
    </row>
    <row r="52" spans="1:6" ht="12.75" thickBot="1">
      <c r="A52" s="149">
        <v>32</v>
      </c>
      <c r="B52" s="359">
        <f>개요!K39</f>
        <v>0</v>
      </c>
      <c r="C52" s="360">
        <f>개요!M39</f>
        <v>0</v>
      </c>
      <c r="D52" s="361">
        <f>개요!Q39</f>
        <v>0</v>
      </c>
      <c r="E52" s="361">
        <f>개요!Q39/개요!$C$16</f>
        <v>0</v>
      </c>
      <c r="F52" s="362">
        <f t="shared" si="0"/>
        <v>0</v>
      </c>
    </row>
    <row r="53" spans="1:6" ht="12.75" thickBot="1">
      <c r="A53" s="149">
        <v>33</v>
      </c>
      <c r="B53" s="359">
        <f>개요!K40</f>
        <v>0</v>
      </c>
      <c r="C53" s="360">
        <f>개요!M40</f>
        <v>0</v>
      </c>
      <c r="D53" s="361">
        <f>개요!Q40</f>
        <v>0</v>
      </c>
      <c r="E53" s="361">
        <f>개요!Q40/개요!$C$16</f>
        <v>0</v>
      </c>
      <c r="F53" s="362">
        <f t="shared" si="0"/>
        <v>0</v>
      </c>
    </row>
    <row r="54" spans="1:6" ht="12.75" thickBot="1">
      <c r="A54" s="149">
        <v>34</v>
      </c>
      <c r="B54" s="359">
        <f>개요!K41</f>
        <v>0</v>
      </c>
      <c r="C54" s="360">
        <f>개요!M41</f>
        <v>0</v>
      </c>
      <c r="D54" s="361">
        <f>개요!Q41</f>
        <v>0</v>
      </c>
      <c r="E54" s="361">
        <f>개요!Q41/개요!$C$16</f>
        <v>0</v>
      </c>
      <c r="F54" s="362">
        <f t="shared" si="0"/>
        <v>0</v>
      </c>
    </row>
    <row r="55" spans="1:6" ht="12.75" thickBot="1">
      <c r="A55" s="149">
        <v>35</v>
      </c>
      <c r="B55" s="359">
        <f>개요!K42</f>
        <v>0</v>
      </c>
      <c r="C55" s="360">
        <f>개요!M42</f>
        <v>0</v>
      </c>
      <c r="D55" s="361">
        <f>개요!Q42</f>
        <v>0</v>
      </c>
      <c r="E55" s="361">
        <f>개요!Q42/개요!$C$16</f>
        <v>0</v>
      </c>
      <c r="F55" s="362">
        <f t="shared" si="0"/>
        <v>0</v>
      </c>
    </row>
    <row r="56" spans="1:6" ht="12.75" thickBot="1">
      <c r="A56" s="149">
        <v>36</v>
      </c>
      <c r="B56" s="359">
        <f>개요!K43</f>
        <v>0</v>
      </c>
      <c r="C56" s="360">
        <f>개요!M43</f>
        <v>0</v>
      </c>
      <c r="D56" s="361">
        <f>개요!Q43</f>
        <v>0</v>
      </c>
      <c r="E56" s="361">
        <f>개요!Q43/개요!$C$16</f>
        <v>0</v>
      </c>
      <c r="F56" s="362">
        <f t="shared" si="0"/>
        <v>0</v>
      </c>
    </row>
    <row r="57" spans="1:6" ht="12.75" thickBot="1">
      <c r="A57" s="149">
        <v>37</v>
      </c>
      <c r="B57" s="359">
        <f>개요!K44</f>
        <v>0</v>
      </c>
      <c r="C57" s="360">
        <f>개요!M44</f>
        <v>0</v>
      </c>
      <c r="D57" s="361">
        <f>개요!Q44</f>
        <v>0</v>
      </c>
      <c r="E57" s="361">
        <f>개요!Q44/개요!$C$16</f>
        <v>0</v>
      </c>
      <c r="F57" s="362">
        <f t="shared" si="0"/>
        <v>0</v>
      </c>
    </row>
    <row r="58" spans="1:6" ht="12.75" thickBot="1">
      <c r="A58" s="149">
        <v>38</v>
      </c>
      <c r="B58" s="359">
        <f>개요!K45</f>
        <v>0</v>
      </c>
      <c r="C58" s="360">
        <f>개요!M45</f>
        <v>0</v>
      </c>
      <c r="D58" s="361">
        <f>개요!Q45</f>
        <v>0</v>
      </c>
      <c r="E58" s="361">
        <f>개요!Q45/개요!$C$16</f>
        <v>0</v>
      </c>
      <c r="F58" s="362">
        <f t="shared" si="0"/>
        <v>0</v>
      </c>
    </row>
    <row r="59" spans="1:6" ht="12.75" thickBot="1">
      <c r="A59" s="149">
        <v>39</v>
      </c>
      <c r="B59" s="359">
        <f>개요!K46</f>
        <v>0</v>
      </c>
      <c r="C59" s="360">
        <f>개요!M46</f>
        <v>0</v>
      </c>
      <c r="D59" s="361">
        <f>개요!Q46</f>
        <v>0</v>
      </c>
      <c r="E59" s="361">
        <f>개요!Q46/개요!$C$16</f>
        <v>0</v>
      </c>
      <c r="F59" s="362">
        <f t="shared" si="0"/>
        <v>0</v>
      </c>
    </row>
    <row r="60" spans="1:6" ht="12.75" thickBot="1">
      <c r="A60" s="149">
        <v>40</v>
      </c>
      <c r="B60" s="359">
        <f>개요!K47</f>
        <v>0</v>
      </c>
      <c r="C60" s="360">
        <f>개요!M47</f>
        <v>0</v>
      </c>
      <c r="D60" s="361">
        <f>개요!Q47</f>
        <v>0</v>
      </c>
      <c r="E60" s="361">
        <f>개요!Q47/개요!$C$16</f>
        <v>0</v>
      </c>
      <c r="F60" s="362">
        <f t="shared" si="0"/>
        <v>0</v>
      </c>
    </row>
    <row r="61" spans="1:6" ht="12.75" thickBot="1">
      <c r="A61" s="149">
        <v>41</v>
      </c>
      <c r="B61" s="359">
        <f>개요!K48</f>
        <v>0</v>
      </c>
      <c r="C61" s="360">
        <f>개요!M48</f>
        <v>0</v>
      </c>
      <c r="D61" s="361">
        <f>개요!Q48</f>
        <v>0</v>
      </c>
      <c r="E61" s="361">
        <f>개요!Q48/개요!$C$16</f>
        <v>0</v>
      </c>
      <c r="F61" s="362">
        <f t="shared" si="0"/>
        <v>0</v>
      </c>
    </row>
    <row r="62" spans="1:6" ht="12.75" thickBot="1">
      <c r="A62" s="149">
        <v>42</v>
      </c>
      <c r="B62" s="359">
        <f>개요!K49</f>
        <v>0</v>
      </c>
      <c r="C62" s="360">
        <f>개요!M49</f>
        <v>0</v>
      </c>
      <c r="D62" s="361">
        <f>개요!Q49</f>
        <v>0</v>
      </c>
      <c r="E62" s="361">
        <f>개요!Q49/개요!$C$16</f>
        <v>0</v>
      </c>
      <c r="F62" s="362">
        <f t="shared" si="0"/>
        <v>0</v>
      </c>
    </row>
    <row r="63" spans="1:6" ht="12.75" thickBot="1">
      <c r="A63" s="149">
        <v>43</v>
      </c>
      <c r="B63" s="359">
        <f>개요!K50</f>
        <v>0</v>
      </c>
      <c r="C63" s="360">
        <f>개요!M50</f>
        <v>0</v>
      </c>
      <c r="D63" s="361">
        <f>개요!Q50</f>
        <v>0</v>
      </c>
      <c r="E63" s="361">
        <f>개요!Q50/개요!$C$16</f>
        <v>0</v>
      </c>
      <c r="F63" s="362">
        <f t="shared" si="0"/>
        <v>0</v>
      </c>
    </row>
    <row r="64" spans="1:6" ht="12.75" thickBot="1">
      <c r="A64" s="149">
        <v>44</v>
      </c>
      <c r="B64" s="359">
        <f>개요!K51</f>
        <v>0</v>
      </c>
      <c r="C64" s="360">
        <f>개요!M51</f>
        <v>0</v>
      </c>
      <c r="D64" s="361">
        <f>개요!Q51</f>
        <v>0</v>
      </c>
      <c r="E64" s="361">
        <f>개요!Q51/개요!$C$16</f>
        <v>0</v>
      </c>
      <c r="F64" s="362">
        <f t="shared" si="0"/>
        <v>0</v>
      </c>
    </row>
    <row r="65" spans="1:18" ht="12.75" thickBot="1">
      <c r="A65" s="149">
        <v>45</v>
      </c>
      <c r="B65" s="359">
        <f>개요!K52</f>
        <v>0</v>
      </c>
      <c r="C65" s="360">
        <f>개요!M52</f>
        <v>0</v>
      </c>
      <c r="D65" s="361">
        <f>개요!Q52</f>
        <v>0</v>
      </c>
      <c r="E65" s="361">
        <f>개요!Q52/개요!$C$16</f>
        <v>0</v>
      </c>
      <c r="F65" s="362">
        <f t="shared" si="0"/>
        <v>0</v>
      </c>
    </row>
    <row r="66" spans="1:18" ht="12.75" thickBot="1">
      <c r="A66" s="149">
        <v>46</v>
      </c>
      <c r="B66" s="359">
        <f>개요!K53</f>
        <v>0</v>
      </c>
      <c r="C66" s="360">
        <f>개요!M53</f>
        <v>0</v>
      </c>
      <c r="D66" s="361">
        <f>개요!Q53</f>
        <v>0</v>
      </c>
      <c r="E66" s="361">
        <f>개요!Q53/개요!$C$16</f>
        <v>0</v>
      </c>
      <c r="F66" s="362">
        <f t="shared" si="0"/>
        <v>0</v>
      </c>
    </row>
    <row r="67" spans="1:18" ht="12.75" thickBot="1">
      <c r="A67" s="149">
        <v>47</v>
      </c>
      <c r="B67" s="359">
        <f>개요!K54</f>
        <v>0</v>
      </c>
      <c r="C67" s="360">
        <f>개요!M54</f>
        <v>0</v>
      </c>
      <c r="D67" s="361">
        <f>개요!Q54</f>
        <v>0</v>
      </c>
      <c r="E67" s="361">
        <f>개요!Q54/개요!$C$16</f>
        <v>0</v>
      </c>
      <c r="F67" s="362">
        <f t="shared" si="0"/>
        <v>0</v>
      </c>
    </row>
    <row r="68" spans="1:18" ht="12.75" thickBot="1">
      <c r="A68" s="149">
        <v>48</v>
      </c>
      <c r="B68" s="359">
        <f>개요!K55</f>
        <v>0</v>
      </c>
      <c r="C68" s="360">
        <f>개요!M55</f>
        <v>0</v>
      </c>
      <c r="D68" s="361">
        <f>개요!Q55</f>
        <v>0</v>
      </c>
      <c r="E68" s="361">
        <f>개요!Q55/개요!$C$16</f>
        <v>0</v>
      </c>
      <c r="F68" s="362">
        <f t="shared" si="0"/>
        <v>0</v>
      </c>
    </row>
    <row r="69" spans="1:18" ht="12.75" thickBot="1">
      <c r="A69" s="149">
        <v>49</v>
      </c>
      <c r="B69" s="359">
        <f>개요!K56</f>
        <v>0</v>
      </c>
      <c r="C69" s="360">
        <f>개요!M56</f>
        <v>0</v>
      </c>
      <c r="D69" s="361">
        <f>개요!Q56</f>
        <v>0</v>
      </c>
      <c r="E69" s="361">
        <f>개요!Q56/개요!$C$16</f>
        <v>0</v>
      </c>
      <c r="F69" s="362">
        <f t="shared" si="0"/>
        <v>0</v>
      </c>
    </row>
    <row r="70" spans="1:18" ht="12.75" thickBot="1">
      <c r="B70" s="817" t="s">
        <v>50</v>
      </c>
      <c r="C70" s="818"/>
      <c r="D70" s="363">
        <f>SUM(D21:D69)</f>
        <v>10500000000</v>
      </c>
      <c r="E70" s="363">
        <f>SUM(E21:E69)</f>
        <v>10500000000</v>
      </c>
      <c r="F70" s="364">
        <f>SUM(F21:F69)</f>
        <v>99.999999999999972</v>
      </c>
    </row>
    <row r="71" spans="1:18">
      <c r="E71" s="365"/>
    </row>
    <row r="72" spans="1:18">
      <c r="B72" s="148" t="s">
        <v>59</v>
      </c>
      <c r="G72" s="148" t="s">
        <v>60</v>
      </c>
    </row>
    <row r="73" spans="1:18" ht="12.75" thickBot="1">
      <c r="B73" s="215" t="s">
        <v>750</v>
      </c>
      <c r="G73" s="215" t="s">
        <v>751</v>
      </c>
      <c r="K73" s="215" t="s">
        <v>752</v>
      </c>
    </row>
    <row r="74" spans="1:18" ht="12.75" thickBot="1">
      <c r="A74" s="304"/>
      <c r="B74" s="366" t="s">
        <v>27</v>
      </c>
      <c r="C74" s="367" t="s">
        <v>28</v>
      </c>
      <c r="D74" s="367" t="s">
        <v>29</v>
      </c>
      <c r="E74" s="304"/>
      <c r="F74" s="368" t="s">
        <v>3461</v>
      </c>
      <c r="G74" s="353" t="s">
        <v>761</v>
      </c>
      <c r="H74" s="358" t="s">
        <v>3199</v>
      </c>
      <c r="I74" s="369" t="s">
        <v>753</v>
      </c>
      <c r="J74" s="368" t="s">
        <v>3461</v>
      </c>
      <c r="K74" s="353" t="s">
        <v>767</v>
      </c>
      <c r="L74" s="353" t="s">
        <v>762</v>
      </c>
      <c r="M74" s="358" t="s">
        <v>754</v>
      </c>
      <c r="N74" s="358" t="s">
        <v>47</v>
      </c>
      <c r="O74" s="369" t="s">
        <v>6835</v>
      </c>
      <c r="P74" s="370" t="s">
        <v>3460</v>
      </c>
      <c r="Q74" s="370" t="s">
        <v>3463</v>
      </c>
      <c r="R74" s="370" t="s">
        <v>6833</v>
      </c>
    </row>
    <row r="75" spans="1:18" ht="24.75" thickBot="1">
      <c r="A75" s="304"/>
      <c r="B75" s="371" t="s">
        <v>3441</v>
      </c>
      <c r="C75" s="372">
        <f>SUM(C76:C77)</f>
        <v>17314014</v>
      </c>
      <c r="D75" s="372">
        <f>SUM(D76:D77)</f>
        <v>17314014</v>
      </c>
      <c r="E75" s="304"/>
      <c r="F75" s="149" t="str">
        <f>IF(G75=0,"",COUNTA(G75:$G$75))</f>
        <v/>
      </c>
      <c r="G75" s="373">
        <f>IF(NAV!L12="SPC 없음",0,NAV!L12)</f>
        <v>0</v>
      </c>
      <c r="H75" s="374">
        <f>NAV!W12</f>
        <v>0</v>
      </c>
      <c r="I75" s="374" t="str">
        <f>NAV!S12</f>
        <v>SPC 없음</v>
      </c>
      <c r="J75" s="149">
        <f>IF(L75=0,"",COUNTA(L$75:$L75)+COUNT($F$75:$F$103))</f>
        <v>1</v>
      </c>
      <c r="K75" s="373" t="str">
        <f>NAV!$C$6</f>
        <v>포스코KAICI신기술사업투자조합제1호</v>
      </c>
      <c r="L75" s="375" t="str">
        <f>NAV!J43</f>
        <v xml:space="preserve">성림첨단산업                                      </v>
      </c>
      <c r="M75" s="376" t="str">
        <f>NAV!N43</f>
        <v>보통주</v>
      </c>
      <c r="N75" s="376" t="str">
        <f>NAV!T43</f>
        <v>DCF</v>
      </c>
      <c r="O75" s="377">
        <f>IF(N75="장부가액 준용","장부가액 준용",IF(N75="취득원가 준용","취득원가 준용",NAV!R43))</f>
        <v>28558</v>
      </c>
      <c r="P75" s="378">
        <f>NAV!W43</f>
        <v>9999990000</v>
      </c>
      <c r="Q75" s="378">
        <f>NAV!S43</f>
        <v>25961792220</v>
      </c>
      <c r="R75" s="737" t="str">
        <f>MID(NAV!U43,FIND("(",NAV!U43)+1,FIND(")", NAV!U43)-FIND("(",NAV!U43)-1)</f>
        <v>KRW</v>
      </c>
    </row>
    <row r="76" spans="1:18" ht="24.75" thickBot="1">
      <c r="A76" s="304"/>
      <c r="B76" s="379" t="s">
        <v>3443</v>
      </c>
      <c r="C76" s="380">
        <f>NAV!D13</f>
        <v>17314014</v>
      </c>
      <c r="D76" s="380">
        <f>NAV!E13</f>
        <v>17314014</v>
      </c>
      <c r="E76" s="304"/>
      <c r="F76" s="149" t="str">
        <f>IF(G76=0,"",COUNTA(G$75:$G76))</f>
        <v/>
      </c>
      <c r="G76" s="373">
        <f>IF(NAV!L13="SPC 없음",0,NAV!L13)</f>
        <v>0</v>
      </c>
      <c r="H76" s="374">
        <f>NAV!W13</f>
        <v>0</v>
      </c>
      <c r="I76" s="374" t="str">
        <f>NAV!S13</f>
        <v>SPC 없음</v>
      </c>
      <c r="J76" s="149" t="str">
        <f>IF(L76=0,"",COUNTA(L$75:$L76)+COUNT($F$75:$F$103))</f>
        <v/>
      </c>
      <c r="K76" s="373" t="str">
        <f>NAV!$C$6</f>
        <v>포스코KAICI신기술사업투자조합제1호</v>
      </c>
      <c r="L76" s="375">
        <f>NAV!J44</f>
        <v>0</v>
      </c>
      <c r="M76" s="376">
        <f>NAV!N44</f>
        <v>0</v>
      </c>
      <c r="N76" s="376">
        <f>NAV!T44</f>
        <v>0</v>
      </c>
      <c r="O76" s="377">
        <f>IF(N76="장부가액 준용","장부가액 준용",IF(N76="취득원가 준용","취득원가 준용",NAV!R44))</f>
        <v>0</v>
      </c>
      <c r="P76" s="378">
        <f>NAV!W44</f>
        <v>0</v>
      </c>
      <c r="Q76" s="378">
        <f>NAV!S44</f>
        <v>0</v>
      </c>
      <c r="R76" s="737" t="str">
        <f>MID(NAV!U44,FIND("(",NAV!U44)+1,FIND(")", NAV!U44)-FIND("(",NAV!U44)-1)</f>
        <v>KRW</v>
      </c>
    </row>
    <row r="77" spans="1:18" ht="24.75" thickBot="1">
      <c r="A77" s="304"/>
      <c r="B77" s="379" t="s">
        <v>156</v>
      </c>
      <c r="C77" s="380">
        <f>NAV!D14</f>
        <v>0</v>
      </c>
      <c r="D77" s="380">
        <f>NAV!E14</f>
        <v>0</v>
      </c>
      <c r="E77" s="304"/>
      <c r="F77" s="149" t="str">
        <f>IF(G77=0,"",COUNTA(G$75:$G77))</f>
        <v/>
      </c>
      <c r="G77" s="373">
        <f>IF(NAV!L14="SPC 없음",0,NAV!L14)</f>
        <v>0</v>
      </c>
      <c r="H77" s="374">
        <f>NAV!W14</f>
        <v>0</v>
      </c>
      <c r="I77" s="374" t="str">
        <f>NAV!S14</f>
        <v>SPC 없음</v>
      </c>
      <c r="J77" s="149" t="str">
        <f>IF(L77=0,"",COUNTA(L$75:$L77)+COUNT($F$75:$F$103))</f>
        <v/>
      </c>
      <c r="K77" s="373" t="str">
        <f>NAV!$C$6</f>
        <v>포스코KAICI신기술사업투자조합제1호</v>
      </c>
      <c r="L77" s="375">
        <f>NAV!J45</f>
        <v>0</v>
      </c>
      <c r="M77" s="376">
        <f>NAV!N45</f>
        <v>0</v>
      </c>
      <c r="N77" s="376">
        <f>NAV!T45</f>
        <v>0</v>
      </c>
      <c r="O77" s="377">
        <f>IF(N77="장부가액 준용","장부가액 준용",IF(N77="취득원가 준용","취득원가 준용",NAV!R45))</f>
        <v>0</v>
      </c>
      <c r="P77" s="378">
        <f>NAV!W45</f>
        <v>0</v>
      </c>
      <c r="Q77" s="378">
        <f>NAV!S45</f>
        <v>0</v>
      </c>
      <c r="R77" s="737" t="str">
        <f>MID(NAV!U45,FIND("(",NAV!U45)+1,FIND(")", NAV!U45)-FIND("(",NAV!U45)-1)</f>
        <v>KRW</v>
      </c>
    </row>
    <row r="78" spans="1:18" ht="24.75" thickBot="1">
      <c r="A78" s="304"/>
      <c r="B78" s="371" t="s">
        <v>3442</v>
      </c>
      <c r="C78" s="372">
        <f>NAV!D15</f>
        <v>9999990000</v>
      </c>
      <c r="D78" s="372">
        <f>NAV!E15</f>
        <v>25961792220</v>
      </c>
      <c r="E78" s="304"/>
      <c r="F78" s="149" t="str">
        <f>IF(G78=0,"",COUNTA(G$75:$G78))</f>
        <v/>
      </c>
      <c r="G78" s="373">
        <f>IF(NAV!L15="SPC 없음",0,NAV!L15)</f>
        <v>0</v>
      </c>
      <c r="H78" s="374">
        <f>NAV!W15</f>
        <v>0</v>
      </c>
      <c r="I78" s="374" t="str">
        <f>NAV!S15</f>
        <v>SPC 없음</v>
      </c>
      <c r="J78" s="149" t="str">
        <f>IF(L78=0,"",COUNTA(L$75:$L78)+COUNT($F$75:$F$103))</f>
        <v/>
      </c>
      <c r="K78" s="373" t="str">
        <f>NAV!$C$6</f>
        <v>포스코KAICI신기술사업투자조합제1호</v>
      </c>
      <c r="L78" s="375">
        <f>NAV!J46</f>
        <v>0</v>
      </c>
      <c r="M78" s="376">
        <f>NAV!N46</f>
        <v>0</v>
      </c>
      <c r="N78" s="376">
        <f>NAV!T46</f>
        <v>0</v>
      </c>
      <c r="O78" s="377">
        <f>IF(N78="장부가액 준용","장부가액 준용",IF(N78="취득원가 준용","취득원가 준용",NAV!R46))</f>
        <v>0</v>
      </c>
      <c r="P78" s="378">
        <f>NAV!W46</f>
        <v>0</v>
      </c>
      <c r="Q78" s="378">
        <f>NAV!S46</f>
        <v>0</v>
      </c>
      <c r="R78" s="737" t="str">
        <f>MID(NAV!U46,FIND("(",NAV!U46)+1,FIND(")", NAV!U46)-FIND("(",NAV!U46)-1)</f>
        <v>KRW</v>
      </c>
    </row>
    <row r="79" spans="1:18" ht="24.75" thickBot="1">
      <c r="A79" s="304">
        <v>1</v>
      </c>
      <c r="B79" s="381" t="str">
        <f t="shared" ref="B79:B107" si="1">IFERROR(IF(F75=A79,VLOOKUP(A79,$F$74:$I$229,2,0),VLOOKUP(A79,$J$74:$Q$225,3,0)&amp;" "&amp;VLOOKUP(A79,$J$74:$Q$225,4,0)),"")</f>
        <v>성림첨단산업                                       보통주</v>
      </c>
      <c r="C79" s="380">
        <f t="shared" ref="C79:C107" si="2">IFERROR(IF(F75=A79,VLOOKUP(A79,$F$74:$I$229,3,0),VLOOKUP(A79,$J$74:$Q$225,7,0)),"")</f>
        <v>9999990000</v>
      </c>
      <c r="D79" s="380">
        <f t="shared" ref="D79:D107" si="3">IFERROR(IF(F75=A79,VLOOKUP(A79,$F$74:$I$229,4,0),VLOOKUP(A79,$J$74:$Q$225,8,0)),"")</f>
        <v>25961792220</v>
      </c>
      <c r="E79" s="304"/>
      <c r="F79" s="149" t="str">
        <f>IF(G79=0,"",COUNTA(G$75:$G79))</f>
        <v/>
      </c>
      <c r="G79" s="373">
        <f>IF(NAV!L16="SPC 없음",0,NAV!L16)</f>
        <v>0</v>
      </c>
      <c r="H79" s="374">
        <f>NAV!W16</f>
        <v>0</v>
      </c>
      <c r="I79" s="374" t="str">
        <f>NAV!S16</f>
        <v>SPC 없음</v>
      </c>
      <c r="J79" s="149" t="str">
        <f>IF(L79=0,"",COUNTA(L$75:$L79)+COUNT($F$75:$F$103))</f>
        <v/>
      </c>
      <c r="K79" s="373" t="str">
        <f>NAV!$C$6</f>
        <v>포스코KAICI신기술사업투자조합제1호</v>
      </c>
      <c r="L79" s="375">
        <f>NAV!J47</f>
        <v>0</v>
      </c>
      <c r="M79" s="376">
        <f>NAV!N47</f>
        <v>0</v>
      </c>
      <c r="N79" s="376">
        <f>NAV!T47</f>
        <v>0</v>
      </c>
      <c r="O79" s="377">
        <f>IF(N79="장부가액 준용","장부가액 준용",IF(N79="취득원가 준용","취득원가 준용",NAV!R47))</f>
        <v>0</v>
      </c>
      <c r="P79" s="378">
        <f>NAV!W47</f>
        <v>0</v>
      </c>
      <c r="Q79" s="378">
        <f>NAV!S47</f>
        <v>0</v>
      </c>
      <c r="R79" s="737" t="str">
        <f>MID(NAV!U47,FIND("(",NAV!U47)+1,FIND(")", NAV!U47)-FIND("(",NAV!U47)-1)</f>
        <v>KRW</v>
      </c>
    </row>
    <row r="80" spans="1:18" ht="24.75" thickBot="1">
      <c r="A80" s="304">
        <f>A79+1</f>
        <v>2</v>
      </c>
      <c r="B80" s="381" t="str">
        <f t="shared" si="1"/>
        <v/>
      </c>
      <c r="C80" s="380" t="str">
        <f t="shared" si="2"/>
        <v/>
      </c>
      <c r="D80" s="380" t="str">
        <f t="shared" si="3"/>
        <v/>
      </c>
      <c r="E80" s="304"/>
      <c r="F80" s="149" t="str">
        <f>IF(G80=0,"",COUNTA(G$75:$G80))</f>
        <v/>
      </c>
      <c r="G80" s="373">
        <f>IF(NAV!L17="SPC 없음",0,NAV!L17)</f>
        <v>0</v>
      </c>
      <c r="H80" s="374">
        <f>NAV!W17</f>
        <v>0</v>
      </c>
      <c r="I80" s="374" t="str">
        <f>NAV!S17</f>
        <v>SPC 없음</v>
      </c>
      <c r="J80" s="149" t="str">
        <f>IF(L80=0,"",COUNTA(L$75:$L80)+COUNT($F$75:$F$103))</f>
        <v/>
      </c>
      <c r="K80" s="373" t="str">
        <f>NAV!$C$6</f>
        <v>포스코KAICI신기술사업투자조합제1호</v>
      </c>
      <c r="L80" s="375">
        <f>NAV!J48</f>
        <v>0</v>
      </c>
      <c r="M80" s="376">
        <f>NAV!N48</f>
        <v>0</v>
      </c>
      <c r="N80" s="376">
        <f>NAV!T48</f>
        <v>0</v>
      </c>
      <c r="O80" s="377">
        <f>IF(N80="장부가액 준용","장부가액 준용",IF(N80="취득원가 준용","취득원가 준용",NAV!R48))</f>
        <v>0</v>
      </c>
      <c r="P80" s="378">
        <f>NAV!W48</f>
        <v>0</v>
      </c>
      <c r="Q80" s="378">
        <f>NAV!S48</f>
        <v>0</v>
      </c>
      <c r="R80" s="737" t="str">
        <f>MID(NAV!U48,FIND("(",NAV!U48)+1,FIND(")", NAV!U48)-FIND("(",NAV!U48)-1)</f>
        <v>KRW</v>
      </c>
    </row>
    <row r="81" spans="1:18" ht="24.75" thickBot="1">
      <c r="A81" s="304">
        <f t="shared" ref="A81:A244" si="4">A80+1</f>
        <v>3</v>
      </c>
      <c r="B81" s="381" t="str">
        <f t="shared" si="1"/>
        <v/>
      </c>
      <c r="C81" s="380" t="str">
        <f t="shared" si="2"/>
        <v/>
      </c>
      <c r="D81" s="380" t="str">
        <f t="shared" si="3"/>
        <v/>
      </c>
      <c r="E81" s="304"/>
      <c r="F81" s="149" t="str">
        <f>IF(G81=0,"",COUNTA(G$75:$G81))</f>
        <v/>
      </c>
      <c r="G81" s="373">
        <f>IF(NAV!L18="SPC 없음",0,NAV!L18)</f>
        <v>0</v>
      </c>
      <c r="H81" s="374">
        <f>NAV!W18</f>
        <v>0</v>
      </c>
      <c r="I81" s="374" t="str">
        <f>NAV!S18</f>
        <v>SPC 없음</v>
      </c>
      <c r="J81" s="149" t="str">
        <f>IF(L81=0,"",COUNTA(L$75:$L81)+COUNT($F$75:$F$103))</f>
        <v/>
      </c>
      <c r="K81" s="373" t="str">
        <f>NAV!$C$6</f>
        <v>포스코KAICI신기술사업투자조합제1호</v>
      </c>
      <c r="L81" s="375">
        <f>NAV!J49</f>
        <v>0</v>
      </c>
      <c r="M81" s="376">
        <f>NAV!N49</f>
        <v>0</v>
      </c>
      <c r="N81" s="376">
        <f>NAV!T49</f>
        <v>0</v>
      </c>
      <c r="O81" s="377">
        <f>IF(N81="장부가액 준용","장부가액 준용",IF(N81="취득원가 준용","취득원가 준용",NAV!R49))</f>
        <v>0</v>
      </c>
      <c r="P81" s="378">
        <f>NAV!W49</f>
        <v>0</v>
      </c>
      <c r="Q81" s="378">
        <f>NAV!S49</f>
        <v>0</v>
      </c>
      <c r="R81" s="737" t="str">
        <f>MID(NAV!U49,FIND("(",NAV!U49)+1,FIND(")", NAV!U49)-FIND("(",NAV!U49)-1)</f>
        <v>KRW</v>
      </c>
    </row>
    <row r="82" spans="1:18" ht="24.75" thickBot="1">
      <c r="A82" s="304">
        <f t="shared" si="4"/>
        <v>4</v>
      </c>
      <c r="B82" s="381" t="str">
        <f t="shared" si="1"/>
        <v/>
      </c>
      <c r="C82" s="380" t="str">
        <f t="shared" si="2"/>
        <v/>
      </c>
      <c r="D82" s="380" t="str">
        <f t="shared" si="3"/>
        <v/>
      </c>
      <c r="E82" s="304"/>
      <c r="F82" s="149" t="str">
        <f>IF(G82=0,"",COUNTA(G$75:$G82))</f>
        <v/>
      </c>
      <c r="G82" s="373">
        <f>IF(NAV!L19="SPC 없음",0,NAV!L19)</f>
        <v>0</v>
      </c>
      <c r="H82" s="374">
        <f>NAV!W19</f>
        <v>0</v>
      </c>
      <c r="I82" s="374" t="str">
        <f>NAV!S19</f>
        <v>SPC 없음</v>
      </c>
      <c r="J82" s="149" t="str">
        <f>IF(L82=0,"",COUNTA(L$75:$L82)+COUNT($F$75:$F$103))</f>
        <v/>
      </c>
      <c r="K82" s="373" t="str">
        <f>NAV!$C$6</f>
        <v>포스코KAICI신기술사업투자조합제1호</v>
      </c>
      <c r="L82" s="375">
        <f>NAV!J50</f>
        <v>0</v>
      </c>
      <c r="M82" s="376">
        <f>NAV!N50</f>
        <v>0</v>
      </c>
      <c r="N82" s="376">
        <f>NAV!T50</f>
        <v>0</v>
      </c>
      <c r="O82" s="377">
        <f>IF(N82="장부가액 준용","장부가액 준용",IF(N82="취득원가 준용","취득원가 준용",NAV!R50))</f>
        <v>0</v>
      </c>
      <c r="P82" s="378">
        <f>NAV!W50</f>
        <v>0</v>
      </c>
      <c r="Q82" s="378">
        <f>NAV!S50</f>
        <v>0</v>
      </c>
      <c r="R82" s="737" t="str">
        <f>MID(NAV!U50,FIND("(",NAV!U50)+1,FIND(")", NAV!U50)-FIND("(",NAV!U50)-1)</f>
        <v>KRW</v>
      </c>
    </row>
    <row r="83" spans="1:18" ht="24.75" thickBot="1">
      <c r="A83" s="304">
        <f t="shared" si="4"/>
        <v>5</v>
      </c>
      <c r="B83" s="381" t="str">
        <f t="shared" si="1"/>
        <v/>
      </c>
      <c r="C83" s="380" t="str">
        <f t="shared" si="2"/>
        <v/>
      </c>
      <c r="D83" s="380" t="str">
        <f t="shared" si="3"/>
        <v/>
      </c>
      <c r="E83" s="304"/>
      <c r="F83" s="149" t="str">
        <f>IF(G83=0,"",COUNTA(G$75:$G83))</f>
        <v/>
      </c>
      <c r="G83" s="373">
        <f>IF(NAV!L20="SPC 없음",0,NAV!L20)</f>
        <v>0</v>
      </c>
      <c r="H83" s="374">
        <f>NAV!W20</f>
        <v>0</v>
      </c>
      <c r="I83" s="374" t="str">
        <f>NAV!S20</f>
        <v>SPC 없음</v>
      </c>
      <c r="J83" s="149" t="str">
        <f>IF(L83=0,"",COUNTA(L$75:$L83)+COUNT($F$75:$F$103))</f>
        <v/>
      </c>
      <c r="K83" s="373" t="str">
        <f>NAV!$C$6</f>
        <v>포스코KAICI신기술사업투자조합제1호</v>
      </c>
      <c r="L83" s="375">
        <f>NAV!J51</f>
        <v>0</v>
      </c>
      <c r="M83" s="376">
        <f>NAV!N51</f>
        <v>0</v>
      </c>
      <c r="N83" s="376">
        <f>NAV!T51</f>
        <v>0</v>
      </c>
      <c r="O83" s="377">
        <f>IF(N83="장부가액 준용","장부가액 준용",IF(N83="취득원가 준용","취득원가 준용",NAV!R51))</f>
        <v>0</v>
      </c>
      <c r="P83" s="378">
        <f>NAV!W51</f>
        <v>0</v>
      </c>
      <c r="Q83" s="378">
        <f>NAV!S51</f>
        <v>0</v>
      </c>
      <c r="R83" s="737" t="str">
        <f>MID(NAV!U51,FIND("(",NAV!U51)+1,FIND(")", NAV!U51)-FIND("(",NAV!U51)-1)</f>
        <v>KRW</v>
      </c>
    </row>
    <row r="84" spans="1:18" ht="24.75" thickBot="1">
      <c r="A84" s="304">
        <f t="shared" si="4"/>
        <v>6</v>
      </c>
      <c r="B84" s="381" t="str">
        <f t="shared" si="1"/>
        <v/>
      </c>
      <c r="C84" s="380" t="str">
        <f t="shared" si="2"/>
        <v/>
      </c>
      <c r="D84" s="380" t="str">
        <f t="shared" si="3"/>
        <v/>
      </c>
      <c r="E84" s="304"/>
      <c r="F84" s="149" t="str">
        <f>IF(G84=0,"",COUNTA(G$75:$G84))</f>
        <v/>
      </c>
      <c r="G84" s="373">
        <f>IF(NAV!L21="SPC 없음",0,NAV!L21)</f>
        <v>0</v>
      </c>
      <c r="H84" s="374">
        <f>NAV!W21</f>
        <v>0</v>
      </c>
      <c r="I84" s="374" t="str">
        <f>NAV!S21</f>
        <v>SPC 없음</v>
      </c>
      <c r="J84" s="149" t="str">
        <f>IF(L84=0,"",COUNTA(L$75:$L84)+COUNT($F$75:$F$103))</f>
        <v/>
      </c>
      <c r="K84" s="373" t="str">
        <f>NAV!$C$6</f>
        <v>포스코KAICI신기술사업투자조합제1호</v>
      </c>
      <c r="L84" s="375">
        <f>NAV!J52</f>
        <v>0</v>
      </c>
      <c r="M84" s="376">
        <f>NAV!N52</f>
        <v>0</v>
      </c>
      <c r="N84" s="376">
        <f>NAV!T52</f>
        <v>0</v>
      </c>
      <c r="O84" s="377">
        <f>IF(N84="장부가액 준용","장부가액 준용",IF(N84="취득원가 준용","취득원가 준용",NAV!R52))</f>
        <v>0</v>
      </c>
      <c r="P84" s="378">
        <f>NAV!W52</f>
        <v>0</v>
      </c>
      <c r="Q84" s="378">
        <f>NAV!S52</f>
        <v>0</v>
      </c>
      <c r="R84" s="737" t="str">
        <f>MID(NAV!U52,FIND("(",NAV!U52)+1,FIND(")", NAV!U52)-FIND("(",NAV!U52)-1)</f>
        <v>KRW</v>
      </c>
    </row>
    <row r="85" spans="1:18" ht="24.75" thickBot="1">
      <c r="A85" s="304">
        <f t="shared" si="4"/>
        <v>7</v>
      </c>
      <c r="B85" s="381" t="str">
        <f t="shared" si="1"/>
        <v/>
      </c>
      <c r="C85" s="380" t="str">
        <f t="shared" si="2"/>
        <v/>
      </c>
      <c r="D85" s="380" t="str">
        <f t="shared" si="3"/>
        <v/>
      </c>
      <c r="E85" s="304"/>
      <c r="F85" s="149" t="str">
        <f>IF(G85=0,"",COUNTA(G$75:$G85))</f>
        <v/>
      </c>
      <c r="G85" s="373">
        <f>IF(NAV!L22="SPC 없음",0,NAV!L22)</f>
        <v>0</v>
      </c>
      <c r="H85" s="374">
        <f>NAV!W22</f>
        <v>0</v>
      </c>
      <c r="I85" s="374" t="str">
        <f>NAV!S22</f>
        <v>SPC 없음</v>
      </c>
      <c r="J85" s="149" t="str">
        <f>IF(L85=0,"",COUNTA(L$75:$L85)+COUNT($F$75:$F$103))</f>
        <v/>
      </c>
      <c r="K85" s="373" t="str">
        <f>NAV!$C$6</f>
        <v>포스코KAICI신기술사업투자조합제1호</v>
      </c>
      <c r="L85" s="375">
        <f>NAV!J53</f>
        <v>0</v>
      </c>
      <c r="M85" s="376">
        <f>NAV!N53</f>
        <v>0</v>
      </c>
      <c r="N85" s="376">
        <f>NAV!T53</f>
        <v>0</v>
      </c>
      <c r="O85" s="377">
        <f>IF(N85="장부가액 준용","장부가액 준용",IF(N85="취득원가 준용","취득원가 준용",NAV!R53))</f>
        <v>0</v>
      </c>
      <c r="P85" s="378">
        <f>NAV!W53</f>
        <v>0</v>
      </c>
      <c r="Q85" s="378">
        <f>NAV!S53</f>
        <v>0</v>
      </c>
      <c r="R85" s="737" t="str">
        <f>MID(NAV!U53,FIND("(",NAV!U53)+1,FIND(")", NAV!U53)-FIND("(",NAV!U53)-1)</f>
        <v>KRW</v>
      </c>
    </row>
    <row r="86" spans="1:18" ht="24.75" thickBot="1">
      <c r="A86" s="304">
        <f t="shared" si="4"/>
        <v>8</v>
      </c>
      <c r="B86" s="381" t="str">
        <f t="shared" si="1"/>
        <v/>
      </c>
      <c r="C86" s="380" t="str">
        <f t="shared" si="2"/>
        <v/>
      </c>
      <c r="D86" s="380" t="str">
        <f t="shared" si="3"/>
        <v/>
      </c>
      <c r="E86" s="304"/>
      <c r="F86" s="149" t="str">
        <f>IF(G86=0,"",COUNTA(G$75:$G86))</f>
        <v/>
      </c>
      <c r="G86" s="373">
        <f>IF(NAV!L23="SPC 없음",0,NAV!L23)</f>
        <v>0</v>
      </c>
      <c r="H86" s="374">
        <f>NAV!W23</f>
        <v>0</v>
      </c>
      <c r="I86" s="374" t="str">
        <f>NAV!S23</f>
        <v>SPC 없음</v>
      </c>
      <c r="J86" s="149" t="str">
        <f>IF(L86=0,"",COUNTA(L$75:$L86)+COUNT($F$75:$F$103))</f>
        <v/>
      </c>
      <c r="K86" s="373" t="str">
        <f>NAV!$C$6</f>
        <v>포스코KAICI신기술사업투자조합제1호</v>
      </c>
      <c r="L86" s="375">
        <f>NAV!J54</f>
        <v>0</v>
      </c>
      <c r="M86" s="376">
        <f>NAV!N54</f>
        <v>0</v>
      </c>
      <c r="N86" s="376">
        <f>NAV!T54</f>
        <v>0</v>
      </c>
      <c r="O86" s="377">
        <f>IF(N86="장부가액 준용","장부가액 준용",IF(N86="취득원가 준용","취득원가 준용",NAV!R54))</f>
        <v>0</v>
      </c>
      <c r="P86" s="378">
        <f>NAV!W54</f>
        <v>0</v>
      </c>
      <c r="Q86" s="378">
        <f>NAV!S54</f>
        <v>0</v>
      </c>
      <c r="R86" s="737" t="str">
        <f>MID(NAV!U54,FIND("(",NAV!U54)+1,FIND(")", NAV!U54)-FIND("(",NAV!U54)-1)</f>
        <v>KRW</v>
      </c>
    </row>
    <row r="87" spans="1:18" ht="24.75" thickBot="1">
      <c r="A87" s="304">
        <f t="shared" si="4"/>
        <v>9</v>
      </c>
      <c r="B87" s="381" t="str">
        <f t="shared" si="1"/>
        <v/>
      </c>
      <c r="C87" s="380" t="str">
        <f t="shared" si="2"/>
        <v/>
      </c>
      <c r="D87" s="380" t="str">
        <f t="shared" si="3"/>
        <v/>
      </c>
      <c r="E87" s="304"/>
      <c r="F87" s="149" t="str">
        <f>IF(G87=0,"",COUNTA(G$75:$G87))</f>
        <v/>
      </c>
      <c r="G87" s="373">
        <f>IF(NAV!L24="SPC 없음",0,NAV!L24)</f>
        <v>0</v>
      </c>
      <c r="H87" s="374">
        <f>NAV!W24</f>
        <v>0</v>
      </c>
      <c r="I87" s="374" t="str">
        <f>NAV!S24</f>
        <v>SPC 없음</v>
      </c>
      <c r="J87" s="149" t="str">
        <f>IF(L87=0,"",COUNTA(L$75:$L87)+COUNT($F$75:$F$103))</f>
        <v/>
      </c>
      <c r="K87" s="373" t="str">
        <f>NAV!$C$6</f>
        <v>포스코KAICI신기술사업투자조합제1호</v>
      </c>
      <c r="L87" s="375">
        <f>NAV!J55</f>
        <v>0</v>
      </c>
      <c r="M87" s="376">
        <f>NAV!N55</f>
        <v>0</v>
      </c>
      <c r="N87" s="376">
        <f>NAV!T55</f>
        <v>0</v>
      </c>
      <c r="O87" s="377">
        <f>IF(N87="장부가액 준용","장부가액 준용",IF(N87="취득원가 준용","취득원가 준용",NAV!R55))</f>
        <v>0</v>
      </c>
      <c r="P87" s="378">
        <f>NAV!W55</f>
        <v>0</v>
      </c>
      <c r="Q87" s="378">
        <f>NAV!S55</f>
        <v>0</v>
      </c>
      <c r="R87" s="737" t="str">
        <f>MID(NAV!U55,FIND("(",NAV!U55)+1,FIND(")", NAV!U55)-FIND("(",NAV!U55)-1)</f>
        <v>KRW</v>
      </c>
    </row>
    <row r="88" spans="1:18" ht="24.75" thickBot="1">
      <c r="A88" s="304">
        <f t="shared" si="4"/>
        <v>10</v>
      </c>
      <c r="B88" s="381" t="str">
        <f t="shared" si="1"/>
        <v/>
      </c>
      <c r="C88" s="380" t="str">
        <f t="shared" si="2"/>
        <v/>
      </c>
      <c r="D88" s="380" t="str">
        <f t="shared" si="3"/>
        <v/>
      </c>
      <c r="E88" s="304"/>
      <c r="F88" s="149" t="str">
        <f>IF(G88=0,"",COUNTA(G$75:$G88))</f>
        <v/>
      </c>
      <c r="G88" s="373">
        <f>IF(NAV!L25="SPC 없음",0,NAV!L25)</f>
        <v>0</v>
      </c>
      <c r="H88" s="374">
        <f>NAV!W25</f>
        <v>0</v>
      </c>
      <c r="I88" s="374" t="str">
        <f>NAV!S25</f>
        <v>SPC 없음</v>
      </c>
      <c r="J88" s="149" t="str">
        <f>IF(L88=0,"",COUNTA(L$75:$L88)+COUNT($F$75:$F$103))</f>
        <v/>
      </c>
      <c r="K88" s="373" t="str">
        <f>NAV!$C$6</f>
        <v>포스코KAICI신기술사업투자조합제1호</v>
      </c>
      <c r="L88" s="375">
        <f>NAV!J56</f>
        <v>0</v>
      </c>
      <c r="M88" s="376">
        <f>NAV!N56</f>
        <v>0</v>
      </c>
      <c r="N88" s="376">
        <f>NAV!T56</f>
        <v>0</v>
      </c>
      <c r="O88" s="377">
        <f>IF(N88="장부가액 준용","장부가액 준용",IF(N88="취득원가 준용","취득원가 준용",NAV!R56))</f>
        <v>0</v>
      </c>
      <c r="P88" s="378">
        <f>NAV!W56</f>
        <v>0</v>
      </c>
      <c r="Q88" s="378">
        <f>NAV!S56</f>
        <v>0</v>
      </c>
      <c r="R88" s="737" t="str">
        <f>MID(NAV!U56,FIND("(",NAV!U56)+1,FIND(")", NAV!U56)-FIND("(",NAV!U56)-1)</f>
        <v>KRW</v>
      </c>
    </row>
    <row r="89" spans="1:18" ht="24.75" thickBot="1">
      <c r="A89" s="304">
        <f t="shared" si="4"/>
        <v>11</v>
      </c>
      <c r="B89" s="381" t="str">
        <f t="shared" si="1"/>
        <v/>
      </c>
      <c r="C89" s="380" t="str">
        <f t="shared" si="2"/>
        <v/>
      </c>
      <c r="D89" s="380" t="str">
        <f t="shared" si="3"/>
        <v/>
      </c>
      <c r="E89" s="304"/>
      <c r="F89" s="149" t="str">
        <f>IF(G89=0,"",COUNTA(G$75:$G89))</f>
        <v/>
      </c>
      <c r="G89" s="373">
        <f>IF(NAV!L26="SPC 없음",0,NAV!L26)</f>
        <v>0</v>
      </c>
      <c r="H89" s="374">
        <f>NAV!W26</f>
        <v>0</v>
      </c>
      <c r="I89" s="374" t="str">
        <f>NAV!S26</f>
        <v>SPC 없음</v>
      </c>
      <c r="J89" s="149" t="str">
        <f>IF(L89=0,"",COUNTA(L$75:$L89)+COUNT($F$75:$F$103))</f>
        <v/>
      </c>
      <c r="K89" s="373" t="str">
        <f>NAV!$C$6</f>
        <v>포스코KAICI신기술사업투자조합제1호</v>
      </c>
      <c r="L89" s="375">
        <f>NAV!J57</f>
        <v>0</v>
      </c>
      <c r="M89" s="376">
        <f>NAV!N57</f>
        <v>0</v>
      </c>
      <c r="N89" s="376">
        <f>NAV!T57</f>
        <v>0</v>
      </c>
      <c r="O89" s="377">
        <f>IF(N89="장부가액 준용","장부가액 준용",IF(N89="취득원가 준용","취득원가 준용",NAV!R57))</f>
        <v>0</v>
      </c>
      <c r="P89" s="378">
        <f>NAV!W57</f>
        <v>0</v>
      </c>
      <c r="Q89" s="378">
        <f>NAV!S57</f>
        <v>0</v>
      </c>
      <c r="R89" s="737" t="str">
        <f>MID(NAV!U57,FIND("(",NAV!U57)+1,FIND(")", NAV!U57)-FIND("(",NAV!U57)-1)</f>
        <v>KRW</v>
      </c>
    </row>
    <row r="90" spans="1:18" ht="24.75" thickBot="1">
      <c r="A90" s="304">
        <f t="shared" si="4"/>
        <v>12</v>
      </c>
      <c r="B90" s="381" t="str">
        <f t="shared" si="1"/>
        <v/>
      </c>
      <c r="C90" s="380" t="str">
        <f t="shared" si="2"/>
        <v/>
      </c>
      <c r="D90" s="380" t="str">
        <f t="shared" si="3"/>
        <v/>
      </c>
      <c r="E90" s="304"/>
      <c r="F90" s="149" t="str">
        <f>IF(G90=0,"",COUNTA(G$75:$G90))</f>
        <v/>
      </c>
      <c r="G90" s="373">
        <f>IF(NAV!L27="SPC 없음",0,NAV!L27)</f>
        <v>0</v>
      </c>
      <c r="H90" s="374">
        <f>NAV!W27</f>
        <v>0</v>
      </c>
      <c r="I90" s="374" t="str">
        <f>NAV!S27</f>
        <v>SPC 없음</v>
      </c>
      <c r="J90" s="149" t="str">
        <f>IF(L90=0,"",COUNTA(L$75:$L90)+COUNT($F$75:$F$103))</f>
        <v/>
      </c>
      <c r="K90" s="373" t="str">
        <f>NAV!$C$6</f>
        <v>포스코KAICI신기술사업투자조합제1호</v>
      </c>
      <c r="L90" s="375">
        <f>NAV!J58</f>
        <v>0</v>
      </c>
      <c r="M90" s="376">
        <f>NAV!N58</f>
        <v>0</v>
      </c>
      <c r="N90" s="376">
        <f>NAV!T58</f>
        <v>0</v>
      </c>
      <c r="O90" s="377">
        <f>IF(N90="장부가액 준용","장부가액 준용",IF(N90="취득원가 준용","취득원가 준용",NAV!R58))</f>
        <v>0</v>
      </c>
      <c r="P90" s="378">
        <f>NAV!W58</f>
        <v>0</v>
      </c>
      <c r="Q90" s="378">
        <f>NAV!S58</f>
        <v>0</v>
      </c>
      <c r="R90" s="737" t="str">
        <f>MID(NAV!U58,FIND("(",NAV!U58)+1,FIND(")", NAV!U58)-FIND("(",NAV!U58)-1)</f>
        <v>KRW</v>
      </c>
    </row>
    <row r="91" spans="1:18" ht="24.75" thickBot="1">
      <c r="A91" s="304">
        <f t="shared" si="4"/>
        <v>13</v>
      </c>
      <c r="B91" s="381" t="str">
        <f t="shared" si="1"/>
        <v/>
      </c>
      <c r="C91" s="380" t="str">
        <f t="shared" si="2"/>
        <v/>
      </c>
      <c r="D91" s="380" t="str">
        <f t="shared" si="3"/>
        <v/>
      </c>
      <c r="E91" s="304"/>
      <c r="F91" s="149" t="str">
        <f>IF(G91=0,"",COUNTA(G$75:$G91))</f>
        <v/>
      </c>
      <c r="G91" s="373">
        <f>IF(NAV!L28="SPC 없음",0,NAV!L28)</f>
        <v>0</v>
      </c>
      <c r="H91" s="374">
        <f>NAV!W28</f>
        <v>0</v>
      </c>
      <c r="I91" s="374" t="str">
        <f>NAV!S28</f>
        <v>SPC 없음</v>
      </c>
      <c r="J91" s="149" t="str">
        <f>IF(L91=0,"",COUNTA(L$75:$L91)+COUNT($F$75:$F$103))</f>
        <v/>
      </c>
      <c r="K91" s="373" t="str">
        <f>NAV!$C$6</f>
        <v>포스코KAICI신기술사업투자조합제1호</v>
      </c>
      <c r="L91" s="375">
        <f>NAV!J59</f>
        <v>0</v>
      </c>
      <c r="M91" s="376">
        <f>NAV!N59</f>
        <v>0</v>
      </c>
      <c r="N91" s="376">
        <f>NAV!T59</f>
        <v>0</v>
      </c>
      <c r="O91" s="377">
        <f>IF(N91="장부가액 준용","장부가액 준용",IF(N91="취득원가 준용","취득원가 준용",NAV!R59))</f>
        <v>0</v>
      </c>
      <c r="P91" s="378">
        <f>NAV!W59</f>
        <v>0</v>
      </c>
      <c r="Q91" s="378">
        <f>NAV!S59</f>
        <v>0</v>
      </c>
      <c r="R91" s="737" t="str">
        <f>MID(NAV!U59,FIND("(",NAV!U59)+1,FIND(")", NAV!U59)-FIND("(",NAV!U59)-1)</f>
        <v>KRW</v>
      </c>
    </row>
    <row r="92" spans="1:18" ht="24.75" thickBot="1">
      <c r="A92" s="304">
        <f t="shared" si="4"/>
        <v>14</v>
      </c>
      <c r="B92" s="381" t="str">
        <f t="shared" si="1"/>
        <v/>
      </c>
      <c r="C92" s="380" t="str">
        <f t="shared" si="2"/>
        <v/>
      </c>
      <c r="D92" s="380" t="str">
        <f t="shared" si="3"/>
        <v/>
      </c>
      <c r="E92" s="304"/>
      <c r="F92" s="149" t="str">
        <f>IF(G92=0,"",COUNTA(G$75:$G92))</f>
        <v/>
      </c>
      <c r="G92" s="373">
        <f>IF(NAV!L29="SPC 없음",0,NAV!L29)</f>
        <v>0</v>
      </c>
      <c r="H92" s="374">
        <f>NAV!W29</f>
        <v>0</v>
      </c>
      <c r="I92" s="374" t="str">
        <f>NAV!S29</f>
        <v>SPC 없음</v>
      </c>
      <c r="J92" s="149" t="str">
        <f>IF(L92=0,"",COUNTA(L$75:$L92)+COUNT($F$75:$F$103))</f>
        <v/>
      </c>
      <c r="K92" s="373" t="str">
        <f>NAV!$C$6</f>
        <v>포스코KAICI신기술사업투자조합제1호</v>
      </c>
      <c r="L92" s="375">
        <f>NAV!J60</f>
        <v>0</v>
      </c>
      <c r="M92" s="376">
        <f>NAV!N60</f>
        <v>0</v>
      </c>
      <c r="N92" s="376">
        <f>NAV!T60</f>
        <v>0</v>
      </c>
      <c r="O92" s="377">
        <f>IF(N92="장부가액 준용","장부가액 준용",IF(N92="취득원가 준용","취득원가 준용",NAV!R60))</f>
        <v>0</v>
      </c>
      <c r="P92" s="378">
        <f>NAV!W60</f>
        <v>0</v>
      </c>
      <c r="Q92" s="378">
        <f>NAV!S60</f>
        <v>0</v>
      </c>
      <c r="R92" s="737" t="str">
        <f>MID(NAV!U60,FIND("(",NAV!U60)+1,FIND(")", NAV!U60)-FIND("(",NAV!U60)-1)</f>
        <v>KRW</v>
      </c>
    </row>
    <row r="93" spans="1:18" ht="24.75" thickBot="1">
      <c r="A93" s="304">
        <f t="shared" si="4"/>
        <v>15</v>
      </c>
      <c r="B93" s="381" t="str">
        <f t="shared" si="1"/>
        <v/>
      </c>
      <c r="C93" s="380" t="str">
        <f t="shared" si="2"/>
        <v/>
      </c>
      <c r="D93" s="380" t="str">
        <f t="shared" si="3"/>
        <v/>
      </c>
      <c r="E93" s="304"/>
      <c r="F93" s="149" t="str">
        <f>IF(G93=0,"",COUNTA(G$75:$G93))</f>
        <v/>
      </c>
      <c r="G93" s="373">
        <f>IF(NAV!L30="SPC 없음",0,NAV!L30)</f>
        <v>0</v>
      </c>
      <c r="H93" s="374">
        <f>NAV!W30</f>
        <v>0</v>
      </c>
      <c r="I93" s="374" t="str">
        <f>NAV!S30</f>
        <v>SPC 없음</v>
      </c>
      <c r="J93" s="149" t="str">
        <f>IF(L93=0,"",COUNTA(L$75:$L93)+COUNT($F$75:$F$103))</f>
        <v/>
      </c>
      <c r="K93" s="373" t="str">
        <f>NAV!$C$6</f>
        <v>포스코KAICI신기술사업투자조합제1호</v>
      </c>
      <c r="L93" s="375">
        <f>NAV!J61</f>
        <v>0</v>
      </c>
      <c r="M93" s="376">
        <f>NAV!N61</f>
        <v>0</v>
      </c>
      <c r="N93" s="376">
        <f>NAV!T61</f>
        <v>0</v>
      </c>
      <c r="O93" s="377">
        <f>IF(N93="장부가액 준용","장부가액 준용",IF(N93="취득원가 준용","취득원가 준용",NAV!R61))</f>
        <v>0</v>
      </c>
      <c r="P93" s="378">
        <f>NAV!W61</f>
        <v>0</v>
      </c>
      <c r="Q93" s="378">
        <f>NAV!S61</f>
        <v>0</v>
      </c>
      <c r="R93" s="737" t="str">
        <f>MID(NAV!U61,FIND("(",NAV!U61)+1,FIND(")", NAV!U61)-FIND("(",NAV!U61)-1)</f>
        <v>KRW</v>
      </c>
    </row>
    <row r="94" spans="1:18" ht="24.75" thickBot="1">
      <c r="A94" s="304">
        <f t="shared" si="4"/>
        <v>16</v>
      </c>
      <c r="B94" s="381" t="str">
        <f t="shared" si="1"/>
        <v/>
      </c>
      <c r="C94" s="380" t="str">
        <f t="shared" si="2"/>
        <v/>
      </c>
      <c r="D94" s="380" t="str">
        <f t="shared" si="3"/>
        <v/>
      </c>
      <c r="E94" s="304"/>
      <c r="F94" s="149" t="str">
        <f>IF(G94=0,"",COUNTA(G$75:$G94))</f>
        <v/>
      </c>
      <c r="G94" s="373">
        <f>IF(NAV!L31="SPC 없음",0,NAV!L31)</f>
        <v>0</v>
      </c>
      <c r="H94" s="374">
        <f>NAV!W31</f>
        <v>0</v>
      </c>
      <c r="I94" s="374" t="str">
        <f>NAV!S31</f>
        <v>SPC 없음</v>
      </c>
      <c r="J94" s="149" t="str">
        <f>IF(L94=0,"",COUNTA(L$75:$L94)+COUNT($F$75:$F$103))</f>
        <v/>
      </c>
      <c r="K94" s="373" t="str">
        <f>NAV!$C$6</f>
        <v>포스코KAICI신기술사업투자조합제1호</v>
      </c>
      <c r="L94" s="375">
        <f>NAV!J62</f>
        <v>0</v>
      </c>
      <c r="M94" s="376">
        <f>NAV!N62</f>
        <v>0</v>
      </c>
      <c r="N94" s="376">
        <f>NAV!T62</f>
        <v>0</v>
      </c>
      <c r="O94" s="377">
        <f>IF(N94="장부가액 준용","장부가액 준용",IF(N94="취득원가 준용","취득원가 준용",NAV!R62))</f>
        <v>0</v>
      </c>
      <c r="P94" s="378">
        <f>NAV!W62</f>
        <v>0</v>
      </c>
      <c r="Q94" s="378">
        <f>NAV!S62</f>
        <v>0</v>
      </c>
      <c r="R94" s="737" t="str">
        <f>MID(NAV!U62,FIND("(",NAV!U62)+1,FIND(")", NAV!U62)-FIND("(",NAV!U62)-1)</f>
        <v>KRW</v>
      </c>
    </row>
    <row r="95" spans="1:18" ht="24.75" thickBot="1">
      <c r="A95" s="304">
        <f t="shared" si="4"/>
        <v>17</v>
      </c>
      <c r="B95" s="381" t="str">
        <f t="shared" si="1"/>
        <v/>
      </c>
      <c r="C95" s="380" t="str">
        <f t="shared" si="2"/>
        <v/>
      </c>
      <c r="D95" s="380" t="str">
        <f t="shared" si="3"/>
        <v/>
      </c>
      <c r="E95" s="304"/>
      <c r="F95" s="149" t="str">
        <f>IF(G95=0,"",COUNTA(G$75:$G95))</f>
        <v/>
      </c>
      <c r="G95" s="373">
        <f>IF(NAV!L32="SPC 없음",0,NAV!L32)</f>
        <v>0</v>
      </c>
      <c r="H95" s="374">
        <f>NAV!W32</f>
        <v>0</v>
      </c>
      <c r="I95" s="374" t="str">
        <f>NAV!S32</f>
        <v>SPC 없음</v>
      </c>
      <c r="J95" s="149" t="str">
        <f>IF(L95=0,"",COUNTA(L$75:$L95)+COUNT($F$75:$F$103))</f>
        <v/>
      </c>
      <c r="K95" s="373" t="str">
        <f>NAV!$C$6</f>
        <v>포스코KAICI신기술사업투자조합제1호</v>
      </c>
      <c r="L95" s="375">
        <f>NAV!J63</f>
        <v>0</v>
      </c>
      <c r="M95" s="376">
        <f>NAV!N63</f>
        <v>0</v>
      </c>
      <c r="N95" s="376">
        <f>NAV!T63</f>
        <v>0</v>
      </c>
      <c r="O95" s="377">
        <f>IF(N95="장부가액 준용","장부가액 준용",IF(N95="취득원가 준용","취득원가 준용",NAV!R63))</f>
        <v>0</v>
      </c>
      <c r="P95" s="378">
        <f>NAV!W63</f>
        <v>0</v>
      </c>
      <c r="Q95" s="378">
        <f>NAV!S63</f>
        <v>0</v>
      </c>
      <c r="R95" s="737" t="str">
        <f>MID(NAV!U63,FIND("(",NAV!U63)+1,FIND(")", NAV!U63)-FIND("(",NAV!U63)-1)</f>
        <v>KRW</v>
      </c>
    </row>
    <row r="96" spans="1:18" ht="24.75" thickBot="1">
      <c r="A96" s="304">
        <f t="shared" si="4"/>
        <v>18</v>
      </c>
      <c r="B96" s="381" t="str">
        <f t="shared" si="1"/>
        <v/>
      </c>
      <c r="C96" s="380" t="str">
        <f t="shared" si="2"/>
        <v/>
      </c>
      <c r="D96" s="380" t="str">
        <f t="shared" si="3"/>
        <v/>
      </c>
      <c r="E96" s="304"/>
      <c r="F96" s="149" t="str">
        <f>IF(G96=0,"",COUNTA(G$75:$G96))</f>
        <v/>
      </c>
      <c r="G96" s="373">
        <f>IF(NAV!L33="SPC 없음",0,NAV!L33)</f>
        <v>0</v>
      </c>
      <c r="H96" s="374">
        <f>NAV!W33</f>
        <v>0</v>
      </c>
      <c r="I96" s="374" t="str">
        <f>NAV!S33</f>
        <v>SPC 없음</v>
      </c>
      <c r="J96" s="149" t="str">
        <f>IF(L96=0,"",COUNTA(L$75:$L96)+COUNT($F$75:$F$103))</f>
        <v/>
      </c>
      <c r="K96" s="373" t="str">
        <f>NAV!$C$6</f>
        <v>포스코KAICI신기술사업투자조합제1호</v>
      </c>
      <c r="L96" s="375">
        <f>NAV!J64</f>
        <v>0</v>
      </c>
      <c r="M96" s="376">
        <f>NAV!N64</f>
        <v>0</v>
      </c>
      <c r="N96" s="376">
        <f>NAV!T64</f>
        <v>0</v>
      </c>
      <c r="O96" s="377">
        <f>IF(N96="장부가액 준용","장부가액 준용",IF(N96="취득원가 준용","취득원가 준용",NAV!R64))</f>
        <v>0</v>
      </c>
      <c r="P96" s="378">
        <f>NAV!W64</f>
        <v>0</v>
      </c>
      <c r="Q96" s="378">
        <f>NAV!S64</f>
        <v>0</v>
      </c>
      <c r="R96" s="737" t="str">
        <f>MID(NAV!U64,FIND("(",NAV!U64)+1,FIND(")", NAV!U64)-FIND("(",NAV!U64)-1)</f>
        <v>KRW</v>
      </c>
    </row>
    <row r="97" spans="1:18" ht="24.75" thickBot="1">
      <c r="A97" s="304">
        <f t="shared" si="4"/>
        <v>19</v>
      </c>
      <c r="B97" s="381" t="str">
        <f t="shared" si="1"/>
        <v/>
      </c>
      <c r="C97" s="380" t="str">
        <f t="shared" si="2"/>
        <v/>
      </c>
      <c r="D97" s="380" t="str">
        <f t="shared" si="3"/>
        <v/>
      </c>
      <c r="E97" s="304"/>
      <c r="F97" s="149" t="str">
        <f>IF(G97=0,"",COUNTA(G$75:$G97))</f>
        <v/>
      </c>
      <c r="G97" s="373">
        <f>IF(NAV!L34="SPC 없음",0,NAV!L34)</f>
        <v>0</v>
      </c>
      <c r="H97" s="374">
        <f>NAV!W34</f>
        <v>0</v>
      </c>
      <c r="I97" s="374" t="str">
        <f>NAV!S34</f>
        <v>SPC 없음</v>
      </c>
      <c r="J97" s="149" t="str">
        <f>IF(L97=0,"",COUNTA(L$75:$L97)+COUNT($F$75:$F$103))</f>
        <v/>
      </c>
      <c r="K97" s="373" t="str">
        <f>NAV!$C$6</f>
        <v>포스코KAICI신기술사업투자조합제1호</v>
      </c>
      <c r="L97" s="375">
        <f>NAV!J65</f>
        <v>0</v>
      </c>
      <c r="M97" s="376">
        <f>NAV!N65</f>
        <v>0</v>
      </c>
      <c r="N97" s="376">
        <f>NAV!T65</f>
        <v>0</v>
      </c>
      <c r="O97" s="377">
        <f>IF(N97="장부가액 준용","장부가액 준용",IF(N97="취득원가 준용","취득원가 준용",NAV!R65))</f>
        <v>0</v>
      </c>
      <c r="P97" s="378">
        <f>NAV!W65</f>
        <v>0</v>
      </c>
      <c r="Q97" s="378">
        <f>NAV!S65</f>
        <v>0</v>
      </c>
      <c r="R97" s="737" t="str">
        <f>MID(NAV!U65,FIND("(",NAV!U65)+1,FIND(")", NAV!U65)-FIND("(",NAV!U65)-1)</f>
        <v>KRW</v>
      </c>
    </row>
    <row r="98" spans="1:18" ht="24.75" thickBot="1">
      <c r="A98" s="304">
        <f t="shared" si="4"/>
        <v>20</v>
      </c>
      <c r="B98" s="381" t="str">
        <f t="shared" si="1"/>
        <v/>
      </c>
      <c r="C98" s="380" t="str">
        <f t="shared" si="2"/>
        <v/>
      </c>
      <c r="D98" s="380" t="str">
        <f t="shared" si="3"/>
        <v/>
      </c>
      <c r="E98" s="304"/>
      <c r="F98" s="149" t="str">
        <f>IF(G98=0,"",COUNTA(G$75:$G98))</f>
        <v/>
      </c>
      <c r="G98" s="373">
        <f>IF(NAV!L35="SPC 없음",0,NAV!L35)</f>
        <v>0</v>
      </c>
      <c r="H98" s="374">
        <f>NAV!W35</f>
        <v>0</v>
      </c>
      <c r="I98" s="374" t="str">
        <f>NAV!S35</f>
        <v>SPC 없음</v>
      </c>
      <c r="J98" s="149" t="str">
        <f>IF(L98=0,"",COUNTA(L$75:$L98)+COUNT($F$75:$F$103))</f>
        <v/>
      </c>
      <c r="K98" s="373" t="str">
        <f>NAV!$C$6</f>
        <v>포스코KAICI신기술사업투자조합제1호</v>
      </c>
      <c r="L98" s="375">
        <f>NAV!J66</f>
        <v>0</v>
      </c>
      <c r="M98" s="376">
        <f>NAV!N66</f>
        <v>0</v>
      </c>
      <c r="N98" s="376">
        <f>NAV!T66</f>
        <v>0</v>
      </c>
      <c r="O98" s="377">
        <f>IF(N98="장부가액 준용","장부가액 준용",IF(N98="취득원가 준용","취득원가 준용",NAV!R66))</f>
        <v>0</v>
      </c>
      <c r="P98" s="378">
        <f>NAV!W66</f>
        <v>0</v>
      </c>
      <c r="Q98" s="378">
        <f>NAV!S66</f>
        <v>0</v>
      </c>
      <c r="R98" s="737" t="str">
        <f>MID(NAV!U66,FIND("(",NAV!U66)+1,FIND(")", NAV!U66)-FIND("(",NAV!U66)-1)</f>
        <v>KRW</v>
      </c>
    </row>
    <row r="99" spans="1:18" ht="24.75" thickBot="1">
      <c r="A99" s="304">
        <f t="shared" si="4"/>
        <v>21</v>
      </c>
      <c r="B99" s="381" t="str">
        <f t="shared" si="1"/>
        <v/>
      </c>
      <c r="C99" s="380" t="str">
        <f t="shared" si="2"/>
        <v/>
      </c>
      <c r="D99" s="380" t="str">
        <f t="shared" si="3"/>
        <v/>
      </c>
      <c r="E99" s="304"/>
      <c r="F99" s="149" t="str">
        <f>IF(G99=0,"",COUNTA(G$75:$G99))</f>
        <v/>
      </c>
      <c r="G99" s="373">
        <f>IF(NAV!L36="SPC 없음",0,NAV!L36)</f>
        <v>0</v>
      </c>
      <c r="H99" s="374">
        <f>NAV!W36</f>
        <v>0</v>
      </c>
      <c r="I99" s="374" t="str">
        <f>NAV!S36</f>
        <v>SPC 없음</v>
      </c>
      <c r="J99" s="149" t="str">
        <f>IF(L99=0,"",COUNTA(L$75:$L99)+COUNT($F$75:$F$103))</f>
        <v/>
      </c>
      <c r="K99" s="373" t="str">
        <f>NAV!$C$6</f>
        <v>포스코KAICI신기술사업투자조합제1호</v>
      </c>
      <c r="L99" s="375">
        <f>NAV!J67</f>
        <v>0</v>
      </c>
      <c r="M99" s="376">
        <f>NAV!N67</f>
        <v>0</v>
      </c>
      <c r="N99" s="376">
        <f>NAV!T67</f>
        <v>0</v>
      </c>
      <c r="O99" s="377">
        <f>IF(N99="장부가액 준용","장부가액 준용",IF(N99="취득원가 준용","취득원가 준용",NAV!R67))</f>
        <v>0</v>
      </c>
      <c r="P99" s="378">
        <f>NAV!W67</f>
        <v>0</v>
      </c>
      <c r="Q99" s="378">
        <f>NAV!S67</f>
        <v>0</v>
      </c>
      <c r="R99" s="737" t="str">
        <f>MID(NAV!U67,FIND("(",NAV!U67)+1,FIND(")", NAV!U67)-FIND("(",NAV!U67)-1)</f>
        <v>KRW</v>
      </c>
    </row>
    <row r="100" spans="1:18" ht="24.75" thickBot="1">
      <c r="A100" s="304">
        <f t="shared" si="4"/>
        <v>22</v>
      </c>
      <c r="B100" s="381" t="str">
        <f t="shared" si="1"/>
        <v/>
      </c>
      <c r="C100" s="380" t="str">
        <f t="shared" si="2"/>
        <v/>
      </c>
      <c r="D100" s="380" t="str">
        <f t="shared" si="3"/>
        <v/>
      </c>
      <c r="E100" s="304"/>
      <c r="F100" s="149" t="str">
        <f>IF(G100=0,"",COUNTA(G$75:$G100))</f>
        <v/>
      </c>
      <c r="G100" s="373">
        <f>IF(NAV!L37="SPC 없음",0,NAV!L37)</f>
        <v>0</v>
      </c>
      <c r="H100" s="374">
        <f>NAV!W37</f>
        <v>0</v>
      </c>
      <c r="I100" s="374" t="str">
        <f>NAV!S37</f>
        <v>SPC 없음</v>
      </c>
      <c r="J100" s="149" t="str">
        <f>IF(L100=0,"",COUNTA(L$75:$L100)+COUNT($F$75:$F$103))</f>
        <v/>
      </c>
      <c r="K100" s="373" t="str">
        <f>NAV!$C$6</f>
        <v>포스코KAICI신기술사업투자조합제1호</v>
      </c>
      <c r="L100" s="375">
        <f>NAV!J68</f>
        <v>0</v>
      </c>
      <c r="M100" s="376">
        <f>NAV!N68</f>
        <v>0</v>
      </c>
      <c r="N100" s="376">
        <f>NAV!T68</f>
        <v>0</v>
      </c>
      <c r="O100" s="377">
        <f>IF(N100="장부가액 준용","장부가액 준용",IF(N100="취득원가 준용","취득원가 준용",NAV!R68))</f>
        <v>0</v>
      </c>
      <c r="P100" s="378">
        <f>NAV!W68</f>
        <v>0</v>
      </c>
      <c r="Q100" s="378">
        <f>NAV!S68</f>
        <v>0</v>
      </c>
      <c r="R100" s="737" t="str">
        <f>MID(NAV!U68,FIND("(",NAV!U68)+1,FIND(")", NAV!U68)-FIND("(",NAV!U68)-1)</f>
        <v>KRW</v>
      </c>
    </row>
    <row r="101" spans="1:18" ht="24.75" thickBot="1">
      <c r="A101" s="304">
        <f t="shared" si="4"/>
        <v>23</v>
      </c>
      <c r="B101" s="381" t="str">
        <f t="shared" si="1"/>
        <v/>
      </c>
      <c r="C101" s="380" t="str">
        <f t="shared" si="2"/>
        <v/>
      </c>
      <c r="D101" s="380" t="str">
        <f t="shared" si="3"/>
        <v/>
      </c>
      <c r="E101" s="304"/>
      <c r="F101" s="149" t="str">
        <f>IF(G101=0,"",COUNTA(G$75:$G101))</f>
        <v/>
      </c>
      <c r="G101" s="373">
        <f>IF(NAV!L38="SPC 없음",0,NAV!L38)</f>
        <v>0</v>
      </c>
      <c r="H101" s="374">
        <f>NAV!W38</f>
        <v>0</v>
      </c>
      <c r="I101" s="374" t="str">
        <f>NAV!S38</f>
        <v>SPC 없음</v>
      </c>
      <c r="J101" s="149" t="str">
        <f>IF(L101=0,"",COUNTA(L$75:$L101)+COUNT($F$75:$F$103))</f>
        <v/>
      </c>
      <c r="K101" s="373" t="str">
        <f>NAV!$C$6</f>
        <v>포스코KAICI신기술사업투자조합제1호</v>
      </c>
      <c r="L101" s="375">
        <f>NAV!J69</f>
        <v>0</v>
      </c>
      <c r="M101" s="376">
        <f>NAV!N69</f>
        <v>0</v>
      </c>
      <c r="N101" s="376">
        <f>NAV!T69</f>
        <v>0</v>
      </c>
      <c r="O101" s="377">
        <f>IF(N101="장부가액 준용","장부가액 준용",IF(N101="취득원가 준용","취득원가 준용",NAV!R69))</f>
        <v>0</v>
      </c>
      <c r="P101" s="378">
        <f>NAV!W69</f>
        <v>0</v>
      </c>
      <c r="Q101" s="378">
        <f>NAV!S69</f>
        <v>0</v>
      </c>
      <c r="R101" s="737" t="str">
        <f>MID(NAV!U69,FIND("(",NAV!U69)+1,FIND(")", NAV!U69)-FIND("(",NAV!U69)-1)</f>
        <v>KRW</v>
      </c>
    </row>
    <row r="102" spans="1:18" ht="24.75" thickBot="1">
      <c r="A102" s="304">
        <f t="shared" si="4"/>
        <v>24</v>
      </c>
      <c r="B102" s="381" t="str">
        <f t="shared" si="1"/>
        <v/>
      </c>
      <c r="C102" s="380" t="str">
        <f t="shared" si="2"/>
        <v/>
      </c>
      <c r="D102" s="380" t="str">
        <f t="shared" si="3"/>
        <v/>
      </c>
      <c r="E102" s="304"/>
      <c r="F102" s="149" t="str">
        <f>IF(G102=0,"",COUNTA(G$75:$G102))</f>
        <v/>
      </c>
      <c r="G102" s="373">
        <f>IF(NAV!L39="SPC 없음",0,NAV!L39)</f>
        <v>0</v>
      </c>
      <c r="H102" s="374">
        <f>NAV!W39</f>
        <v>0</v>
      </c>
      <c r="I102" s="374" t="str">
        <f>NAV!S39</f>
        <v>SPC 없음</v>
      </c>
      <c r="J102" s="149" t="str">
        <f>IF(L102=0,"",COUNTA(L$75:$L102)+COUNT($F$75:$F$103))</f>
        <v/>
      </c>
      <c r="K102" s="373" t="str">
        <f>NAV!$C$6</f>
        <v>포스코KAICI신기술사업투자조합제1호</v>
      </c>
      <c r="L102" s="375">
        <f>NAV!J70</f>
        <v>0</v>
      </c>
      <c r="M102" s="376">
        <f>NAV!N70</f>
        <v>0</v>
      </c>
      <c r="N102" s="376">
        <f>NAV!T70</f>
        <v>0</v>
      </c>
      <c r="O102" s="377">
        <f>IF(N102="장부가액 준용","장부가액 준용",IF(N102="취득원가 준용","취득원가 준용",NAV!R70))</f>
        <v>0</v>
      </c>
      <c r="P102" s="378">
        <f>NAV!W70</f>
        <v>0</v>
      </c>
      <c r="Q102" s="378">
        <f>NAV!S70</f>
        <v>0</v>
      </c>
      <c r="R102" s="737" t="str">
        <f>MID(NAV!U70,FIND("(",NAV!U70)+1,FIND(")", NAV!U70)-FIND("(",NAV!U70)-1)</f>
        <v>KRW</v>
      </c>
    </row>
    <row r="103" spans="1:18" ht="24.75" thickBot="1">
      <c r="A103" s="304">
        <f t="shared" si="4"/>
        <v>25</v>
      </c>
      <c r="B103" s="381" t="str">
        <f t="shared" si="1"/>
        <v/>
      </c>
      <c r="C103" s="380" t="str">
        <f t="shared" si="2"/>
        <v/>
      </c>
      <c r="D103" s="380" t="str">
        <f t="shared" si="3"/>
        <v/>
      </c>
      <c r="E103" s="304"/>
      <c r="F103" s="149" t="str">
        <f>IF(G103=0,"",COUNTA(G$75:$G103))</f>
        <v/>
      </c>
      <c r="G103" s="373">
        <f>IF(NAV!L40="SPC 없음",0,NAV!L40)</f>
        <v>0</v>
      </c>
      <c r="H103" s="374">
        <f>NAV!W40</f>
        <v>0</v>
      </c>
      <c r="I103" s="374" t="str">
        <f>NAV!S40</f>
        <v>SPC 없음</v>
      </c>
      <c r="J103" s="149" t="str">
        <f>IF(L103=0,"",COUNTA(L$75:$L103)+COUNT($F$75:$F$103))</f>
        <v/>
      </c>
      <c r="K103" s="373" t="str">
        <f>NAV!$C$6</f>
        <v>포스코KAICI신기술사업투자조합제1호</v>
      </c>
      <c r="L103" s="375">
        <f>NAV!J71</f>
        <v>0</v>
      </c>
      <c r="M103" s="376">
        <f>NAV!N71</f>
        <v>0</v>
      </c>
      <c r="N103" s="376">
        <f>NAV!T71</f>
        <v>0</v>
      </c>
      <c r="O103" s="377">
        <f>IF(N103="장부가액 준용","장부가액 준용",IF(N103="취득원가 준용","취득원가 준용",NAV!R71))</f>
        <v>0</v>
      </c>
      <c r="P103" s="378">
        <f>NAV!W71</f>
        <v>0</v>
      </c>
      <c r="Q103" s="378">
        <f>NAV!S71</f>
        <v>0</v>
      </c>
      <c r="R103" s="737" t="str">
        <f>MID(NAV!U71,FIND("(",NAV!U71)+1,FIND(")", NAV!U71)-FIND("(",NAV!U71)-1)</f>
        <v>KRW</v>
      </c>
    </row>
    <row r="104" spans="1:18" ht="24.75" thickBot="1">
      <c r="A104" s="304">
        <f t="shared" si="4"/>
        <v>26</v>
      </c>
      <c r="B104" s="381" t="str">
        <f t="shared" si="1"/>
        <v/>
      </c>
      <c r="C104" s="380" t="str">
        <f t="shared" si="2"/>
        <v/>
      </c>
      <c r="D104" s="380" t="str">
        <f t="shared" si="3"/>
        <v/>
      </c>
      <c r="E104" s="304"/>
      <c r="J104" s="149" t="str">
        <f>IF(L104=0,"",COUNTA(L$75:$L104)+COUNT($F$75:$F$103))</f>
        <v/>
      </c>
      <c r="K104" s="373" t="str">
        <f>NAV!$C$6</f>
        <v>포스코KAICI신기술사업투자조합제1호</v>
      </c>
      <c r="L104" s="375">
        <f>NAV!J72</f>
        <v>0</v>
      </c>
      <c r="M104" s="376">
        <f>NAV!N72</f>
        <v>0</v>
      </c>
      <c r="N104" s="376">
        <f>NAV!T72</f>
        <v>0</v>
      </c>
      <c r="O104" s="377">
        <f>IF(N104="장부가액 준용","장부가액 준용",IF(N104="취득원가 준용","취득원가 준용",NAV!R72))</f>
        <v>0</v>
      </c>
      <c r="P104" s="378">
        <f>NAV!W72</f>
        <v>0</v>
      </c>
      <c r="Q104" s="378">
        <f>NAV!S72</f>
        <v>0</v>
      </c>
      <c r="R104" s="737" t="str">
        <f>MID(NAV!U72,FIND("(",NAV!U72)+1,FIND(")", NAV!U72)-FIND("(",NAV!U72)-1)</f>
        <v>KRW</v>
      </c>
    </row>
    <row r="105" spans="1:18" ht="24.75" thickBot="1">
      <c r="A105" s="304">
        <f t="shared" si="4"/>
        <v>27</v>
      </c>
      <c r="B105" s="381" t="str">
        <f t="shared" si="1"/>
        <v/>
      </c>
      <c r="C105" s="380" t="str">
        <f t="shared" si="2"/>
        <v/>
      </c>
      <c r="D105" s="380" t="str">
        <f t="shared" si="3"/>
        <v/>
      </c>
      <c r="E105" s="304"/>
      <c r="J105" s="149" t="str">
        <f>IF(L105=0,"",COUNTA(L$75:$L105)+COUNT($F$75:$F$103))</f>
        <v/>
      </c>
      <c r="K105" s="373" t="str">
        <f>NAV!$C$6</f>
        <v>포스코KAICI신기술사업투자조합제1호</v>
      </c>
      <c r="L105" s="375">
        <f>NAV!J73</f>
        <v>0</v>
      </c>
      <c r="M105" s="376">
        <f>NAV!N73</f>
        <v>0</v>
      </c>
      <c r="N105" s="376">
        <f>NAV!T73</f>
        <v>0</v>
      </c>
      <c r="O105" s="377">
        <f>IF(N105="장부가액 준용","장부가액 준용",IF(N105="취득원가 준용","취득원가 준용",NAV!R73))</f>
        <v>0</v>
      </c>
      <c r="P105" s="378">
        <f>NAV!W73</f>
        <v>0</v>
      </c>
      <c r="Q105" s="378">
        <f>NAV!S73</f>
        <v>0</v>
      </c>
      <c r="R105" s="737" t="str">
        <f>MID(NAV!U73,FIND("(",NAV!U73)+1,FIND(")", NAV!U73)-FIND("(",NAV!U73)-1)</f>
        <v>KRW</v>
      </c>
    </row>
    <row r="106" spans="1:18" ht="24.75" thickBot="1">
      <c r="A106" s="304">
        <f t="shared" si="4"/>
        <v>28</v>
      </c>
      <c r="B106" s="381" t="str">
        <f t="shared" si="1"/>
        <v/>
      </c>
      <c r="C106" s="380" t="str">
        <f t="shared" si="2"/>
        <v/>
      </c>
      <c r="D106" s="380" t="str">
        <f t="shared" si="3"/>
        <v/>
      </c>
      <c r="E106" s="304"/>
      <c r="J106" s="149" t="str">
        <f>IF(L106=0,"",COUNTA(L$75:$L106)+COUNT($F$75:$F$103))</f>
        <v/>
      </c>
      <c r="K106" s="373" t="str">
        <f>NAV!$C$6</f>
        <v>포스코KAICI신기술사업투자조합제1호</v>
      </c>
      <c r="L106" s="375">
        <f>NAV!J74</f>
        <v>0</v>
      </c>
      <c r="M106" s="376">
        <f>NAV!N74</f>
        <v>0</v>
      </c>
      <c r="N106" s="376">
        <f>NAV!T74</f>
        <v>0</v>
      </c>
      <c r="O106" s="377">
        <f>IF(N106="장부가액 준용","장부가액 준용",IF(N106="취득원가 준용","취득원가 준용",NAV!R74))</f>
        <v>0</v>
      </c>
      <c r="P106" s="378">
        <f>NAV!W74</f>
        <v>0</v>
      </c>
      <c r="Q106" s="378">
        <f>NAV!S74</f>
        <v>0</v>
      </c>
      <c r="R106" s="737" t="str">
        <f>MID(NAV!U74,FIND("(",NAV!U74)+1,FIND(")", NAV!U74)-FIND("(",NAV!U74)-1)</f>
        <v>KRW</v>
      </c>
    </row>
    <row r="107" spans="1:18" ht="24.75" thickBot="1">
      <c r="A107" s="304">
        <f t="shared" si="4"/>
        <v>29</v>
      </c>
      <c r="B107" s="381" t="str">
        <f t="shared" si="1"/>
        <v/>
      </c>
      <c r="C107" s="380" t="str">
        <f t="shared" si="2"/>
        <v/>
      </c>
      <c r="D107" s="380" t="str">
        <f t="shared" si="3"/>
        <v/>
      </c>
      <c r="E107" s="304"/>
      <c r="J107" s="149" t="str">
        <f>IF(L107=0,"",COUNTA(L$75:$L107)+COUNT($F$75:$F$103))</f>
        <v/>
      </c>
      <c r="K107" s="373" t="str">
        <f>NAV!$C$6</f>
        <v>포스코KAICI신기술사업투자조합제1호</v>
      </c>
      <c r="L107" s="375">
        <f>NAV!J75</f>
        <v>0</v>
      </c>
      <c r="M107" s="376">
        <f>NAV!N75</f>
        <v>0</v>
      </c>
      <c r="N107" s="376">
        <f>NAV!T75</f>
        <v>0</v>
      </c>
      <c r="O107" s="377">
        <f>IF(N107="장부가액 준용","장부가액 준용",IF(N107="취득원가 준용","취득원가 준용",NAV!R75))</f>
        <v>0</v>
      </c>
      <c r="P107" s="378">
        <f>NAV!W75</f>
        <v>0</v>
      </c>
      <c r="Q107" s="378">
        <f>NAV!S75</f>
        <v>0</v>
      </c>
      <c r="R107" s="737" t="str">
        <f>MID(NAV!U75,FIND("(",NAV!U75)+1,FIND(")", NAV!U75)-FIND("(",NAV!U75)-1)</f>
        <v>KRW</v>
      </c>
    </row>
    <row r="108" spans="1:18" ht="24.75" thickBot="1">
      <c r="A108" s="304">
        <f t="shared" si="4"/>
        <v>30</v>
      </c>
      <c r="B108" s="381" t="str">
        <f t="shared" ref="B108:B139" si="5">IFERROR(IF(F108=A108,VLOOKUP(A108,$F$74:$I$229,2,0),VLOOKUP(A108,$J$74:$Q$225,3,0)&amp;" "&amp;VLOOKUP(A108,$J$74:$Q$225,4,0)),"")</f>
        <v/>
      </c>
      <c r="C108" s="380" t="str">
        <f t="shared" ref="C108:C139" si="6">IFERROR(IF(F108=A108,VLOOKUP(A108,$F$74:$I$229,3,0),VLOOKUP(A108,$J$74:$Q$225,7,0)),"")</f>
        <v/>
      </c>
      <c r="D108" s="380" t="str">
        <f t="shared" ref="D108:D139" si="7">IFERROR(IF(F108=A108,VLOOKUP(A108,$F$74:$I$229,4,0),VLOOKUP(A108,$J$74:$Q$225,8,0)),"")</f>
        <v/>
      </c>
      <c r="E108" s="349" t="s">
        <v>3462</v>
      </c>
      <c r="J108" s="149" t="str">
        <f>IF(L108=0,"",COUNTA(L$75:$L108)+COUNT($F$75:$F$103))</f>
        <v/>
      </c>
      <c r="K108" s="373" t="str">
        <f>NAV!$C$6</f>
        <v>포스코KAICI신기술사업투자조합제1호</v>
      </c>
      <c r="L108" s="375">
        <f>NAV!J76</f>
        <v>0</v>
      </c>
      <c r="M108" s="376">
        <f>NAV!N76</f>
        <v>0</v>
      </c>
      <c r="N108" s="376">
        <f>NAV!T76</f>
        <v>0</v>
      </c>
      <c r="O108" s="377">
        <f>IF(N108="장부가액 준용","장부가액 준용",IF(N108="취득원가 준용","취득원가 준용",NAV!R76))</f>
        <v>0</v>
      </c>
      <c r="P108" s="378">
        <f>NAV!W76</f>
        <v>0</v>
      </c>
      <c r="Q108" s="378">
        <f>NAV!S76</f>
        <v>0</v>
      </c>
      <c r="R108" s="737" t="str">
        <f>MID(NAV!U76,FIND("(",NAV!U76)+1,FIND(")", NAV!U76)-FIND("(",NAV!U76)-1)</f>
        <v>KRW</v>
      </c>
    </row>
    <row r="109" spans="1:18" ht="12.75" customHeight="1" outlineLevel="1" thickBot="1">
      <c r="A109" s="304">
        <f t="shared" si="4"/>
        <v>31</v>
      </c>
      <c r="B109" s="381" t="str">
        <f t="shared" si="5"/>
        <v/>
      </c>
      <c r="C109" s="380" t="str">
        <f t="shared" si="6"/>
        <v/>
      </c>
      <c r="D109" s="380" t="str">
        <f t="shared" si="7"/>
        <v/>
      </c>
      <c r="E109" s="304"/>
      <c r="J109" s="149" t="str">
        <f>IF(L109=0,"",COUNTA(L$75:$L109)+COUNT($F$75:$F$103))</f>
        <v/>
      </c>
      <c r="K109" s="373" t="str">
        <f>NAV!$C$6</f>
        <v>포스코KAICI신기술사업투자조합제1호</v>
      </c>
      <c r="L109" s="375">
        <f>NAV!J77</f>
        <v>0</v>
      </c>
      <c r="M109" s="376">
        <f>NAV!N77</f>
        <v>0</v>
      </c>
      <c r="N109" s="376">
        <f>NAV!T77</f>
        <v>0</v>
      </c>
      <c r="O109" s="377">
        <f>IF(N109="장부가액 준용","장부가액 준용",IF(N109="취득원가 준용","취득원가 준용",NAV!R77))</f>
        <v>0</v>
      </c>
      <c r="P109" s="378">
        <f>NAV!W77</f>
        <v>0</v>
      </c>
      <c r="Q109" s="378">
        <f>NAV!S77</f>
        <v>0</v>
      </c>
      <c r="R109" s="737" t="str">
        <f>MID(NAV!U77,FIND("(",NAV!U77)+1,FIND(")", NAV!U77)-FIND("(",NAV!U77)-1)</f>
        <v>KRW</v>
      </c>
    </row>
    <row r="110" spans="1:18" ht="12.75" customHeight="1" outlineLevel="1" thickBot="1">
      <c r="A110" s="304">
        <f t="shared" si="4"/>
        <v>32</v>
      </c>
      <c r="B110" s="381" t="str">
        <f t="shared" si="5"/>
        <v/>
      </c>
      <c r="C110" s="380" t="str">
        <f t="shared" si="6"/>
        <v/>
      </c>
      <c r="D110" s="380" t="str">
        <f t="shared" si="7"/>
        <v/>
      </c>
      <c r="E110" s="304"/>
      <c r="J110" s="149" t="str">
        <f>IF(L110=0,"",COUNTA(L$75:$L110)+COUNT($F$75:$F$103))</f>
        <v/>
      </c>
      <c r="K110" s="373" t="str">
        <f>NAV!$C$6</f>
        <v>포스코KAICI신기술사업투자조합제1호</v>
      </c>
      <c r="L110" s="375">
        <f>NAV!J78</f>
        <v>0</v>
      </c>
      <c r="M110" s="376">
        <f>NAV!N78</f>
        <v>0</v>
      </c>
      <c r="N110" s="376">
        <f>NAV!T78</f>
        <v>0</v>
      </c>
      <c r="O110" s="377">
        <f>IF(N110="장부가액 준용","장부가액 준용",IF(N110="취득원가 준용","취득원가 준용",NAV!R78))</f>
        <v>0</v>
      </c>
      <c r="P110" s="378">
        <f>NAV!W78</f>
        <v>0</v>
      </c>
      <c r="Q110" s="378">
        <f>NAV!S78</f>
        <v>0</v>
      </c>
      <c r="R110" s="737" t="str">
        <f>MID(NAV!U78,FIND("(",NAV!U78)+1,FIND(")", NAV!U78)-FIND("(",NAV!U78)-1)</f>
        <v>KRW</v>
      </c>
    </row>
    <row r="111" spans="1:18" ht="12.75" customHeight="1" outlineLevel="1" thickBot="1">
      <c r="A111" s="304">
        <f t="shared" si="4"/>
        <v>33</v>
      </c>
      <c r="B111" s="381" t="str">
        <f t="shared" si="5"/>
        <v/>
      </c>
      <c r="C111" s="380" t="str">
        <f t="shared" si="6"/>
        <v/>
      </c>
      <c r="D111" s="380" t="str">
        <f t="shared" si="7"/>
        <v/>
      </c>
      <c r="E111" s="304"/>
      <c r="J111" s="149" t="str">
        <f>IF(L111=0,"",COUNTA(L$75:$L111)+COUNT($F$75:$F$103))</f>
        <v/>
      </c>
      <c r="K111" s="373" t="str">
        <f>NAV!$C$6</f>
        <v>포스코KAICI신기술사업투자조합제1호</v>
      </c>
      <c r="L111" s="375">
        <f>NAV!J79</f>
        <v>0</v>
      </c>
      <c r="M111" s="376">
        <f>NAV!N79</f>
        <v>0</v>
      </c>
      <c r="N111" s="376">
        <f>NAV!T79</f>
        <v>0</v>
      </c>
      <c r="O111" s="377">
        <f>IF(N111="장부가액 준용","장부가액 준용",IF(N111="취득원가 준용","취득원가 준용",NAV!R79))</f>
        <v>0</v>
      </c>
      <c r="P111" s="378">
        <f>NAV!W79</f>
        <v>0</v>
      </c>
      <c r="Q111" s="378">
        <f>NAV!S79</f>
        <v>0</v>
      </c>
      <c r="R111" s="737" t="str">
        <f>MID(NAV!U79,FIND("(",NAV!U79)+1,FIND(")", NAV!U79)-FIND("(",NAV!U79)-1)</f>
        <v>KRW</v>
      </c>
    </row>
    <row r="112" spans="1:18" ht="12.75" customHeight="1" outlineLevel="1" thickBot="1">
      <c r="A112" s="304">
        <f t="shared" si="4"/>
        <v>34</v>
      </c>
      <c r="B112" s="381" t="str">
        <f t="shared" si="5"/>
        <v/>
      </c>
      <c r="C112" s="380" t="str">
        <f t="shared" si="6"/>
        <v/>
      </c>
      <c r="D112" s="380" t="str">
        <f t="shared" si="7"/>
        <v/>
      </c>
      <c r="E112" s="304"/>
      <c r="J112" s="149" t="str">
        <f>IF(L112=0,"",COUNTA(L$75:$L112)+COUNT($F$75:$F$103))</f>
        <v/>
      </c>
      <c r="K112" s="373" t="str">
        <f>NAV!$C$6</f>
        <v>포스코KAICI신기술사업투자조합제1호</v>
      </c>
      <c r="L112" s="375">
        <f>NAV!J80</f>
        <v>0</v>
      </c>
      <c r="M112" s="376">
        <f>NAV!N80</f>
        <v>0</v>
      </c>
      <c r="N112" s="376">
        <f>NAV!T80</f>
        <v>0</v>
      </c>
      <c r="O112" s="377">
        <f>IF(N112="장부가액 준용","장부가액 준용",IF(N112="취득원가 준용","취득원가 준용",NAV!R80))</f>
        <v>0</v>
      </c>
      <c r="P112" s="378">
        <f>NAV!W80</f>
        <v>0</v>
      </c>
      <c r="Q112" s="378">
        <f>NAV!S80</f>
        <v>0</v>
      </c>
      <c r="R112" s="737" t="str">
        <f>MID(NAV!U80,FIND("(",NAV!U80)+1,FIND(")", NAV!U80)-FIND("(",NAV!U80)-1)</f>
        <v>KRW</v>
      </c>
    </row>
    <row r="113" spans="1:18" ht="12.75" customHeight="1" outlineLevel="1" thickBot="1">
      <c r="A113" s="304">
        <f t="shared" si="4"/>
        <v>35</v>
      </c>
      <c r="B113" s="381" t="str">
        <f t="shared" si="5"/>
        <v/>
      </c>
      <c r="C113" s="380" t="str">
        <f t="shared" si="6"/>
        <v/>
      </c>
      <c r="D113" s="380" t="str">
        <f t="shared" si="7"/>
        <v/>
      </c>
      <c r="E113" s="304"/>
      <c r="J113" s="149" t="str">
        <f>IF(L113=0,"",COUNTA(L$75:$L113)+COUNT($F$75:$F$103))</f>
        <v/>
      </c>
      <c r="K113" s="373" t="str">
        <f>NAV!$C$6</f>
        <v>포스코KAICI신기술사업투자조합제1호</v>
      </c>
      <c r="L113" s="375">
        <f>NAV!J81</f>
        <v>0</v>
      </c>
      <c r="M113" s="376">
        <f>NAV!N81</f>
        <v>0</v>
      </c>
      <c r="N113" s="376">
        <f>NAV!T81</f>
        <v>0</v>
      </c>
      <c r="O113" s="377">
        <f>IF(N113="장부가액 준용","장부가액 준용",IF(N113="취득원가 준용","취득원가 준용",NAV!R81))</f>
        <v>0</v>
      </c>
      <c r="P113" s="378">
        <f>NAV!W81</f>
        <v>0</v>
      </c>
      <c r="Q113" s="378">
        <f>NAV!S81</f>
        <v>0</v>
      </c>
      <c r="R113" s="737" t="str">
        <f>MID(NAV!U81,FIND("(",NAV!U81)+1,FIND(")", NAV!U81)-FIND("(",NAV!U81)-1)</f>
        <v>KRW</v>
      </c>
    </row>
    <row r="114" spans="1:18" ht="12.75" customHeight="1" outlineLevel="1" thickBot="1">
      <c r="A114" s="304">
        <f t="shared" si="4"/>
        <v>36</v>
      </c>
      <c r="B114" s="381" t="str">
        <f t="shared" si="5"/>
        <v/>
      </c>
      <c r="C114" s="380" t="str">
        <f t="shared" si="6"/>
        <v/>
      </c>
      <c r="D114" s="380" t="str">
        <f t="shared" si="7"/>
        <v/>
      </c>
      <c r="E114" s="304"/>
      <c r="J114" s="149" t="str">
        <f>IF(L114=0,"",COUNTA(L$75:$L114)+COUNT($F$75:$F$103))</f>
        <v/>
      </c>
      <c r="K114" s="373" t="str">
        <f>NAV!$C$6</f>
        <v>포스코KAICI신기술사업투자조합제1호</v>
      </c>
      <c r="L114" s="375">
        <f>NAV!J82</f>
        <v>0</v>
      </c>
      <c r="M114" s="376">
        <f>NAV!N82</f>
        <v>0</v>
      </c>
      <c r="N114" s="376">
        <f>NAV!T82</f>
        <v>0</v>
      </c>
      <c r="O114" s="377">
        <f>IF(N114="장부가액 준용","장부가액 준용",IF(N114="취득원가 준용","취득원가 준용",NAV!R82))</f>
        <v>0</v>
      </c>
      <c r="P114" s="378">
        <f>NAV!W82</f>
        <v>0</v>
      </c>
      <c r="Q114" s="378">
        <f>NAV!S82</f>
        <v>0</v>
      </c>
      <c r="R114" s="737" t="str">
        <f>MID(NAV!U82,FIND("(",NAV!U82)+1,FIND(")", NAV!U82)-FIND("(",NAV!U82)-1)</f>
        <v>KRW</v>
      </c>
    </row>
    <row r="115" spans="1:18" ht="12.75" customHeight="1" outlineLevel="1" thickBot="1">
      <c r="A115" s="304">
        <f t="shared" si="4"/>
        <v>37</v>
      </c>
      <c r="B115" s="381" t="str">
        <f t="shared" si="5"/>
        <v/>
      </c>
      <c r="C115" s="380" t="str">
        <f t="shared" si="6"/>
        <v/>
      </c>
      <c r="D115" s="380" t="str">
        <f t="shared" si="7"/>
        <v/>
      </c>
      <c r="E115" s="304"/>
      <c r="J115" s="149" t="str">
        <f>IF(L115=0,"",COUNTA(L$75:$L115)+COUNT($F$75:$F$103))</f>
        <v/>
      </c>
      <c r="K115" s="373" t="str">
        <f>NAV!$C$6</f>
        <v>포스코KAICI신기술사업투자조합제1호</v>
      </c>
      <c r="L115" s="375">
        <f>NAV!J83</f>
        <v>0</v>
      </c>
      <c r="M115" s="376">
        <f>NAV!N83</f>
        <v>0</v>
      </c>
      <c r="N115" s="376">
        <f>NAV!T83</f>
        <v>0</v>
      </c>
      <c r="O115" s="377">
        <f>IF(N115="장부가액 준용","장부가액 준용",IF(N115="취득원가 준용","취득원가 준용",NAV!R83))</f>
        <v>0</v>
      </c>
      <c r="P115" s="378">
        <f>NAV!W83</f>
        <v>0</v>
      </c>
      <c r="Q115" s="378">
        <f>NAV!S83</f>
        <v>0</v>
      </c>
      <c r="R115" s="737" t="str">
        <f>MID(NAV!U83,FIND("(",NAV!U83)+1,FIND(")", NAV!U83)-FIND("(",NAV!U83)-1)</f>
        <v>KRW</v>
      </c>
    </row>
    <row r="116" spans="1:18" ht="12.75" customHeight="1" outlineLevel="1" thickBot="1">
      <c r="A116" s="304">
        <f t="shared" si="4"/>
        <v>38</v>
      </c>
      <c r="B116" s="381" t="str">
        <f t="shared" si="5"/>
        <v/>
      </c>
      <c r="C116" s="380" t="str">
        <f t="shared" si="6"/>
        <v/>
      </c>
      <c r="D116" s="380" t="str">
        <f t="shared" si="7"/>
        <v/>
      </c>
      <c r="E116" s="304"/>
      <c r="J116" s="149" t="str">
        <f>IF(L116=0,"",COUNTA(L$75:$L116)+COUNT($F$75:$F$103))</f>
        <v/>
      </c>
      <c r="K116" s="373" t="str">
        <f>NAV!$C$6</f>
        <v>포스코KAICI신기술사업투자조합제1호</v>
      </c>
      <c r="L116" s="375">
        <f>NAV!J84</f>
        <v>0</v>
      </c>
      <c r="M116" s="376">
        <f>NAV!N84</f>
        <v>0</v>
      </c>
      <c r="N116" s="376">
        <f>NAV!T84</f>
        <v>0</v>
      </c>
      <c r="O116" s="377">
        <f>IF(N116="장부가액 준용","장부가액 준용",IF(N116="취득원가 준용","취득원가 준용",NAV!R84))</f>
        <v>0</v>
      </c>
      <c r="P116" s="378">
        <f>NAV!W84</f>
        <v>0</v>
      </c>
      <c r="Q116" s="378">
        <f>NAV!S84</f>
        <v>0</v>
      </c>
      <c r="R116" s="737" t="str">
        <f>MID(NAV!U84,FIND("(",NAV!U84)+1,FIND(")", NAV!U84)-FIND("(",NAV!U84)-1)</f>
        <v>KRW</v>
      </c>
    </row>
    <row r="117" spans="1:18" ht="12.75" customHeight="1" outlineLevel="1" thickBot="1">
      <c r="A117" s="304">
        <f t="shared" si="4"/>
        <v>39</v>
      </c>
      <c r="B117" s="381" t="str">
        <f t="shared" si="5"/>
        <v/>
      </c>
      <c r="C117" s="380" t="str">
        <f t="shared" si="6"/>
        <v/>
      </c>
      <c r="D117" s="380" t="str">
        <f t="shared" si="7"/>
        <v/>
      </c>
      <c r="E117" s="304"/>
      <c r="J117" s="149" t="str">
        <f>IF(L117=0,"",COUNTA(L$75:$L117)+COUNT($F$75:$F$103))</f>
        <v/>
      </c>
      <c r="K117" s="373" t="str">
        <f>NAV!$C$6</f>
        <v>포스코KAICI신기술사업투자조합제1호</v>
      </c>
      <c r="L117" s="375">
        <f>NAV!J85</f>
        <v>0</v>
      </c>
      <c r="M117" s="376">
        <f>NAV!N85</f>
        <v>0</v>
      </c>
      <c r="N117" s="376">
        <f>NAV!T85</f>
        <v>0</v>
      </c>
      <c r="O117" s="377">
        <f>IF(N117="장부가액 준용","장부가액 준용",IF(N117="취득원가 준용","취득원가 준용",NAV!R85))</f>
        <v>0</v>
      </c>
      <c r="P117" s="378">
        <f>NAV!W85</f>
        <v>0</v>
      </c>
      <c r="Q117" s="378">
        <f>NAV!S85</f>
        <v>0</v>
      </c>
      <c r="R117" s="737" t="str">
        <f>MID(NAV!U85,FIND("(",NAV!U85)+1,FIND(")", NAV!U85)-FIND("(",NAV!U85)-1)</f>
        <v>KRW</v>
      </c>
    </row>
    <row r="118" spans="1:18" ht="12.75" customHeight="1" outlineLevel="1" thickBot="1">
      <c r="A118" s="304">
        <f t="shared" si="4"/>
        <v>40</v>
      </c>
      <c r="B118" s="381" t="str">
        <f t="shared" si="5"/>
        <v/>
      </c>
      <c r="C118" s="380" t="str">
        <f t="shared" si="6"/>
        <v/>
      </c>
      <c r="D118" s="380" t="str">
        <f t="shared" si="7"/>
        <v/>
      </c>
      <c r="E118" s="304"/>
      <c r="J118" s="149" t="str">
        <f>IF(L118=0,"",COUNTA(L$75:$L118)+COUNT($F$75:$F$103))</f>
        <v/>
      </c>
      <c r="K118" s="373" t="str">
        <f>NAV!$C$6</f>
        <v>포스코KAICI신기술사업투자조합제1호</v>
      </c>
      <c r="L118" s="375">
        <f>NAV!J86</f>
        <v>0</v>
      </c>
      <c r="M118" s="376">
        <f>NAV!N86</f>
        <v>0</v>
      </c>
      <c r="N118" s="376">
        <f>NAV!T86</f>
        <v>0</v>
      </c>
      <c r="O118" s="377">
        <f>IF(N118="장부가액 준용","장부가액 준용",IF(N118="취득원가 준용","취득원가 준용",NAV!R86))</f>
        <v>0</v>
      </c>
      <c r="P118" s="378">
        <f>NAV!W86</f>
        <v>0</v>
      </c>
      <c r="Q118" s="378">
        <f>NAV!S86</f>
        <v>0</v>
      </c>
      <c r="R118" s="737" t="str">
        <f>MID(NAV!U86,FIND("(",NAV!U86)+1,FIND(")", NAV!U86)-FIND("(",NAV!U86)-1)</f>
        <v>KRW</v>
      </c>
    </row>
    <row r="119" spans="1:18" ht="12.75" customHeight="1" outlineLevel="1" thickBot="1">
      <c r="A119" s="304">
        <f t="shared" si="4"/>
        <v>41</v>
      </c>
      <c r="B119" s="381" t="str">
        <f t="shared" si="5"/>
        <v/>
      </c>
      <c r="C119" s="380" t="str">
        <f t="shared" si="6"/>
        <v/>
      </c>
      <c r="D119" s="380" t="str">
        <f t="shared" si="7"/>
        <v/>
      </c>
      <c r="E119" s="304"/>
      <c r="J119" s="149" t="str">
        <f>IF(L119=0,"",COUNTA(L$75:$L119)+COUNT($F$75:$F$103))</f>
        <v/>
      </c>
      <c r="K119" s="373" t="str">
        <f>NAV!$C$6</f>
        <v>포스코KAICI신기술사업투자조합제1호</v>
      </c>
      <c r="L119" s="375">
        <f>NAV!J87</f>
        <v>0</v>
      </c>
      <c r="M119" s="376">
        <f>NAV!N87</f>
        <v>0</v>
      </c>
      <c r="N119" s="376">
        <f>NAV!T87</f>
        <v>0</v>
      </c>
      <c r="O119" s="377">
        <f>IF(N119="장부가액 준용","장부가액 준용",IF(N119="취득원가 준용","취득원가 준용",NAV!R87))</f>
        <v>0</v>
      </c>
      <c r="P119" s="378">
        <f>NAV!W87</f>
        <v>0</v>
      </c>
      <c r="Q119" s="378">
        <f>NAV!S87</f>
        <v>0</v>
      </c>
      <c r="R119" s="737" t="str">
        <f>MID(NAV!U87,FIND("(",NAV!U87)+1,FIND(")", NAV!U87)-FIND("(",NAV!U87)-1)</f>
        <v>KRW</v>
      </c>
    </row>
    <row r="120" spans="1:18" ht="12.75" customHeight="1" outlineLevel="1" thickBot="1">
      <c r="A120" s="304">
        <f t="shared" si="4"/>
        <v>42</v>
      </c>
      <c r="B120" s="381" t="str">
        <f t="shared" si="5"/>
        <v/>
      </c>
      <c r="C120" s="380" t="str">
        <f t="shared" si="6"/>
        <v/>
      </c>
      <c r="D120" s="380" t="str">
        <f t="shared" si="7"/>
        <v/>
      </c>
      <c r="E120" s="304"/>
      <c r="J120" s="149" t="str">
        <f>IF(L120=0,"",COUNTA(L$75:$L120)+COUNT($F$75:$F$103))</f>
        <v/>
      </c>
      <c r="K120" s="373" t="str">
        <f>NAV!$C$6</f>
        <v>포스코KAICI신기술사업투자조합제1호</v>
      </c>
      <c r="L120" s="375">
        <f>NAV!J88</f>
        <v>0</v>
      </c>
      <c r="M120" s="376">
        <f>NAV!N88</f>
        <v>0</v>
      </c>
      <c r="N120" s="376">
        <f>NAV!T88</f>
        <v>0</v>
      </c>
      <c r="O120" s="377">
        <f>IF(N120="장부가액 준용","장부가액 준용",IF(N120="취득원가 준용","취득원가 준용",NAV!R88))</f>
        <v>0</v>
      </c>
      <c r="P120" s="378">
        <f>NAV!W88</f>
        <v>0</v>
      </c>
      <c r="Q120" s="378">
        <f>NAV!S88</f>
        <v>0</v>
      </c>
      <c r="R120" s="737" t="str">
        <f>MID(NAV!U88,FIND("(",NAV!U88)+1,FIND(")", NAV!U88)-FIND("(",NAV!U88)-1)</f>
        <v>KRW</v>
      </c>
    </row>
    <row r="121" spans="1:18" ht="12.75" customHeight="1" outlineLevel="1" thickBot="1">
      <c r="A121" s="304">
        <f t="shared" si="4"/>
        <v>43</v>
      </c>
      <c r="B121" s="381" t="str">
        <f t="shared" si="5"/>
        <v/>
      </c>
      <c r="C121" s="380" t="str">
        <f t="shared" si="6"/>
        <v/>
      </c>
      <c r="D121" s="380" t="str">
        <f t="shared" si="7"/>
        <v/>
      </c>
      <c r="E121" s="304"/>
      <c r="J121" s="149" t="str">
        <f>IF(L121=0,"",COUNTA(L$75:$L121)+COUNT($F$75:$F$103))</f>
        <v/>
      </c>
      <c r="K121" s="373" t="str">
        <f>NAV!$C$6</f>
        <v>포스코KAICI신기술사업투자조합제1호</v>
      </c>
      <c r="L121" s="375">
        <f>NAV!J89</f>
        <v>0</v>
      </c>
      <c r="M121" s="376">
        <f>NAV!N89</f>
        <v>0</v>
      </c>
      <c r="N121" s="376">
        <f>NAV!T89</f>
        <v>0</v>
      </c>
      <c r="O121" s="377">
        <f>IF(N121="장부가액 준용","장부가액 준용",IF(N121="취득원가 준용","취득원가 준용",NAV!R89))</f>
        <v>0</v>
      </c>
      <c r="P121" s="378">
        <f>NAV!W89</f>
        <v>0</v>
      </c>
      <c r="Q121" s="378">
        <f>NAV!S89</f>
        <v>0</v>
      </c>
      <c r="R121" s="737" t="str">
        <f>MID(NAV!U89,FIND("(",NAV!U89)+1,FIND(")", NAV!U89)-FIND("(",NAV!U89)-1)</f>
        <v>KRW</v>
      </c>
    </row>
    <row r="122" spans="1:18" ht="12.75" customHeight="1" outlineLevel="1" thickBot="1">
      <c r="A122" s="304">
        <f t="shared" si="4"/>
        <v>44</v>
      </c>
      <c r="B122" s="381" t="str">
        <f t="shared" si="5"/>
        <v/>
      </c>
      <c r="C122" s="380" t="str">
        <f t="shared" si="6"/>
        <v/>
      </c>
      <c r="D122" s="380" t="str">
        <f t="shared" si="7"/>
        <v/>
      </c>
      <c r="E122" s="304"/>
      <c r="J122" s="149" t="str">
        <f>IF(L122=0,"",COUNTA(L$75:$L122)+COUNT($F$75:$F$103))</f>
        <v/>
      </c>
      <c r="K122" s="373" t="str">
        <f>NAV!$C$6</f>
        <v>포스코KAICI신기술사업투자조합제1호</v>
      </c>
      <c r="L122" s="375">
        <f>NAV!J90</f>
        <v>0</v>
      </c>
      <c r="M122" s="376">
        <f>NAV!N90</f>
        <v>0</v>
      </c>
      <c r="N122" s="376">
        <f>NAV!T90</f>
        <v>0</v>
      </c>
      <c r="O122" s="377">
        <f>IF(N122="장부가액 준용","장부가액 준용",IF(N122="취득원가 준용","취득원가 준용",NAV!R90))</f>
        <v>0</v>
      </c>
      <c r="P122" s="378">
        <f>NAV!W90</f>
        <v>0</v>
      </c>
      <c r="Q122" s="378">
        <f>NAV!S90</f>
        <v>0</v>
      </c>
      <c r="R122" s="737" t="str">
        <f>MID(NAV!U90,FIND("(",NAV!U90)+1,FIND(")", NAV!U90)-FIND("(",NAV!U90)-1)</f>
        <v>KRW</v>
      </c>
    </row>
    <row r="123" spans="1:18" ht="12.75" customHeight="1" outlineLevel="1" thickBot="1">
      <c r="A123" s="304">
        <f t="shared" si="4"/>
        <v>45</v>
      </c>
      <c r="B123" s="381" t="str">
        <f t="shared" si="5"/>
        <v/>
      </c>
      <c r="C123" s="380" t="str">
        <f t="shared" si="6"/>
        <v/>
      </c>
      <c r="D123" s="380" t="str">
        <f t="shared" si="7"/>
        <v/>
      </c>
      <c r="E123" s="304"/>
      <c r="J123" s="149" t="str">
        <f>IF(L123=0,"",COUNTA(L$75:$L123)+COUNT($F$75:$F$103))</f>
        <v/>
      </c>
      <c r="K123" s="373" t="str">
        <f>NAV!$C$6</f>
        <v>포스코KAICI신기술사업투자조합제1호</v>
      </c>
      <c r="L123" s="375">
        <f>NAV!J91</f>
        <v>0</v>
      </c>
      <c r="M123" s="376">
        <f>NAV!N91</f>
        <v>0</v>
      </c>
      <c r="N123" s="376">
        <f>NAV!T91</f>
        <v>0</v>
      </c>
      <c r="O123" s="377">
        <f>IF(N123="장부가액 준용","장부가액 준용",IF(N123="취득원가 준용","취득원가 준용",NAV!R91))</f>
        <v>0</v>
      </c>
      <c r="P123" s="378">
        <f>NAV!W91</f>
        <v>0</v>
      </c>
      <c r="Q123" s="378">
        <f>NAV!S91</f>
        <v>0</v>
      </c>
      <c r="R123" s="737" t="str">
        <f>MID(NAV!U91,FIND("(",NAV!U91)+1,FIND(")", NAV!U91)-FIND("(",NAV!U91)-1)</f>
        <v>KRW</v>
      </c>
    </row>
    <row r="124" spans="1:18" ht="12.75" customHeight="1" outlineLevel="1" thickBot="1">
      <c r="A124" s="304">
        <f t="shared" si="4"/>
        <v>46</v>
      </c>
      <c r="B124" s="381" t="str">
        <f t="shared" si="5"/>
        <v/>
      </c>
      <c r="C124" s="380" t="str">
        <f t="shared" si="6"/>
        <v/>
      </c>
      <c r="D124" s="380" t="str">
        <f t="shared" si="7"/>
        <v/>
      </c>
      <c r="E124" s="304"/>
      <c r="J124" s="149" t="str">
        <f>IF(L124=0,"",COUNTA(L$75:$L124)+COUNT($F$75:$F$103))</f>
        <v/>
      </c>
      <c r="K124" s="373" t="str">
        <f>NAV!$C$6</f>
        <v>포스코KAICI신기술사업투자조합제1호</v>
      </c>
      <c r="L124" s="375">
        <f>NAV!J92</f>
        <v>0</v>
      </c>
      <c r="M124" s="376">
        <f>NAV!N92</f>
        <v>0</v>
      </c>
      <c r="N124" s="376">
        <f>NAV!T92</f>
        <v>0</v>
      </c>
      <c r="O124" s="377">
        <f>IF(N124="장부가액 준용","장부가액 준용",IF(N124="취득원가 준용","취득원가 준용",NAV!R92))</f>
        <v>0</v>
      </c>
      <c r="P124" s="378">
        <f>NAV!W92</f>
        <v>0</v>
      </c>
      <c r="Q124" s="378">
        <f>NAV!S92</f>
        <v>0</v>
      </c>
      <c r="R124" s="737" t="str">
        <f>MID(NAV!U92,FIND("(",NAV!U92)+1,FIND(")", NAV!U92)-FIND("(",NAV!U92)-1)</f>
        <v>KRW</v>
      </c>
    </row>
    <row r="125" spans="1:18" ht="12.75" customHeight="1" outlineLevel="1" thickBot="1">
      <c r="A125" s="304">
        <f t="shared" si="4"/>
        <v>47</v>
      </c>
      <c r="B125" s="381" t="str">
        <f t="shared" si="5"/>
        <v/>
      </c>
      <c r="C125" s="380" t="str">
        <f t="shared" si="6"/>
        <v/>
      </c>
      <c r="D125" s="380" t="str">
        <f t="shared" si="7"/>
        <v/>
      </c>
      <c r="E125" s="304"/>
      <c r="J125" s="149" t="str">
        <f>IF(L125=0,"",COUNTA(L$75:$L125)+COUNT($F$75:$F$103))</f>
        <v/>
      </c>
      <c r="K125" s="373" t="str">
        <f>NAV!$C$6</f>
        <v>포스코KAICI신기술사업투자조합제1호</v>
      </c>
      <c r="L125" s="375">
        <f>NAV!J93</f>
        <v>0</v>
      </c>
      <c r="M125" s="376">
        <f>NAV!N93</f>
        <v>0</v>
      </c>
      <c r="N125" s="376">
        <f>NAV!T93</f>
        <v>0</v>
      </c>
      <c r="O125" s="377">
        <f>IF(N125="장부가액 준용","장부가액 준용",IF(N125="취득원가 준용","취득원가 준용",NAV!R93))</f>
        <v>0</v>
      </c>
      <c r="P125" s="378">
        <f>NAV!W93</f>
        <v>0</v>
      </c>
      <c r="Q125" s="378">
        <f>NAV!S93</f>
        <v>0</v>
      </c>
      <c r="R125" s="737" t="str">
        <f>MID(NAV!U93,FIND("(",NAV!U93)+1,FIND(")", NAV!U93)-FIND("(",NAV!U93)-1)</f>
        <v>KRW</v>
      </c>
    </row>
    <row r="126" spans="1:18" ht="12.75" customHeight="1" outlineLevel="1" thickBot="1">
      <c r="A126" s="304">
        <f t="shared" si="4"/>
        <v>48</v>
      </c>
      <c r="B126" s="381" t="str">
        <f t="shared" si="5"/>
        <v/>
      </c>
      <c r="C126" s="380" t="str">
        <f t="shared" si="6"/>
        <v/>
      </c>
      <c r="D126" s="380" t="str">
        <f t="shared" si="7"/>
        <v/>
      </c>
      <c r="E126" s="304"/>
      <c r="J126" s="149" t="str">
        <f>IF(L126=0,"",COUNTA(L$75:$L126)+COUNT($F$75:$F$103))</f>
        <v/>
      </c>
      <c r="K126" s="373" t="str">
        <f>NAV!$C$6</f>
        <v>포스코KAICI신기술사업투자조합제1호</v>
      </c>
      <c r="L126" s="375">
        <f>NAV!J94</f>
        <v>0</v>
      </c>
      <c r="M126" s="376">
        <f>NAV!N94</f>
        <v>0</v>
      </c>
      <c r="N126" s="376">
        <f>NAV!T94</f>
        <v>0</v>
      </c>
      <c r="O126" s="377">
        <f>IF(N126="장부가액 준용","장부가액 준용",IF(N126="취득원가 준용","취득원가 준용",NAV!R94))</f>
        <v>0</v>
      </c>
      <c r="P126" s="378">
        <f>NAV!W94</f>
        <v>0</v>
      </c>
      <c r="Q126" s="378">
        <f>NAV!S94</f>
        <v>0</v>
      </c>
      <c r="R126" s="737" t="str">
        <f>MID(NAV!U94,FIND("(",NAV!U94)+1,FIND(")", NAV!U94)-FIND("(",NAV!U94)-1)</f>
        <v>KRW</v>
      </c>
    </row>
    <row r="127" spans="1:18" ht="12.75" customHeight="1" outlineLevel="1" thickBot="1">
      <c r="A127" s="304">
        <f t="shared" si="4"/>
        <v>49</v>
      </c>
      <c r="B127" s="381" t="str">
        <f t="shared" si="5"/>
        <v/>
      </c>
      <c r="C127" s="380" t="str">
        <f t="shared" si="6"/>
        <v/>
      </c>
      <c r="D127" s="380" t="str">
        <f t="shared" si="7"/>
        <v/>
      </c>
      <c r="E127" s="304"/>
      <c r="J127" s="149" t="str">
        <f>IF(L127=0,"",COUNTA(L$75:$L127)+COUNT($F$75:$F$103))</f>
        <v/>
      </c>
      <c r="K127" s="373" t="str">
        <f>NAV!$C$6</f>
        <v>포스코KAICI신기술사업투자조합제1호</v>
      </c>
      <c r="L127" s="375">
        <f>NAV!J95</f>
        <v>0</v>
      </c>
      <c r="M127" s="376">
        <f>NAV!N95</f>
        <v>0</v>
      </c>
      <c r="N127" s="376">
        <f>NAV!T95</f>
        <v>0</v>
      </c>
      <c r="O127" s="377">
        <f>IF(N127="장부가액 준용","장부가액 준용",IF(N127="취득원가 준용","취득원가 준용",NAV!R95))</f>
        <v>0</v>
      </c>
      <c r="P127" s="378">
        <f>NAV!W95</f>
        <v>0</v>
      </c>
      <c r="Q127" s="378">
        <f>NAV!S95</f>
        <v>0</v>
      </c>
      <c r="R127" s="737" t="str">
        <f>MID(NAV!U95,FIND("(",NAV!U95)+1,FIND(")", NAV!U95)-FIND("(",NAV!U95)-1)</f>
        <v>KRW</v>
      </c>
    </row>
    <row r="128" spans="1:18" ht="12.75" customHeight="1" outlineLevel="1" thickBot="1">
      <c r="A128" s="304">
        <f t="shared" si="4"/>
        <v>50</v>
      </c>
      <c r="B128" s="381" t="str">
        <f t="shared" si="5"/>
        <v/>
      </c>
      <c r="C128" s="380" t="str">
        <f t="shared" si="6"/>
        <v/>
      </c>
      <c r="D128" s="380" t="str">
        <f t="shared" si="7"/>
        <v/>
      </c>
      <c r="E128" s="304"/>
      <c r="J128" s="149" t="str">
        <f>IF(L128=0,"",COUNTA(L$75:$L128)+COUNT($F$75:$F$103))</f>
        <v/>
      </c>
      <c r="K128" s="373" t="str">
        <f>NAV!$C$6</f>
        <v>포스코KAICI신기술사업투자조합제1호</v>
      </c>
      <c r="L128" s="375">
        <f>NAV!J96</f>
        <v>0</v>
      </c>
      <c r="M128" s="376">
        <f>NAV!N96</f>
        <v>0</v>
      </c>
      <c r="N128" s="376">
        <f>NAV!T96</f>
        <v>0</v>
      </c>
      <c r="O128" s="377">
        <f>IF(N128="장부가액 준용","장부가액 준용",IF(N128="취득원가 준용","취득원가 준용",NAV!R96))</f>
        <v>0</v>
      </c>
      <c r="P128" s="378">
        <f>NAV!W96</f>
        <v>0</v>
      </c>
      <c r="Q128" s="378">
        <f>NAV!S96</f>
        <v>0</v>
      </c>
      <c r="R128" s="737" t="str">
        <f>MID(NAV!U96,FIND("(",NAV!U96)+1,FIND(")", NAV!U96)-FIND("(",NAV!U96)-1)</f>
        <v>KRW</v>
      </c>
    </row>
    <row r="129" spans="1:18" ht="12.75" customHeight="1" outlineLevel="1" thickBot="1">
      <c r="A129" s="304">
        <f t="shared" si="4"/>
        <v>51</v>
      </c>
      <c r="B129" s="381" t="str">
        <f t="shared" si="5"/>
        <v/>
      </c>
      <c r="C129" s="380" t="str">
        <f t="shared" si="6"/>
        <v/>
      </c>
      <c r="D129" s="380" t="str">
        <f t="shared" si="7"/>
        <v/>
      </c>
      <c r="E129" s="304"/>
      <c r="J129" s="149" t="str">
        <f>IF(L129=0,"",COUNTA(L$75:$L129)+COUNT($F$75:$F$103))</f>
        <v/>
      </c>
      <c r="K129" s="373" t="str">
        <f>NAV!$C$6</f>
        <v>포스코KAICI신기술사업투자조합제1호</v>
      </c>
      <c r="L129" s="375">
        <f>NAV!J97</f>
        <v>0</v>
      </c>
      <c r="M129" s="376">
        <f>NAV!N97</f>
        <v>0</v>
      </c>
      <c r="N129" s="376">
        <f>NAV!T97</f>
        <v>0</v>
      </c>
      <c r="O129" s="377">
        <f>IF(N129="장부가액 준용","장부가액 준용",IF(N129="취득원가 준용","취득원가 준용",NAV!R97))</f>
        <v>0</v>
      </c>
      <c r="P129" s="378">
        <f>NAV!W97</f>
        <v>0</v>
      </c>
      <c r="Q129" s="378">
        <f>NAV!S97</f>
        <v>0</v>
      </c>
      <c r="R129" s="737" t="str">
        <f>MID(NAV!U97,FIND("(",NAV!U97)+1,FIND(")", NAV!U97)-FIND("(",NAV!U97)-1)</f>
        <v>KRW</v>
      </c>
    </row>
    <row r="130" spans="1:18" ht="12.75" customHeight="1" outlineLevel="1" thickBot="1">
      <c r="A130" s="304">
        <f t="shared" si="4"/>
        <v>52</v>
      </c>
      <c r="B130" s="381" t="str">
        <f t="shared" si="5"/>
        <v/>
      </c>
      <c r="C130" s="380" t="str">
        <f t="shared" si="6"/>
        <v/>
      </c>
      <c r="D130" s="380" t="str">
        <f t="shared" si="7"/>
        <v/>
      </c>
      <c r="E130" s="304"/>
      <c r="J130" s="149" t="str">
        <f>IF(L130=0,"",COUNTA(L$75:$L130)+COUNT($F$75:$F$103))</f>
        <v/>
      </c>
      <c r="K130" s="373" t="str">
        <f>NAV!$C$6</f>
        <v>포스코KAICI신기술사업투자조합제1호</v>
      </c>
      <c r="L130" s="375">
        <f>NAV!J98</f>
        <v>0</v>
      </c>
      <c r="M130" s="376">
        <f>NAV!N98</f>
        <v>0</v>
      </c>
      <c r="N130" s="376">
        <f>NAV!T98</f>
        <v>0</v>
      </c>
      <c r="O130" s="377">
        <f>IF(N130="장부가액 준용","장부가액 준용",IF(N130="취득원가 준용","취득원가 준용",NAV!R98))</f>
        <v>0</v>
      </c>
      <c r="P130" s="378">
        <f>NAV!W98</f>
        <v>0</v>
      </c>
      <c r="Q130" s="378">
        <f>NAV!S98</f>
        <v>0</v>
      </c>
      <c r="R130" s="737" t="str">
        <f>MID(NAV!U98,FIND("(",NAV!U98)+1,FIND(")", NAV!U98)-FIND("(",NAV!U98)-1)</f>
        <v>KRW</v>
      </c>
    </row>
    <row r="131" spans="1:18" ht="12.75" customHeight="1" outlineLevel="1" thickBot="1">
      <c r="A131" s="304">
        <f t="shared" si="4"/>
        <v>53</v>
      </c>
      <c r="B131" s="381" t="str">
        <f t="shared" si="5"/>
        <v/>
      </c>
      <c r="C131" s="380" t="str">
        <f t="shared" si="6"/>
        <v/>
      </c>
      <c r="D131" s="380" t="str">
        <f t="shared" si="7"/>
        <v/>
      </c>
      <c r="E131" s="304"/>
      <c r="J131" s="149" t="str">
        <f>IF(L131=0,"",COUNTA(L$75:$L131)+COUNT($F$75:$F$103))</f>
        <v/>
      </c>
      <c r="K131" s="373" t="str">
        <f>NAV!$C$6</f>
        <v>포스코KAICI신기술사업투자조합제1호</v>
      </c>
      <c r="L131" s="375">
        <f>NAV!J99</f>
        <v>0</v>
      </c>
      <c r="M131" s="376">
        <f>NAV!N99</f>
        <v>0</v>
      </c>
      <c r="N131" s="376">
        <f>NAV!T99</f>
        <v>0</v>
      </c>
      <c r="O131" s="377">
        <f>IF(N131="장부가액 준용","장부가액 준용",IF(N131="취득원가 준용","취득원가 준용",NAV!R99))</f>
        <v>0</v>
      </c>
      <c r="P131" s="378">
        <f>NAV!W99</f>
        <v>0</v>
      </c>
      <c r="Q131" s="378">
        <f>NAV!S99</f>
        <v>0</v>
      </c>
      <c r="R131" s="737" t="str">
        <f>MID(NAV!U99,FIND("(",NAV!U99)+1,FIND(")", NAV!U99)-FIND("(",NAV!U99)-1)</f>
        <v>KRW</v>
      </c>
    </row>
    <row r="132" spans="1:18" ht="12.75" customHeight="1" outlineLevel="1" thickBot="1">
      <c r="A132" s="304">
        <f t="shared" si="4"/>
        <v>54</v>
      </c>
      <c r="B132" s="381" t="str">
        <f t="shared" si="5"/>
        <v/>
      </c>
      <c r="C132" s="380" t="str">
        <f t="shared" si="6"/>
        <v/>
      </c>
      <c r="D132" s="380" t="str">
        <f t="shared" si="7"/>
        <v/>
      </c>
      <c r="E132" s="304"/>
      <c r="J132" s="149" t="str">
        <f>IF(L132=0,"",COUNTA(L$75:$L132)+COUNT($F$75:$F$103))</f>
        <v/>
      </c>
      <c r="K132" s="373" t="str">
        <f>NAV!$C$6</f>
        <v>포스코KAICI신기술사업투자조합제1호</v>
      </c>
      <c r="L132" s="375">
        <f>NAV!J100</f>
        <v>0</v>
      </c>
      <c r="M132" s="376">
        <f>NAV!N100</f>
        <v>0</v>
      </c>
      <c r="N132" s="376">
        <f>NAV!T100</f>
        <v>0</v>
      </c>
      <c r="O132" s="377">
        <f>IF(N132="장부가액 준용","장부가액 준용",IF(N132="취득원가 준용","취득원가 준용",NAV!R100))</f>
        <v>0</v>
      </c>
      <c r="P132" s="378">
        <f>NAV!W100</f>
        <v>0</v>
      </c>
      <c r="Q132" s="378">
        <f>NAV!S100</f>
        <v>0</v>
      </c>
      <c r="R132" s="737" t="str">
        <f>MID(NAV!U100,FIND("(",NAV!U100)+1,FIND(")", NAV!U100)-FIND("(",NAV!U100)-1)</f>
        <v>KRW</v>
      </c>
    </row>
    <row r="133" spans="1:18" ht="12.75" customHeight="1" outlineLevel="1" thickBot="1">
      <c r="A133" s="304">
        <f t="shared" si="4"/>
        <v>55</v>
      </c>
      <c r="B133" s="381" t="str">
        <f t="shared" si="5"/>
        <v/>
      </c>
      <c r="C133" s="380" t="str">
        <f t="shared" si="6"/>
        <v/>
      </c>
      <c r="D133" s="380" t="str">
        <f t="shared" si="7"/>
        <v/>
      </c>
      <c r="E133" s="304"/>
      <c r="J133" s="149" t="str">
        <f>IF(L133=0,"",COUNTA(L$75:$L133)+COUNT($F$75:$F$103))</f>
        <v/>
      </c>
      <c r="K133" s="373" t="str">
        <f>NAV!$C$6</f>
        <v>포스코KAICI신기술사업투자조합제1호</v>
      </c>
      <c r="L133" s="375">
        <f>NAV!J101</f>
        <v>0</v>
      </c>
      <c r="M133" s="376">
        <f>NAV!N101</f>
        <v>0</v>
      </c>
      <c r="N133" s="376">
        <f>NAV!T101</f>
        <v>0</v>
      </c>
      <c r="O133" s="377">
        <f>IF(N133="장부가액 준용","장부가액 준용",IF(N133="취득원가 준용","취득원가 준용",NAV!R101))</f>
        <v>0</v>
      </c>
      <c r="P133" s="378">
        <f>NAV!W101</f>
        <v>0</v>
      </c>
      <c r="Q133" s="378">
        <f>NAV!S101</f>
        <v>0</v>
      </c>
      <c r="R133" s="737" t="str">
        <f>MID(NAV!U101,FIND("(",NAV!U101)+1,FIND(")", NAV!U101)-FIND("(",NAV!U101)-1)</f>
        <v>KRW</v>
      </c>
    </row>
    <row r="134" spans="1:18" ht="12.75" customHeight="1" outlineLevel="1" thickBot="1">
      <c r="A134" s="304">
        <f t="shared" si="4"/>
        <v>56</v>
      </c>
      <c r="B134" s="381" t="str">
        <f t="shared" si="5"/>
        <v/>
      </c>
      <c r="C134" s="380" t="str">
        <f t="shared" si="6"/>
        <v/>
      </c>
      <c r="D134" s="380" t="str">
        <f t="shared" si="7"/>
        <v/>
      </c>
      <c r="E134" s="304"/>
      <c r="J134" s="149" t="str">
        <f>IF(L134=0,"",COUNTA(L$75:$L134)+COUNT($F$75:$F$103))</f>
        <v/>
      </c>
      <c r="K134" s="373" t="str">
        <f>NAV!$C$6</f>
        <v>포스코KAICI신기술사업투자조합제1호</v>
      </c>
      <c r="L134" s="375">
        <f>NAV!J102</f>
        <v>0</v>
      </c>
      <c r="M134" s="376">
        <f>NAV!N102</f>
        <v>0</v>
      </c>
      <c r="N134" s="376">
        <f>NAV!T102</f>
        <v>0</v>
      </c>
      <c r="O134" s="377">
        <f>IF(N134="장부가액 준용","장부가액 준용",IF(N134="취득원가 준용","취득원가 준용",NAV!R102))</f>
        <v>0</v>
      </c>
      <c r="P134" s="378">
        <f>NAV!W102</f>
        <v>0</v>
      </c>
      <c r="Q134" s="378">
        <f>NAV!S102</f>
        <v>0</v>
      </c>
      <c r="R134" s="737" t="str">
        <f>MID(NAV!U102,FIND("(",NAV!U102)+1,FIND(")", NAV!U102)-FIND("(",NAV!U102)-1)</f>
        <v>KRW</v>
      </c>
    </row>
    <row r="135" spans="1:18" ht="12.75" customHeight="1" outlineLevel="1" thickBot="1">
      <c r="A135" s="304">
        <f t="shared" si="4"/>
        <v>57</v>
      </c>
      <c r="B135" s="381" t="str">
        <f t="shared" si="5"/>
        <v/>
      </c>
      <c r="C135" s="380" t="str">
        <f t="shared" si="6"/>
        <v/>
      </c>
      <c r="D135" s="380" t="str">
        <f t="shared" si="7"/>
        <v/>
      </c>
      <c r="E135" s="304"/>
      <c r="J135" s="149" t="str">
        <f>IF(L135=0,"",COUNTA(L$75:$L135)+COUNT($F$75:$F$103))</f>
        <v/>
      </c>
      <c r="K135" s="373" t="str">
        <f>NAV!$C$6</f>
        <v>포스코KAICI신기술사업투자조합제1호</v>
      </c>
      <c r="L135" s="375">
        <f>NAV!J103</f>
        <v>0</v>
      </c>
      <c r="M135" s="376">
        <f>NAV!N103</f>
        <v>0</v>
      </c>
      <c r="N135" s="376">
        <f>NAV!T103</f>
        <v>0</v>
      </c>
      <c r="O135" s="377">
        <f>IF(N135="장부가액 준용","장부가액 준용",IF(N135="취득원가 준용","취득원가 준용",NAV!R103))</f>
        <v>0</v>
      </c>
      <c r="P135" s="378">
        <f>NAV!W103</f>
        <v>0</v>
      </c>
      <c r="Q135" s="378">
        <f>NAV!S103</f>
        <v>0</v>
      </c>
      <c r="R135" s="737" t="str">
        <f>MID(NAV!U103,FIND("(",NAV!U103)+1,FIND(")", NAV!U103)-FIND("(",NAV!U103)-1)</f>
        <v>KRW</v>
      </c>
    </row>
    <row r="136" spans="1:18" ht="12.75" customHeight="1" outlineLevel="1" thickBot="1">
      <c r="A136" s="304">
        <f t="shared" si="4"/>
        <v>58</v>
      </c>
      <c r="B136" s="381" t="str">
        <f t="shared" si="5"/>
        <v/>
      </c>
      <c r="C136" s="380" t="str">
        <f t="shared" si="6"/>
        <v/>
      </c>
      <c r="D136" s="380" t="str">
        <f t="shared" si="7"/>
        <v/>
      </c>
      <c r="E136" s="304"/>
      <c r="J136" s="149" t="str">
        <f>IF(L136=0,"",COUNTA(L$75:$L136)+COUNT($F$75:$F$103))</f>
        <v/>
      </c>
      <c r="K136" s="373" t="str">
        <f>NAV!$C$6</f>
        <v>포스코KAICI신기술사업투자조합제1호</v>
      </c>
      <c r="L136" s="375">
        <f>NAV!J104</f>
        <v>0</v>
      </c>
      <c r="M136" s="376">
        <f>NAV!N104</f>
        <v>0</v>
      </c>
      <c r="N136" s="376">
        <f>NAV!T104</f>
        <v>0</v>
      </c>
      <c r="O136" s="377">
        <f>IF(N136="장부가액 준용","장부가액 준용",IF(N136="취득원가 준용","취득원가 준용",NAV!R104))</f>
        <v>0</v>
      </c>
      <c r="P136" s="378">
        <f>NAV!W104</f>
        <v>0</v>
      </c>
      <c r="Q136" s="378">
        <f>NAV!S104</f>
        <v>0</v>
      </c>
      <c r="R136" s="737" t="str">
        <f>MID(NAV!U104,FIND("(",NAV!U104)+1,FIND(")", NAV!U104)-FIND("(",NAV!U104)-1)</f>
        <v>KRW</v>
      </c>
    </row>
    <row r="137" spans="1:18" ht="12.75" customHeight="1" outlineLevel="1" thickBot="1">
      <c r="A137" s="304">
        <f t="shared" si="4"/>
        <v>59</v>
      </c>
      <c r="B137" s="381" t="str">
        <f t="shared" si="5"/>
        <v/>
      </c>
      <c r="C137" s="380" t="str">
        <f t="shared" si="6"/>
        <v/>
      </c>
      <c r="D137" s="380" t="str">
        <f t="shared" si="7"/>
        <v/>
      </c>
      <c r="E137" s="304"/>
      <c r="J137" s="149" t="str">
        <f>IF(L137=0,"",COUNTA(L$75:$L137)+COUNT($F$75:$F$103))</f>
        <v/>
      </c>
      <c r="K137" s="373" t="str">
        <f>NAV!$C$6</f>
        <v>포스코KAICI신기술사업투자조합제1호</v>
      </c>
      <c r="L137" s="375">
        <f>NAV!J105</f>
        <v>0</v>
      </c>
      <c r="M137" s="376">
        <f>NAV!N105</f>
        <v>0</v>
      </c>
      <c r="N137" s="376">
        <f>NAV!T105</f>
        <v>0</v>
      </c>
      <c r="O137" s="377">
        <f>IF(N137="장부가액 준용","장부가액 준용",IF(N137="취득원가 준용","취득원가 준용",NAV!R105))</f>
        <v>0</v>
      </c>
      <c r="P137" s="378">
        <f>NAV!W105</f>
        <v>0</v>
      </c>
      <c r="Q137" s="378">
        <f>NAV!S105</f>
        <v>0</v>
      </c>
      <c r="R137" s="737" t="str">
        <f>MID(NAV!U105,FIND("(",NAV!U105)+1,FIND(")", NAV!U105)-FIND("(",NAV!U105)-1)</f>
        <v>KRW</v>
      </c>
    </row>
    <row r="138" spans="1:18" ht="12.75" customHeight="1" outlineLevel="1" thickBot="1">
      <c r="A138" s="304">
        <f t="shared" si="4"/>
        <v>60</v>
      </c>
      <c r="B138" s="381" t="str">
        <f t="shared" si="5"/>
        <v/>
      </c>
      <c r="C138" s="380" t="str">
        <f t="shared" si="6"/>
        <v/>
      </c>
      <c r="D138" s="380" t="str">
        <f t="shared" si="7"/>
        <v/>
      </c>
      <c r="E138" s="304"/>
      <c r="J138" s="149" t="str">
        <f>IF(L138=0,"",COUNTA(L$75:$L138)+COUNT($F$75:$F$103))</f>
        <v/>
      </c>
      <c r="K138" s="373" t="str">
        <f>NAV!$C$6</f>
        <v>포스코KAICI신기술사업투자조합제1호</v>
      </c>
      <c r="L138" s="375">
        <f>NAV!J106</f>
        <v>0</v>
      </c>
      <c r="M138" s="376">
        <f>NAV!N106</f>
        <v>0</v>
      </c>
      <c r="N138" s="376">
        <f>NAV!T106</f>
        <v>0</v>
      </c>
      <c r="O138" s="377">
        <f>IF(N138="장부가액 준용","장부가액 준용",IF(N138="취득원가 준용","취득원가 준용",NAV!R106))</f>
        <v>0</v>
      </c>
      <c r="P138" s="378">
        <f>NAV!W106</f>
        <v>0</v>
      </c>
      <c r="Q138" s="378">
        <f>NAV!S106</f>
        <v>0</v>
      </c>
      <c r="R138" s="737" t="str">
        <f>MID(NAV!U106,FIND("(",NAV!U106)+1,FIND(")", NAV!U106)-FIND("(",NAV!U106)-1)</f>
        <v>KRW</v>
      </c>
    </row>
    <row r="139" spans="1:18" ht="12.75" customHeight="1" outlineLevel="1" thickBot="1">
      <c r="A139" s="304">
        <f t="shared" si="4"/>
        <v>61</v>
      </c>
      <c r="B139" s="381" t="str">
        <f t="shared" si="5"/>
        <v/>
      </c>
      <c r="C139" s="380" t="str">
        <f t="shared" si="6"/>
        <v/>
      </c>
      <c r="D139" s="380" t="str">
        <f t="shared" si="7"/>
        <v/>
      </c>
      <c r="E139" s="304"/>
      <c r="J139" s="149" t="str">
        <f>IF(L139=0,"",COUNTA(L$75:$L139)+COUNT($F$75:$F$103))</f>
        <v/>
      </c>
      <c r="K139" s="373" t="str">
        <f>NAV!$C$6</f>
        <v>포스코KAICI신기술사업투자조합제1호</v>
      </c>
      <c r="L139" s="375">
        <f>NAV!J107</f>
        <v>0</v>
      </c>
      <c r="M139" s="376">
        <f>NAV!N107</f>
        <v>0</v>
      </c>
      <c r="N139" s="376">
        <f>NAV!T107</f>
        <v>0</v>
      </c>
      <c r="O139" s="377">
        <f>IF(N139="장부가액 준용","장부가액 준용",IF(N139="취득원가 준용","취득원가 준용",NAV!R107))</f>
        <v>0</v>
      </c>
      <c r="P139" s="378">
        <f>NAV!W107</f>
        <v>0</v>
      </c>
      <c r="Q139" s="378">
        <f>NAV!S107</f>
        <v>0</v>
      </c>
      <c r="R139" s="737" t="str">
        <f>MID(NAV!U107,FIND("(",NAV!U107)+1,FIND(")", NAV!U107)-FIND("(",NAV!U107)-1)</f>
        <v>KRW</v>
      </c>
    </row>
    <row r="140" spans="1:18" ht="12.75" customHeight="1" outlineLevel="1" thickBot="1">
      <c r="A140" s="304">
        <f t="shared" si="4"/>
        <v>62</v>
      </c>
      <c r="B140" s="381" t="str">
        <f t="shared" ref="B140:B171" si="8">IFERROR(IF(F140=A140,VLOOKUP(A140,$F$74:$I$229,2,0),VLOOKUP(A140,$J$74:$Q$225,3,0)&amp;" "&amp;VLOOKUP(A140,$J$74:$Q$225,4,0)),"")</f>
        <v/>
      </c>
      <c r="C140" s="380" t="str">
        <f t="shared" ref="C140:C171" si="9">IFERROR(IF(F140=A140,VLOOKUP(A140,$F$74:$I$229,3,0),VLOOKUP(A140,$J$74:$Q$225,7,0)),"")</f>
        <v/>
      </c>
      <c r="D140" s="380" t="str">
        <f t="shared" ref="D140:D171" si="10">IFERROR(IF(F140=A140,VLOOKUP(A140,$F$74:$I$229,4,0),VLOOKUP(A140,$J$74:$Q$225,8,0)),"")</f>
        <v/>
      </c>
      <c r="E140" s="304"/>
      <c r="J140" s="149" t="str">
        <f>IF(L140=0,"",COUNTA(L$75:$L140)+COUNT($F$75:$F$103))</f>
        <v/>
      </c>
      <c r="K140" s="373" t="str">
        <f>NAV!$C$6</f>
        <v>포스코KAICI신기술사업투자조합제1호</v>
      </c>
      <c r="L140" s="375">
        <f>NAV!J108</f>
        <v>0</v>
      </c>
      <c r="M140" s="376">
        <f>NAV!N108</f>
        <v>0</v>
      </c>
      <c r="N140" s="376">
        <f>NAV!T108</f>
        <v>0</v>
      </c>
      <c r="O140" s="377">
        <f>IF(N140="장부가액 준용","장부가액 준용",IF(N140="취득원가 준용","취득원가 준용",NAV!R108))</f>
        <v>0</v>
      </c>
      <c r="P140" s="378">
        <f>NAV!W108</f>
        <v>0</v>
      </c>
      <c r="Q140" s="378">
        <f>NAV!S108</f>
        <v>0</v>
      </c>
      <c r="R140" s="737" t="str">
        <f>MID(NAV!U108,FIND("(",NAV!U108)+1,FIND(")", NAV!U108)-FIND("(",NAV!U108)-1)</f>
        <v>KRW</v>
      </c>
    </row>
    <row r="141" spans="1:18" ht="12.75" customHeight="1" outlineLevel="1" thickBot="1">
      <c r="A141" s="304">
        <f t="shared" si="4"/>
        <v>63</v>
      </c>
      <c r="B141" s="381" t="str">
        <f t="shared" si="8"/>
        <v/>
      </c>
      <c r="C141" s="380" t="str">
        <f t="shared" si="9"/>
        <v/>
      </c>
      <c r="D141" s="380" t="str">
        <f t="shared" si="10"/>
        <v/>
      </c>
      <c r="E141" s="304"/>
      <c r="J141" s="149" t="str">
        <f>IF(L141=0,"",COUNTA(L$75:$L141)+COUNT($F$75:$F$103))</f>
        <v/>
      </c>
      <c r="K141" s="373" t="str">
        <f>NAV!$C$6</f>
        <v>포스코KAICI신기술사업투자조합제1호</v>
      </c>
      <c r="L141" s="375">
        <f>NAV!J109</f>
        <v>0</v>
      </c>
      <c r="M141" s="376">
        <f>NAV!N109</f>
        <v>0</v>
      </c>
      <c r="N141" s="376">
        <f>NAV!T109</f>
        <v>0</v>
      </c>
      <c r="O141" s="377">
        <f>IF(N141="장부가액 준용","장부가액 준용",IF(N141="취득원가 준용","취득원가 준용",NAV!R109))</f>
        <v>0</v>
      </c>
      <c r="P141" s="378">
        <f>NAV!W109</f>
        <v>0</v>
      </c>
      <c r="Q141" s="378">
        <f>NAV!S109</f>
        <v>0</v>
      </c>
      <c r="R141" s="737" t="str">
        <f>MID(NAV!U109,FIND("(",NAV!U109)+1,FIND(")", NAV!U109)-FIND("(",NAV!U109)-1)</f>
        <v>KRW</v>
      </c>
    </row>
    <row r="142" spans="1:18" ht="12.75" customHeight="1" outlineLevel="1" thickBot="1">
      <c r="A142" s="304">
        <f t="shared" si="4"/>
        <v>64</v>
      </c>
      <c r="B142" s="381" t="str">
        <f t="shared" si="8"/>
        <v/>
      </c>
      <c r="C142" s="380" t="str">
        <f t="shared" si="9"/>
        <v/>
      </c>
      <c r="D142" s="380" t="str">
        <f t="shared" si="10"/>
        <v/>
      </c>
      <c r="E142" s="304"/>
      <c r="J142" s="149" t="str">
        <f>IF(L142=0,"",COUNTA(L$75:$L142)+COUNT($F$75:$F$103))</f>
        <v/>
      </c>
      <c r="K142" s="373" t="str">
        <f>NAV!$C$6</f>
        <v>포스코KAICI신기술사업투자조합제1호</v>
      </c>
      <c r="L142" s="375">
        <f>NAV!J110</f>
        <v>0</v>
      </c>
      <c r="M142" s="376">
        <f>NAV!N110</f>
        <v>0</v>
      </c>
      <c r="N142" s="376">
        <f>NAV!T110</f>
        <v>0</v>
      </c>
      <c r="O142" s="377">
        <f>IF(N142="장부가액 준용","장부가액 준용",IF(N142="취득원가 준용","취득원가 준용",NAV!R110))</f>
        <v>0</v>
      </c>
      <c r="P142" s="378">
        <f>NAV!W110</f>
        <v>0</v>
      </c>
      <c r="Q142" s="378">
        <f>NAV!S110</f>
        <v>0</v>
      </c>
      <c r="R142" s="737" t="str">
        <f>MID(NAV!U110,FIND("(",NAV!U110)+1,FIND(")", NAV!U110)-FIND("(",NAV!U110)-1)</f>
        <v>KRW</v>
      </c>
    </row>
    <row r="143" spans="1:18" ht="12.75" customHeight="1" outlineLevel="1" thickBot="1">
      <c r="A143" s="304">
        <f t="shared" si="4"/>
        <v>65</v>
      </c>
      <c r="B143" s="381" t="str">
        <f t="shared" si="8"/>
        <v/>
      </c>
      <c r="C143" s="380" t="str">
        <f t="shared" si="9"/>
        <v/>
      </c>
      <c r="D143" s="380" t="str">
        <f t="shared" si="10"/>
        <v/>
      </c>
      <c r="E143" s="304"/>
      <c r="J143" s="149" t="str">
        <f>IF(L143=0,"",COUNTA(L$75:$L143)+COUNT($F$75:$F$103))</f>
        <v/>
      </c>
      <c r="K143" s="373" t="str">
        <f>NAV!$C$6</f>
        <v>포스코KAICI신기술사업투자조합제1호</v>
      </c>
      <c r="L143" s="375">
        <f>NAV!J111</f>
        <v>0</v>
      </c>
      <c r="M143" s="376">
        <f>NAV!N111</f>
        <v>0</v>
      </c>
      <c r="N143" s="376">
        <f>NAV!T111</f>
        <v>0</v>
      </c>
      <c r="O143" s="377">
        <f>IF(N143="장부가액 준용","장부가액 준용",IF(N143="취득원가 준용","취득원가 준용",NAV!R111))</f>
        <v>0</v>
      </c>
      <c r="P143" s="378">
        <f>NAV!W111</f>
        <v>0</v>
      </c>
      <c r="Q143" s="378">
        <f>NAV!S111</f>
        <v>0</v>
      </c>
      <c r="R143" s="737" t="str">
        <f>MID(NAV!U111,FIND("(",NAV!U111)+1,FIND(")", NAV!U111)-FIND("(",NAV!U111)-1)</f>
        <v>KRW</v>
      </c>
    </row>
    <row r="144" spans="1:18" ht="12.75" customHeight="1" outlineLevel="1" thickBot="1">
      <c r="A144" s="304">
        <f t="shared" si="4"/>
        <v>66</v>
      </c>
      <c r="B144" s="381" t="str">
        <f t="shared" si="8"/>
        <v/>
      </c>
      <c r="C144" s="380" t="str">
        <f t="shared" si="9"/>
        <v/>
      </c>
      <c r="D144" s="380" t="str">
        <f t="shared" si="10"/>
        <v/>
      </c>
      <c r="E144" s="304"/>
      <c r="J144" s="149" t="str">
        <f>IF(L144=0,"",COUNTA(L$75:$L144)+COUNT($F$75:$F$103))</f>
        <v/>
      </c>
      <c r="K144" s="373" t="str">
        <f>NAV!$C$6</f>
        <v>포스코KAICI신기술사업투자조합제1호</v>
      </c>
      <c r="L144" s="375">
        <f>NAV!J112</f>
        <v>0</v>
      </c>
      <c r="M144" s="376">
        <f>NAV!N112</f>
        <v>0</v>
      </c>
      <c r="N144" s="376">
        <f>NAV!T112</f>
        <v>0</v>
      </c>
      <c r="O144" s="377">
        <f>IF(N144="장부가액 준용","장부가액 준용",IF(N144="취득원가 준용","취득원가 준용",NAV!R112))</f>
        <v>0</v>
      </c>
      <c r="P144" s="378">
        <f>NAV!W112</f>
        <v>0</v>
      </c>
      <c r="Q144" s="378">
        <f>NAV!S112</f>
        <v>0</v>
      </c>
      <c r="R144" s="737" t="str">
        <f>MID(NAV!U112,FIND("(",NAV!U112)+1,FIND(")", NAV!U112)-FIND("(",NAV!U112)-1)</f>
        <v>KRW</v>
      </c>
    </row>
    <row r="145" spans="1:18" ht="12.75" customHeight="1" outlineLevel="1" thickBot="1">
      <c r="A145" s="304">
        <f t="shared" si="4"/>
        <v>67</v>
      </c>
      <c r="B145" s="381" t="str">
        <f t="shared" si="8"/>
        <v/>
      </c>
      <c r="C145" s="380" t="str">
        <f t="shared" si="9"/>
        <v/>
      </c>
      <c r="D145" s="380" t="str">
        <f t="shared" si="10"/>
        <v/>
      </c>
      <c r="E145" s="304"/>
      <c r="J145" s="149" t="str">
        <f>IF(L145=0,"",COUNTA(L$75:$L145)+COUNT($F$75:$F$103))</f>
        <v/>
      </c>
      <c r="K145" s="373" t="str">
        <f>NAV!$C$6</f>
        <v>포스코KAICI신기술사업투자조합제1호</v>
      </c>
      <c r="L145" s="375">
        <f>NAV!J113</f>
        <v>0</v>
      </c>
      <c r="M145" s="376">
        <f>NAV!N113</f>
        <v>0</v>
      </c>
      <c r="N145" s="376">
        <f>NAV!T113</f>
        <v>0</v>
      </c>
      <c r="O145" s="377">
        <f>IF(N145="장부가액 준용","장부가액 준용",IF(N145="취득원가 준용","취득원가 준용",NAV!R113))</f>
        <v>0</v>
      </c>
      <c r="P145" s="378">
        <f>NAV!W113</f>
        <v>0</v>
      </c>
      <c r="Q145" s="378">
        <f>NAV!S113</f>
        <v>0</v>
      </c>
      <c r="R145" s="737" t="str">
        <f>MID(NAV!U113,FIND("(",NAV!U113)+1,FIND(")", NAV!U113)-FIND("(",NAV!U113)-1)</f>
        <v>KRW</v>
      </c>
    </row>
    <row r="146" spans="1:18" ht="12.75" customHeight="1" outlineLevel="1" thickBot="1">
      <c r="A146" s="304">
        <f t="shared" si="4"/>
        <v>68</v>
      </c>
      <c r="B146" s="381" t="str">
        <f t="shared" si="8"/>
        <v/>
      </c>
      <c r="C146" s="380" t="str">
        <f t="shared" si="9"/>
        <v/>
      </c>
      <c r="D146" s="380" t="str">
        <f t="shared" si="10"/>
        <v/>
      </c>
      <c r="E146" s="304"/>
      <c r="J146" s="149" t="str">
        <f>IF(L146=0,"",COUNTA(L$75:$L146)+COUNT($F$75:$F$103))</f>
        <v/>
      </c>
      <c r="K146" s="373" t="str">
        <f>NAV!$C$6</f>
        <v>포스코KAICI신기술사업투자조합제1호</v>
      </c>
      <c r="L146" s="375">
        <f>NAV!J114</f>
        <v>0</v>
      </c>
      <c r="M146" s="376">
        <f>NAV!N114</f>
        <v>0</v>
      </c>
      <c r="N146" s="376">
        <f>NAV!T114</f>
        <v>0</v>
      </c>
      <c r="O146" s="377">
        <f>IF(N146="장부가액 준용","장부가액 준용",IF(N146="취득원가 준용","취득원가 준용",NAV!R114))</f>
        <v>0</v>
      </c>
      <c r="P146" s="378">
        <f>NAV!W114</f>
        <v>0</v>
      </c>
      <c r="Q146" s="378">
        <f>NAV!S114</f>
        <v>0</v>
      </c>
      <c r="R146" s="737" t="str">
        <f>MID(NAV!U114,FIND("(",NAV!U114)+1,FIND(")", NAV!U114)-FIND("(",NAV!U114)-1)</f>
        <v>KRW</v>
      </c>
    </row>
    <row r="147" spans="1:18" ht="12.75" customHeight="1" outlineLevel="1" thickBot="1">
      <c r="A147" s="304">
        <f t="shared" si="4"/>
        <v>69</v>
      </c>
      <c r="B147" s="381" t="str">
        <f t="shared" si="8"/>
        <v/>
      </c>
      <c r="C147" s="380" t="str">
        <f t="shared" si="9"/>
        <v/>
      </c>
      <c r="D147" s="380" t="str">
        <f t="shared" si="10"/>
        <v/>
      </c>
      <c r="E147" s="304"/>
      <c r="J147" s="149" t="str">
        <f>IF(L147=0,"",COUNTA(L$75:$L147)+COUNT($F$75:$F$103))</f>
        <v/>
      </c>
      <c r="K147" s="373" t="str">
        <f>NAV!$C$6</f>
        <v>포스코KAICI신기술사업투자조합제1호</v>
      </c>
      <c r="L147" s="375">
        <f>NAV!J115</f>
        <v>0</v>
      </c>
      <c r="M147" s="376">
        <f>NAV!N115</f>
        <v>0</v>
      </c>
      <c r="N147" s="376">
        <f>NAV!T115</f>
        <v>0</v>
      </c>
      <c r="O147" s="377">
        <f>IF(N147="장부가액 준용","장부가액 준용",IF(N147="취득원가 준용","취득원가 준용",NAV!R115))</f>
        <v>0</v>
      </c>
      <c r="P147" s="378">
        <f>NAV!W115</f>
        <v>0</v>
      </c>
      <c r="Q147" s="378">
        <f>NAV!S115</f>
        <v>0</v>
      </c>
      <c r="R147" s="737" t="str">
        <f>MID(NAV!U115,FIND("(",NAV!U115)+1,FIND(")", NAV!U115)-FIND("(",NAV!U115)-1)</f>
        <v>KRW</v>
      </c>
    </row>
    <row r="148" spans="1:18" ht="12.75" customHeight="1" outlineLevel="1" thickBot="1">
      <c r="A148" s="304">
        <f t="shared" si="4"/>
        <v>70</v>
      </c>
      <c r="B148" s="381" t="str">
        <f t="shared" si="8"/>
        <v/>
      </c>
      <c r="C148" s="380" t="str">
        <f t="shared" si="9"/>
        <v/>
      </c>
      <c r="D148" s="380" t="str">
        <f t="shared" si="10"/>
        <v/>
      </c>
      <c r="E148" s="304"/>
      <c r="J148" s="149" t="str">
        <f>IF(L148=0,"",COUNTA(L$75:$L148)+COUNT($F$75:$F$103))</f>
        <v/>
      </c>
      <c r="K148" s="373" t="str">
        <f>NAV!$C$6</f>
        <v>포스코KAICI신기술사업투자조합제1호</v>
      </c>
      <c r="L148" s="375">
        <f>NAV!J116</f>
        <v>0</v>
      </c>
      <c r="M148" s="376">
        <f>NAV!N116</f>
        <v>0</v>
      </c>
      <c r="N148" s="376">
        <f>NAV!T116</f>
        <v>0</v>
      </c>
      <c r="O148" s="377">
        <f>IF(N148="장부가액 준용","장부가액 준용",IF(N148="취득원가 준용","취득원가 준용",NAV!R116))</f>
        <v>0</v>
      </c>
      <c r="P148" s="378">
        <f>NAV!W116</f>
        <v>0</v>
      </c>
      <c r="Q148" s="378">
        <f>NAV!S116</f>
        <v>0</v>
      </c>
      <c r="R148" s="737" t="str">
        <f>MID(NAV!U116,FIND("(",NAV!U116)+1,FIND(")", NAV!U116)-FIND("(",NAV!U116)-1)</f>
        <v>KRW</v>
      </c>
    </row>
    <row r="149" spans="1:18" ht="12.75" customHeight="1" outlineLevel="1" thickBot="1">
      <c r="A149" s="304">
        <f t="shared" si="4"/>
        <v>71</v>
      </c>
      <c r="B149" s="381" t="str">
        <f t="shared" si="8"/>
        <v/>
      </c>
      <c r="C149" s="380" t="str">
        <f t="shared" si="9"/>
        <v/>
      </c>
      <c r="D149" s="380" t="str">
        <f t="shared" si="10"/>
        <v/>
      </c>
      <c r="E149" s="304"/>
      <c r="J149" s="149" t="str">
        <f>IF(L149=0,"",COUNTA(L$75:$L149)+COUNT($F$75:$F$103))</f>
        <v/>
      </c>
      <c r="K149" s="373" t="str">
        <f>NAV!$C$6</f>
        <v>포스코KAICI신기술사업투자조합제1호</v>
      </c>
      <c r="L149" s="375">
        <f>NAV!J117</f>
        <v>0</v>
      </c>
      <c r="M149" s="376">
        <f>NAV!N117</f>
        <v>0</v>
      </c>
      <c r="N149" s="376">
        <f>NAV!T117</f>
        <v>0</v>
      </c>
      <c r="O149" s="377">
        <f>IF(N149="장부가액 준용","장부가액 준용",IF(N149="취득원가 준용","취득원가 준용",NAV!R117))</f>
        <v>0</v>
      </c>
      <c r="P149" s="378">
        <f>NAV!W117</f>
        <v>0</v>
      </c>
      <c r="Q149" s="378">
        <f>NAV!S117</f>
        <v>0</v>
      </c>
      <c r="R149" s="737" t="str">
        <f>MID(NAV!U117,FIND("(",NAV!U117)+1,FIND(")", NAV!U117)-FIND("(",NAV!U117)-1)</f>
        <v>KRW</v>
      </c>
    </row>
    <row r="150" spans="1:18" ht="12.75" customHeight="1" outlineLevel="1" thickBot="1">
      <c r="A150" s="304">
        <f t="shared" si="4"/>
        <v>72</v>
      </c>
      <c r="B150" s="381" t="str">
        <f t="shared" si="8"/>
        <v/>
      </c>
      <c r="C150" s="380" t="str">
        <f t="shared" si="9"/>
        <v/>
      </c>
      <c r="D150" s="380" t="str">
        <f t="shared" si="10"/>
        <v/>
      </c>
      <c r="E150" s="304"/>
      <c r="J150" s="149" t="str">
        <f>IF(L150=0,"",COUNTA(L$75:$L150)+COUNT($F$75:$F$103))</f>
        <v/>
      </c>
      <c r="K150" s="373" t="str">
        <f>NAV!$C$6</f>
        <v>포스코KAICI신기술사업투자조합제1호</v>
      </c>
      <c r="L150" s="375">
        <f>NAV!J118</f>
        <v>0</v>
      </c>
      <c r="M150" s="376">
        <f>NAV!N118</f>
        <v>0</v>
      </c>
      <c r="N150" s="376">
        <f>NAV!T118</f>
        <v>0</v>
      </c>
      <c r="O150" s="377">
        <f>IF(N150="장부가액 준용","장부가액 준용",IF(N150="취득원가 준용","취득원가 준용",NAV!R118))</f>
        <v>0</v>
      </c>
      <c r="P150" s="378">
        <f>NAV!W118</f>
        <v>0</v>
      </c>
      <c r="Q150" s="378">
        <f>NAV!S118</f>
        <v>0</v>
      </c>
      <c r="R150" s="737" t="str">
        <f>MID(NAV!U118,FIND("(",NAV!U118)+1,FIND(")", NAV!U118)-FIND("(",NAV!U118)-1)</f>
        <v>KRW</v>
      </c>
    </row>
    <row r="151" spans="1:18" ht="12.75" customHeight="1" outlineLevel="1" thickBot="1">
      <c r="A151" s="304">
        <f t="shared" si="4"/>
        <v>73</v>
      </c>
      <c r="B151" s="381" t="str">
        <f t="shared" si="8"/>
        <v/>
      </c>
      <c r="C151" s="380" t="str">
        <f t="shared" si="9"/>
        <v/>
      </c>
      <c r="D151" s="380" t="str">
        <f t="shared" si="10"/>
        <v/>
      </c>
      <c r="E151" s="304"/>
      <c r="J151" s="149" t="str">
        <f>IF(L151=0,"",COUNTA(L$75:$L151)+COUNT($F$75:$F$103))</f>
        <v/>
      </c>
      <c r="K151" s="373" t="str">
        <f>NAV!$C$6</f>
        <v>포스코KAICI신기술사업투자조합제1호</v>
      </c>
      <c r="L151" s="375">
        <f>NAV!J119</f>
        <v>0</v>
      </c>
      <c r="M151" s="376">
        <f>NAV!N119</f>
        <v>0</v>
      </c>
      <c r="N151" s="376">
        <f>NAV!T119</f>
        <v>0</v>
      </c>
      <c r="O151" s="377">
        <f>IF(N151="장부가액 준용","장부가액 준용",IF(N151="취득원가 준용","취득원가 준용",NAV!R119))</f>
        <v>0</v>
      </c>
      <c r="P151" s="378">
        <f>NAV!W119</f>
        <v>0</v>
      </c>
      <c r="Q151" s="378">
        <f>NAV!S119</f>
        <v>0</v>
      </c>
      <c r="R151" s="737" t="str">
        <f>MID(NAV!U119,FIND("(",NAV!U119)+1,FIND(")", NAV!U119)-FIND("(",NAV!U119)-1)</f>
        <v>KRW</v>
      </c>
    </row>
    <row r="152" spans="1:18" ht="12.75" customHeight="1" outlineLevel="1" thickBot="1">
      <c r="A152" s="304">
        <f t="shared" si="4"/>
        <v>74</v>
      </c>
      <c r="B152" s="381" t="str">
        <f t="shared" si="8"/>
        <v/>
      </c>
      <c r="C152" s="380" t="str">
        <f t="shared" si="9"/>
        <v/>
      </c>
      <c r="D152" s="380" t="str">
        <f t="shared" si="10"/>
        <v/>
      </c>
      <c r="E152" s="304"/>
      <c r="J152" s="149" t="str">
        <f>IF(L152=0,"",COUNTA(L$75:$L152)+COUNT($F$75:$F$103))</f>
        <v/>
      </c>
      <c r="K152" s="373" t="str">
        <f>NAV!$C$6</f>
        <v>포스코KAICI신기술사업투자조합제1호</v>
      </c>
      <c r="L152" s="375">
        <f>NAV!J120</f>
        <v>0</v>
      </c>
      <c r="M152" s="376">
        <f>NAV!N120</f>
        <v>0</v>
      </c>
      <c r="N152" s="376">
        <f>NAV!T120</f>
        <v>0</v>
      </c>
      <c r="O152" s="377">
        <f>IF(N152="장부가액 준용","장부가액 준용",IF(N152="취득원가 준용","취득원가 준용",NAV!R120))</f>
        <v>0</v>
      </c>
      <c r="P152" s="378">
        <f>NAV!W120</f>
        <v>0</v>
      </c>
      <c r="Q152" s="378">
        <f>NAV!S120</f>
        <v>0</v>
      </c>
      <c r="R152" s="737" t="str">
        <f>MID(NAV!U120,FIND("(",NAV!U120)+1,FIND(")", NAV!U120)-FIND("(",NAV!U120)-1)</f>
        <v>KRW</v>
      </c>
    </row>
    <row r="153" spans="1:18" ht="12.75" customHeight="1" outlineLevel="1" thickBot="1">
      <c r="A153" s="304">
        <f t="shared" si="4"/>
        <v>75</v>
      </c>
      <c r="B153" s="381" t="str">
        <f t="shared" si="8"/>
        <v/>
      </c>
      <c r="C153" s="380" t="str">
        <f t="shared" si="9"/>
        <v/>
      </c>
      <c r="D153" s="380" t="str">
        <f t="shared" si="10"/>
        <v/>
      </c>
      <c r="E153" s="304"/>
      <c r="J153" s="149" t="str">
        <f>IF(L153=0,"",COUNTA(L$75:$L153)+COUNT($F$75:$F$103))</f>
        <v/>
      </c>
      <c r="K153" s="373" t="str">
        <f>NAV!$C$6</f>
        <v>포스코KAICI신기술사업투자조합제1호</v>
      </c>
      <c r="L153" s="375">
        <f>NAV!J121</f>
        <v>0</v>
      </c>
      <c r="M153" s="376">
        <f>NAV!N121</f>
        <v>0</v>
      </c>
      <c r="N153" s="376">
        <f>NAV!T121</f>
        <v>0</v>
      </c>
      <c r="O153" s="377">
        <f>IF(N153="장부가액 준용","장부가액 준용",IF(N153="취득원가 준용","취득원가 준용",NAV!R121))</f>
        <v>0</v>
      </c>
      <c r="P153" s="378">
        <f>NAV!W121</f>
        <v>0</v>
      </c>
      <c r="Q153" s="378">
        <f>NAV!S121</f>
        <v>0</v>
      </c>
      <c r="R153" s="737" t="str">
        <f>MID(NAV!U121,FIND("(",NAV!U121)+1,FIND(")", NAV!U121)-FIND("(",NAV!U121)-1)</f>
        <v>KRW</v>
      </c>
    </row>
    <row r="154" spans="1:18" ht="12.75" customHeight="1" outlineLevel="1" thickBot="1">
      <c r="A154" s="304">
        <f t="shared" si="4"/>
        <v>76</v>
      </c>
      <c r="B154" s="381" t="str">
        <f t="shared" si="8"/>
        <v/>
      </c>
      <c r="C154" s="380" t="str">
        <f t="shared" si="9"/>
        <v/>
      </c>
      <c r="D154" s="380" t="str">
        <f t="shared" si="10"/>
        <v/>
      </c>
      <c r="E154" s="304"/>
      <c r="J154" s="149" t="str">
        <f>IF(L154=0,"",COUNTA(L$75:$L154)+COUNT($F$75:$F$103))</f>
        <v/>
      </c>
      <c r="K154" s="373" t="str">
        <f>NAV!$C$6</f>
        <v>포스코KAICI신기술사업투자조합제1호</v>
      </c>
      <c r="L154" s="375">
        <f>NAV!J122</f>
        <v>0</v>
      </c>
      <c r="M154" s="376">
        <f>NAV!N122</f>
        <v>0</v>
      </c>
      <c r="N154" s="376">
        <f>NAV!T122</f>
        <v>0</v>
      </c>
      <c r="O154" s="377">
        <f>IF(N154="장부가액 준용","장부가액 준용",IF(N154="취득원가 준용","취득원가 준용",NAV!R122))</f>
        <v>0</v>
      </c>
      <c r="P154" s="378">
        <f>NAV!W122</f>
        <v>0</v>
      </c>
      <c r="Q154" s="378">
        <f>NAV!S122</f>
        <v>0</v>
      </c>
      <c r="R154" s="737" t="str">
        <f>MID(NAV!U122,FIND("(",NAV!U122)+1,FIND(")", NAV!U122)-FIND("(",NAV!U122)-1)</f>
        <v>KRW</v>
      </c>
    </row>
    <row r="155" spans="1:18" ht="12.75" customHeight="1" outlineLevel="1" thickBot="1">
      <c r="A155" s="304">
        <f t="shared" si="4"/>
        <v>77</v>
      </c>
      <c r="B155" s="381" t="str">
        <f t="shared" si="8"/>
        <v/>
      </c>
      <c r="C155" s="380" t="str">
        <f t="shared" si="9"/>
        <v/>
      </c>
      <c r="D155" s="380" t="str">
        <f t="shared" si="10"/>
        <v/>
      </c>
      <c r="E155" s="304"/>
      <c r="J155" s="149" t="str">
        <f>IF(L155=0,"",COUNTA(L$75:$L155)+COUNT($F$75:$F$103))</f>
        <v/>
      </c>
      <c r="K155" s="373" t="str">
        <f>NAV!$C$6</f>
        <v>포스코KAICI신기술사업투자조합제1호</v>
      </c>
      <c r="L155" s="375">
        <f>NAV!J123</f>
        <v>0</v>
      </c>
      <c r="M155" s="376">
        <f>NAV!N123</f>
        <v>0</v>
      </c>
      <c r="N155" s="376">
        <f>NAV!T123</f>
        <v>0</v>
      </c>
      <c r="O155" s="377">
        <f>IF(N155="장부가액 준용","장부가액 준용",IF(N155="취득원가 준용","취득원가 준용",NAV!R123))</f>
        <v>0</v>
      </c>
      <c r="P155" s="378">
        <f>NAV!W123</f>
        <v>0</v>
      </c>
      <c r="Q155" s="378">
        <f>NAV!S123</f>
        <v>0</v>
      </c>
      <c r="R155" s="737" t="str">
        <f>MID(NAV!U123,FIND("(",NAV!U123)+1,FIND(")", NAV!U123)-FIND("(",NAV!U123)-1)</f>
        <v>KRW</v>
      </c>
    </row>
    <row r="156" spans="1:18" ht="12.75" customHeight="1" outlineLevel="1" thickBot="1">
      <c r="A156" s="304">
        <f t="shared" si="4"/>
        <v>78</v>
      </c>
      <c r="B156" s="381" t="str">
        <f t="shared" si="8"/>
        <v/>
      </c>
      <c r="C156" s="380" t="str">
        <f t="shared" si="9"/>
        <v/>
      </c>
      <c r="D156" s="380" t="str">
        <f t="shared" si="10"/>
        <v/>
      </c>
      <c r="E156" s="304"/>
      <c r="J156" s="149" t="str">
        <f>IF(L156=0,"",COUNTA(L$75:$L156)+COUNT($F$75:$F$103))</f>
        <v/>
      </c>
      <c r="K156" s="373" t="str">
        <f>NAV!$C$6</f>
        <v>포스코KAICI신기술사업투자조합제1호</v>
      </c>
      <c r="L156" s="375">
        <f>NAV!J124</f>
        <v>0</v>
      </c>
      <c r="M156" s="376">
        <f>NAV!N124</f>
        <v>0</v>
      </c>
      <c r="N156" s="376">
        <f>NAV!T124</f>
        <v>0</v>
      </c>
      <c r="O156" s="377">
        <f>IF(N156="장부가액 준용","장부가액 준용",IF(N156="취득원가 준용","취득원가 준용",NAV!R124))</f>
        <v>0</v>
      </c>
      <c r="P156" s="378">
        <f>NAV!W124</f>
        <v>0</v>
      </c>
      <c r="Q156" s="378">
        <f>NAV!S124</f>
        <v>0</v>
      </c>
      <c r="R156" s="737" t="str">
        <f>MID(NAV!U124,FIND("(",NAV!U124)+1,FIND(")", NAV!U124)-FIND("(",NAV!U124)-1)</f>
        <v>KRW</v>
      </c>
    </row>
    <row r="157" spans="1:18" ht="12.75" customHeight="1" outlineLevel="1" thickBot="1">
      <c r="A157" s="304">
        <f t="shared" si="4"/>
        <v>79</v>
      </c>
      <c r="B157" s="381" t="str">
        <f t="shared" si="8"/>
        <v/>
      </c>
      <c r="C157" s="380" t="str">
        <f t="shared" si="9"/>
        <v/>
      </c>
      <c r="D157" s="380" t="str">
        <f t="shared" si="10"/>
        <v/>
      </c>
      <c r="E157" s="304"/>
      <c r="J157" s="149" t="str">
        <f>IF(L157=0,"",COUNTA(L$75:$L157)+COUNT($F$75:$F$103))</f>
        <v/>
      </c>
      <c r="K157" s="373" t="str">
        <f>NAV!$C$6</f>
        <v>포스코KAICI신기술사업투자조합제1호</v>
      </c>
      <c r="L157" s="375">
        <f>NAV!J125</f>
        <v>0</v>
      </c>
      <c r="M157" s="376">
        <f>NAV!N125</f>
        <v>0</v>
      </c>
      <c r="N157" s="376">
        <f>NAV!T125</f>
        <v>0</v>
      </c>
      <c r="O157" s="377">
        <f>IF(N157="장부가액 준용","장부가액 준용",IF(N157="취득원가 준용","취득원가 준용",NAV!R125))</f>
        <v>0</v>
      </c>
      <c r="P157" s="378">
        <f>NAV!W125</f>
        <v>0</v>
      </c>
      <c r="Q157" s="378">
        <f>NAV!S125</f>
        <v>0</v>
      </c>
      <c r="R157" s="737" t="str">
        <f>MID(NAV!U125,FIND("(",NAV!U125)+1,FIND(")", NAV!U125)-FIND("(",NAV!U125)-1)</f>
        <v>KRW</v>
      </c>
    </row>
    <row r="158" spans="1:18" ht="12.75" customHeight="1" outlineLevel="1" thickBot="1">
      <c r="A158" s="304">
        <f t="shared" si="4"/>
        <v>80</v>
      </c>
      <c r="B158" s="381" t="str">
        <f t="shared" si="8"/>
        <v/>
      </c>
      <c r="C158" s="380" t="str">
        <f t="shared" si="9"/>
        <v/>
      </c>
      <c r="D158" s="380" t="str">
        <f t="shared" si="10"/>
        <v/>
      </c>
      <c r="E158" s="304"/>
      <c r="J158" s="149" t="str">
        <f>IF(L158=0,"",COUNTA(L$75:$L158)+COUNT($F$75:$F$103))</f>
        <v/>
      </c>
      <c r="K158" s="373" t="str">
        <f>NAV!$C$6</f>
        <v>포스코KAICI신기술사업투자조합제1호</v>
      </c>
      <c r="L158" s="375">
        <f>NAV!J126</f>
        <v>0</v>
      </c>
      <c r="M158" s="376">
        <f>NAV!N126</f>
        <v>0</v>
      </c>
      <c r="N158" s="376">
        <f>NAV!T126</f>
        <v>0</v>
      </c>
      <c r="O158" s="377">
        <f>IF(N158="장부가액 준용","장부가액 준용",IF(N158="취득원가 준용","취득원가 준용",NAV!R126))</f>
        <v>0</v>
      </c>
      <c r="P158" s="378">
        <f>NAV!W126</f>
        <v>0</v>
      </c>
      <c r="Q158" s="378">
        <f>NAV!S126</f>
        <v>0</v>
      </c>
      <c r="R158" s="737" t="str">
        <f>MID(NAV!U126,FIND("(",NAV!U126)+1,FIND(")", NAV!U126)-FIND("(",NAV!U126)-1)</f>
        <v>KRW</v>
      </c>
    </row>
    <row r="159" spans="1:18" ht="12.75" customHeight="1" outlineLevel="1" thickBot="1">
      <c r="A159" s="304">
        <f t="shared" si="4"/>
        <v>81</v>
      </c>
      <c r="B159" s="381" t="str">
        <f t="shared" si="8"/>
        <v/>
      </c>
      <c r="C159" s="380" t="str">
        <f t="shared" si="9"/>
        <v/>
      </c>
      <c r="D159" s="380" t="str">
        <f t="shared" si="10"/>
        <v/>
      </c>
      <c r="E159" s="304"/>
      <c r="J159" s="149" t="str">
        <f>IF(L159=0,"",COUNTA(L$75:$L159)+COUNT($F$75:$F$103))</f>
        <v/>
      </c>
      <c r="K159" s="373" t="str">
        <f>NAV!$C$6</f>
        <v>포스코KAICI신기술사업투자조합제1호</v>
      </c>
      <c r="L159" s="375">
        <f>NAV!J127</f>
        <v>0</v>
      </c>
      <c r="M159" s="376">
        <f>NAV!N127</f>
        <v>0</v>
      </c>
      <c r="N159" s="376">
        <f>NAV!T127</f>
        <v>0</v>
      </c>
      <c r="O159" s="377">
        <f>IF(N159="장부가액 준용","장부가액 준용",IF(N159="취득원가 준용","취득원가 준용",NAV!R127))</f>
        <v>0</v>
      </c>
      <c r="P159" s="378">
        <f>NAV!W127</f>
        <v>0</v>
      </c>
      <c r="Q159" s="378">
        <f>NAV!S127</f>
        <v>0</v>
      </c>
      <c r="R159" s="737" t="str">
        <f>MID(NAV!U127,FIND("(",NAV!U127)+1,FIND(")", NAV!U127)-FIND("(",NAV!U127)-1)</f>
        <v>KRW</v>
      </c>
    </row>
    <row r="160" spans="1:18" ht="12.75" customHeight="1" outlineLevel="1" thickBot="1">
      <c r="A160" s="304">
        <f t="shared" si="4"/>
        <v>82</v>
      </c>
      <c r="B160" s="381" t="str">
        <f t="shared" si="8"/>
        <v/>
      </c>
      <c r="C160" s="380" t="str">
        <f t="shared" si="9"/>
        <v/>
      </c>
      <c r="D160" s="380" t="str">
        <f t="shared" si="10"/>
        <v/>
      </c>
      <c r="E160" s="304"/>
      <c r="J160" s="149" t="str">
        <f>IF(L160=0,"",COUNTA(L$75:$L160)+COUNT($F$75:$F$103))</f>
        <v/>
      </c>
      <c r="K160" s="373" t="str">
        <f>NAV!$C$6</f>
        <v>포스코KAICI신기술사업투자조합제1호</v>
      </c>
      <c r="L160" s="375">
        <f>NAV!J128</f>
        <v>0</v>
      </c>
      <c r="M160" s="376">
        <f>NAV!N128</f>
        <v>0</v>
      </c>
      <c r="N160" s="376">
        <f>NAV!T128</f>
        <v>0</v>
      </c>
      <c r="O160" s="377">
        <f>IF(N160="장부가액 준용","장부가액 준용",IF(N160="취득원가 준용","취득원가 준용",NAV!R128))</f>
        <v>0</v>
      </c>
      <c r="P160" s="378">
        <f>NAV!W128</f>
        <v>0</v>
      </c>
      <c r="Q160" s="378">
        <f>NAV!S128</f>
        <v>0</v>
      </c>
      <c r="R160" s="737" t="str">
        <f>MID(NAV!U128,FIND("(",NAV!U128)+1,FIND(")", NAV!U128)-FIND("(",NAV!U128)-1)</f>
        <v>KRW</v>
      </c>
    </row>
    <row r="161" spans="1:18" ht="12.75" customHeight="1" outlineLevel="1" thickBot="1">
      <c r="A161" s="304">
        <f t="shared" si="4"/>
        <v>83</v>
      </c>
      <c r="B161" s="381" t="str">
        <f t="shared" si="8"/>
        <v/>
      </c>
      <c r="C161" s="380" t="str">
        <f t="shared" si="9"/>
        <v/>
      </c>
      <c r="D161" s="380" t="str">
        <f t="shared" si="10"/>
        <v/>
      </c>
      <c r="E161" s="304"/>
      <c r="J161" s="149" t="str">
        <f>IF(L161=0,"",COUNTA(L$75:$L161)+COUNT($F$75:$F$103))</f>
        <v/>
      </c>
      <c r="K161" s="373" t="str">
        <f>NAV!$C$6</f>
        <v>포스코KAICI신기술사업투자조합제1호</v>
      </c>
      <c r="L161" s="375">
        <f>NAV!J129</f>
        <v>0</v>
      </c>
      <c r="M161" s="376">
        <f>NAV!N129</f>
        <v>0</v>
      </c>
      <c r="N161" s="376">
        <f>NAV!T129</f>
        <v>0</v>
      </c>
      <c r="O161" s="377">
        <f>IF(N161="장부가액 준용","장부가액 준용",IF(N161="취득원가 준용","취득원가 준용",NAV!R129))</f>
        <v>0</v>
      </c>
      <c r="P161" s="378">
        <f>NAV!W129</f>
        <v>0</v>
      </c>
      <c r="Q161" s="378">
        <f>NAV!S129</f>
        <v>0</v>
      </c>
      <c r="R161" s="737" t="str">
        <f>MID(NAV!U129,FIND("(",NAV!U129)+1,FIND(")", NAV!U129)-FIND("(",NAV!U129)-1)</f>
        <v>KRW</v>
      </c>
    </row>
    <row r="162" spans="1:18" ht="12.75" customHeight="1" outlineLevel="1" thickBot="1">
      <c r="A162" s="304">
        <f t="shared" si="4"/>
        <v>84</v>
      </c>
      <c r="B162" s="381" t="str">
        <f t="shared" si="8"/>
        <v/>
      </c>
      <c r="C162" s="380" t="str">
        <f t="shared" si="9"/>
        <v/>
      </c>
      <c r="D162" s="380" t="str">
        <f t="shared" si="10"/>
        <v/>
      </c>
      <c r="E162" s="304"/>
      <c r="J162" s="149" t="str">
        <f>IF(L162=0,"",COUNTA(L$75:$L162)+COUNT($F$75:$F$103))</f>
        <v/>
      </c>
      <c r="K162" s="373" t="str">
        <f>NAV!$C$6</f>
        <v>포스코KAICI신기술사업투자조합제1호</v>
      </c>
      <c r="L162" s="375">
        <f>NAV!J130</f>
        <v>0</v>
      </c>
      <c r="M162" s="376">
        <f>NAV!N130</f>
        <v>0</v>
      </c>
      <c r="N162" s="376">
        <f>NAV!T130</f>
        <v>0</v>
      </c>
      <c r="O162" s="377">
        <f>IF(N162="장부가액 준용","장부가액 준용",IF(N162="취득원가 준용","취득원가 준용",NAV!R130))</f>
        <v>0</v>
      </c>
      <c r="P162" s="378">
        <f>NAV!W130</f>
        <v>0</v>
      </c>
      <c r="Q162" s="378">
        <f>NAV!S130</f>
        <v>0</v>
      </c>
      <c r="R162" s="737" t="str">
        <f>MID(NAV!U130,FIND("(",NAV!U130)+1,FIND(")", NAV!U130)-FIND("(",NAV!U130)-1)</f>
        <v>KRW</v>
      </c>
    </row>
    <row r="163" spans="1:18" ht="12.75" customHeight="1" outlineLevel="1" thickBot="1">
      <c r="A163" s="304">
        <f t="shared" si="4"/>
        <v>85</v>
      </c>
      <c r="B163" s="381" t="str">
        <f t="shared" si="8"/>
        <v/>
      </c>
      <c r="C163" s="380" t="str">
        <f t="shared" si="9"/>
        <v/>
      </c>
      <c r="D163" s="380" t="str">
        <f t="shared" si="10"/>
        <v/>
      </c>
      <c r="E163" s="304"/>
      <c r="J163" s="149" t="str">
        <f>IF(L163=0,"",COUNTA(L$75:$L163)+COUNT($F$75:$F$103))</f>
        <v/>
      </c>
      <c r="K163" s="373" t="str">
        <f>NAV!$C$6</f>
        <v>포스코KAICI신기술사업투자조합제1호</v>
      </c>
      <c r="L163" s="375">
        <f>NAV!J131</f>
        <v>0</v>
      </c>
      <c r="M163" s="376">
        <f>NAV!N131</f>
        <v>0</v>
      </c>
      <c r="N163" s="376">
        <f>NAV!T131</f>
        <v>0</v>
      </c>
      <c r="O163" s="377">
        <f>IF(N163="장부가액 준용","장부가액 준용",IF(N163="취득원가 준용","취득원가 준용",NAV!R131))</f>
        <v>0</v>
      </c>
      <c r="P163" s="378">
        <f>NAV!W131</f>
        <v>0</v>
      </c>
      <c r="Q163" s="378">
        <f>NAV!S131</f>
        <v>0</v>
      </c>
      <c r="R163" s="737" t="str">
        <f>MID(NAV!U131,FIND("(",NAV!U131)+1,FIND(")", NAV!U131)-FIND("(",NAV!U131)-1)</f>
        <v>KRW</v>
      </c>
    </row>
    <row r="164" spans="1:18" ht="12.75" customHeight="1" outlineLevel="1" thickBot="1">
      <c r="A164" s="304">
        <f t="shared" si="4"/>
        <v>86</v>
      </c>
      <c r="B164" s="381" t="str">
        <f t="shared" si="8"/>
        <v/>
      </c>
      <c r="C164" s="380" t="str">
        <f t="shared" si="9"/>
        <v/>
      </c>
      <c r="D164" s="380" t="str">
        <f t="shared" si="10"/>
        <v/>
      </c>
      <c r="E164" s="304"/>
      <c r="J164" s="149" t="str">
        <f>IF(L164=0,"",COUNTA(L$75:$L164)+COUNT($F$75:$F$103))</f>
        <v/>
      </c>
      <c r="K164" s="373" t="str">
        <f>NAV!$C$6</f>
        <v>포스코KAICI신기술사업투자조합제1호</v>
      </c>
      <c r="L164" s="375">
        <f>NAV!J132</f>
        <v>0</v>
      </c>
      <c r="M164" s="376">
        <f>NAV!N132</f>
        <v>0</v>
      </c>
      <c r="N164" s="376">
        <f>NAV!T132</f>
        <v>0</v>
      </c>
      <c r="O164" s="377">
        <f>IF(N164="장부가액 준용","장부가액 준용",IF(N164="취득원가 준용","취득원가 준용",NAV!R132))</f>
        <v>0</v>
      </c>
      <c r="P164" s="378">
        <f>NAV!W132</f>
        <v>0</v>
      </c>
      <c r="Q164" s="378">
        <f>NAV!S132</f>
        <v>0</v>
      </c>
      <c r="R164" s="737" t="str">
        <f>MID(NAV!U132,FIND("(",NAV!U132)+1,FIND(")", NAV!U132)-FIND("(",NAV!U132)-1)</f>
        <v>KRW</v>
      </c>
    </row>
    <row r="165" spans="1:18" ht="12.75" customHeight="1" outlineLevel="1" thickBot="1">
      <c r="A165" s="304">
        <f t="shared" si="4"/>
        <v>87</v>
      </c>
      <c r="B165" s="381" t="str">
        <f t="shared" si="8"/>
        <v/>
      </c>
      <c r="C165" s="380" t="str">
        <f t="shared" si="9"/>
        <v/>
      </c>
      <c r="D165" s="380" t="str">
        <f t="shared" si="10"/>
        <v/>
      </c>
      <c r="E165" s="304"/>
      <c r="J165" s="149" t="str">
        <f>IF(L165=0,"",COUNTA(L$75:$L165)+COUNT($F$75:$F$103))</f>
        <v/>
      </c>
      <c r="K165" s="373" t="str">
        <f>NAV!$C$6</f>
        <v>포스코KAICI신기술사업투자조합제1호</v>
      </c>
      <c r="L165" s="375">
        <f>NAV!J133</f>
        <v>0</v>
      </c>
      <c r="M165" s="376">
        <f>NAV!N133</f>
        <v>0</v>
      </c>
      <c r="N165" s="376">
        <f>NAV!T133</f>
        <v>0</v>
      </c>
      <c r="O165" s="377">
        <f>IF(N165="장부가액 준용","장부가액 준용",IF(N165="취득원가 준용","취득원가 준용",NAV!R133))</f>
        <v>0</v>
      </c>
      <c r="P165" s="378">
        <f>NAV!W133</f>
        <v>0</v>
      </c>
      <c r="Q165" s="378">
        <f>NAV!S133</f>
        <v>0</v>
      </c>
      <c r="R165" s="737" t="str">
        <f>MID(NAV!U133,FIND("(",NAV!U133)+1,FIND(")", NAV!U133)-FIND("(",NAV!U133)-1)</f>
        <v>KRW</v>
      </c>
    </row>
    <row r="166" spans="1:18" ht="12.75" customHeight="1" outlineLevel="1" thickBot="1">
      <c r="A166" s="304">
        <f t="shared" si="4"/>
        <v>88</v>
      </c>
      <c r="B166" s="381" t="str">
        <f t="shared" si="8"/>
        <v/>
      </c>
      <c r="C166" s="380" t="str">
        <f t="shared" si="9"/>
        <v/>
      </c>
      <c r="D166" s="380" t="str">
        <f t="shared" si="10"/>
        <v/>
      </c>
      <c r="E166" s="304"/>
      <c r="J166" s="149" t="str">
        <f>IF(L166=0,"",COUNTA(L$75:$L166)+COUNT($F$75:$F$103))</f>
        <v/>
      </c>
      <c r="K166" s="373" t="str">
        <f>NAV!$C$6</f>
        <v>포스코KAICI신기술사업투자조합제1호</v>
      </c>
      <c r="L166" s="375">
        <f>NAV!J134</f>
        <v>0</v>
      </c>
      <c r="M166" s="376">
        <f>NAV!N134</f>
        <v>0</v>
      </c>
      <c r="N166" s="376">
        <f>NAV!T134</f>
        <v>0</v>
      </c>
      <c r="O166" s="377">
        <f>IF(N166="장부가액 준용","장부가액 준용",IF(N166="취득원가 준용","취득원가 준용",NAV!R134))</f>
        <v>0</v>
      </c>
      <c r="P166" s="378">
        <f>NAV!W134</f>
        <v>0</v>
      </c>
      <c r="Q166" s="378">
        <f>NAV!S134</f>
        <v>0</v>
      </c>
      <c r="R166" s="737" t="str">
        <f>MID(NAV!U134,FIND("(",NAV!U134)+1,FIND(")", NAV!U134)-FIND("(",NAV!U134)-1)</f>
        <v>KRW</v>
      </c>
    </row>
    <row r="167" spans="1:18" ht="12.75" customHeight="1" outlineLevel="1" thickBot="1">
      <c r="A167" s="304">
        <f t="shared" si="4"/>
        <v>89</v>
      </c>
      <c r="B167" s="381" t="str">
        <f t="shared" si="8"/>
        <v/>
      </c>
      <c r="C167" s="380" t="str">
        <f t="shared" si="9"/>
        <v/>
      </c>
      <c r="D167" s="380" t="str">
        <f t="shared" si="10"/>
        <v/>
      </c>
      <c r="E167" s="304"/>
      <c r="J167" s="149" t="str">
        <f>IF(L167=0,"",COUNTA(L$75:$L167)+COUNT($F$75:$F$103))</f>
        <v/>
      </c>
      <c r="K167" s="373" t="str">
        <f>NAV!$C$6</f>
        <v>포스코KAICI신기술사업투자조합제1호</v>
      </c>
      <c r="L167" s="375">
        <f>NAV!J135</f>
        <v>0</v>
      </c>
      <c r="M167" s="376">
        <f>NAV!N135</f>
        <v>0</v>
      </c>
      <c r="N167" s="376">
        <f>NAV!T135</f>
        <v>0</v>
      </c>
      <c r="O167" s="377">
        <f>IF(N167="장부가액 준용","장부가액 준용",IF(N167="취득원가 준용","취득원가 준용",NAV!R135))</f>
        <v>0</v>
      </c>
      <c r="P167" s="378">
        <f>NAV!W135</f>
        <v>0</v>
      </c>
      <c r="Q167" s="378">
        <f>NAV!S135</f>
        <v>0</v>
      </c>
      <c r="R167" s="737" t="str">
        <f>MID(NAV!U135,FIND("(",NAV!U135)+1,FIND(")", NAV!U135)-FIND("(",NAV!U135)-1)</f>
        <v>KRW</v>
      </c>
    </row>
    <row r="168" spans="1:18" ht="12.75" customHeight="1" outlineLevel="1" thickBot="1">
      <c r="A168" s="304">
        <f t="shared" si="4"/>
        <v>90</v>
      </c>
      <c r="B168" s="381" t="str">
        <f t="shared" si="8"/>
        <v/>
      </c>
      <c r="C168" s="380" t="str">
        <f t="shared" si="9"/>
        <v/>
      </c>
      <c r="D168" s="380" t="str">
        <f t="shared" si="10"/>
        <v/>
      </c>
      <c r="E168" s="304"/>
      <c r="J168" s="149" t="str">
        <f>IF(L168=0,"",COUNTA(L$75:$L168)+COUNT($F$75:$F$103))</f>
        <v/>
      </c>
      <c r="K168" s="373" t="str">
        <f>NAV!$C$6</f>
        <v>포스코KAICI신기술사업투자조합제1호</v>
      </c>
      <c r="L168" s="375">
        <f>NAV!J136</f>
        <v>0</v>
      </c>
      <c r="M168" s="376">
        <f>NAV!N136</f>
        <v>0</v>
      </c>
      <c r="N168" s="376">
        <f>NAV!T136</f>
        <v>0</v>
      </c>
      <c r="O168" s="377">
        <f>IF(N168="장부가액 준용","장부가액 준용",IF(N168="취득원가 준용","취득원가 준용",NAV!R136))</f>
        <v>0</v>
      </c>
      <c r="P168" s="378">
        <f>NAV!W136</f>
        <v>0</v>
      </c>
      <c r="Q168" s="378">
        <f>NAV!S136</f>
        <v>0</v>
      </c>
      <c r="R168" s="737" t="str">
        <f>MID(NAV!U136,FIND("(",NAV!U136)+1,FIND(")", NAV!U136)-FIND("(",NAV!U136)-1)</f>
        <v>KRW</v>
      </c>
    </row>
    <row r="169" spans="1:18" ht="12.75" customHeight="1" outlineLevel="1" thickBot="1">
      <c r="A169" s="304">
        <f t="shared" si="4"/>
        <v>91</v>
      </c>
      <c r="B169" s="381" t="str">
        <f t="shared" si="8"/>
        <v/>
      </c>
      <c r="C169" s="380" t="str">
        <f t="shared" si="9"/>
        <v/>
      </c>
      <c r="D169" s="380" t="str">
        <f t="shared" si="10"/>
        <v/>
      </c>
      <c r="E169" s="304"/>
      <c r="J169" s="149" t="str">
        <f>IF(L169=0,"",COUNTA(L$75:$L169)+COUNT($F$75:$F$103))</f>
        <v/>
      </c>
      <c r="K169" s="373" t="str">
        <f>NAV!$C$6</f>
        <v>포스코KAICI신기술사업투자조합제1호</v>
      </c>
      <c r="L169" s="375">
        <f>NAV!J137</f>
        <v>0</v>
      </c>
      <c r="M169" s="376">
        <f>NAV!N137</f>
        <v>0</v>
      </c>
      <c r="N169" s="376">
        <f>NAV!T137</f>
        <v>0</v>
      </c>
      <c r="O169" s="377">
        <f>IF(N169="장부가액 준용","장부가액 준용",IF(N169="취득원가 준용","취득원가 준용",NAV!R137))</f>
        <v>0</v>
      </c>
      <c r="P169" s="378">
        <f>NAV!W137</f>
        <v>0</v>
      </c>
      <c r="Q169" s="378">
        <f>NAV!S137</f>
        <v>0</v>
      </c>
      <c r="R169" s="737" t="str">
        <f>MID(NAV!U137,FIND("(",NAV!U137)+1,FIND(")", NAV!U137)-FIND("(",NAV!U137)-1)</f>
        <v>KRW</v>
      </c>
    </row>
    <row r="170" spans="1:18" ht="12.75" customHeight="1" outlineLevel="1" thickBot="1">
      <c r="A170" s="304">
        <f t="shared" si="4"/>
        <v>92</v>
      </c>
      <c r="B170" s="381" t="str">
        <f t="shared" si="8"/>
        <v/>
      </c>
      <c r="C170" s="380" t="str">
        <f t="shared" si="9"/>
        <v/>
      </c>
      <c r="D170" s="380" t="str">
        <f t="shared" si="10"/>
        <v/>
      </c>
      <c r="E170" s="304"/>
      <c r="J170" s="149" t="str">
        <f>IF(L170=0,"",COUNTA(L$75:$L170)+COUNT($F$75:$F$103))</f>
        <v/>
      </c>
      <c r="K170" s="373" t="str">
        <f>NAV!$C$6</f>
        <v>포스코KAICI신기술사업투자조합제1호</v>
      </c>
      <c r="L170" s="375">
        <f>NAV!J138</f>
        <v>0</v>
      </c>
      <c r="M170" s="376">
        <f>NAV!N138</f>
        <v>0</v>
      </c>
      <c r="N170" s="376">
        <f>NAV!T138</f>
        <v>0</v>
      </c>
      <c r="O170" s="377">
        <f>IF(N170="장부가액 준용","장부가액 준용",IF(N170="취득원가 준용","취득원가 준용",NAV!R138))</f>
        <v>0</v>
      </c>
      <c r="P170" s="378">
        <f>NAV!W138</f>
        <v>0</v>
      </c>
      <c r="Q170" s="378">
        <f>NAV!S138</f>
        <v>0</v>
      </c>
      <c r="R170" s="737" t="str">
        <f>MID(NAV!U138,FIND("(",NAV!U138)+1,FIND(")", NAV!U138)-FIND("(",NAV!U138)-1)</f>
        <v>KRW</v>
      </c>
    </row>
    <row r="171" spans="1:18" ht="12.75" customHeight="1" outlineLevel="1" thickBot="1">
      <c r="A171" s="304">
        <f t="shared" si="4"/>
        <v>93</v>
      </c>
      <c r="B171" s="381" t="str">
        <f t="shared" si="8"/>
        <v/>
      </c>
      <c r="C171" s="380" t="str">
        <f t="shared" si="9"/>
        <v/>
      </c>
      <c r="D171" s="380" t="str">
        <f t="shared" si="10"/>
        <v/>
      </c>
      <c r="E171" s="304"/>
      <c r="J171" s="149" t="str">
        <f>IF(L171=0,"",COUNTA(L$75:$L171)+COUNT($F$75:$F$103))</f>
        <v/>
      </c>
      <c r="K171" s="373" t="str">
        <f>NAV!$C$6</f>
        <v>포스코KAICI신기술사업투자조합제1호</v>
      </c>
      <c r="L171" s="375">
        <f>NAV!J139</f>
        <v>0</v>
      </c>
      <c r="M171" s="376">
        <f>NAV!N139</f>
        <v>0</v>
      </c>
      <c r="N171" s="376">
        <f>NAV!T139</f>
        <v>0</v>
      </c>
      <c r="O171" s="377">
        <f>IF(N171="장부가액 준용","장부가액 준용",IF(N171="취득원가 준용","취득원가 준용",NAV!R139))</f>
        <v>0</v>
      </c>
      <c r="P171" s="378">
        <f>NAV!W139</f>
        <v>0</v>
      </c>
      <c r="Q171" s="378">
        <f>NAV!S139</f>
        <v>0</v>
      </c>
      <c r="R171" s="737" t="str">
        <f>MID(NAV!U139,FIND("(",NAV!U139)+1,FIND(")", NAV!U139)-FIND("(",NAV!U139)-1)</f>
        <v>KRW</v>
      </c>
    </row>
    <row r="172" spans="1:18" ht="12.75" customHeight="1" outlineLevel="1" thickBot="1">
      <c r="A172" s="304">
        <f t="shared" si="4"/>
        <v>94</v>
      </c>
      <c r="B172" s="381" t="str">
        <f t="shared" ref="B172:B203" si="11">IFERROR(IF(F172=A172,VLOOKUP(A172,$F$74:$I$229,2,0),VLOOKUP(A172,$J$74:$Q$225,3,0)&amp;" "&amp;VLOOKUP(A172,$J$74:$Q$225,4,0)),"")</f>
        <v/>
      </c>
      <c r="C172" s="380" t="str">
        <f t="shared" ref="C172:C203" si="12">IFERROR(IF(F172=A172,VLOOKUP(A172,$F$74:$I$229,3,0),VLOOKUP(A172,$J$74:$Q$225,7,0)),"")</f>
        <v/>
      </c>
      <c r="D172" s="380" t="str">
        <f t="shared" ref="D172:D203" si="13">IFERROR(IF(F172=A172,VLOOKUP(A172,$F$74:$I$229,4,0),VLOOKUP(A172,$J$74:$Q$225,8,0)),"")</f>
        <v/>
      </c>
      <c r="E172" s="304"/>
      <c r="J172" s="149" t="str">
        <f>IF(L172=0,"",COUNTA(L$75:$L172)+COUNT($F$75:$F$103))</f>
        <v/>
      </c>
      <c r="K172" s="373" t="str">
        <f>NAV!$C$6</f>
        <v>포스코KAICI신기술사업투자조합제1호</v>
      </c>
      <c r="L172" s="375">
        <f>NAV!J140</f>
        <v>0</v>
      </c>
      <c r="M172" s="376">
        <f>NAV!N140</f>
        <v>0</v>
      </c>
      <c r="N172" s="376">
        <f>NAV!T140</f>
        <v>0</v>
      </c>
      <c r="O172" s="377">
        <f>IF(N172="장부가액 준용","장부가액 준용",IF(N172="취득원가 준용","취득원가 준용",NAV!R140))</f>
        <v>0</v>
      </c>
      <c r="P172" s="378">
        <f>NAV!W140</f>
        <v>0</v>
      </c>
      <c r="Q172" s="378">
        <f>NAV!S140</f>
        <v>0</v>
      </c>
      <c r="R172" s="737" t="str">
        <f>MID(NAV!U140,FIND("(",NAV!U140)+1,FIND(")", NAV!U140)-FIND("(",NAV!U140)-1)</f>
        <v>KRW</v>
      </c>
    </row>
    <row r="173" spans="1:18" ht="12.75" customHeight="1" outlineLevel="1" thickBot="1">
      <c r="A173" s="304">
        <f t="shared" si="4"/>
        <v>95</v>
      </c>
      <c r="B173" s="381" t="str">
        <f t="shared" si="11"/>
        <v/>
      </c>
      <c r="C173" s="380" t="str">
        <f t="shared" si="12"/>
        <v/>
      </c>
      <c r="D173" s="380" t="str">
        <f t="shared" si="13"/>
        <v/>
      </c>
      <c r="E173" s="304"/>
      <c r="J173" s="149" t="str">
        <f>IF(L173=0,"",COUNTA(L$75:$L173)+COUNT($F$75:$F$103))</f>
        <v/>
      </c>
      <c r="K173" s="373" t="str">
        <f>NAV!$C$6</f>
        <v>포스코KAICI신기술사업투자조합제1호</v>
      </c>
      <c r="L173" s="375">
        <f>NAV!J141</f>
        <v>0</v>
      </c>
      <c r="M173" s="376">
        <f>NAV!N141</f>
        <v>0</v>
      </c>
      <c r="N173" s="376">
        <f>NAV!T141</f>
        <v>0</v>
      </c>
      <c r="O173" s="377">
        <f>IF(N173="장부가액 준용","장부가액 준용",IF(N173="취득원가 준용","취득원가 준용",NAV!R141))</f>
        <v>0</v>
      </c>
      <c r="P173" s="378">
        <f>NAV!W141</f>
        <v>0</v>
      </c>
      <c r="Q173" s="378">
        <f>NAV!S141</f>
        <v>0</v>
      </c>
      <c r="R173" s="737" t="str">
        <f>MID(NAV!U141,FIND("(",NAV!U141)+1,FIND(")", NAV!U141)-FIND("(",NAV!U141)-1)</f>
        <v>KRW</v>
      </c>
    </row>
    <row r="174" spans="1:18" ht="12.75" customHeight="1" outlineLevel="1" thickBot="1">
      <c r="A174" s="304">
        <f t="shared" si="4"/>
        <v>96</v>
      </c>
      <c r="B174" s="381" t="str">
        <f t="shared" si="11"/>
        <v/>
      </c>
      <c r="C174" s="380" t="str">
        <f t="shared" si="12"/>
        <v/>
      </c>
      <c r="D174" s="380" t="str">
        <f t="shared" si="13"/>
        <v/>
      </c>
      <c r="E174" s="304"/>
      <c r="J174" s="149" t="str">
        <f>IF(L174=0,"",COUNTA(L$75:$L174)+COUNT($F$75:$F$103))</f>
        <v/>
      </c>
      <c r="K174" s="373" t="str">
        <f>NAV!$C$6</f>
        <v>포스코KAICI신기술사업투자조합제1호</v>
      </c>
      <c r="L174" s="375">
        <f>NAV!J142</f>
        <v>0</v>
      </c>
      <c r="M174" s="376">
        <f>NAV!N142</f>
        <v>0</v>
      </c>
      <c r="N174" s="376">
        <f>NAV!T142</f>
        <v>0</v>
      </c>
      <c r="O174" s="377">
        <f>IF(N174="장부가액 준용","장부가액 준용",IF(N174="취득원가 준용","취득원가 준용",NAV!R142))</f>
        <v>0</v>
      </c>
      <c r="P174" s="378">
        <f>NAV!W142</f>
        <v>0</v>
      </c>
      <c r="Q174" s="378">
        <f>NAV!S142</f>
        <v>0</v>
      </c>
      <c r="R174" s="737" t="str">
        <f>MID(NAV!U142,FIND("(",NAV!U142)+1,FIND(")", NAV!U142)-FIND("(",NAV!U142)-1)</f>
        <v>KRW</v>
      </c>
    </row>
    <row r="175" spans="1:18" ht="12.75" customHeight="1" outlineLevel="1" thickBot="1">
      <c r="A175" s="304">
        <f t="shared" si="4"/>
        <v>97</v>
      </c>
      <c r="B175" s="381" t="str">
        <f t="shared" si="11"/>
        <v/>
      </c>
      <c r="C175" s="380" t="str">
        <f t="shared" si="12"/>
        <v/>
      </c>
      <c r="D175" s="380" t="str">
        <f t="shared" si="13"/>
        <v/>
      </c>
      <c r="E175" s="304"/>
      <c r="J175" s="149" t="str">
        <f>IF(L175=0,"",COUNTA(L$75:$L175)+COUNT($F$75:$F$103))</f>
        <v/>
      </c>
      <c r="K175" s="373" t="str">
        <f>NAV!$C$6</f>
        <v>포스코KAICI신기술사업투자조합제1호</v>
      </c>
      <c r="L175" s="375">
        <f>NAV!J143</f>
        <v>0</v>
      </c>
      <c r="M175" s="376">
        <f>NAV!N143</f>
        <v>0</v>
      </c>
      <c r="N175" s="376">
        <f>NAV!T143</f>
        <v>0</v>
      </c>
      <c r="O175" s="377">
        <f>IF(N175="장부가액 준용","장부가액 준용",IF(N175="취득원가 준용","취득원가 준용",NAV!R143))</f>
        <v>0</v>
      </c>
      <c r="P175" s="378">
        <f>NAV!W143</f>
        <v>0</v>
      </c>
      <c r="Q175" s="378">
        <f>NAV!S143</f>
        <v>0</v>
      </c>
      <c r="R175" s="737" t="str">
        <f>MID(NAV!U143,FIND("(",NAV!U143)+1,FIND(")", NAV!U143)-FIND("(",NAV!U143)-1)</f>
        <v>KRW</v>
      </c>
    </row>
    <row r="176" spans="1:18" ht="12.75" customHeight="1" outlineLevel="1" thickBot="1">
      <c r="A176" s="304">
        <f t="shared" si="4"/>
        <v>98</v>
      </c>
      <c r="B176" s="381" t="str">
        <f t="shared" si="11"/>
        <v/>
      </c>
      <c r="C176" s="380" t="str">
        <f t="shared" si="12"/>
        <v/>
      </c>
      <c r="D176" s="380" t="str">
        <f t="shared" si="13"/>
        <v/>
      </c>
      <c r="E176" s="304"/>
      <c r="J176" s="149" t="str">
        <f>IF(L176=0,"",COUNTA(L$75:$L176)+COUNT($F$75:$F$103))</f>
        <v/>
      </c>
      <c r="K176" s="373" t="str">
        <f>NAV!$C$6</f>
        <v>포스코KAICI신기술사업투자조합제1호</v>
      </c>
      <c r="L176" s="375">
        <f>NAV!J144</f>
        <v>0</v>
      </c>
      <c r="M176" s="376">
        <f>NAV!N144</f>
        <v>0</v>
      </c>
      <c r="N176" s="376">
        <f>NAV!T144</f>
        <v>0</v>
      </c>
      <c r="O176" s="377">
        <f>IF(N176="장부가액 준용","장부가액 준용",IF(N176="취득원가 준용","취득원가 준용",NAV!R144))</f>
        <v>0</v>
      </c>
      <c r="P176" s="378">
        <f>NAV!W144</f>
        <v>0</v>
      </c>
      <c r="Q176" s="378">
        <f>NAV!S144</f>
        <v>0</v>
      </c>
      <c r="R176" s="737" t="str">
        <f>MID(NAV!U144,FIND("(",NAV!U144)+1,FIND(")", NAV!U144)-FIND("(",NAV!U144)-1)</f>
        <v>KRW</v>
      </c>
    </row>
    <row r="177" spans="1:18" ht="12.75" customHeight="1" outlineLevel="1" thickBot="1">
      <c r="A177" s="304">
        <f t="shared" si="4"/>
        <v>99</v>
      </c>
      <c r="B177" s="381" t="str">
        <f t="shared" si="11"/>
        <v/>
      </c>
      <c r="C177" s="380" t="str">
        <f t="shared" si="12"/>
        <v/>
      </c>
      <c r="D177" s="380" t="str">
        <f t="shared" si="13"/>
        <v/>
      </c>
      <c r="E177" s="304"/>
      <c r="J177" s="149" t="str">
        <f>IF(L177=0,"",COUNTA(L$75:$L177)+COUNT($F$75:$F$103))</f>
        <v/>
      </c>
      <c r="K177" s="373" t="str">
        <f>NAV!$C$6</f>
        <v>포스코KAICI신기술사업투자조합제1호</v>
      </c>
      <c r="L177" s="375">
        <f>NAV!J145</f>
        <v>0</v>
      </c>
      <c r="M177" s="376">
        <f>NAV!N145</f>
        <v>0</v>
      </c>
      <c r="N177" s="376">
        <f>NAV!T145</f>
        <v>0</v>
      </c>
      <c r="O177" s="377">
        <f>IF(N177="장부가액 준용","장부가액 준용",IF(N177="취득원가 준용","취득원가 준용",NAV!R145))</f>
        <v>0</v>
      </c>
      <c r="P177" s="378">
        <f>NAV!W145</f>
        <v>0</v>
      </c>
      <c r="Q177" s="378">
        <f>NAV!S145</f>
        <v>0</v>
      </c>
      <c r="R177" s="737" t="str">
        <f>MID(NAV!U145,FIND("(",NAV!U145)+1,FIND(")", NAV!U145)-FIND("(",NAV!U145)-1)</f>
        <v>KRW</v>
      </c>
    </row>
    <row r="178" spans="1:18" ht="12.75" customHeight="1" outlineLevel="1" thickBot="1">
      <c r="A178" s="304">
        <f t="shared" si="4"/>
        <v>100</v>
      </c>
      <c r="B178" s="381" t="str">
        <f t="shared" si="11"/>
        <v/>
      </c>
      <c r="C178" s="380" t="str">
        <f t="shared" si="12"/>
        <v/>
      </c>
      <c r="D178" s="380" t="str">
        <f t="shared" si="13"/>
        <v/>
      </c>
      <c r="E178" s="304"/>
      <c r="J178" s="149" t="str">
        <f>IF(L178=0,"",COUNTA(L$75:$L178)+COUNT($F$75:$F$103))</f>
        <v/>
      </c>
      <c r="K178" s="373" t="str">
        <f>NAV!$C$6</f>
        <v>포스코KAICI신기술사업투자조합제1호</v>
      </c>
      <c r="L178" s="375">
        <f>NAV!J146</f>
        <v>0</v>
      </c>
      <c r="M178" s="376">
        <f>NAV!N146</f>
        <v>0</v>
      </c>
      <c r="N178" s="376">
        <f>NAV!T146</f>
        <v>0</v>
      </c>
      <c r="O178" s="377">
        <f>IF(N178="장부가액 준용","장부가액 준용",IF(N178="취득원가 준용","취득원가 준용",NAV!R146))</f>
        <v>0</v>
      </c>
      <c r="P178" s="378">
        <f>NAV!W146</f>
        <v>0</v>
      </c>
      <c r="Q178" s="378">
        <f>NAV!S146</f>
        <v>0</v>
      </c>
      <c r="R178" s="737" t="str">
        <f>MID(NAV!U146,FIND("(",NAV!U146)+1,FIND(")", NAV!U146)-FIND("(",NAV!U146)-1)</f>
        <v>KRW</v>
      </c>
    </row>
    <row r="179" spans="1:18" ht="12.75" customHeight="1" outlineLevel="1" thickBot="1">
      <c r="A179" s="304">
        <f t="shared" si="4"/>
        <v>101</v>
      </c>
      <c r="B179" s="381" t="str">
        <f t="shared" si="11"/>
        <v/>
      </c>
      <c r="C179" s="380" t="str">
        <f t="shared" si="12"/>
        <v/>
      </c>
      <c r="D179" s="380" t="str">
        <f t="shared" si="13"/>
        <v/>
      </c>
      <c r="E179" s="304"/>
      <c r="J179" s="149" t="str">
        <f>IF(L179=0,"",COUNTA(L$75:$L179)+COUNT($F$75:$F$103))</f>
        <v/>
      </c>
      <c r="K179" s="373" t="str">
        <f>NAV!$C$6</f>
        <v>포스코KAICI신기술사업투자조합제1호</v>
      </c>
      <c r="L179" s="375">
        <f>NAV!J147</f>
        <v>0</v>
      </c>
      <c r="M179" s="376">
        <f>NAV!N147</f>
        <v>0</v>
      </c>
      <c r="N179" s="376">
        <f>NAV!T147</f>
        <v>0</v>
      </c>
      <c r="O179" s="377">
        <f>IF(N179="장부가액 준용","장부가액 준용",IF(N179="취득원가 준용","취득원가 준용",NAV!R147))</f>
        <v>0</v>
      </c>
      <c r="P179" s="378">
        <f>NAV!W147</f>
        <v>0</v>
      </c>
      <c r="Q179" s="378">
        <f>NAV!S147</f>
        <v>0</v>
      </c>
      <c r="R179" s="737" t="str">
        <f>MID(NAV!U147,FIND("(",NAV!U147)+1,FIND(")", NAV!U147)-FIND("(",NAV!U147)-1)</f>
        <v>KRW</v>
      </c>
    </row>
    <row r="180" spans="1:18" ht="12.75" customHeight="1" outlineLevel="1" thickBot="1">
      <c r="A180" s="304">
        <f t="shared" si="4"/>
        <v>102</v>
      </c>
      <c r="B180" s="381" t="str">
        <f t="shared" si="11"/>
        <v/>
      </c>
      <c r="C180" s="380" t="str">
        <f t="shared" si="12"/>
        <v/>
      </c>
      <c r="D180" s="380" t="str">
        <f t="shared" si="13"/>
        <v/>
      </c>
      <c r="E180" s="304"/>
      <c r="J180" s="149" t="str">
        <f>IF(L180=0,"",COUNTA(L$75:$L180)+COUNT($F$75:$F$103))</f>
        <v/>
      </c>
      <c r="K180" s="373" t="str">
        <f>NAV!$C$6</f>
        <v>포스코KAICI신기술사업투자조합제1호</v>
      </c>
      <c r="L180" s="375">
        <f>NAV!J148</f>
        <v>0</v>
      </c>
      <c r="M180" s="376">
        <f>NAV!N148</f>
        <v>0</v>
      </c>
      <c r="N180" s="376">
        <f>NAV!T148</f>
        <v>0</v>
      </c>
      <c r="O180" s="377">
        <f>IF(N180="장부가액 준용","장부가액 준용",IF(N180="취득원가 준용","취득원가 준용",NAV!R148))</f>
        <v>0</v>
      </c>
      <c r="P180" s="378">
        <f>NAV!W148</f>
        <v>0</v>
      </c>
      <c r="Q180" s="378">
        <f>NAV!S148</f>
        <v>0</v>
      </c>
      <c r="R180" s="737" t="str">
        <f>MID(NAV!U148,FIND("(",NAV!U148)+1,FIND(")", NAV!U148)-FIND("(",NAV!U148)-1)</f>
        <v>KRW</v>
      </c>
    </row>
    <row r="181" spans="1:18" ht="12.75" customHeight="1" outlineLevel="1" thickBot="1">
      <c r="A181" s="304">
        <f t="shared" si="4"/>
        <v>103</v>
      </c>
      <c r="B181" s="381" t="str">
        <f t="shared" si="11"/>
        <v/>
      </c>
      <c r="C181" s="380" t="str">
        <f t="shared" si="12"/>
        <v/>
      </c>
      <c r="D181" s="380" t="str">
        <f t="shared" si="13"/>
        <v/>
      </c>
      <c r="E181" s="304"/>
      <c r="J181" s="149" t="str">
        <f>IF(L181=0,"",COUNTA(L$75:$L181)+COUNT($F$75:$F$103))</f>
        <v/>
      </c>
      <c r="K181" s="373" t="str">
        <f>NAV!$C$6</f>
        <v>포스코KAICI신기술사업투자조합제1호</v>
      </c>
      <c r="L181" s="375">
        <f>NAV!J149</f>
        <v>0</v>
      </c>
      <c r="M181" s="376">
        <f>NAV!N149</f>
        <v>0</v>
      </c>
      <c r="N181" s="376">
        <f>NAV!T149</f>
        <v>0</v>
      </c>
      <c r="O181" s="377">
        <f>IF(N181="장부가액 준용","장부가액 준용",IF(N181="취득원가 준용","취득원가 준용",NAV!R149))</f>
        <v>0</v>
      </c>
      <c r="P181" s="378">
        <f>NAV!W149</f>
        <v>0</v>
      </c>
      <c r="Q181" s="378">
        <f>NAV!S149</f>
        <v>0</v>
      </c>
      <c r="R181" s="737" t="str">
        <f>MID(NAV!U149,FIND("(",NAV!U149)+1,FIND(")", NAV!U149)-FIND("(",NAV!U149)-1)</f>
        <v>KRW</v>
      </c>
    </row>
    <row r="182" spans="1:18" ht="12.75" customHeight="1" outlineLevel="1" thickBot="1">
      <c r="A182" s="304">
        <f t="shared" si="4"/>
        <v>104</v>
      </c>
      <c r="B182" s="381" t="str">
        <f t="shared" si="11"/>
        <v/>
      </c>
      <c r="C182" s="380" t="str">
        <f t="shared" si="12"/>
        <v/>
      </c>
      <c r="D182" s="380" t="str">
        <f t="shared" si="13"/>
        <v/>
      </c>
      <c r="E182" s="304"/>
      <c r="J182" s="149" t="str">
        <f>IF(L182=0,"",COUNTA(L$75:$L182)+COUNT($F$75:$F$103))</f>
        <v/>
      </c>
      <c r="K182" s="373" t="str">
        <f>NAV!$C$6</f>
        <v>포스코KAICI신기술사업투자조합제1호</v>
      </c>
      <c r="L182" s="375">
        <f>NAV!J150</f>
        <v>0</v>
      </c>
      <c r="M182" s="376">
        <f>NAV!N150</f>
        <v>0</v>
      </c>
      <c r="N182" s="376">
        <f>NAV!T150</f>
        <v>0</v>
      </c>
      <c r="O182" s="377">
        <f>IF(N182="장부가액 준용","장부가액 준용",IF(N182="취득원가 준용","취득원가 준용",NAV!R150))</f>
        <v>0</v>
      </c>
      <c r="P182" s="378">
        <f>NAV!W150</f>
        <v>0</v>
      </c>
      <c r="Q182" s="378">
        <f>NAV!S150</f>
        <v>0</v>
      </c>
      <c r="R182" s="737" t="str">
        <f>MID(NAV!U150,FIND("(",NAV!U150)+1,FIND(")", NAV!U150)-FIND("(",NAV!U150)-1)</f>
        <v>KRW</v>
      </c>
    </row>
    <row r="183" spans="1:18" ht="12.75" customHeight="1" outlineLevel="1" thickBot="1">
      <c r="A183" s="304">
        <f t="shared" si="4"/>
        <v>105</v>
      </c>
      <c r="B183" s="381" t="str">
        <f t="shared" si="11"/>
        <v/>
      </c>
      <c r="C183" s="380" t="str">
        <f t="shared" si="12"/>
        <v/>
      </c>
      <c r="D183" s="380" t="str">
        <f t="shared" si="13"/>
        <v/>
      </c>
      <c r="E183" s="304"/>
      <c r="J183" s="149" t="str">
        <f>IF(L183=0,"",COUNTA(L$75:$L183)+COUNT($F$75:$F$103))</f>
        <v/>
      </c>
      <c r="K183" s="373" t="str">
        <f>NAV!$C$6</f>
        <v>포스코KAICI신기술사업투자조합제1호</v>
      </c>
      <c r="L183" s="375">
        <f>NAV!J151</f>
        <v>0</v>
      </c>
      <c r="M183" s="376">
        <f>NAV!N151</f>
        <v>0</v>
      </c>
      <c r="N183" s="376">
        <f>NAV!T151</f>
        <v>0</v>
      </c>
      <c r="O183" s="377">
        <f>IF(N183="장부가액 준용","장부가액 준용",IF(N183="취득원가 준용","취득원가 준용",NAV!R151))</f>
        <v>0</v>
      </c>
      <c r="P183" s="378">
        <f>NAV!W151</f>
        <v>0</v>
      </c>
      <c r="Q183" s="378">
        <f>NAV!S151</f>
        <v>0</v>
      </c>
      <c r="R183" s="737" t="str">
        <f>MID(NAV!U151,FIND("(",NAV!U151)+1,FIND(")", NAV!U151)-FIND("(",NAV!U151)-1)</f>
        <v>KRW</v>
      </c>
    </row>
    <row r="184" spans="1:18" ht="12.75" customHeight="1" outlineLevel="1" thickBot="1">
      <c r="A184" s="304">
        <f t="shared" si="4"/>
        <v>106</v>
      </c>
      <c r="B184" s="381" t="str">
        <f t="shared" si="11"/>
        <v/>
      </c>
      <c r="C184" s="380" t="str">
        <f t="shared" si="12"/>
        <v/>
      </c>
      <c r="D184" s="380" t="str">
        <f t="shared" si="13"/>
        <v/>
      </c>
      <c r="E184" s="304"/>
      <c r="J184" s="149" t="str">
        <f>IF(L184=0,"",COUNTA(L$75:$L184)+COUNT($F$75:$F$103))</f>
        <v/>
      </c>
      <c r="K184" s="373" t="str">
        <f>NAV!$C$6</f>
        <v>포스코KAICI신기술사업투자조합제1호</v>
      </c>
      <c r="L184" s="375">
        <f>NAV!J152</f>
        <v>0</v>
      </c>
      <c r="M184" s="376">
        <f>NAV!N152</f>
        <v>0</v>
      </c>
      <c r="N184" s="376">
        <f>NAV!T152</f>
        <v>0</v>
      </c>
      <c r="O184" s="377">
        <f>IF(N184="장부가액 준용","장부가액 준용",IF(N184="취득원가 준용","취득원가 준용",NAV!R152))</f>
        <v>0</v>
      </c>
      <c r="P184" s="378">
        <f>NAV!W152</f>
        <v>0</v>
      </c>
      <c r="Q184" s="378">
        <f>NAV!S152</f>
        <v>0</v>
      </c>
      <c r="R184" s="737" t="str">
        <f>MID(NAV!U152,FIND("(",NAV!U152)+1,FIND(")", NAV!U152)-FIND("(",NAV!U152)-1)</f>
        <v>KRW</v>
      </c>
    </row>
    <row r="185" spans="1:18" ht="12.75" customHeight="1" outlineLevel="1" thickBot="1">
      <c r="A185" s="304">
        <f t="shared" si="4"/>
        <v>107</v>
      </c>
      <c r="B185" s="381" t="str">
        <f t="shared" si="11"/>
        <v/>
      </c>
      <c r="C185" s="380" t="str">
        <f t="shared" si="12"/>
        <v/>
      </c>
      <c r="D185" s="380" t="str">
        <f t="shared" si="13"/>
        <v/>
      </c>
      <c r="E185" s="304"/>
      <c r="J185" s="149" t="str">
        <f>IF(L185=0,"",COUNTA(L$75:$L185)+COUNT($F$75:$F$103))</f>
        <v/>
      </c>
      <c r="K185" s="373" t="str">
        <f>NAV!$C$6</f>
        <v>포스코KAICI신기술사업투자조합제1호</v>
      </c>
      <c r="L185" s="375">
        <f>NAV!J153</f>
        <v>0</v>
      </c>
      <c r="M185" s="376">
        <f>NAV!N153</f>
        <v>0</v>
      </c>
      <c r="N185" s="376">
        <f>NAV!T153</f>
        <v>0</v>
      </c>
      <c r="O185" s="377">
        <f>IF(N185="장부가액 준용","장부가액 준용",IF(N185="취득원가 준용","취득원가 준용",NAV!R153))</f>
        <v>0</v>
      </c>
      <c r="P185" s="378">
        <f>NAV!W153</f>
        <v>0</v>
      </c>
      <c r="Q185" s="378">
        <f>NAV!S153</f>
        <v>0</v>
      </c>
      <c r="R185" s="737" t="str">
        <f>MID(NAV!U153,FIND("(",NAV!U153)+1,FIND(")", NAV!U153)-FIND("(",NAV!U153)-1)</f>
        <v>KRW</v>
      </c>
    </row>
    <row r="186" spans="1:18" ht="12.75" customHeight="1" outlineLevel="1" thickBot="1">
      <c r="A186" s="304">
        <f t="shared" si="4"/>
        <v>108</v>
      </c>
      <c r="B186" s="381" t="str">
        <f t="shared" si="11"/>
        <v/>
      </c>
      <c r="C186" s="380" t="str">
        <f t="shared" si="12"/>
        <v/>
      </c>
      <c r="D186" s="380" t="str">
        <f t="shared" si="13"/>
        <v/>
      </c>
      <c r="E186" s="304"/>
      <c r="J186" s="149" t="str">
        <f>IF(L186=0,"",COUNTA(L$75:$L186)+COUNT($F$75:$F$103))</f>
        <v/>
      </c>
      <c r="K186" s="373" t="str">
        <f>NAV!$C$6</f>
        <v>포스코KAICI신기술사업투자조합제1호</v>
      </c>
      <c r="L186" s="375">
        <f>NAV!J154</f>
        <v>0</v>
      </c>
      <c r="M186" s="376">
        <f>NAV!N154</f>
        <v>0</v>
      </c>
      <c r="N186" s="376">
        <f>NAV!T154</f>
        <v>0</v>
      </c>
      <c r="O186" s="377">
        <f>IF(N186="장부가액 준용","장부가액 준용",IF(N186="취득원가 준용","취득원가 준용",NAV!R154))</f>
        <v>0</v>
      </c>
      <c r="P186" s="378">
        <f>NAV!W154</f>
        <v>0</v>
      </c>
      <c r="Q186" s="378">
        <f>NAV!S154</f>
        <v>0</v>
      </c>
      <c r="R186" s="737" t="str">
        <f>MID(NAV!U154,FIND("(",NAV!U154)+1,FIND(")", NAV!U154)-FIND("(",NAV!U154)-1)</f>
        <v>KRW</v>
      </c>
    </row>
    <row r="187" spans="1:18" ht="12.75" customHeight="1" outlineLevel="1" thickBot="1">
      <c r="A187" s="304">
        <f t="shared" si="4"/>
        <v>109</v>
      </c>
      <c r="B187" s="381" t="str">
        <f t="shared" si="11"/>
        <v/>
      </c>
      <c r="C187" s="380" t="str">
        <f t="shared" si="12"/>
        <v/>
      </c>
      <c r="D187" s="380" t="str">
        <f t="shared" si="13"/>
        <v/>
      </c>
      <c r="E187" s="304"/>
      <c r="J187" s="149" t="str">
        <f>IF(L187=0,"",COUNTA(L$75:$L187)+COUNT($F$75:$F$103))</f>
        <v/>
      </c>
      <c r="K187" s="373" t="str">
        <f>NAV!$C$6</f>
        <v>포스코KAICI신기술사업투자조합제1호</v>
      </c>
      <c r="L187" s="375">
        <f>NAV!J155</f>
        <v>0</v>
      </c>
      <c r="M187" s="376">
        <f>NAV!N155</f>
        <v>0</v>
      </c>
      <c r="N187" s="376">
        <f>NAV!T155</f>
        <v>0</v>
      </c>
      <c r="O187" s="377">
        <f>IF(N187="장부가액 준용","장부가액 준용",IF(N187="취득원가 준용","취득원가 준용",NAV!R155))</f>
        <v>0</v>
      </c>
      <c r="P187" s="378">
        <f>NAV!W155</f>
        <v>0</v>
      </c>
      <c r="Q187" s="378">
        <f>NAV!S155</f>
        <v>0</v>
      </c>
      <c r="R187" s="737" t="str">
        <f>MID(NAV!U155,FIND("(",NAV!U155)+1,FIND(")", NAV!U155)-FIND("(",NAV!U155)-1)</f>
        <v>KRW</v>
      </c>
    </row>
    <row r="188" spans="1:18" ht="12.75" customHeight="1" outlineLevel="1" thickBot="1">
      <c r="A188" s="304">
        <f t="shared" si="4"/>
        <v>110</v>
      </c>
      <c r="B188" s="381" t="str">
        <f t="shared" si="11"/>
        <v/>
      </c>
      <c r="C188" s="380" t="str">
        <f t="shared" si="12"/>
        <v/>
      </c>
      <c r="D188" s="380" t="str">
        <f t="shared" si="13"/>
        <v/>
      </c>
      <c r="E188" s="304"/>
      <c r="J188" s="149" t="str">
        <f>IF(L188=0,"",COUNTA(L$75:$L188)+COUNT($F$75:$F$103))</f>
        <v/>
      </c>
      <c r="K188" s="373" t="str">
        <f>NAV!$C$6</f>
        <v>포스코KAICI신기술사업투자조합제1호</v>
      </c>
      <c r="L188" s="375">
        <f>NAV!J156</f>
        <v>0</v>
      </c>
      <c r="M188" s="376">
        <f>NAV!N156</f>
        <v>0</v>
      </c>
      <c r="N188" s="376">
        <f>NAV!T156</f>
        <v>0</v>
      </c>
      <c r="O188" s="377">
        <f>IF(N188="장부가액 준용","장부가액 준용",IF(N188="취득원가 준용","취득원가 준용",NAV!R156))</f>
        <v>0</v>
      </c>
      <c r="P188" s="378">
        <f>NAV!W156</f>
        <v>0</v>
      </c>
      <c r="Q188" s="378">
        <f>NAV!S156</f>
        <v>0</v>
      </c>
      <c r="R188" s="737" t="str">
        <f>MID(NAV!U156,FIND("(",NAV!U156)+1,FIND(")", NAV!U156)-FIND("(",NAV!U156)-1)</f>
        <v>KRW</v>
      </c>
    </row>
    <row r="189" spans="1:18" ht="12.75" customHeight="1" outlineLevel="1" thickBot="1">
      <c r="A189" s="304">
        <f t="shared" si="4"/>
        <v>111</v>
      </c>
      <c r="B189" s="381" t="str">
        <f t="shared" si="11"/>
        <v/>
      </c>
      <c r="C189" s="380" t="str">
        <f t="shared" si="12"/>
        <v/>
      </c>
      <c r="D189" s="380" t="str">
        <f t="shared" si="13"/>
        <v/>
      </c>
      <c r="E189" s="304"/>
      <c r="J189" s="149" t="str">
        <f>IF(L189=0,"",COUNTA(L$75:$L189)+COUNT($F$75:$F$103))</f>
        <v/>
      </c>
      <c r="K189" s="373" t="str">
        <f>NAV!$C$6</f>
        <v>포스코KAICI신기술사업투자조합제1호</v>
      </c>
      <c r="L189" s="375">
        <f>NAV!J157</f>
        <v>0</v>
      </c>
      <c r="M189" s="376">
        <f>NAV!N157</f>
        <v>0</v>
      </c>
      <c r="N189" s="376">
        <f>NAV!T157</f>
        <v>0</v>
      </c>
      <c r="O189" s="377">
        <f>IF(N189="장부가액 준용","장부가액 준용",IF(N189="취득원가 준용","취득원가 준용",NAV!R157))</f>
        <v>0</v>
      </c>
      <c r="P189" s="378">
        <f>NAV!W157</f>
        <v>0</v>
      </c>
      <c r="Q189" s="378">
        <f>NAV!S157</f>
        <v>0</v>
      </c>
      <c r="R189" s="737" t="str">
        <f>MID(NAV!U157,FIND("(",NAV!U157)+1,FIND(")", NAV!U157)-FIND("(",NAV!U157)-1)</f>
        <v>KRW</v>
      </c>
    </row>
    <row r="190" spans="1:18" ht="12.75" customHeight="1" outlineLevel="1" thickBot="1">
      <c r="A190" s="304">
        <f t="shared" si="4"/>
        <v>112</v>
      </c>
      <c r="B190" s="381" t="str">
        <f t="shared" si="11"/>
        <v/>
      </c>
      <c r="C190" s="380" t="str">
        <f t="shared" si="12"/>
        <v/>
      </c>
      <c r="D190" s="380" t="str">
        <f t="shared" si="13"/>
        <v/>
      </c>
      <c r="E190" s="304"/>
      <c r="J190" s="149" t="str">
        <f>IF(L190=0,"",COUNTA(L$75:$L190)+COUNT($F$75:$F$103))</f>
        <v/>
      </c>
      <c r="K190" s="373" t="str">
        <f>NAV!$C$6</f>
        <v>포스코KAICI신기술사업투자조합제1호</v>
      </c>
      <c r="L190" s="375">
        <f>NAV!J158</f>
        <v>0</v>
      </c>
      <c r="M190" s="376">
        <f>NAV!N158</f>
        <v>0</v>
      </c>
      <c r="N190" s="376">
        <f>NAV!T158</f>
        <v>0</v>
      </c>
      <c r="O190" s="377">
        <f>IF(N190="장부가액 준용","장부가액 준용",IF(N190="취득원가 준용","취득원가 준용",NAV!R158))</f>
        <v>0</v>
      </c>
      <c r="P190" s="378">
        <f>NAV!W158</f>
        <v>0</v>
      </c>
      <c r="Q190" s="378">
        <f>NAV!S158</f>
        <v>0</v>
      </c>
      <c r="R190" s="737" t="str">
        <f>MID(NAV!U158,FIND("(",NAV!U158)+1,FIND(")", NAV!U158)-FIND("(",NAV!U158)-1)</f>
        <v>KRW</v>
      </c>
    </row>
    <row r="191" spans="1:18" ht="12.75" customHeight="1" outlineLevel="1" thickBot="1">
      <c r="A191" s="304">
        <f t="shared" si="4"/>
        <v>113</v>
      </c>
      <c r="B191" s="381" t="str">
        <f t="shared" si="11"/>
        <v/>
      </c>
      <c r="C191" s="380" t="str">
        <f t="shared" si="12"/>
        <v/>
      </c>
      <c r="D191" s="380" t="str">
        <f t="shared" si="13"/>
        <v/>
      </c>
      <c r="E191" s="304"/>
      <c r="J191" s="149" t="str">
        <f>IF(L191=0,"",COUNTA(L$75:$L191)+COUNT($F$75:$F$103))</f>
        <v/>
      </c>
      <c r="K191" s="373" t="str">
        <f>NAV!$C$6</f>
        <v>포스코KAICI신기술사업투자조합제1호</v>
      </c>
      <c r="L191" s="375">
        <f>NAV!J159</f>
        <v>0</v>
      </c>
      <c r="M191" s="376">
        <f>NAV!N159</f>
        <v>0</v>
      </c>
      <c r="N191" s="376">
        <f>NAV!T159</f>
        <v>0</v>
      </c>
      <c r="O191" s="377">
        <f>IF(N191="장부가액 준용","장부가액 준용",IF(N191="취득원가 준용","취득원가 준용",NAV!R159))</f>
        <v>0</v>
      </c>
      <c r="P191" s="378">
        <f>NAV!W159</f>
        <v>0</v>
      </c>
      <c r="Q191" s="378">
        <f>NAV!S159</f>
        <v>0</v>
      </c>
      <c r="R191" s="737" t="str">
        <f>MID(NAV!U159,FIND("(",NAV!U159)+1,FIND(")", NAV!U159)-FIND("(",NAV!U159)-1)</f>
        <v>KRW</v>
      </c>
    </row>
    <row r="192" spans="1:18" ht="12.75" customHeight="1" outlineLevel="1" thickBot="1">
      <c r="A192" s="304">
        <f t="shared" si="4"/>
        <v>114</v>
      </c>
      <c r="B192" s="381" t="str">
        <f t="shared" si="11"/>
        <v/>
      </c>
      <c r="C192" s="380" t="str">
        <f t="shared" si="12"/>
        <v/>
      </c>
      <c r="D192" s="380" t="str">
        <f t="shared" si="13"/>
        <v/>
      </c>
      <c r="E192" s="304"/>
      <c r="J192" s="149" t="str">
        <f>IF(L192=0,"",COUNTA(L$75:$L192)+COUNT($F$75:$F$103))</f>
        <v/>
      </c>
      <c r="K192" s="373" t="str">
        <f>NAV!$C$6</f>
        <v>포스코KAICI신기술사업투자조합제1호</v>
      </c>
      <c r="L192" s="375">
        <f>NAV!J160</f>
        <v>0</v>
      </c>
      <c r="M192" s="376">
        <f>NAV!N160</f>
        <v>0</v>
      </c>
      <c r="N192" s="376">
        <f>NAV!T160</f>
        <v>0</v>
      </c>
      <c r="O192" s="377">
        <f>IF(N192="장부가액 준용","장부가액 준용",IF(N192="취득원가 준용","취득원가 준용",NAV!R160))</f>
        <v>0</v>
      </c>
      <c r="P192" s="378">
        <f>NAV!W160</f>
        <v>0</v>
      </c>
      <c r="Q192" s="378">
        <f>NAV!S160</f>
        <v>0</v>
      </c>
      <c r="R192" s="737" t="str">
        <f>MID(NAV!U160,FIND("(",NAV!U160)+1,FIND(")", NAV!U160)-FIND("(",NAV!U160)-1)</f>
        <v>KRW</v>
      </c>
    </row>
    <row r="193" spans="1:18" ht="12.75" customHeight="1" outlineLevel="1" thickBot="1">
      <c r="A193" s="304">
        <f t="shared" si="4"/>
        <v>115</v>
      </c>
      <c r="B193" s="381" t="str">
        <f t="shared" si="11"/>
        <v/>
      </c>
      <c r="C193" s="380" t="str">
        <f t="shared" si="12"/>
        <v/>
      </c>
      <c r="D193" s="380" t="str">
        <f t="shared" si="13"/>
        <v/>
      </c>
      <c r="E193" s="304"/>
      <c r="J193" s="149" t="str">
        <f>IF(L193=0,"",COUNTA(L$75:$L193)+COUNT($F$75:$F$103))</f>
        <v/>
      </c>
      <c r="K193" s="373" t="str">
        <f>NAV!$C$6</f>
        <v>포스코KAICI신기술사업투자조합제1호</v>
      </c>
      <c r="L193" s="375">
        <f>NAV!J161</f>
        <v>0</v>
      </c>
      <c r="M193" s="376">
        <f>NAV!N161</f>
        <v>0</v>
      </c>
      <c r="N193" s="376">
        <f>NAV!T161</f>
        <v>0</v>
      </c>
      <c r="O193" s="377">
        <f>IF(N193="장부가액 준용","장부가액 준용",IF(N193="취득원가 준용","취득원가 준용",NAV!R161))</f>
        <v>0</v>
      </c>
      <c r="P193" s="378">
        <f>NAV!W161</f>
        <v>0</v>
      </c>
      <c r="Q193" s="378">
        <f>NAV!S161</f>
        <v>0</v>
      </c>
      <c r="R193" s="737" t="str">
        <f>MID(NAV!U161,FIND("(",NAV!U161)+1,FIND(")", NAV!U161)-FIND("(",NAV!U161)-1)</f>
        <v>KRW</v>
      </c>
    </row>
    <row r="194" spans="1:18" ht="12.75" customHeight="1" outlineLevel="1" thickBot="1">
      <c r="A194" s="304">
        <f t="shared" si="4"/>
        <v>116</v>
      </c>
      <c r="B194" s="381" t="str">
        <f t="shared" si="11"/>
        <v/>
      </c>
      <c r="C194" s="380" t="str">
        <f t="shared" si="12"/>
        <v/>
      </c>
      <c r="D194" s="380" t="str">
        <f t="shared" si="13"/>
        <v/>
      </c>
      <c r="E194" s="304"/>
      <c r="J194" s="149" t="str">
        <f>IF(L194=0,"",COUNTA(L$75:$L194)+COUNT($F$75:$F$103))</f>
        <v/>
      </c>
      <c r="K194" s="373" t="str">
        <f>NAV!$C$6</f>
        <v>포스코KAICI신기술사업투자조합제1호</v>
      </c>
      <c r="L194" s="375">
        <f>NAV!J162</f>
        <v>0</v>
      </c>
      <c r="M194" s="376">
        <f>NAV!N162</f>
        <v>0</v>
      </c>
      <c r="N194" s="376">
        <f>NAV!T162</f>
        <v>0</v>
      </c>
      <c r="O194" s="377">
        <f>IF(N194="장부가액 준용","장부가액 준용",IF(N194="취득원가 준용","취득원가 준용",NAV!R162))</f>
        <v>0</v>
      </c>
      <c r="P194" s="378">
        <f>NAV!W162</f>
        <v>0</v>
      </c>
      <c r="Q194" s="378">
        <f>NAV!S162</f>
        <v>0</v>
      </c>
      <c r="R194" s="737" t="str">
        <f>MID(NAV!U162,FIND("(",NAV!U162)+1,FIND(")", NAV!U162)-FIND("(",NAV!U162)-1)</f>
        <v>KRW</v>
      </c>
    </row>
    <row r="195" spans="1:18" ht="12.75" customHeight="1" outlineLevel="1" thickBot="1">
      <c r="A195" s="304">
        <f t="shared" si="4"/>
        <v>117</v>
      </c>
      <c r="B195" s="381" t="str">
        <f t="shared" si="11"/>
        <v/>
      </c>
      <c r="C195" s="380" t="str">
        <f t="shared" si="12"/>
        <v/>
      </c>
      <c r="D195" s="380" t="str">
        <f t="shared" si="13"/>
        <v/>
      </c>
      <c r="E195" s="304"/>
      <c r="J195" s="149" t="str">
        <f>IF(L195=0,"",COUNTA(L$75:$L195)+COUNT($F$75:$F$103))</f>
        <v/>
      </c>
      <c r="K195" s="373" t="str">
        <f>NAV!$C$6</f>
        <v>포스코KAICI신기술사업투자조합제1호</v>
      </c>
      <c r="L195" s="375">
        <f>NAV!J163</f>
        <v>0</v>
      </c>
      <c r="M195" s="376">
        <f>NAV!N163</f>
        <v>0</v>
      </c>
      <c r="N195" s="376">
        <f>NAV!T163</f>
        <v>0</v>
      </c>
      <c r="O195" s="377">
        <f>IF(N195="장부가액 준용","장부가액 준용",IF(N195="취득원가 준용","취득원가 준용",NAV!R163))</f>
        <v>0</v>
      </c>
      <c r="P195" s="378">
        <f>NAV!W163</f>
        <v>0</v>
      </c>
      <c r="Q195" s="378">
        <f>NAV!S163</f>
        <v>0</v>
      </c>
      <c r="R195" s="737" t="str">
        <f>MID(NAV!U163,FIND("(",NAV!U163)+1,FIND(")", NAV!U163)-FIND("(",NAV!U163)-1)</f>
        <v>KRW</v>
      </c>
    </row>
    <row r="196" spans="1:18" ht="12.75" customHeight="1" outlineLevel="1" thickBot="1">
      <c r="A196" s="304">
        <f t="shared" si="4"/>
        <v>118</v>
      </c>
      <c r="B196" s="381" t="str">
        <f t="shared" si="11"/>
        <v/>
      </c>
      <c r="C196" s="380" t="str">
        <f t="shared" si="12"/>
        <v/>
      </c>
      <c r="D196" s="380" t="str">
        <f t="shared" si="13"/>
        <v/>
      </c>
      <c r="E196" s="304"/>
      <c r="J196" s="149" t="str">
        <f>IF(L196=0,"",COUNTA(L$75:$L196)+COUNT($F$75:$F$103))</f>
        <v/>
      </c>
      <c r="K196" s="373" t="str">
        <f>NAV!$C$6</f>
        <v>포스코KAICI신기술사업투자조합제1호</v>
      </c>
      <c r="L196" s="375">
        <f>NAV!J164</f>
        <v>0</v>
      </c>
      <c r="M196" s="376">
        <f>NAV!N164</f>
        <v>0</v>
      </c>
      <c r="N196" s="376">
        <f>NAV!T164</f>
        <v>0</v>
      </c>
      <c r="O196" s="377">
        <f>IF(N196="장부가액 준용","장부가액 준용",IF(N196="취득원가 준용","취득원가 준용",NAV!R164))</f>
        <v>0</v>
      </c>
      <c r="P196" s="378">
        <f>NAV!W164</f>
        <v>0</v>
      </c>
      <c r="Q196" s="378">
        <f>NAV!S164</f>
        <v>0</v>
      </c>
      <c r="R196" s="737" t="str">
        <f>MID(NAV!U164,FIND("(",NAV!U164)+1,FIND(")", NAV!U164)-FIND("(",NAV!U164)-1)</f>
        <v>KRW</v>
      </c>
    </row>
    <row r="197" spans="1:18" ht="12.75" customHeight="1" outlineLevel="1" thickBot="1">
      <c r="A197" s="304">
        <f t="shared" si="4"/>
        <v>119</v>
      </c>
      <c r="B197" s="381" t="str">
        <f t="shared" si="11"/>
        <v/>
      </c>
      <c r="C197" s="380" t="str">
        <f t="shared" si="12"/>
        <v/>
      </c>
      <c r="D197" s="380" t="str">
        <f t="shared" si="13"/>
        <v/>
      </c>
      <c r="E197" s="304"/>
      <c r="J197" s="149" t="str">
        <f>IF(L197=0,"",COUNTA(L$75:$L197)+COUNT($F$75:$F$103))</f>
        <v/>
      </c>
      <c r="K197" s="373" t="str">
        <f>NAV!$C$6</f>
        <v>포스코KAICI신기술사업투자조합제1호</v>
      </c>
      <c r="L197" s="375">
        <f>NAV!J165</f>
        <v>0</v>
      </c>
      <c r="M197" s="376">
        <f>NAV!N165</f>
        <v>0</v>
      </c>
      <c r="N197" s="376">
        <f>NAV!T165</f>
        <v>0</v>
      </c>
      <c r="O197" s="377">
        <f>IF(N197="장부가액 준용","장부가액 준용",IF(N197="취득원가 준용","취득원가 준용",NAV!R165))</f>
        <v>0</v>
      </c>
      <c r="P197" s="378">
        <f>NAV!W165</f>
        <v>0</v>
      </c>
      <c r="Q197" s="378">
        <f>NAV!S165</f>
        <v>0</v>
      </c>
      <c r="R197" s="737" t="str">
        <f>MID(NAV!U165,FIND("(",NAV!U165)+1,FIND(")", NAV!U165)-FIND("(",NAV!U165)-1)</f>
        <v>KRW</v>
      </c>
    </row>
    <row r="198" spans="1:18" ht="12.75" customHeight="1" outlineLevel="1" thickBot="1">
      <c r="A198" s="304">
        <f t="shared" si="4"/>
        <v>120</v>
      </c>
      <c r="B198" s="381" t="str">
        <f t="shared" si="11"/>
        <v/>
      </c>
      <c r="C198" s="380" t="str">
        <f t="shared" si="12"/>
        <v/>
      </c>
      <c r="D198" s="380" t="str">
        <f t="shared" si="13"/>
        <v/>
      </c>
      <c r="E198" s="304"/>
      <c r="J198" s="149" t="str">
        <f>IF(L198=0,"",COUNTA(L$75:$L198)+COUNT($F$75:$F$103))</f>
        <v/>
      </c>
      <c r="K198" s="373" t="str">
        <f>NAV!$C$6</f>
        <v>포스코KAICI신기술사업투자조합제1호</v>
      </c>
      <c r="L198" s="375">
        <f>NAV!J166</f>
        <v>0</v>
      </c>
      <c r="M198" s="376">
        <f>NAV!N166</f>
        <v>0</v>
      </c>
      <c r="N198" s="376">
        <f>NAV!T166</f>
        <v>0</v>
      </c>
      <c r="O198" s="377">
        <f>IF(N198="장부가액 준용","장부가액 준용",IF(N198="취득원가 준용","취득원가 준용",NAV!R166))</f>
        <v>0</v>
      </c>
      <c r="P198" s="378">
        <f>NAV!W166</f>
        <v>0</v>
      </c>
      <c r="Q198" s="378">
        <f>NAV!S166</f>
        <v>0</v>
      </c>
      <c r="R198" s="737" t="str">
        <f>MID(NAV!U166,FIND("(",NAV!U166)+1,FIND(")", NAV!U166)-FIND("(",NAV!U166)-1)</f>
        <v>KRW</v>
      </c>
    </row>
    <row r="199" spans="1:18" ht="12.75" customHeight="1" outlineLevel="1" thickBot="1">
      <c r="A199" s="304">
        <f t="shared" si="4"/>
        <v>121</v>
      </c>
      <c r="B199" s="381" t="str">
        <f t="shared" si="11"/>
        <v/>
      </c>
      <c r="C199" s="380" t="str">
        <f t="shared" si="12"/>
        <v/>
      </c>
      <c r="D199" s="380" t="str">
        <f t="shared" si="13"/>
        <v/>
      </c>
      <c r="E199" s="304"/>
      <c r="J199" s="149" t="str">
        <f>IF(L199=0,"",COUNTA(L$75:$L199)+COUNT($F$75:$F$103))</f>
        <v/>
      </c>
      <c r="K199" s="373" t="str">
        <f>NAV!$C$6</f>
        <v>포스코KAICI신기술사업투자조합제1호</v>
      </c>
      <c r="L199" s="375">
        <f>NAV!J167</f>
        <v>0</v>
      </c>
      <c r="M199" s="376">
        <f>NAV!N167</f>
        <v>0</v>
      </c>
      <c r="N199" s="376">
        <f>NAV!T167</f>
        <v>0</v>
      </c>
      <c r="O199" s="377">
        <f>IF(N199="장부가액 준용","장부가액 준용",IF(N199="취득원가 준용","취득원가 준용",NAV!R167))</f>
        <v>0</v>
      </c>
      <c r="P199" s="378">
        <f>NAV!W167</f>
        <v>0</v>
      </c>
      <c r="Q199" s="378">
        <f>NAV!S167</f>
        <v>0</v>
      </c>
      <c r="R199" s="737" t="str">
        <f>MID(NAV!U167,FIND("(",NAV!U167)+1,FIND(")", NAV!U167)-FIND("(",NAV!U167)-1)</f>
        <v>KRW</v>
      </c>
    </row>
    <row r="200" spans="1:18" ht="12.75" customHeight="1" outlineLevel="1" thickBot="1">
      <c r="A200" s="304">
        <f t="shared" si="4"/>
        <v>122</v>
      </c>
      <c r="B200" s="381" t="str">
        <f t="shared" si="11"/>
        <v/>
      </c>
      <c r="C200" s="380" t="str">
        <f t="shared" si="12"/>
        <v/>
      </c>
      <c r="D200" s="380" t="str">
        <f t="shared" si="13"/>
        <v/>
      </c>
      <c r="E200" s="304"/>
      <c r="J200" s="149" t="str">
        <f>IF(L200=0,"",COUNTA(L$75:$L200)+COUNT($F$75:$F$103))</f>
        <v/>
      </c>
      <c r="K200" s="373" t="str">
        <f>NAV!$C$6</f>
        <v>포스코KAICI신기술사업투자조합제1호</v>
      </c>
      <c r="L200" s="375">
        <f>NAV!J168</f>
        <v>0</v>
      </c>
      <c r="M200" s="376">
        <f>NAV!N168</f>
        <v>0</v>
      </c>
      <c r="N200" s="376">
        <f>NAV!T168</f>
        <v>0</v>
      </c>
      <c r="O200" s="377">
        <f>IF(N200="장부가액 준용","장부가액 준용",IF(N200="취득원가 준용","취득원가 준용",NAV!R168))</f>
        <v>0</v>
      </c>
      <c r="P200" s="378">
        <f>NAV!W168</f>
        <v>0</v>
      </c>
      <c r="Q200" s="378">
        <f>NAV!S168</f>
        <v>0</v>
      </c>
      <c r="R200" s="737" t="str">
        <f>MID(NAV!U168,FIND("(",NAV!U168)+1,FIND(")", NAV!U168)-FIND("(",NAV!U168)-1)</f>
        <v>KRW</v>
      </c>
    </row>
    <row r="201" spans="1:18" ht="12.75" customHeight="1" outlineLevel="1" thickBot="1">
      <c r="A201" s="304">
        <f t="shared" si="4"/>
        <v>123</v>
      </c>
      <c r="B201" s="381" t="str">
        <f t="shared" si="11"/>
        <v/>
      </c>
      <c r="C201" s="380" t="str">
        <f t="shared" si="12"/>
        <v/>
      </c>
      <c r="D201" s="380" t="str">
        <f t="shared" si="13"/>
        <v/>
      </c>
      <c r="E201" s="304"/>
      <c r="J201" s="149" t="str">
        <f>IF(L201=0,"",COUNTA(L$75:$L201)+COUNT($F$75:$F$103))</f>
        <v/>
      </c>
      <c r="K201" s="373" t="str">
        <f>NAV!$C$6</f>
        <v>포스코KAICI신기술사업투자조합제1호</v>
      </c>
      <c r="L201" s="375">
        <f>NAV!J169</f>
        <v>0</v>
      </c>
      <c r="M201" s="376">
        <f>NAV!N169</f>
        <v>0</v>
      </c>
      <c r="N201" s="376">
        <f>NAV!T169</f>
        <v>0</v>
      </c>
      <c r="O201" s="377">
        <f>IF(N201="장부가액 준용","장부가액 준용",IF(N201="취득원가 준용","취득원가 준용",NAV!R169))</f>
        <v>0</v>
      </c>
      <c r="P201" s="378">
        <f>NAV!W169</f>
        <v>0</v>
      </c>
      <c r="Q201" s="378">
        <f>NAV!S169</f>
        <v>0</v>
      </c>
      <c r="R201" s="737" t="str">
        <f>MID(NAV!U169,FIND("(",NAV!U169)+1,FIND(")", NAV!U169)-FIND("(",NAV!U169)-1)</f>
        <v>KRW</v>
      </c>
    </row>
    <row r="202" spans="1:18" ht="12.75" customHeight="1" outlineLevel="1" thickBot="1">
      <c r="A202" s="304">
        <f t="shared" si="4"/>
        <v>124</v>
      </c>
      <c r="B202" s="381" t="str">
        <f t="shared" si="11"/>
        <v/>
      </c>
      <c r="C202" s="380" t="str">
        <f t="shared" si="12"/>
        <v/>
      </c>
      <c r="D202" s="380" t="str">
        <f t="shared" si="13"/>
        <v/>
      </c>
      <c r="E202" s="304"/>
      <c r="J202" s="149" t="str">
        <f>IF(L202=0,"",COUNTA(L$75:$L202)+COUNT($F$75:$F$103))</f>
        <v/>
      </c>
      <c r="K202" s="373" t="str">
        <f>NAV!$C$6</f>
        <v>포스코KAICI신기술사업투자조합제1호</v>
      </c>
      <c r="L202" s="375">
        <f>NAV!J170</f>
        <v>0</v>
      </c>
      <c r="M202" s="376">
        <f>NAV!N170</f>
        <v>0</v>
      </c>
      <c r="N202" s="376">
        <f>NAV!T170</f>
        <v>0</v>
      </c>
      <c r="O202" s="377">
        <f>IF(N202="장부가액 준용","장부가액 준용",IF(N202="취득원가 준용","취득원가 준용",NAV!R170))</f>
        <v>0</v>
      </c>
      <c r="P202" s="378">
        <f>NAV!W170</f>
        <v>0</v>
      </c>
      <c r="Q202" s="378">
        <f>NAV!S170</f>
        <v>0</v>
      </c>
      <c r="R202" s="737" t="str">
        <f>MID(NAV!U170,FIND("(",NAV!U170)+1,FIND(")", NAV!U170)-FIND("(",NAV!U170)-1)</f>
        <v>KRW</v>
      </c>
    </row>
    <row r="203" spans="1:18" ht="12.75" customHeight="1" outlineLevel="1" thickBot="1">
      <c r="A203" s="304">
        <f t="shared" si="4"/>
        <v>125</v>
      </c>
      <c r="B203" s="381" t="str">
        <f t="shared" si="11"/>
        <v/>
      </c>
      <c r="C203" s="380" t="str">
        <f t="shared" si="12"/>
        <v/>
      </c>
      <c r="D203" s="380" t="str">
        <f t="shared" si="13"/>
        <v/>
      </c>
      <c r="E203" s="304"/>
      <c r="J203" s="149" t="str">
        <f>IF(L203=0,"",COUNTA(L$75:$L203)+COUNT($F$75:$F$103))</f>
        <v/>
      </c>
      <c r="K203" s="373" t="str">
        <f>NAV!$C$6</f>
        <v>포스코KAICI신기술사업투자조합제1호</v>
      </c>
      <c r="L203" s="375">
        <f>NAV!J171</f>
        <v>0</v>
      </c>
      <c r="M203" s="376">
        <f>NAV!N171</f>
        <v>0</v>
      </c>
      <c r="N203" s="376">
        <f>NAV!T171</f>
        <v>0</v>
      </c>
      <c r="O203" s="377">
        <f>IF(N203="장부가액 준용","장부가액 준용",IF(N203="취득원가 준용","취득원가 준용",NAV!R171))</f>
        <v>0</v>
      </c>
      <c r="P203" s="378">
        <f>NAV!W171</f>
        <v>0</v>
      </c>
      <c r="Q203" s="378">
        <f>NAV!S171</f>
        <v>0</v>
      </c>
      <c r="R203" s="737" t="str">
        <f>MID(NAV!U171,FIND("(",NAV!U171)+1,FIND(")", NAV!U171)-FIND("(",NAV!U171)-1)</f>
        <v>KRW</v>
      </c>
    </row>
    <row r="204" spans="1:18" ht="12.75" customHeight="1" outlineLevel="1" thickBot="1">
      <c r="A204" s="304">
        <f t="shared" si="4"/>
        <v>126</v>
      </c>
      <c r="B204" s="381" t="str">
        <f t="shared" ref="B204:B235" si="14">IFERROR(IF(F204=A204,VLOOKUP(A204,$F$74:$I$229,2,0),VLOOKUP(A204,$J$74:$Q$225,3,0)&amp;" "&amp;VLOOKUP(A204,$J$74:$Q$225,4,0)),"")</f>
        <v/>
      </c>
      <c r="C204" s="380" t="str">
        <f t="shared" ref="C204:C235" si="15">IFERROR(IF(F204=A204,VLOOKUP(A204,$F$74:$I$229,3,0),VLOOKUP(A204,$J$74:$Q$225,7,0)),"")</f>
        <v/>
      </c>
      <c r="D204" s="380" t="str">
        <f t="shared" ref="D204:D235" si="16">IFERROR(IF(F204=A204,VLOOKUP(A204,$F$74:$I$229,4,0),VLOOKUP(A204,$J$74:$Q$225,8,0)),"")</f>
        <v/>
      </c>
      <c r="E204" s="304"/>
      <c r="J204" s="149" t="str">
        <f>IF(L204=0,"",COUNTA(L$75:$L204)+COUNT($F$75:$F$103))</f>
        <v/>
      </c>
      <c r="K204" s="373" t="str">
        <f>NAV!$C$6</f>
        <v>포스코KAICI신기술사업투자조합제1호</v>
      </c>
      <c r="L204" s="375">
        <f>NAV!J172</f>
        <v>0</v>
      </c>
      <c r="M204" s="376">
        <f>NAV!N172</f>
        <v>0</v>
      </c>
      <c r="N204" s="376">
        <f>NAV!T172</f>
        <v>0</v>
      </c>
      <c r="O204" s="377">
        <f>IF(N204="장부가액 준용","장부가액 준용",IF(N204="취득원가 준용","취득원가 준용",NAV!R172))</f>
        <v>0</v>
      </c>
      <c r="P204" s="378">
        <f>NAV!W172</f>
        <v>0</v>
      </c>
      <c r="Q204" s="378">
        <f>NAV!S172</f>
        <v>0</v>
      </c>
      <c r="R204" s="737" t="str">
        <f>MID(NAV!U172,FIND("(",NAV!U172)+1,FIND(")", NAV!U172)-FIND("(",NAV!U172)-1)</f>
        <v>KRW</v>
      </c>
    </row>
    <row r="205" spans="1:18" ht="12.75" customHeight="1" outlineLevel="1" thickBot="1">
      <c r="A205" s="304">
        <f t="shared" si="4"/>
        <v>127</v>
      </c>
      <c r="B205" s="381" t="str">
        <f t="shared" si="14"/>
        <v/>
      </c>
      <c r="C205" s="380" t="str">
        <f t="shared" si="15"/>
        <v/>
      </c>
      <c r="D205" s="380" t="str">
        <f t="shared" si="16"/>
        <v/>
      </c>
      <c r="E205" s="304"/>
      <c r="J205" s="149" t="str">
        <f>IF(L205=0,"",COUNTA(L$75:$L205)+COUNT($F$75:$F$103))</f>
        <v/>
      </c>
      <c r="K205" s="373" t="str">
        <f>NAV!$C$6</f>
        <v>포스코KAICI신기술사업투자조합제1호</v>
      </c>
      <c r="L205" s="375">
        <f>NAV!J173</f>
        <v>0</v>
      </c>
      <c r="M205" s="376">
        <f>NAV!N173</f>
        <v>0</v>
      </c>
      <c r="N205" s="376">
        <f>NAV!T173</f>
        <v>0</v>
      </c>
      <c r="O205" s="377">
        <f>IF(N205="장부가액 준용","장부가액 준용",IF(N205="취득원가 준용","취득원가 준용",NAV!R173))</f>
        <v>0</v>
      </c>
      <c r="P205" s="378">
        <f>NAV!W173</f>
        <v>0</v>
      </c>
      <c r="Q205" s="378">
        <f>NAV!S173</f>
        <v>0</v>
      </c>
      <c r="R205" s="737" t="str">
        <f>MID(NAV!U173,FIND("(",NAV!U173)+1,FIND(")", NAV!U173)-FIND("(",NAV!U173)-1)</f>
        <v>KRW</v>
      </c>
    </row>
    <row r="206" spans="1:18" ht="12.75" customHeight="1" outlineLevel="1" thickBot="1">
      <c r="A206" s="304">
        <f t="shared" si="4"/>
        <v>128</v>
      </c>
      <c r="B206" s="381" t="str">
        <f t="shared" si="14"/>
        <v/>
      </c>
      <c r="C206" s="380" t="str">
        <f t="shared" si="15"/>
        <v/>
      </c>
      <c r="D206" s="380" t="str">
        <f t="shared" si="16"/>
        <v/>
      </c>
      <c r="E206" s="304"/>
      <c r="J206" s="149" t="str">
        <f>IF(L206=0,"",COUNTA(L$75:$L206)+COUNT($F$75:$F$103))</f>
        <v/>
      </c>
      <c r="K206" s="373" t="str">
        <f>NAV!$C$6</f>
        <v>포스코KAICI신기술사업투자조합제1호</v>
      </c>
      <c r="L206" s="375">
        <f>NAV!J174</f>
        <v>0</v>
      </c>
      <c r="M206" s="376">
        <f>NAV!N174</f>
        <v>0</v>
      </c>
      <c r="N206" s="376">
        <f>NAV!T174</f>
        <v>0</v>
      </c>
      <c r="O206" s="377">
        <f>IF(N206="장부가액 준용","장부가액 준용",IF(N206="취득원가 준용","취득원가 준용",NAV!R174))</f>
        <v>0</v>
      </c>
      <c r="P206" s="378">
        <f>NAV!W174</f>
        <v>0</v>
      </c>
      <c r="Q206" s="378">
        <f>NAV!S174</f>
        <v>0</v>
      </c>
      <c r="R206" s="737" t="str">
        <f>MID(NAV!U174,FIND("(",NAV!U174)+1,FIND(")", NAV!U174)-FIND("(",NAV!U174)-1)</f>
        <v>KRW</v>
      </c>
    </row>
    <row r="207" spans="1:18" ht="12.75" customHeight="1" outlineLevel="1" thickBot="1">
      <c r="A207" s="304">
        <f t="shared" si="4"/>
        <v>129</v>
      </c>
      <c r="B207" s="381" t="str">
        <f t="shared" si="14"/>
        <v/>
      </c>
      <c r="C207" s="380" t="str">
        <f t="shared" si="15"/>
        <v/>
      </c>
      <c r="D207" s="380" t="str">
        <f t="shared" si="16"/>
        <v/>
      </c>
      <c r="E207" s="304"/>
      <c r="J207" s="149" t="str">
        <f>IF(L207=0,"",COUNTA(L$75:$L207)+COUNT($F$75:$F$103))</f>
        <v/>
      </c>
      <c r="K207" s="373" t="str">
        <f>NAV!$C$6</f>
        <v>포스코KAICI신기술사업투자조합제1호</v>
      </c>
      <c r="L207" s="375">
        <f>NAV!J175</f>
        <v>0</v>
      </c>
      <c r="M207" s="376">
        <f>NAV!N175</f>
        <v>0</v>
      </c>
      <c r="N207" s="376">
        <f>NAV!T175</f>
        <v>0</v>
      </c>
      <c r="O207" s="377">
        <f>IF(N207="장부가액 준용","장부가액 준용",IF(N207="취득원가 준용","취득원가 준용",NAV!R175))</f>
        <v>0</v>
      </c>
      <c r="P207" s="378">
        <f>NAV!W175</f>
        <v>0</v>
      </c>
      <c r="Q207" s="378">
        <f>NAV!S175</f>
        <v>0</v>
      </c>
      <c r="R207" s="737" t="str">
        <f>MID(NAV!U175,FIND("(",NAV!U175)+1,FIND(")", NAV!U175)-FIND("(",NAV!U175)-1)</f>
        <v>KRW</v>
      </c>
    </row>
    <row r="208" spans="1:18" ht="12.75" customHeight="1" outlineLevel="1" thickBot="1">
      <c r="A208" s="304">
        <f t="shared" si="4"/>
        <v>130</v>
      </c>
      <c r="B208" s="381" t="str">
        <f t="shared" si="14"/>
        <v/>
      </c>
      <c r="C208" s="380" t="str">
        <f t="shared" si="15"/>
        <v/>
      </c>
      <c r="D208" s="380" t="str">
        <f t="shared" si="16"/>
        <v/>
      </c>
      <c r="E208" s="304"/>
      <c r="J208" s="149" t="str">
        <f>IF(L208=0,"",COUNTA(L$75:$L208)+COUNT($F$75:$F$103))</f>
        <v/>
      </c>
      <c r="K208" s="373" t="str">
        <f>NAV!$C$6</f>
        <v>포스코KAICI신기술사업투자조합제1호</v>
      </c>
      <c r="L208" s="375">
        <f>NAV!J176</f>
        <v>0</v>
      </c>
      <c r="M208" s="376">
        <f>NAV!N176</f>
        <v>0</v>
      </c>
      <c r="N208" s="376">
        <f>NAV!T176</f>
        <v>0</v>
      </c>
      <c r="O208" s="377">
        <f>IF(N208="장부가액 준용","장부가액 준용",IF(N208="취득원가 준용","취득원가 준용",NAV!R176))</f>
        <v>0</v>
      </c>
      <c r="P208" s="378">
        <f>NAV!W176</f>
        <v>0</v>
      </c>
      <c r="Q208" s="378">
        <f>NAV!S176</f>
        <v>0</v>
      </c>
      <c r="R208" s="737" t="str">
        <f>MID(NAV!U176,FIND("(",NAV!U176)+1,FIND(")", NAV!U176)-FIND("(",NAV!U176)-1)</f>
        <v>KRW</v>
      </c>
    </row>
    <row r="209" spans="1:18" ht="12.75" customHeight="1" outlineLevel="1" thickBot="1">
      <c r="A209" s="304">
        <f t="shared" si="4"/>
        <v>131</v>
      </c>
      <c r="B209" s="381" t="str">
        <f t="shared" si="14"/>
        <v/>
      </c>
      <c r="C209" s="380" t="str">
        <f t="shared" si="15"/>
        <v/>
      </c>
      <c r="D209" s="380" t="str">
        <f t="shared" si="16"/>
        <v/>
      </c>
      <c r="E209" s="304"/>
      <c r="J209" s="149" t="str">
        <f>IF(L209=0,"",COUNTA(L$75:$L209)+COUNT($F$75:$F$103))</f>
        <v/>
      </c>
      <c r="K209" s="373" t="str">
        <f>NAV!$C$6</f>
        <v>포스코KAICI신기술사업투자조합제1호</v>
      </c>
      <c r="L209" s="375">
        <f>NAV!J177</f>
        <v>0</v>
      </c>
      <c r="M209" s="376">
        <f>NAV!N177</f>
        <v>0</v>
      </c>
      <c r="N209" s="376">
        <f>NAV!T177</f>
        <v>0</v>
      </c>
      <c r="O209" s="377">
        <f>IF(N209="장부가액 준용","장부가액 준용",IF(N209="취득원가 준용","취득원가 준용",NAV!R177))</f>
        <v>0</v>
      </c>
      <c r="P209" s="378">
        <f>NAV!W177</f>
        <v>0</v>
      </c>
      <c r="Q209" s="378">
        <f>NAV!S177</f>
        <v>0</v>
      </c>
      <c r="R209" s="737" t="str">
        <f>MID(NAV!U177,FIND("(",NAV!U177)+1,FIND(")", NAV!U177)-FIND("(",NAV!U177)-1)</f>
        <v>KRW</v>
      </c>
    </row>
    <row r="210" spans="1:18" ht="12.75" customHeight="1" outlineLevel="1" thickBot="1">
      <c r="A210" s="304">
        <f t="shared" si="4"/>
        <v>132</v>
      </c>
      <c r="B210" s="381" t="str">
        <f t="shared" si="14"/>
        <v/>
      </c>
      <c r="C210" s="380" t="str">
        <f t="shared" si="15"/>
        <v/>
      </c>
      <c r="D210" s="380" t="str">
        <f t="shared" si="16"/>
        <v/>
      </c>
      <c r="E210" s="304"/>
      <c r="J210" s="149" t="str">
        <f>IF(L210=0,"",COUNTA(L$75:$L210)+COUNT($F$75:$F$103))</f>
        <v/>
      </c>
      <c r="K210" s="373" t="str">
        <f>NAV!$C$6</f>
        <v>포스코KAICI신기술사업투자조합제1호</v>
      </c>
      <c r="L210" s="375">
        <f>NAV!J178</f>
        <v>0</v>
      </c>
      <c r="M210" s="376">
        <f>NAV!N178</f>
        <v>0</v>
      </c>
      <c r="N210" s="376">
        <f>NAV!T178</f>
        <v>0</v>
      </c>
      <c r="O210" s="377">
        <f>IF(N210="장부가액 준용","장부가액 준용",IF(N210="취득원가 준용","취득원가 준용",NAV!R178))</f>
        <v>0</v>
      </c>
      <c r="P210" s="378">
        <f>NAV!W178</f>
        <v>0</v>
      </c>
      <c r="Q210" s="378">
        <f>NAV!S178</f>
        <v>0</v>
      </c>
      <c r="R210" s="737" t="str">
        <f>MID(NAV!U178,FIND("(",NAV!U178)+1,FIND(")", NAV!U178)-FIND("(",NAV!U178)-1)</f>
        <v>KRW</v>
      </c>
    </row>
    <row r="211" spans="1:18" ht="12.75" customHeight="1" outlineLevel="1" thickBot="1">
      <c r="A211" s="304">
        <f t="shared" si="4"/>
        <v>133</v>
      </c>
      <c r="B211" s="381" t="str">
        <f t="shared" si="14"/>
        <v/>
      </c>
      <c r="C211" s="380" t="str">
        <f t="shared" si="15"/>
        <v/>
      </c>
      <c r="D211" s="380" t="str">
        <f t="shared" si="16"/>
        <v/>
      </c>
      <c r="E211" s="304"/>
      <c r="J211" s="149" t="str">
        <f>IF(L211=0,"",COUNTA(L$75:$L211)+COUNT($F$75:$F$103))</f>
        <v/>
      </c>
      <c r="K211" s="373" t="str">
        <f>NAV!$C$6</f>
        <v>포스코KAICI신기술사업투자조합제1호</v>
      </c>
      <c r="L211" s="375">
        <f>NAV!J179</f>
        <v>0</v>
      </c>
      <c r="M211" s="376">
        <f>NAV!N179</f>
        <v>0</v>
      </c>
      <c r="N211" s="376">
        <f>NAV!T179</f>
        <v>0</v>
      </c>
      <c r="O211" s="377">
        <f>IF(N211="장부가액 준용","장부가액 준용",IF(N211="취득원가 준용","취득원가 준용",NAV!R179))</f>
        <v>0</v>
      </c>
      <c r="P211" s="378">
        <f>NAV!W179</f>
        <v>0</v>
      </c>
      <c r="Q211" s="378">
        <f>NAV!S179</f>
        <v>0</v>
      </c>
      <c r="R211" s="737" t="str">
        <f>MID(NAV!U179,FIND("(",NAV!U179)+1,FIND(")", NAV!U179)-FIND("(",NAV!U179)-1)</f>
        <v>KRW</v>
      </c>
    </row>
    <row r="212" spans="1:18" ht="12.75" customHeight="1" outlineLevel="1" thickBot="1">
      <c r="A212" s="304">
        <f t="shared" si="4"/>
        <v>134</v>
      </c>
      <c r="B212" s="381" t="str">
        <f t="shared" si="14"/>
        <v/>
      </c>
      <c r="C212" s="380" t="str">
        <f t="shared" si="15"/>
        <v/>
      </c>
      <c r="D212" s="380" t="str">
        <f t="shared" si="16"/>
        <v/>
      </c>
      <c r="E212" s="304"/>
      <c r="J212" s="149" t="str">
        <f>IF(L212=0,"",COUNTA(L$75:$L212)+COUNT($F$75:$F$103))</f>
        <v/>
      </c>
      <c r="K212" s="373" t="str">
        <f>NAV!$C$6</f>
        <v>포스코KAICI신기술사업투자조합제1호</v>
      </c>
      <c r="L212" s="375">
        <f>NAV!J180</f>
        <v>0</v>
      </c>
      <c r="M212" s="376">
        <f>NAV!N180</f>
        <v>0</v>
      </c>
      <c r="N212" s="376">
        <f>NAV!T180</f>
        <v>0</v>
      </c>
      <c r="O212" s="377">
        <f>IF(N212="장부가액 준용","장부가액 준용",IF(N212="취득원가 준용","취득원가 준용",NAV!R180))</f>
        <v>0</v>
      </c>
      <c r="P212" s="378">
        <f>NAV!W180</f>
        <v>0</v>
      </c>
      <c r="Q212" s="378">
        <f>NAV!S180</f>
        <v>0</v>
      </c>
      <c r="R212" s="737" t="str">
        <f>MID(NAV!U180,FIND("(",NAV!U180)+1,FIND(")", NAV!U180)-FIND("(",NAV!U180)-1)</f>
        <v>KRW</v>
      </c>
    </row>
    <row r="213" spans="1:18" ht="12.75" customHeight="1" outlineLevel="1" thickBot="1">
      <c r="A213" s="304">
        <f t="shared" si="4"/>
        <v>135</v>
      </c>
      <c r="B213" s="381" t="str">
        <f t="shared" si="14"/>
        <v/>
      </c>
      <c r="C213" s="380" t="str">
        <f t="shared" si="15"/>
        <v/>
      </c>
      <c r="D213" s="380" t="str">
        <f t="shared" si="16"/>
        <v/>
      </c>
      <c r="E213" s="304"/>
      <c r="J213" s="149" t="str">
        <f>IF(L213=0,"",COUNTA(L$75:$L213)+COUNT($F$75:$F$103))</f>
        <v/>
      </c>
      <c r="K213" s="373" t="str">
        <f>NAV!$C$6</f>
        <v>포스코KAICI신기술사업투자조합제1호</v>
      </c>
      <c r="L213" s="375">
        <f>NAV!J181</f>
        <v>0</v>
      </c>
      <c r="M213" s="376">
        <f>NAV!N181</f>
        <v>0</v>
      </c>
      <c r="N213" s="376">
        <f>NAV!T181</f>
        <v>0</v>
      </c>
      <c r="O213" s="377">
        <f>IF(N213="장부가액 준용","장부가액 준용",IF(N213="취득원가 준용","취득원가 준용",NAV!R181))</f>
        <v>0</v>
      </c>
      <c r="P213" s="378">
        <f>NAV!W181</f>
        <v>0</v>
      </c>
      <c r="Q213" s="378">
        <f>NAV!S181</f>
        <v>0</v>
      </c>
      <c r="R213" s="737" t="str">
        <f>MID(NAV!U181,FIND("(",NAV!U181)+1,FIND(")", NAV!U181)-FIND("(",NAV!U181)-1)</f>
        <v>KRW</v>
      </c>
    </row>
    <row r="214" spans="1:18" ht="12.75" customHeight="1" outlineLevel="1" thickBot="1">
      <c r="A214" s="304">
        <f t="shared" si="4"/>
        <v>136</v>
      </c>
      <c r="B214" s="381" t="str">
        <f t="shared" si="14"/>
        <v/>
      </c>
      <c r="C214" s="380" t="str">
        <f t="shared" si="15"/>
        <v/>
      </c>
      <c r="D214" s="380" t="str">
        <f t="shared" si="16"/>
        <v/>
      </c>
      <c r="E214" s="304"/>
      <c r="J214" s="149" t="str">
        <f>IF(L214=0,"",COUNTA(L$75:$L214)+COUNT($F$75:$F$103))</f>
        <v/>
      </c>
      <c r="K214" s="373" t="str">
        <f>NAV!$C$6</f>
        <v>포스코KAICI신기술사업투자조합제1호</v>
      </c>
      <c r="L214" s="375">
        <f>NAV!J182</f>
        <v>0</v>
      </c>
      <c r="M214" s="376">
        <f>NAV!N182</f>
        <v>0</v>
      </c>
      <c r="N214" s="376">
        <f>NAV!T182</f>
        <v>0</v>
      </c>
      <c r="O214" s="377">
        <f>IF(N214="장부가액 준용","장부가액 준용",IF(N214="취득원가 준용","취득원가 준용",NAV!R182))</f>
        <v>0</v>
      </c>
      <c r="P214" s="378">
        <f>NAV!W182</f>
        <v>0</v>
      </c>
      <c r="Q214" s="378">
        <f>NAV!S182</f>
        <v>0</v>
      </c>
      <c r="R214" s="737" t="str">
        <f>MID(NAV!U182,FIND("(",NAV!U182)+1,FIND(")", NAV!U182)-FIND("(",NAV!U182)-1)</f>
        <v>KRW</v>
      </c>
    </row>
    <row r="215" spans="1:18" ht="12.75" customHeight="1" outlineLevel="1" thickBot="1">
      <c r="A215" s="304">
        <f t="shared" si="4"/>
        <v>137</v>
      </c>
      <c r="B215" s="381" t="str">
        <f t="shared" si="14"/>
        <v/>
      </c>
      <c r="C215" s="380" t="str">
        <f t="shared" si="15"/>
        <v/>
      </c>
      <c r="D215" s="380" t="str">
        <f t="shared" si="16"/>
        <v/>
      </c>
      <c r="E215" s="304"/>
      <c r="J215" s="149" t="str">
        <f>IF(L215=0,"",COUNTA(L$75:$L215)+COUNT($F$75:$F$103))</f>
        <v/>
      </c>
      <c r="K215" s="373" t="str">
        <f>NAV!$C$6</f>
        <v>포스코KAICI신기술사업투자조합제1호</v>
      </c>
      <c r="L215" s="375">
        <f>NAV!J183</f>
        <v>0</v>
      </c>
      <c r="M215" s="376">
        <f>NAV!N183</f>
        <v>0</v>
      </c>
      <c r="N215" s="376">
        <f>NAV!T183</f>
        <v>0</v>
      </c>
      <c r="O215" s="377">
        <f>IF(N215="장부가액 준용","장부가액 준용",IF(N215="취득원가 준용","취득원가 준용",NAV!R183))</f>
        <v>0</v>
      </c>
      <c r="P215" s="378">
        <f>NAV!W183</f>
        <v>0</v>
      </c>
      <c r="Q215" s="378">
        <f>NAV!S183</f>
        <v>0</v>
      </c>
      <c r="R215" s="737" t="str">
        <f>MID(NAV!U183,FIND("(",NAV!U183)+1,FIND(")", NAV!U183)-FIND("(",NAV!U183)-1)</f>
        <v>KRW</v>
      </c>
    </row>
    <row r="216" spans="1:18" ht="12.75" customHeight="1" outlineLevel="1" thickBot="1">
      <c r="A216" s="304">
        <f t="shared" si="4"/>
        <v>138</v>
      </c>
      <c r="B216" s="381" t="str">
        <f t="shared" si="14"/>
        <v/>
      </c>
      <c r="C216" s="380" t="str">
        <f t="shared" si="15"/>
        <v/>
      </c>
      <c r="D216" s="380" t="str">
        <f t="shared" si="16"/>
        <v/>
      </c>
      <c r="E216" s="304"/>
      <c r="J216" s="149" t="str">
        <f>IF(L216=0,"",COUNTA(L$75:$L216)+COUNT($F$75:$F$103))</f>
        <v/>
      </c>
      <c r="K216" s="373" t="str">
        <f>NAV!$C$6</f>
        <v>포스코KAICI신기술사업투자조합제1호</v>
      </c>
      <c r="L216" s="375">
        <f>NAV!J184</f>
        <v>0</v>
      </c>
      <c r="M216" s="376">
        <f>NAV!N184</f>
        <v>0</v>
      </c>
      <c r="N216" s="376">
        <f>NAV!T184</f>
        <v>0</v>
      </c>
      <c r="O216" s="377">
        <f>IF(N216="장부가액 준용","장부가액 준용",IF(N216="취득원가 준용","취득원가 준용",NAV!R184))</f>
        <v>0</v>
      </c>
      <c r="P216" s="378">
        <f>NAV!W184</f>
        <v>0</v>
      </c>
      <c r="Q216" s="378">
        <f>NAV!S184</f>
        <v>0</v>
      </c>
      <c r="R216" s="737" t="str">
        <f>MID(NAV!U184,FIND("(",NAV!U184)+1,FIND(")", NAV!U184)-FIND("(",NAV!U184)-1)</f>
        <v>KRW</v>
      </c>
    </row>
    <row r="217" spans="1:18" ht="12.75" customHeight="1" outlineLevel="1" thickBot="1">
      <c r="A217" s="304">
        <f t="shared" si="4"/>
        <v>139</v>
      </c>
      <c r="B217" s="381" t="str">
        <f t="shared" si="14"/>
        <v/>
      </c>
      <c r="C217" s="380" t="str">
        <f t="shared" si="15"/>
        <v/>
      </c>
      <c r="D217" s="380" t="str">
        <f t="shared" si="16"/>
        <v/>
      </c>
      <c r="E217" s="304"/>
      <c r="J217" s="149" t="str">
        <f>IF(L217=0,"",COUNTA(L$75:$L217)+COUNT($F$75:$F$103))</f>
        <v/>
      </c>
      <c r="K217" s="373" t="str">
        <f>NAV!$C$6</f>
        <v>포스코KAICI신기술사업투자조합제1호</v>
      </c>
      <c r="L217" s="375">
        <f>NAV!J185</f>
        <v>0</v>
      </c>
      <c r="M217" s="376">
        <f>NAV!N185</f>
        <v>0</v>
      </c>
      <c r="N217" s="376">
        <f>NAV!T185</f>
        <v>0</v>
      </c>
      <c r="O217" s="377">
        <f>IF(N217="장부가액 준용","장부가액 준용",IF(N217="취득원가 준용","취득원가 준용",NAV!R185))</f>
        <v>0</v>
      </c>
      <c r="P217" s="378">
        <f>NAV!W185</f>
        <v>0</v>
      </c>
      <c r="Q217" s="378">
        <f>NAV!S185</f>
        <v>0</v>
      </c>
      <c r="R217" s="737" t="str">
        <f>MID(NAV!U185,FIND("(",NAV!U185)+1,FIND(")", NAV!U185)-FIND("(",NAV!U185)-1)</f>
        <v>KRW</v>
      </c>
    </row>
    <row r="218" spans="1:18" ht="12.75" customHeight="1" outlineLevel="1" thickBot="1">
      <c r="A218" s="304">
        <f t="shared" si="4"/>
        <v>140</v>
      </c>
      <c r="B218" s="381" t="str">
        <f t="shared" si="14"/>
        <v/>
      </c>
      <c r="C218" s="380" t="str">
        <f t="shared" si="15"/>
        <v/>
      </c>
      <c r="D218" s="380" t="str">
        <f t="shared" si="16"/>
        <v/>
      </c>
      <c r="E218" s="304"/>
      <c r="J218" s="149" t="str">
        <f>IF(L218=0,"",COUNTA(L$75:$L218)+COUNT($F$75:$F$103))</f>
        <v/>
      </c>
      <c r="K218" s="373" t="str">
        <f>NAV!$C$6</f>
        <v>포스코KAICI신기술사업투자조합제1호</v>
      </c>
      <c r="L218" s="375">
        <f>NAV!J186</f>
        <v>0</v>
      </c>
      <c r="M218" s="376">
        <f>NAV!N186</f>
        <v>0</v>
      </c>
      <c r="N218" s="376">
        <f>NAV!T186</f>
        <v>0</v>
      </c>
      <c r="O218" s="377">
        <f>IF(N218="장부가액 준용","장부가액 준용",IF(N218="취득원가 준용","취득원가 준용",NAV!R186))</f>
        <v>0</v>
      </c>
      <c r="P218" s="378">
        <f>NAV!W186</f>
        <v>0</v>
      </c>
      <c r="Q218" s="378">
        <f>NAV!S186</f>
        <v>0</v>
      </c>
      <c r="R218" s="737" t="str">
        <f>MID(NAV!U186,FIND("(",NAV!U186)+1,FIND(")", NAV!U186)-FIND("(",NAV!U186)-1)</f>
        <v>KRW</v>
      </c>
    </row>
    <row r="219" spans="1:18" ht="12.75" customHeight="1" outlineLevel="1" thickBot="1">
      <c r="A219" s="304">
        <f t="shared" si="4"/>
        <v>141</v>
      </c>
      <c r="B219" s="381" t="str">
        <f t="shared" si="14"/>
        <v/>
      </c>
      <c r="C219" s="380" t="str">
        <f t="shared" si="15"/>
        <v/>
      </c>
      <c r="D219" s="380" t="str">
        <f t="shared" si="16"/>
        <v/>
      </c>
      <c r="E219" s="304"/>
      <c r="J219" s="149" t="str">
        <f>IF(L219=0,"",COUNTA(L$75:$L219)+COUNT($F$75:$F$103))</f>
        <v/>
      </c>
      <c r="K219" s="373" t="str">
        <f>NAV!$C$6</f>
        <v>포스코KAICI신기술사업투자조합제1호</v>
      </c>
      <c r="L219" s="375">
        <f>NAV!J187</f>
        <v>0</v>
      </c>
      <c r="M219" s="376">
        <f>NAV!N187</f>
        <v>0</v>
      </c>
      <c r="N219" s="376">
        <f>NAV!T187</f>
        <v>0</v>
      </c>
      <c r="O219" s="377">
        <f>IF(N219="장부가액 준용","장부가액 준용",IF(N219="취득원가 준용","취득원가 준용",NAV!R187))</f>
        <v>0</v>
      </c>
      <c r="P219" s="378">
        <f>NAV!W187</f>
        <v>0</v>
      </c>
      <c r="Q219" s="378">
        <f>NAV!S187</f>
        <v>0</v>
      </c>
      <c r="R219" s="737" t="str">
        <f>MID(NAV!U187,FIND("(",NAV!U187)+1,FIND(")", NAV!U187)-FIND("(",NAV!U187)-1)</f>
        <v>KRW</v>
      </c>
    </row>
    <row r="220" spans="1:18" ht="12.75" customHeight="1" outlineLevel="1" thickBot="1">
      <c r="A220" s="304">
        <f t="shared" si="4"/>
        <v>142</v>
      </c>
      <c r="B220" s="381" t="str">
        <f t="shared" si="14"/>
        <v/>
      </c>
      <c r="C220" s="380" t="str">
        <f t="shared" si="15"/>
        <v/>
      </c>
      <c r="D220" s="380" t="str">
        <f t="shared" si="16"/>
        <v/>
      </c>
      <c r="E220" s="304"/>
      <c r="J220" s="149" t="str">
        <f>IF(L220=0,"",COUNTA(L$75:$L220)+COUNT($F$75:$F$103))</f>
        <v/>
      </c>
      <c r="K220" s="373" t="str">
        <f>NAV!$C$6</f>
        <v>포스코KAICI신기술사업투자조합제1호</v>
      </c>
      <c r="L220" s="375">
        <f>NAV!J188</f>
        <v>0</v>
      </c>
      <c r="M220" s="376">
        <f>NAV!N188</f>
        <v>0</v>
      </c>
      <c r="N220" s="376">
        <f>NAV!T188</f>
        <v>0</v>
      </c>
      <c r="O220" s="377">
        <f>IF(N220="장부가액 준용","장부가액 준용",IF(N220="취득원가 준용","취득원가 준용",NAV!R188))</f>
        <v>0</v>
      </c>
      <c r="P220" s="378">
        <f>NAV!W188</f>
        <v>0</v>
      </c>
      <c r="Q220" s="378">
        <f>NAV!S188</f>
        <v>0</v>
      </c>
      <c r="R220" s="737" t="str">
        <f>MID(NAV!U188,FIND("(",NAV!U188)+1,FIND(")", NAV!U188)-FIND("(",NAV!U188)-1)</f>
        <v>KRW</v>
      </c>
    </row>
    <row r="221" spans="1:18" ht="12.75" customHeight="1" outlineLevel="1" thickBot="1">
      <c r="A221" s="304">
        <f t="shared" si="4"/>
        <v>143</v>
      </c>
      <c r="B221" s="381" t="str">
        <f t="shared" si="14"/>
        <v/>
      </c>
      <c r="C221" s="380" t="str">
        <f t="shared" si="15"/>
        <v/>
      </c>
      <c r="D221" s="380" t="str">
        <f t="shared" si="16"/>
        <v/>
      </c>
      <c r="E221" s="304"/>
      <c r="J221" s="149" t="str">
        <f>IF(L221=0,"",COUNTA(L$75:$L221)+COUNT($F$75:$F$103))</f>
        <v/>
      </c>
      <c r="K221" s="373" t="str">
        <f>NAV!$C$6</f>
        <v>포스코KAICI신기술사업투자조합제1호</v>
      </c>
      <c r="L221" s="375">
        <f>NAV!J189</f>
        <v>0</v>
      </c>
      <c r="M221" s="376">
        <f>NAV!N189</f>
        <v>0</v>
      </c>
      <c r="N221" s="376">
        <f>NAV!T189</f>
        <v>0</v>
      </c>
      <c r="O221" s="377">
        <f>IF(N221="장부가액 준용","장부가액 준용",IF(N221="취득원가 준용","취득원가 준용",NAV!R189))</f>
        <v>0</v>
      </c>
      <c r="P221" s="378">
        <f>NAV!W189</f>
        <v>0</v>
      </c>
      <c r="Q221" s="378">
        <f>NAV!S189</f>
        <v>0</v>
      </c>
      <c r="R221" s="737" t="str">
        <f>MID(NAV!U189,FIND("(",NAV!U189)+1,FIND(")", NAV!U189)-FIND("(",NAV!U189)-1)</f>
        <v>KRW</v>
      </c>
    </row>
    <row r="222" spans="1:18" ht="12.75" customHeight="1" outlineLevel="1" thickBot="1">
      <c r="A222" s="304">
        <f t="shared" si="4"/>
        <v>144</v>
      </c>
      <c r="B222" s="381" t="str">
        <f t="shared" si="14"/>
        <v/>
      </c>
      <c r="C222" s="380" t="str">
        <f t="shared" si="15"/>
        <v/>
      </c>
      <c r="D222" s="380" t="str">
        <f t="shared" si="16"/>
        <v/>
      </c>
      <c r="E222" s="304"/>
      <c r="J222" s="149" t="str">
        <f>IF(L222=0,"",COUNTA(L$75:$L222)+COUNT($F$75:$F$103))</f>
        <v/>
      </c>
      <c r="K222" s="373" t="str">
        <f>NAV!$C$6</f>
        <v>포스코KAICI신기술사업투자조합제1호</v>
      </c>
      <c r="L222" s="375">
        <f>NAV!J190</f>
        <v>0</v>
      </c>
      <c r="M222" s="376">
        <f>NAV!N190</f>
        <v>0</v>
      </c>
      <c r="N222" s="376">
        <f>NAV!T190</f>
        <v>0</v>
      </c>
      <c r="O222" s="377">
        <f>IF(N222="장부가액 준용","장부가액 준용",IF(N222="취득원가 준용","취득원가 준용",NAV!R190))</f>
        <v>0</v>
      </c>
      <c r="P222" s="378">
        <f>NAV!W190</f>
        <v>0</v>
      </c>
      <c r="Q222" s="378">
        <f>NAV!S190</f>
        <v>0</v>
      </c>
      <c r="R222" s="737" t="str">
        <f>MID(NAV!U190,FIND("(",NAV!U190)+1,FIND(")", NAV!U190)-FIND("(",NAV!U190)-1)</f>
        <v>KRW</v>
      </c>
    </row>
    <row r="223" spans="1:18" ht="12.75" customHeight="1" outlineLevel="1" thickBot="1">
      <c r="A223" s="304">
        <f t="shared" si="4"/>
        <v>145</v>
      </c>
      <c r="B223" s="381" t="str">
        <f t="shared" si="14"/>
        <v/>
      </c>
      <c r="C223" s="380" t="str">
        <f t="shared" si="15"/>
        <v/>
      </c>
      <c r="D223" s="380" t="str">
        <f t="shared" si="16"/>
        <v/>
      </c>
      <c r="E223" s="304"/>
      <c r="J223" s="149" t="str">
        <f>IF(L223=0,"",COUNTA(L$75:$L223)+COUNT($F$75:$F$103))</f>
        <v/>
      </c>
      <c r="K223" s="373" t="str">
        <f>NAV!$C$6</f>
        <v>포스코KAICI신기술사업투자조합제1호</v>
      </c>
      <c r="L223" s="375">
        <f>NAV!J191</f>
        <v>0</v>
      </c>
      <c r="M223" s="376">
        <f>NAV!N191</f>
        <v>0</v>
      </c>
      <c r="N223" s="376">
        <f>NAV!T191</f>
        <v>0</v>
      </c>
      <c r="O223" s="377">
        <f>IF(N223="장부가액 준용","장부가액 준용",IF(N223="취득원가 준용","취득원가 준용",NAV!R191))</f>
        <v>0</v>
      </c>
      <c r="P223" s="378">
        <f>NAV!W191</f>
        <v>0</v>
      </c>
      <c r="Q223" s="378">
        <f>NAV!S191</f>
        <v>0</v>
      </c>
      <c r="R223" s="737" t="str">
        <f>MID(NAV!U191,FIND("(",NAV!U191)+1,FIND(")", NAV!U191)-FIND("(",NAV!U191)-1)</f>
        <v>KRW</v>
      </c>
    </row>
    <row r="224" spans="1:18" ht="12.75" customHeight="1" outlineLevel="1" thickBot="1">
      <c r="A224" s="304">
        <f t="shared" si="4"/>
        <v>146</v>
      </c>
      <c r="B224" s="381" t="str">
        <f t="shared" si="14"/>
        <v/>
      </c>
      <c r="C224" s="380" t="str">
        <f t="shared" si="15"/>
        <v/>
      </c>
      <c r="D224" s="380" t="str">
        <f t="shared" si="16"/>
        <v/>
      </c>
      <c r="E224" s="304"/>
      <c r="J224" s="149" t="str">
        <f>IF(L224=0,"",COUNTA(L$75:$L224)+COUNT($F$75:$F$103))</f>
        <v/>
      </c>
      <c r="K224" s="373" t="str">
        <f>NAV!$C$6</f>
        <v>포스코KAICI신기술사업투자조합제1호</v>
      </c>
      <c r="L224" s="375">
        <f>NAV!J192</f>
        <v>0</v>
      </c>
      <c r="M224" s="376">
        <f>NAV!N192</f>
        <v>0</v>
      </c>
      <c r="N224" s="376">
        <f>NAV!T192</f>
        <v>0</v>
      </c>
      <c r="O224" s="377">
        <f>IF(N224="장부가액 준용","장부가액 준용",IF(N224="취득원가 준용","취득원가 준용",NAV!R192))</f>
        <v>0</v>
      </c>
      <c r="P224" s="378">
        <f>NAV!W192</f>
        <v>0</v>
      </c>
      <c r="Q224" s="378">
        <f>NAV!S192</f>
        <v>0</v>
      </c>
      <c r="R224" s="737" t="str">
        <f>MID(NAV!U192,FIND("(",NAV!U192)+1,FIND(")", NAV!U192)-FIND("(",NAV!U192)-1)</f>
        <v>KRW</v>
      </c>
    </row>
    <row r="225" spans="1:11" ht="12.75" customHeight="1" outlineLevel="1" thickBot="1">
      <c r="A225" s="304">
        <f t="shared" si="4"/>
        <v>147</v>
      </c>
      <c r="B225" s="381" t="str">
        <f t="shared" si="14"/>
        <v/>
      </c>
      <c r="C225" s="380" t="str">
        <f t="shared" si="15"/>
        <v/>
      </c>
      <c r="D225" s="380" t="str">
        <f t="shared" si="16"/>
        <v/>
      </c>
      <c r="E225" s="304"/>
      <c r="K225" s="149" t="s">
        <v>3444</v>
      </c>
    </row>
    <row r="226" spans="1:11" ht="12.75" customHeight="1" outlineLevel="1" thickBot="1">
      <c r="A226" s="304">
        <f t="shared" si="4"/>
        <v>148</v>
      </c>
      <c r="B226" s="381" t="str">
        <f t="shared" si="14"/>
        <v/>
      </c>
      <c r="C226" s="380" t="str">
        <f t="shared" si="15"/>
        <v/>
      </c>
      <c r="D226" s="380" t="str">
        <f t="shared" si="16"/>
        <v/>
      </c>
      <c r="E226" s="304"/>
    </row>
    <row r="227" spans="1:11" ht="12.75" customHeight="1" outlineLevel="1" thickBot="1">
      <c r="A227" s="304">
        <f t="shared" si="4"/>
        <v>149</v>
      </c>
      <c r="B227" s="381" t="str">
        <f t="shared" si="14"/>
        <v/>
      </c>
      <c r="C227" s="380" t="str">
        <f t="shared" si="15"/>
        <v/>
      </c>
      <c r="D227" s="380" t="str">
        <f t="shared" si="16"/>
        <v/>
      </c>
      <c r="E227" s="304"/>
    </row>
    <row r="228" spans="1:11" ht="12.75" customHeight="1" outlineLevel="1" thickBot="1">
      <c r="A228" s="304">
        <f t="shared" si="4"/>
        <v>150</v>
      </c>
      <c r="B228" s="381" t="str">
        <f t="shared" si="14"/>
        <v/>
      </c>
      <c r="C228" s="380" t="str">
        <f t="shared" si="15"/>
        <v/>
      </c>
      <c r="D228" s="380" t="str">
        <f t="shared" si="16"/>
        <v/>
      </c>
      <c r="E228" s="304"/>
    </row>
    <row r="229" spans="1:11" ht="12.75" customHeight="1" outlineLevel="1" thickBot="1">
      <c r="A229" s="304">
        <f t="shared" si="4"/>
        <v>151</v>
      </c>
      <c r="B229" s="381" t="str">
        <f t="shared" si="14"/>
        <v/>
      </c>
      <c r="C229" s="380" t="str">
        <f t="shared" si="15"/>
        <v/>
      </c>
      <c r="D229" s="380" t="str">
        <f t="shared" si="16"/>
        <v/>
      </c>
      <c r="E229" s="304"/>
    </row>
    <row r="230" spans="1:11" ht="12.75" customHeight="1" outlineLevel="1" thickBot="1">
      <c r="A230" s="304">
        <f t="shared" si="4"/>
        <v>152</v>
      </c>
      <c r="B230" s="381" t="str">
        <f t="shared" si="14"/>
        <v/>
      </c>
      <c r="C230" s="380" t="str">
        <f t="shared" si="15"/>
        <v/>
      </c>
      <c r="D230" s="380" t="str">
        <f t="shared" si="16"/>
        <v/>
      </c>
      <c r="E230" s="304"/>
    </row>
    <row r="231" spans="1:11" ht="12.75" customHeight="1" outlineLevel="1" thickBot="1">
      <c r="A231" s="304">
        <f t="shared" si="4"/>
        <v>153</v>
      </c>
      <c r="B231" s="381" t="str">
        <f t="shared" si="14"/>
        <v/>
      </c>
      <c r="C231" s="380" t="str">
        <f t="shared" si="15"/>
        <v/>
      </c>
      <c r="D231" s="380" t="str">
        <f t="shared" si="16"/>
        <v/>
      </c>
      <c r="E231" s="304"/>
    </row>
    <row r="232" spans="1:11" ht="12.75" customHeight="1" outlineLevel="1" thickBot="1">
      <c r="A232" s="304">
        <f t="shared" si="4"/>
        <v>154</v>
      </c>
      <c r="B232" s="381" t="str">
        <f t="shared" si="14"/>
        <v/>
      </c>
      <c r="C232" s="380" t="str">
        <f t="shared" si="15"/>
        <v/>
      </c>
      <c r="D232" s="380" t="str">
        <f t="shared" si="16"/>
        <v/>
      </c>
      <c r="E232" s="304"/>
    </row>
    <row r="233" spans="1:11" ht="12.75" customHeight="1" outlineLevel="1" thickBot="1">
      <c r="A233" s="304">
        <f t="shared" si="4"/>
        <v>155</v>
      </c>
      <c r="B233" s="381" t="str">
        <f t="shared" si="14"/>
        <v/>
      </c>
      <c r="C233" s="380" t="str">
        <f t="shared" si="15"/>
        <v/>
      </c>
      <c r="D233" s="380" t="str">
        <f t="shared" si="16"/>
        <v/>
      </c>
      <c r="E233" s="304"/>
    </row>
    <row r="234" spans="1:11" ht="12.75" customHeight="1" outlineLevel="1" thickBot="1">
      <c r="A234" s="304">
        <f t="shared" si="4"/>
        <v>156</v>
      </c>
      <c r="B234" s="381" t="str">
        <f t="shared" si="14"/>
        <v/>
      </c>
      <c r="C234" s="380" t="str">
        <f t="shared" si="15"/>
        <v/>
      </c>
      <c r="D234" s="380" t="str">
        <f t="shared" si="16"/>
        <v/>
      </c>
      <c r="E234" s="304"/>
    </row>
    <row r="235" spans="1:11" ht="12.75" customHeight="1" outlineLevel="1" thickBot="1">
      <c r="A235" s="304">
        <f t="shared" si="4"/>
        <v>157</v>
      </c>
      <c r="B235" s="381" t="str">
        <f t="shared" si="14"/>
        <v/>
      </c>
      <c r="C235" s="380" t="str">
        <f t="shared" si="15"/>
        <v/>
      </c>
      <c r="D235" s="380" t="str">
        <f t="shared" si="16"/>
        <v/>
      </c>
      <c r="E235" s="304"/>
    </row>
    <row r="236" spans="1:11" ht="12.75" customHeight="1" outlineLevel="1" thickBot="1">
      <c r="A236" s="304">
        <f t="shared" si="4"/>
        <v>158</v>
      </c>
      <c r="B236" s="381" t="str">
        <f t="shared" ref="B236:B257" si="17">IFERROR(IF(F236=A236,VLOOKUP(A236,$F$74:$I$229,2,0),VLOOKUP(A236,$J$74:$Q$225,3,0)&amp;" "&amp;VLOOKUP(A236,$J$74:$Q$225,4,0)),"")</f>
        <v/>
      </c>
      <c r="C236" s="380" t="str">
        <f t="shared" ref="C236:C257" si="18">IFERROR(IF(F236=A236,VLOOKUP(A236,$F$74:$I$229,3,0),VLOOKUP(A236,$J$74:$Q$225,7,0)),"")</f>
        <v/>
      </c>
      <c r="D236" s="380" t="str">
        <f t="shared" ref="D236:D257" si="19">IFERROR(IF(F236=A236,VLOOKUP(A236,$F$74:$I$229,4,0),VLOOKUP(A236,$J$74:$Q$225,8,0)),"")</f>
        <v/>
      </c>
      <c r="E236" s="304"/>
    </row>
    <row r="237" spans="1:11" ht="12.75" customHeight="1" outlineLevel="1" thickBot="1">
      <c r="A237" s="304">
        <f t="shared" si="4"/>
        <v>159</v>
      </c>
      <c r="B237" s="381" t="str">
        <f t="shared" si="17"/>
        <v/>
      </c>
      <c r="C237" s="380" t="str">
        <f t="shared" si="18"/>
        <v/>
      </c>
      <c r="D237" s="380" t="str">
        <f t="shared" si="19"/>
        <v/>
      </c>
      <c r="E237" s="304"/>
    </row>
    <row r="238" spans="1:11" ht="12.75" customHeight="1" outlineLevel="1" thickBot="1">
      <c r="A238" s="304">
        <f t="shared" si="4"/>
        <v>160</v>
      </c>
      <c r="B238" s="381" t="str">
        <f t="shared" si="17"/>
        <v/>
      </c>
      <c r="C238" s="380" t="str">
        <f t="shared" si="18"/>
        <v/>
      </c>
      <c r="D238" s="380" t="str">
        <f t="shared" si="19"/>
        <v/>
      </c>
      <c r="E238" s="304"/>
    </row>
    <row r="239" spans="1:11" ht="12.75" customHeight="1" outlineLevel="1" thickBot="1">
      <c r="A239" s="304">
        <f t="shared" si="4"/>
        <v>161</v>
      </c>
      <c r="B239" s="381" t="str">
        <f t="shared" si="17"/>
        <v/>
      </c>
      <c r="C239" s="380" t="str">
        <f t="shared" si="18"/>
        <v/>
      </c>
      <c r="D239" s="380" t="str">
        <f t="shared" si="19"/>
        <v/>
      </c>
      <c r="E239" s="304"/>
    </row>
    <row r="240" spans="1:11" ht="12.75" customHeight="1" outlineLevel="1" thickBot="1">
      <c r="A240" s="304">
        <f t="shared" si="4"/>
        <v>162</v>
      </c>
      <c r="B240" s="381" t="str">
        <f t="shared" si="17"/>
        <v/>
      </c>
      <c r="C240" s="380" t="str">
        <f t="shared" si="18"/>
        <v/>
      </c>
      <c r="D240" s="380" t="str">
        <f t="shared" si="19"/>
        <v/>
      </c>
      <c r="E240" s="304"/>
    </row>
    <row r="241" spans="1:5" ht="12.75" customHeight="1" outlineLevel="1" thickBot="1">
      <c r="A241" s="304">
        <f t="shared" si="4"/>
        <v>163</v>
      </c>
      <c r="B241" s="381" t="str">
        <f t="shared" si="17"/>
        <v/>
      </c>
      <c r="C241" s="380" t="str">
        <f t="shared" si="18"/>
        <v/>
      </c>
      <c r="D241" s="380" t="str">
        <f t="shared" si="19"/>
        <v/>
      </c>
      <c r="E241" s="304"/>
    </row>
    <row r="242" spans="1:5" ht="12.75" customHeight="1" outlineLevel="1" thickBot="1">
      <c r="A242" s="304">
        <f t="shared" si="4"/>
        <v>164</v>
      </c>
      <c r="B242" s="381" t="str">
        <f t="shared" si="17"/>
        <v/>
      </c>
      <c r="C242" s="380" t="str">
        <f t="shared" si="18"/>
        <v/>
      </c>
      <c r="D242" s="380" t="str">
        <f t="shared" si="19"/>
        <v/>
      </c>
      <c r="E242" s="304"/>
    </row>
    <row r="243" spans="1:5" ht="12.75" customHeight="1" outlineLevel="1" thickBot="1">
      <c r="A243" s="304">
        <f t="shared" si="4"/>
        <v>165</v>
      </c>
      <c r="B243" s="381" t="str">
        <f t="shared" si="17"/>
        <v/>
      </c>
      <c r="C243" s="380" t="str">
        <f t="shared" si="18"/>
        <v/>
      </c>
      <c r="D243" s="380" t="str">
        <f t="shared" si="19"/>
        <v/>
      </c>
      <c r="E243" s="304"/>
    </row>
    <row r="244" spans="1:5" ht="12.75" customHeight="1" outlineLevel="1" thickBot="1">
      <c r="A244" s="304">
        <f t="shared" si="4"/>
        <v>166</v>
      </c>
      <c r="B244" s="381" t="str">
        <f t="shared" si="17"/>
        <v/>
      </c>
      <c r="C244" s="380" t="str">
        <f t="shared" si="18"/>
        <v/>
      </c>
      <c r="D244" s="380" t="str">
        <f t="shared" si="19"/>
        <v/>
      </c>
      <c r="E244" s="304"/>
    </row>
    <row r="245" spans="1:5" ht="12.75" customHeight="1" outlineLevel="1" thickBot="1">
      <c r="A245" s="304">
        <f t="shared" ref="A245:A257" si="20">A244+1</f>
        <v>167</v>
      </c>
      <c r="B245" s="381" t="str">
        <f t="shared" si="17"/>
        <v/>
      </c>
      <c r="C245" s="380" t="str">
        <f t="shared" si="18"/>
        <v/>
      </c>
      <c r="D245" s="380" t="str">
        <f t="shared" si="19"/>
        <v/>
      </c>
      <c r="E245" s="304"/>
    </row>
    <row r="246" spans="1:5" ht="12.75" customHeight="1" outlineLevel="1" thickBot="1">
      <c r="A246" s="304">
        <f t="shared" si="20"/>
        <v>168</v>
      </c>
      <c r="B246" s="381" t="str">
        <f t="shared" si="17"/>
        <v/>
      </c>
      <c r="C246" s="380" t="str">
        <f t="shared" si="18"/>
        <v/>
      </c>
      <c r="D246" s="380" t="str">
        <f t="shared" si="19"/>
        <v/>
      </c>
      <c r="E246" s="304"/>
    </row>
    <row r="247" spans="1:5" ht="12.75" customHeight="1" outlineLevel="1" thickBot="1">
      <c r="A247" s="304">
        <f t="shared" si="20"/>
        <v>169</v>
      </c>
      <c r="B247" s="381" t="str">
        <f t="shared" si="17"/>
        <v/>
      </c>
      <c r="C247" s="380" t="str">
        <f t="shared" si="18"/>
        <v/>
      </c>
      <c r="D247" s="380" t="str">
        <f t="shared" si="19"/>
        <v/>
      </c>
      <c r="E247" s="304"/>
    </row>
    <row r="248" spans="1:5" ht="12.75" customHeight="1" outlineLevel="1" thickBot="1">
      <c r="A248" s="304">
        <f t="shared" si="20"/>
        <v>170</v>
      </c>
      <c r="B248" s="381" t="str">
        <f t="shared" si="17"/>
        <v/>
      </c>
      <c r="C248" s="380" t="str">
        <f t="shared" si="18"/>
        <v/>
      </c>
      <c r="D248" s="380" t="str">
        <f t="shared" si="19"/>
        <v/>
      </c>
      <c r="E248" s="304"/>
    </row>
    <row r="249" spans="1:5" ht="12.75" customHeight="1" outlineLevel="1" thickBot="1">
      <c r="A249" s="304">
        <f t="shared" si="20"/>
        <v>171</v>
      </c>
      <c r="B249" s="381" t="str">
        <f t="shared" si="17"/>
        <v/>
      </c>
      <c r="C249" s="380" t="str">
        <f t="shared" si="18"/>
        <v/>
      </c>
      <c r="D249" s="380" t="str">
        <f t="shared" si="19"/>
        <v/>
      </c>
      <c r="E249" s="304"/>
    </row>
    <row r="250" spans="1:5" ht="12.75" customHeight="1" outlineLevel="1" thickBot="1">
      <c r="A250" s="304">
        <f t="shared" si="20"/>
        <v>172</v>
      </c>
      <c r="B250" s="381" t="str">
        <f t="shared" si="17"/>
        <v/>
      </c>
      <c r="C250" s="380" t="str">
        <f t="shared" si="18"/>
        <v/>
      </c>
      <c r="D250" s="380" t="str">
        <f t="shared" si="19"/>
        <v/>
      </c>
      <c r="E250" s="304"/>
    </row>
    <row r="251" spans="1:5" ht="12.75" customHeight="1" outlineLevel="1" thickBot="1">
      <c r="A251" s="304">
        <f t="shared" si="20"/>
        <v>173</v>
      </c>
      <c r="B251" s="381" t="str">
        <f t="shared" si="17"/>
        <v/>
      </c>
      <c r="C251" s="380" t="str">
        <f t="shared" si="18"/>
        <v/>
      </c>
      <c r="D251" s="380" t="str">
        <f t="shared" si="19"/>
        <v/>
      </c>
      <c r="E251" s="304"/>
    </row>
    <row r="252" spans="1:5" ht="12.75" customHeight="1" outlineLevel="1" thickBot="1">
      <c r="A252" s="304">
        <f t="shared" si="20"/>
        <v>174</v>
      </c>
      <c r="B252" s="381" t="str">
        <f t="shared" si="17"/>
        <v/>
      </c>
      <c r="C252" s="380" t="str">
        <f t="shared" si="18"/>
        <v/>
      </c>
      <c r="D252" s="380" t="str">
        <f t="shared" si="19"/>
        <v/>
      </c>
      <c r="E252" s="304"/>
    </row>
    <row r="253" spans="1:5" ht="12.75" customHeight="1" outlineLevel="1" thickBot="1">
      <c r="A253" s="304">
        <f t="shared" si="20"/>
        <v>175</v>
      </c>
      <c r="B253" s="381" t="str">
        <f t="shared" si="17"/>
        <v/>
      </c>
      <c r="C253" s="380" t="str">
        <f t="shared" si="18"/>
        <v/>
      </c>
      <c r="D253" s="380" t="str">
        <f t="shared" si="19"/>
        <v/>
      </c>
      <c r="E253" s="304"/>
    </row>
    <row r="254" spans="1:5" ht="12.75" customHeight="1" outlineLevel="1" thickBot="1">
      <c r="A254" s="304">
        <f t="shared" si="20"/>
        <v>176</v>
      </c>
      <c r="B254" s="381" t="str">
        <f t="shared" si="17"/>
        <v/>
      </c>
      <c r="C254" s="380" t="str">
        <f t="shared" si="18"/>
        <v/>
      </c>
      <c r="D254" s="380" t="str">
        <f t="shared" si="19"/>
        <v/>
      </c>
      <c r="E254" s="304"/>
    </row>
    <row r="255" spans="1:5" ht="12.75" customHeight="1" outlineLevel="1" thickBot="1">
      <c r="A255" s="304">
        <f t="shared" si="20"/>
        <v>177</v>
      </c>
      <c r="B255" s="381" t="str">
        <f t="shared" si="17"/>
        <v/>
      </c>
      <c r="C255" s="380" t="str">
        <f t="shared" si="18"/>
        <v/>
      </c>
      <c r="D255" s="380" t="str">
        <f t="shared" si="19"/>
        <v/>
      </c>
      <c r="E255" s="304"/>
    </row>
    <row r="256" spans="1:5" ht="12.75" customHeight="1" outlineLevel="1" thickBot="1">
      <c r="A256" s="304">
        <f t="shared" si="20"/>
        <v>178</v>
      </c>
      <c r="B256" s="381" t="str">
        <f t="shared" si="17"/>
        <v/>
      </c>
      <c r="C256" s="380" t="str">
        <f t="shared" si="18"/>
        <v/>
      </c>
      <c r="D256" s="380" t="str">
        <f t="shared" si="19"/>
        <v/>
      </c>
      <c r="E256" s="304"/>
    </row>
    <row r="257" spans="1:5" ht="12.75" customHeight="1" outlineLevel="1" thickBot="1">
      <c r="A257" s="304">
        <f t="shared" si="20"/>
        <v>179</v>
      </c>
      <c r="B257" s="381" t="str">
        <f t="shared" si="17"/>
        <v/>
      </c>
      <c r="C257" s="380" t="str">
        <f t="shared" si="18"/>
        <v/>
      </c>
      <c r="D257" s="380" t="str">
        <f t="shared" si="19"/>
        <v/>
      </c>
      <c r="E257" s="304"/>
    </row>
    <row r="258" spans="1:5" ht="12.75" thickBot="1">
      <c r="A258" s="304"/>
      <c r="B258" s="382" t="s">
        <v>2</v>
      </c>
      <c r="C258" s="372">
        <f>SUM(C75,C78)</f>
        <v>10017304014</v>
      </c>
      <c r="D258" s="383">
        <f>SUM(D75,D78)</f>
        <v>25979106234</v>
      </c>
      <c r="E258" s="304"/>
    </row>
    <row r="259" spans="1:5" ht="12.75" thickBot="1">
      <c r="A259" s="304"/>
      <c r="B259" s="382" t="s">
        <v>30</v>
      </c>
      <c r="C259" s="819">
        <f>NAV!E25</f>
        <v>107420000</v>
      </c>
      <c r="D259" s="820"/>
      <c r="E259" s="304"/>
    </row>
    <row r="260" spans="1:5" ht="12.75" thickBot="1">
      <c r="A260" s="304"/>
      <c r="B260" s="382" t="s">
        <v>31</v>
      </c>
      <c r="C260" s="819">
        <f>D258-C259</f>
        <v>25871686234</v>
      </c>
      <c r="D260" s="820"/>
      <c r="E260" s="304"/>
    </row>
    <row r="261" spans="1:5" ht="12.75" thickBot="1">
      <c r="A261" s="304"/>
      <c r="B261" s="382" t="s">
        <v>745</v>
      </c>
      <c r="C261" s="819">
        <f>NAV!E30</f>
        <v>0</v>
      </c>
      <c r="D261" s="820"/>
    </row>
    <row r="262" spans="1:5" ht="12.75" thickBot="1">
      <c r="A262" s="304"/>
      <c r="B262" s="382" t="s">
        <v>965</v>
      </c>
      <c r="C262" s="819">
        <f>NAV!E31</f>
        <v>0</v>
      </c>
      <c r="D262" s="820"/>
    </row>
    <row r="263" spans="1:5" ht="12.75" thickBot="1">
      <c r="B263" s="382" t="s">
        <v>744</v>
      </c>
      <c r="C263" s="819">
        <f>NAV!E32</f>
        <v>25871686234</v>
      </c>
      <c r="D263" s="820"/>
    </row>
    <row r="264" spans="1:5" ht="12.75" thickBot="1">
      <c r="B264" s="382" t="s">
        <v>3446</v>
      </c>
      <c r="C264" s="819">
        <f>NAV!E37</f>
        <v>10500000000</v>
      </c>
      <c r="D264" s="820"/>
      <c r="E264" s="304"/>
    </row>
    <row r="265" spans="1:5" ht="12.75" thickBot="1">
      <c r="B265" s="382" t="s">
        <v>32</v>
      </c>
      <c r="C265" s="813">
        <f>IFERROR(C263/C264,0)</f>
        <v>2.4639701175238096</v>
      </c>
      <c r="D265" s="814"/>
      <c r="E265" s="384" t="b">
        <f>C265=D16</f>
        <v>0</v>
      </c>
    </row>
    <row r="266" spans="1:5" ht="12.75" thickBot="1">
      <c r="B266" s="385" t="str">
        <f>LEFT(NAV!D40,9)&amp;" 좌당 순자산가치"</f>
        <v>우선분배 반영 후 좌당 순자산가치</v>
      </c>
      <c r="C266" s="813" t="str">
        <f>IF(NAV!E40="","해당 없음",NAV!E40)</f>
        <v>해당 없음</v>
      </c>
      <c r="D266" s="814"/>
      <c r="E266" s="349" t="s">
        <v>860</v>
      </c>
    </row>
    <row r="267" spans="1:5" ht="12.75" thickBot="1">
      <c r="B267" s="385" t="s">
        <v>51</v>
      </c>
      <c r="C267" s="813">
        <f>IF(NAV!E41="","해당 없음",NAV!E41)</f>
        <v>2.2156856236637315</v>
      </c>
      <c r="D267" s="814"/>
      <c r="E267" s="349" t="s">
        <v>860</v>
      </c>
    </row>
    <row r="268" spans="1:5">
      <c r="C268" s="386"/>
      <c r="D268" s="386"/>
      <c r="E268" s="349"/>
    </row>
    <row r="269" spans="1:5" ht="12.75" thickBot="1">
      <c r="B269" s="148" t="s">
        <v>61</v>
      </c>
    </row>
    <row r="270" spans="1:5" ht="12.75" thickBot="1">
      <c r="B270" s="343" t="s">
        <v>4</v>
      </c>
      <c r="C270" s="352" t="s">
        <v>47</v>
      </c>
      <c r="D270" s="352" t="s">
        <v>3</v>
      </c>
    </row>
    <row r="271" spans="1:5" ht="12.75" thickBot="1">
      <c r="B271" s="387" t="s">
        <v>52</v>
      </c>
      <c r="C271" s="356" t="s">
        <v>53</v>
      </c>
      <c r="D271" s="388">
        <f>D15</f>
        <v>25871686234</v>
      </c>
    </row>
    <row r="272" spans="1:5" ht="12.75" thickBot="1"/>
    <row r="273" spans="1:7" ht="12.75" thickBot="1">
      <c r="B273" s="343" t="s">
        <v>3438</v>
      </c>
      <c r="C273" s="352" t="s">
        <v>20</v>
      </c>
      <c r="D273" s="352" t="s">
        <v>3439</v>
      </c>
    </row>
    <row r="274" spans="1:7" ht="12.75" thickBot="1">
      <c r="B274" s="389">
        <f>D271</f>
        <v>25871686234</v>
      </c>
      <c r="C274" s="390">
        <f>C264</f>
        <v>10500000000</v>
      </c>
      <c r="D274" s="391">
        <f>D16</f>
        <v>2.2156856236637315</v>
      </c>
    </row>
    <row r="275" spans="1:7">
      <c r="B275" s="149" t="s">
        <v>3448</v>
      </c>
    </row>
    <row r="277" spans="1:7" ht="12.75" thickBot="1">
      <c r="B277" s="148" t="s">
        <v>247</v>
      </c>
    </row>
    <row r="278" spans="1:7" ht="12.75" thickBot="1">
      <c r="B278" s="392" t="s">
        <v>23</v>
      </c>
      <c r="C278" s="369" t="s">
        <v>24</v>
      </c>
      <c r="D278" s="369" t="s">
        <v>25</v>
      </c>
      <c r="E278" s="369" t="s">
        <v>26</v>
      </c>
    </row>
    <row r="279" spans="1:7" ht="12.75" thickBot="1">
      <c r="B279" s="393" t="s">
        <v>19</v>
      </c>
      <c r="C279" s="380">
        <f>NAV!D45</f>
        <v>30417136234</v>
      </c>
      <c r="D279" s="380">
        <f>B274</f>
        <v>25871686234</v>
      </c>
      <c r="E279" s="380">
        <f>NAV!E45</f>
        <v>22688962144</v>
      </c>
    </row>
    <row r="280" spans="1:7" ht="12.75" thickBot="1">
      <c r="B280" s="393" t="s">
        <v>197</v>
      </c>
      <c r="C280" s="380">
        <f>D280</f>
        <v>10500000000</v>
      </c>
      <c r="D280" s="380">
        <f>C274</f>
        <v>10500000000</v>
      </c>
      <c r="E280" s="380">
        <f>D280</f>
        <v>10500000000</v>
      </c>
    </row>
    <row r="281" spans="1:7" ht="12.75" thickBot="1">
      <c r="B281" s="393" t="s">
        <v>33</v>
      </c>
      <c r="C281" s="394">
        <f>ROUND(C279/C280,3)</f>
        <v>2.8969999999999998</v>
      </c>
      <c r="D281" s="394">
        <f>ROUND(D279/D280,3)</f>
        <v>2.464</v>
      </c>
      <c r="E281" s="394">
        <f>ROUND(E279/E280,3)</f>
        <v>2.161</v>
      </c>
    </row>
    <row r="282" spans="1:7" ht="12.75" thickBot="1">
      <c r="B282" s="395" t="s">
        <v>3449</v>
      </c>
      <c r="C282" s="396">
        <f>NAV!D49</f>
        <v>0</v>
      </c>
      <c r="D282" s="396">
        <f>NAV!E40</f>
        <v>0</v>
      </c>
      <c r="E282" s="396">
        <f>NAV!E49</f>
        <v>0</v>
      </c>
    </row>
    <row r="283" spans="1:7" ht="12.75" thickBot="1">
      <c r="B283" s="395" t="s">
        <v>124</v>
      </c>
      <c r="C283" s="396">
        <f>NAV!D50</f>
        <v>0</v>
      </c>
      <c r="D283" s="396">
        <f>NAV!E41</f>
        <v>2.2156856236637315</v>
      </c>
      <c r="E283" s="396">
        <f>NAV!E50</f>
        <v>0</v>
      </c>
    </row>
    <row r="284" spans="1:7" ht="12.75" customHeight="1"/>
    <row r="285" spans="1:7" s="397" customFormat="1">
      <c r="B285" s="398" t="s">
        <v>755</v>
      </c>
    </row>
    <row r="287" spans="1:7">
      <c r="B287" s="148" t="s">
        <v>747</v>
      </c>
      <c r="G287" s="148" t="s">
        <v>748</v>
      </c>
    </row>
    <row r="288" spans="1:7">
      <c r="A288" s="149">
        <v>1</v>
      </c>
      <c r="B288" s="399" t="str">
        <f>NAV!B199</f>
        <v>SPC없음</v>
      </c>
      <c r="G288" s="399" t="str">
        <f>B288</f>
        <v>SPC없음</v>
      </c>
    </row>
    <row r="289" spans="1:18">
      <c r="B289" s="399" t="str">
        <f>NAV!C200</f>
        <v>SPC없음</v>
      </c>
      <c r="G289" s="399" t="str">
        <f>B289</f>
        <v>SPC없음</v>
      </c>
    </row>
    <row r="290" spans="1:18" s="216" customFormat="1" ht="12.75" thickBot="1">
      <c r="B290" s="215" t="s">
        <v>750</v>
      </c>
      <c r="F290" s="149"/>
      <c r="G290" s="215" t="s">
        <v>751</v>
      </c>
      <c r="J290" s="149"/>
      <c r="K290" s="215" t="s">
        <v>752</v>
      </c>
      <c r="L290" s="149"/>
      <c r="M290" s="149"/>
      <c r="N290" s="149"/>
      <c r="O290" s="149"/>
      <c r="P290" s="149"/>
    </row>
    <row r="291" spans="1:18" ht="12.75" thickBot="1">
      <c r="B291" s="366" t="s">
        <v>27</v>
      </c>
      <c r="C291" s="367" t="s">
        <v>28</v>
      </c>
      <c r="D291" s="367" t="s">
        <v>29</v>
      </c>
      <c r="F291" s="368" t="s">
        <v>3461</v>
      </c>
      <c r="G291" s="353" t="str">
        <f>$G$74</f>
        <v>SPC명</v>
      </c>
      <c r="H291" s="369" t="s">
        <v>3199</v>
      </c>
      <c r="I291" s="369" t="s">
        <v>753</v>
      </c>
      <c r="J291" s="368" t="s">
        <v>3461</v>
      </c>
      <c r="K291" s="353" t="s">
        <v>3440</v>
      </c>
      <c r="L291" s="353" t="str">
        <f>$L$74</f>
        <v>투자자산명</v>
      </c>
      <c r="M291" s="358" t="s">
        <v>754</v>
      </c>
      <c r="N291" s="358" t="s">
        <v>47</v>
      </c>
      <c r="O291" s="369" t="s">
        <v>6836</v>
      </c>
      <c r="P291" s="400" t="s">
        <v>3460</v>
      </c>
      <c r="Q291" s="370" t="s">
        <v>3463</v>
      </c>
      <c r="R291" s="370" t="s">
        <v>6833</v>
      </c>
    </row>
    <row r="292" spans="1:18" ht="12.75" thickBot="1">
      <c r="B292" s="371" t="s">
        <v>3441</v>
      </c>
      <c r="C292" s="372">
        <f>SUM(C293:C294)</f>
        <v>0</v>
      </c>
      <c r="D292" s="372">
        <f>SUM(D293:D294)</f>
        <v>0</v>
      </c>
      <c r="F292" s="149" t="str">
        <f>IF(G292=0,"",COUNTA(G292:$G$292))</f>
        <v/>
      </c>
      <c r="G292" s="373">
        <f>IF(NAV!L205="SPC 없음",0,NAV!L205)</f>
        <v>0</v>
      </c>
      <c r="H292" s="374">
        <f>NAV!W205</f>
        <v>0</v>
      </c>
      <c r="I292" s="374" t="str">
        <f>NAV!S205</f>
        <v>SPC 없음</v>
      </c>
      <c r="J292" s="149" t="str">
        <f>IF(L292=0,"",COUNTA(L292:$L$292)+COUNT($F$292:$F$297))</f>
        <v/>
      </c>
      <c r="K292" s="373">
        <f>IF($B289="SPC없음",0,$B289)</f>
        <v>0</v>
      </c>
      <c r="L292" s="375">
        <f>NAV!J213</f>
        <v>0</v>
      </c>
      <c r="M292" s="376">
        <f>NAV!N213</f>
        <v>0</v>
      </c>
      <c r="N292" s="376">
        <f>NAV!T213</f>
        <v>0</v>
      </c>
      <c r="O292" s="377">
        <f>IF(N292="장부가액 준용","장부가액 준용",IF(N292="취득원가 준용","취득원가 준용",NAV!R213))</f>
        <v>0</v>
      </c>
      <c r="P292" s="377">
        <f>NAV!W213</f>
        <v>0</v>
      </c>
      <c r="Q292" s="377">
        <f>NAV!S213</f>
        <v>0</v>
      </c>
      <c r="R292" s="737" t="str">
        <f>MID(NAV!U213,FIND("(",NAV!U213)+1,FIND(")", NAV!U213)-FIND("(",NAV!U213)-1)</f>
        <v>KRW</v>
      </c>
    </row>
    <row r="293" spans="1:18" ht="12.75" thickBot="1">
      <c r="B293" s="379" t="s">
        <v>3464</v>
      </c>
      <c r="C293" s="380">
        <f>NAV!D206</f>
        <v>0</v>
      </c>
      <c r="D293" s="380">
        <f>NAV!E206</f>
        <v>0</v>
      </c>
      <c r="F293" s="149" t="str">
        <f>IF(G293=0,"",COUNTA(G$292:$G293))</f>
        <v/>
      </c>
      <c r="G293" s="373">
        <f>IF(NAV!L206="SPC 없음",0,NAV!L206)</f>
        <v>0</v>
      </c>
      <c r="H293" s="374">
        <f>NAV!W206</f>
        <v>0</v>
      </c>
      <c r="I293" s="374" t="str">
        <f>NAV!S206</f>
        <v>SPC 없음</v>
      </c>
      <c r="J293" s="149" t="str">
        <f>IF(L293=0,"",COUNTA(L$292:$L293)+COUNT($F$292:$F$297))</f>
        <v/>
      </c>
      <c r="K293" s="373">
        <f t="shared" ref="K293:K302" si="21">K292</f>
        <v>0</v>
      </c>
      <c r="L293" s="375">
        <f>NAV!J214</f>
        <v>0</v>
      </c>
      <c r="M293" s="376">
        <f>NAV!N214</f>
        <v>0</v>
      </c>
      <c r="N293" s="376">
        <f>NAV!T214</f>
        <v>0</v>
      </c>
      <c r="O293" s="377">
        <f>IF(N293="장부가액 준용","장부가액 준용",IF(N293="취득원가 준용","취득원가 준용",NAV!R214))</f>
        <v>0</v>
      </c>
      <c r="P293" s="377">
        <f>NAV!W214</f>
        <v>0</v>
      </c>
      <c r="Q293" s="377">
        <f>NAV!S214</f>
        <v>0</v>
      </c>
      <c r="R293" s="737" t="str">
        <f>MID(NAV!U214,FIND("(",NAV!U214)+1,FIND(")", NAV!U214)-FIND("(",NAV!U214)-1)</f>
        <v>KRW</v>
      </c>
    </row>
    <row r="294" spans="1:18" ht="12.75" thickBot="1">
      <c r="B294" s="379" t="s">
        <v>156</v>
      </c>
      <c r="C294" s="380">
        <f>NAV!D207</f>
        <v>0</v>
      </c>
      <c r="D294" s="380">
        <f>NAV!E207</f>
        <v>0</v>
      </c>
      <c r="F294" s="149" t="str">
        <f>IF(G294=0,"",COUNTA(G$292:$G294))</f>
        <v/>
      </c>
      <c r="G294" s="373">
        <f>IF(NAV!L207="SPC 없음",0,NAV!L207)</f>
        <v>0</v>
      </c>
      <c r="H294" s="374">
        <f>NAV!W207</f>
        <v>0</v>
      </c>
      <c r="I294" s="374" t="str">
        <f>NAV!S207</f>
        <v>SPC 없음</v>
      </c>
      <c r="J294" s="149" t="str">
        <f>IF(L294=0,"",COUNTA(L$292:$L294)+COUNT($F$292:$F$297))</f>
        <v/>
      </c>
      <c r="K294" s="373">
        <f t="shared" si="21"/>
        <v>0</v>
      </c>
      <c r="L294" s="375">
        <f>NAV!J215</f>
        <v>0</v>
      </c>
      <c r="M294" s="376">
        <f>NAV!N215</f>
        <v>0</v>
      </c>
      <c r="N294" s="376">
        <f>NAV!T215</f>
        <v>0</v>
      </c>
      <c r="O294" s="377">
        <f>IF(N294="장부가액 준용","장부가액 준용",IF(N294="취득원가 준용","취득원가 준용",NAV!R215))</f>
        <v>0</v>
      </c>
      <c r="P294" s="377">
        <f>NAV!W215</f>
        <v>0</v>
      </c>
      <c r="Q294" s="377">
        <f>NAV!S215</f>
        <v>0</v>
      </c>
      <c r="R294" s="737" t="str">
        <f>MID(NAV!U215,FIND("(",NAV!U215)+1,FIND(")", NAV!U215)-FIND("(",NAV!U215)-1)</f>
        <v>KRW</v>
      </c>
    </row>
    <row r="295" spans="1:18" ht="12.75" thickBot="1">
      <c r="B295" s="371" t="s">
        <v>3442</v>
      </c>
      <c r="C295" s="372">
        <f>NAV!D208</f>
        <v>0</v>
      </c>
      <c r="D295" s="372">
        <f>NAV!E208</f>
        <v>0</v>
      </c>
      <c r="F295" s="149" t="str">
        <f>IF(G295=0,"",COUNTA(G$292:$G295))</f>
        <v/>
      </c>
      <c r="G295" s="373">
        <f>IF(NAV!L208="SPC 없음",0,NAV!L208)</f>
        <v>0</v>
      </c>
      <c r="H295" s="374">
        <f>NAV!W208</f>
        <v>0</v>
      </c>
      <c r="I295" s="374" t="str">
        <f>NAV!S208</f>
        <v>SPC 없음</v>
      </c>
      <c r="J295" s="149" t="str">
        <f>IF(L295=0,"",COUNTA(L$292:$L295)+COUNT($F$292:$F$297))</f>
        <v/>
      </c>
      <c r="K295" s="373">
        <f t="shared" si="21"/>
        <v>0</v>
      </c>
      <c r="L295" s="375">
        <f>NAV!J216</f>
        <v>0</v>
      </c>
      <c r="M295" s="376">
        <f>NAV!N216</f>
        <v>0</v>
      </c>
      <c r="N295" s="376">
        <f>NAV!T216</f>
        <v>0</v>
      </c>
      <c r="O295" s="377">
        <f>IF(N295="장부가액 준용","장부가액 준용",IF(N295="취득원가 준용","취득원가 준용",NAV!R216))</f>
        <v>0</v>
      </c>
      <c r="P295" s="377">
        <f>NAV!W216</f>
        <v>0</v>
      </c>
      <c r="Q295" s="377">
        <f>NAV!S216</f>
        <v>0</v>
      </c>
      <c r="R295" s="737" t="str">
        <f>MID(NAV!U216,FIND("(",NAV!U216)+1,FIND(")", NAV!U216)-FIND("(",NAV!U216)-1)</f>
        <v>KRW</v>
      </c>
    </row>
    <row r="296" spans="1:18" ht="12.75" thickBot="1">
      <c r="A296" s="149">
        <v>1</v>
      </c>
      <c r="B296" s="381" t="str">
        <f t="shared" ref="B296:B306" si="22">IFERROR(IF(F292=A296,VLOOKUP(A296,$F$291:$I$302,2,0),VLOOKUP(A296,$J$291:$Q$302,3,0)&amp;" "&amp;VLOOKUP(A296,$J$291:$Q$302,4,0)),"")</f>
        <v/>
      </c>
      <c r="C296" s="380" t="str">
        <f t="shared" ref="C296:C306" si="23">IFERROR(IF(F292=A296,VLOOKUP(A296,$F$291:$I$302,3,0),VLOOKUP(A296,$J$291:$Q$302,7,0)),"")</f>
        <v/>
      </c>
      <c r="D296" s="380" t="str">
        <f t="shared" ref="D296:D306" si="24">IFERROR(IF(F292=A296,VLOOKUP(A296,$F$291:$I$302,4,0),VLOOKUP(A296,$J$291:$Q$302,8,0)),"")</f>
        <v/>
      </c>
      <c r="F296" s="149" t="str">
        <f>IF(G296=0,"",COUNTA(G$292:$G296))</f>
        <v/>
      </c>
      <c r="G296" s="373">
        <f>IF(NAV!L209="SPC 없음",0,NAV!L209)</f>
        <v>0</v>
      </c>
      <c r="H296" s="374">
        <f>NAV!W209</f>
        <v>0</v>
      </c>
      <c r="I296" s="374" t="str">
        <f>NAV!S209</f>
        <v>SPC 없음</v>
      </c>
      <c r="J296" s="149" t="str">
        <f>IF(L296=0,"",COUNTA(L$292:$L296)+COUNT($F$292:$F$297))</f>
        <v/>
      </c>
      <c r="K296" s="373">
        <f t="shared" si="21"/>
        <v>0</v>
      </c>
      <c r="L296" s="375">
        <f>NAV!J217</f>
        <v>0</v>
      </c>
      <c r="M296" s="376">
        <f>NAV!N217</f>
        <v>0</v>
      </c>
      <c r="N296" s="376">
        <f>NAV!T217</f>
        <v>0</v>
      </c>
      <c r="O296" s="377">
        <f>IF(N296="장부가액 준용","장부가액 준용",IF(N296="취득원가 준용","취득원가 준용",NAV!R217))</f>
        <v>0</v>
      </c>
      <c r="P296" s="377">
        <f>NAV!W217</f>
        <v>0</v>
      </c>
      <c r="Q296" s="377">
        <f>NAV!S217</f>
        <v>0</v>
      </c>
      <c r="R296" s="737" t="str">
        <f>MID(NAV!U217,FIND("(",NAV!U217)+1,FIND(")", NAV!U217)-FIND("(",NAV!U217)-1)</f>
        <v>KRW</v>
      </c>
    </row>
    <row r="297" spans="1:18" ht="12.75" thickBot="1">
      <c r="A297" s="149">
        <f>A296+1</f>
        <v>2</v>
      </c>
      <c r="B297" s="381" t="str">
        <f t="shared" si="22"/>
        <v/>
      </c>
      <c r="C297" s="380" t="str">
        <f t="shared" si="23"/>
        <v/>
      </c>
      <c r="D297" s="380" t="str">
        <f t="shared" si="24"/>
        <v/>
      </c>
      <c r="F297" s="149" t="str">
        <f>IF(G297=0,"",COUNTA(G$292:$G297))</f>
        <v/>
      </c>
      <c r="G297" s="373">
        <f>IF(NAV!L210="SPC 없음",0,NAV!L210)</f>
        <v>0</v>
      </c>
      <c r="H297" s="374">
        <f>NAV!W210</f>
        <v>0</v>
      </c>
      <c r="I297" s="374" t="str">
        <f>NAV!S210</f>
        <v>SPC 없음</v>
      </c>
      <c r="J297" s="149" t="str">
        <f>IF(L297=0,"",COUNTA(L$292:$L297)+COUNT($F$292:$F$297))</f>
        <v/>
      </c>
      <c r="K297" s="373">
        <f t="shared" si="21"/>
        <v>0</v>
      </c>
      <c r="L297" s="375">
        <f>NAV!J218</f>
        <v>0</v>
      </c>
      <c r="M297" s="376">
        <f>NAV!N218</f>
        <v>0</v>
      </c>
      <c r="N297" s="376">
        <f>NAV!T218</f>
        <v>0</v>
      </c>
      <c r="O297" s="377">
        <f>IF(N297="장부가액 준용","장부가액 준용",IF(N297="취득원가 준용","취득원가 준용",NAV!R218))</f>
        <v>0</v>
      </c>
      <c r="P297" s="377">
        <f>NAV!W218</f>
        <v>0</v>
      </c>
      <c r="Q297" s="377">
        <f>NAV!S218</f>
        <v>0</v>
      </c>
      <c r="R297" s="737" t="str">
        <f>MID(NAV!U218,FIND("(",NAV!U218)+1,FIND(")", NAV!U218)-FIND("(",NAV!U218)-1)</f>
        <v>KRW</v>
      </c>
    </row>
    <row r="298" spans="1:18" ht="12.75" thickBot="1">
      <c r="A298" s="149">
        <f t="shared" ref="A298:A312" si="25">A297+1</f>
        <v>3</v>
      </c>
      <c r="B298" s="381" t="str">
        <f t="shared" si="22"/>
        <v/>
      </c>
      <c r="C298" s="380" t="str">
        <f t="shared" si="23"/>
        <v/>
      </c>
      <c r="D298" s="380" t="str">
        <f t="shared" si="24"/>
        <v/>
      </c>
      <c r="J298" s="149" t="str">
        <f>IF(L298=0,"",COUNTA(L$292:$L298)+COUNT($F$292:$F$297))</f>
        <v/>
      </c>
      <c r="K298" s="373">
        <f t="shared" si="21"/>
        <v>0</v>
      </c>
      <c r="L298" s="375">
        <f>NAV!J219</f>
        <v>0</v>
      </c>
      <c r="M298" s="376">
        <f>NAV!N219</f>
        <v>0</v>
      </c>
      <c r="N298" s="376">
        <f>NAV!T219</f>
        <v>0</v>
      </c>
      <c r="O298" s="377">
        <f>IF(N298="장부가액 준용","장부가액 준용",IF(N298="취득원가 준용","취득원가 준용",NAV!R219))</f>
        <v>0</v>
      </c>
      <c r="P298" s="377">
        <f>NAV!W219</f>
        <v>0</v>
      </c>
      <c r="Q298" s="377">
        <f>NAV!S219</f>
        <v>0</v>
      </c>
      <c r="R298" s="737" t="str">
        <f>MID(NAV!U219,FIND("(",NAV!U219)+1,FIND(")", NAV!U219)-FIND("(",NAV!U219)-1)</f>
        <v>KRW</v>
      </c>
    </row>
    <row r="299" spans="1:18" ht="12.75" thickBot="1">
      <c r="A299" s="149">
        <f t="shared" si="25"/>
        <v>4</v>
      </c>
      <c r="B299" s="381" t="str">
        <f t="shared" si="22"/>
        <v/>
      </c>
      <c r="C299" s="380" t="str">
        <f t="shared" si="23"/>
        <v/>
      </c>
      <c r="D299" s="380" t="str">
        <f t="shared" si="24"/>
        <v/>
      </c>
      <c r="J299" s="149" t="str">
        <f>IF(L299=0,"",COUNTA(L$292:$L299)+COUNT($F$292:$F$297))</f>
        <v/>
      </c>
      <c r="K299" s="373">
        <f t="shared" si="21"/>
        <v>0</v>
      </c>
      <c r="L299" s="375">
        <f>NAV!J220</f>
        <v>0</v>
      </c>
      <c r="M299" s="376">
        <f>NAV!N220</f>
        <v>0</v>
      </c>
      <c r="N299" s="376">
        <f>NAV!T220</f>
        <v>0</v>
      </c>
      <c r="O299" s="377">
        <f>IF(N299="장부가액 준용","장부가액 준용",IF(N299="취득원가 준용","취득원가 준용",NAV!R220))</f>
        <v>0</v>
      </c>
      <c r="P299" s="377">
        <f>NAV!W220</f>
        <v>0</v>
      </c>
      <c r="Q299" s="377">
        <f>NAV!S220</f>
        <v>0</v>
      </c>
      <c r="R299" s="737" t="str">
        <f>MID(NAV!U220,FIND("(",NAV!U220)+1,FIND(")", NAV!U220)-FIND("(",NAV!U220)-1)</f>
        <v>KRW</v>
      </c>
    </row>
    <row r="300" spans="1:18" ht="12.75" thickBot="1">
      <c r="A300" s="149">
        <f t="shared" si="25"/>
        <v>5</v>
      </c>
      <c r="B300" s="381" t="str">
        <f t="shared" si="22"/>
        <v/>
      </c>
      <c r="C300" s="380" t="str">
        <f t="shared" si="23"/>
        <v/>
      </c>
      <c r="D300" s="380" t="str">
        <f t="shared" si="24"/>
        <v/>
      </c>
      <c r="J300" s="149" t="str">
        <f>IF(L300=0,"",COUNTA(L$292:$L300)+COUNT($F$292:$F$297))</f>
        <v/>
      </c>
      <c r="K300" s="373">
        <f t="shared" si="21"/>
        <v>0</v>
      </c>
      <c r="L300" s="375">
        <f>NAV!J221</f>
        <v>0</v>
      </c>
      <c r="M300" s="376">
        <f>NAV!N221</f>
        <v>0</v>
      </c>
      <c r="N300" s="376">
        <f>NAV!T221</f>
        <v>0</v>
      </c>
      <c r="O300" s="377">
        <f>IF(N300="장부가액 준용","장부가액 준용",IF(N300="취득원가 준용","취득원가 준용",NAV!R221))</f>
        <v>0</v>
      </c>
      <c r="P300" s="377">
        <f>NAV!W221</f>
        <v>0</v>
      </c>
      <c r="Q300" s="377">
        <f>NAV!S221</f>
        <v>0</v>
      </c>
      <c r="R300" s="737" t="str">
        <f>MID(NAV!U221,FIND("(",NAV!U221)+1,FIND(")", NAV!U221)-FIND("(",NAV!U221)-1)</f>
        <v>KRW</v>
      </c>
    </row>
    <row r="301" spans="1:18" ht="12.75" thickBot="1">
      <c r="A301" s="149">
        <f t="shared" si="25"/>
        <v>6</v>
      </c>
      <c r="B301" s="381" t="str">
        <f t="shared" si="22"/>
        <v/>
      </c>
      <c r="C301" s="380" t="str">
        <f t="shared" si="23"/>
        <v/>
      </c>
      <c r="D301" s="380" t="str">
        <f t="shared" si="24"/>
        <v/>
      </c>
      <c r="J301" s="149" t="str">
        <f>IF(L301=0,"",COUNTA(L$292:$L301)+COUNT($F$292:$F$297))</f>
        <v/>
      </c>
      <c r="K301" s="373">
        <f t="shared" si="21"/>
        <v>0</v>
      </c>
      <c r="L301" s="375">
        <f>NAV!J222</f>
        <v>0</v>
      </c>
      <c r="M301" s="376">
        <f>NAV!N222</f>
        <v>0</v>
      </c>
      <c r="N301" s="376">
        <f>NAV!T222</f>
        <v>0</v>
      </c>
      <c r="O301" s="377">
        <f>IF(N301="장부가액 준용","장부가액 준용",IF(N301="취득원가 준용","취득원가 준용",NAV!R222))</f>
        <v>0</v>
      </c>
      <c r="P301" s="377">
        <f>NAV!W222</f>
        <v>0</v>
      </c>
      <c r="Q301" s="377">
        <f>NAV!S222</f>
        <v>0</v>
      </c>
      <c r="R301" s="737" t="str">
        <f>MID(NAV!U222,FIND("(",NAV!U222)+1,FIND(")", NAV!U222)-FIND("(",NAV!U222)-1)</f>
        <v>KRW</v>
      </c>
    </row>
    <row r="302" spans="1:18" ht="12.75" thickBot="1">
      <c r="A302" s="149">
        <f t="shared" si="25"/>
        <v>7</v>
      </c>
      <c r="B302" s="381" t="str">
        <f t="shared" si="22"/>
        <v/>
      </c>
      <c r="C302" s="380" t="str">
        <f t="shared" si="23"/>
        <v/>
      </c>
      <c r="D302" s="380" t="str">
        <f t="shared" si="24"/>
        <v/>
      </c>
      <c r="J302" s="149" t="str">
        <f>IF(L302=0,"",COUNTA(L$292:$L302)+COUNT($F$292:$F$297))</f>
        <v/>
      </c>
      <c r="K302" s="373">
        <f t="shared" si="21"/>
        <v>0</v>
      </c>
      <c r="L302" s="375">
        <f>NAV!J223</f>
        <v>0</v>
      </c>
      <c r="M302" s="376">
        <f>NAV!N223</f>
        <v>0</v>
      </c>
      <c r="N302" s="376">
        <f>NAV!T223</f>
        <v>0</v>
      </c>
      <c r="O302" s="377">
        <f>IF(N302="장부가액 준용","장부가액 준용",IF(N302="취득원가 준용","취득원가 준용",NAV!R223))</f>
        <v>0</v>
      </c>
      <c r="P302" s="377">
        <f>NAV!W223</f>
        <v>0</v>
      </c>
      <c r="Q302" s="377">
        <f>NAV!S223</f>
        <v>0</v>
      </c>
      <c r="R302" s="737" t="str">
        <f>MID(NAV!U223,FIND("(",NAV!U223)+1,FIND(")", NAV!U223)-FIND("(",NAV!U223)-1)</f>
        <v>KRW</v>
      </c>
    </row>
    <row r="303" spans="1:18" ht="12.75" hidden="1" customHeight="1" outlineLevel="1" thickBot="1">
      <c r="A303" s="149">
        <f t="shared" si="25"/>
        <v>8</v>
      </c>
      <c r="B303" s="381" t="str">
        <f t="shared" si="22"/>
        <v/>
      </c>
      <c r="C303" s="380" t="str">
        <f t="shared" si="23"/>
        <v/>
      </c>
      <c r="D303" s="380" t="str">
        <f t="shared" si="24"/>
        <v/>
      </c>
    </row>
    <row r="304" spans="1:18" ht="12.75" hidden="1" customHeight="1" outlineLevel="1" thickBot="1">
      <c r="A304" s="149">
        <f t="shared" si="25"/>
        <v>9</v>
      </c>
      <c r="B304" s="381" t="str">
        <f t="shared" si="22"/>
        <v/>
      </c>
      <c r="C304" s="380" t="str">
        <f t="shared" si="23"/>
        <v/>
      </c>
      <c r="D304" s="380" t="str">
        <f t="shared" si="24"/>
        <v/>
      </c>
    </row>
    <row r="305" spans="1:6" ht="12.75" hidden="1" customHeight="1" outlineLevel="1" thickBot="1">
      <c r="A305" s="149">
        <f t="shared" si="25"/>
        <v>10</v>
      </c>
      <c r="B305" s="381" t="str">
        <f t="shared" si="22"/>
        <v/>
      </c>
      <c r="C305" s="380" t="str">
        <f t="shared" si="23"/>
        <v/>
      </c>
      <c r="D305" s="380" t="str">
        <f t="shared" si="24"/>
        <v/>
      </c>
    </row>
    <row r="306" spans="1:6" ht="12.75" hidden="1" customHeight="1" outlineLevel="1" thickBot="1">
      <c r="A306" s="149">
        <f t="shared" si="25"/>
        <v>11</v>
      </c>
      <c r="B306" s="381" t="str">
        <f t="shared" si="22"/>
        <v/>
      </c>
      <c r="C306" s="380" t="str">
        <f t="shared" si="23"/>
        <v/>
      </c>
      <c r="D306" s="380" t="str">
        <f t="shared" si="24"/>
        <v/>
      </c>
    </row>
    <row r="307" spans="1:6" ht="12.75" hidden="1" customHeight="1" outlineLevel="1" thickBot="1">
      <c r="A307" s="149">
        <f t="shared" si="25"/>
        <v>12</v>
      </c>
      <c r="B307" s="381" t="str">
        <f t="shared" ref="B307:B312" si="26">IFERROR(IF(F307=A307,VLOOKUP(A307,$F$291:$I$302,2,0),VLOOKUP(A307,$J$291:$Q$302,3,0)&amp;" "&amp;VLOOKUP(A307,$J$291:$Q$302,4,0)),"")</f>
        <v/>
      </c>
      <c r="C307" s="380" t="str">
        <f t="shared" ref="C307:C312" si="27">IFERROR(IF(F307=A307,VLOOKUP(A307,$F$291:$I$302,3,0),VLOOKUP(A307,$J$291:$Q$302,7,0)),"")</f>
        <v/>
      </c>
      <c r="D307" s="380" t="str">
        <f t="shared" ref="D307:D312" si="28">IFERROR(IF(F303=A307,VLOOKUP(A307,$F$291:$I$302,4,0),VLOOKUP(A307,$J$291:$Q$302,8,0)),"")</f>
        <v/>
      </c>
    </row>
    <row r="308" spans="1:6" ht="12.75" hidden="1" customHeight="1" outlineLevel="1" thickBot="1">
      <c r="A308" s="149">
        <f t="shared" si="25"/>
        <v>13</v>
      </c>
      <c r="B308" s="381" t="str">
        <f t="shared" si="26"/>
        <v/>
      </c>
      <c r="C308" s="380" t="str">
        <f t="shared" si="27"/>
        <v/>
      </c>
      <c r="D308" s="380" t="str">
        <f t="shared" si="28"/>
        <v/>
      </c>
    </row>
    <row r="309" spans="1:6" ht="12.75" hidden="1" customHeight="1" outlineLevel="1" thickBot="1">
      <c r="A309" s="149">
        <f t="shared" si="25"/>
        <v>14</v>
      </c>
      <c r="B309" s="381" t="str">
        <f t="shared" si="26"/>
        <v/>
      </c>
      <c r="C309" s="380" t="str">
        <f t="shared" si="27"/>
        <v/>
      </c>
      <c r="D309" s="380" t="str">
        <f t="shared" si="28"/>
        <v/>
      </c>
    </row>
    <row r="310" spans="1:6" ht="12.75" hidden="1" customHeight="1" outlineLevel="1" thickBot="1">
      <c r="A310" s="149">
        <f t="shared" si="25"/>
        <v>15</v>
      </c>
      <c r="B310" s="381" t="str">
        <f t="shared" si="26"/>
        <v/>
      </c>
      <c r="C310" s="380" t="str">
        <f t="shared" si="27"/>
        <v/>
      </c>
      <c r="D310" s="380" t="str">
        <f t="shared" si="28"/>
        <v/>
      </c>
    </row>
    <row r="311" spans="1:6" ht="12.75" hidden="1" customHeight="1" outlineLevel="1" thickBot="1">
      <c r="A311" s="149">
        <f t="shared" si="25"/>
        <v>16</v>
      </c>
      <c r="B311" s="381" t="str">
        <f t="shared" si="26"/>
        <v/>
      </c>
      <c r="C311" s="380" t="str">
        <f t="shared" si="27"/>
        <v/>
      </c>
      <c r="D311" s="380" t="str">
        <f t="shared" si="28"/>
        <v/>
      </c>
    </row>
    <row r="312" spans="1:6" ht="12.75" hidden="1" customHeight="1" outlineLevel="1" thickBot="1">
      <c r="A312" s="149">
        <f t="shared" si="25"/>
        <v>17</v>
      </c>
      <c r="B312" s="381" t="str">
        <f t="shared" si="26"/>
        <v/>
      </c>
      <c r="C312" s="380" t="str">
        <f t="shared" si="27"/>
        <v/>
      </c>
      <c r="D312" s="380" t="str">
        <f t="shared" si="28"/>
        <v/>
      </c>
    </row>
    <row r="313" spans="1:6" ht="12.75" collapsed="1" thickBot="1">
      <c r="B313" s="382" t="s">
        <v>2</v>
      </c>
      <c r="C313" s="372">
        <f>SUM(C292,C295)</f>
        <v>0</v>
      </c>
      <c r="D313" s="383">
        <f>SUM(D292,D295)</f>
        <v>0</v>
      </c>
    </row>
    <row r="314" spans="1:6" ht="12.75" thickBot="1">
      <c r="B314" s="382" t="s">
        <v>30</v>
      </c>
      <c r="C314" s="819">
        <f>NAV!E218</f>
        <v>0</v>
      </c>
      <c r="D314" s="820"/>
    </row>
    <row r="315" spans="1:6" ht="12.75" thickBot="1">
      <c r="B315" s="382" t="s">
        <v>31</v>
      </c>
      <c r="C315" s="819">
        <f>D313-C314</f>
        <v>0</v>
      </c>
      <c r="D315" s="820"/>
    </row>
    <row r="316" spans="1:6" ht="14.25" customHeight="1" thickBot="1">
      <c r="B316" s="382" t="s">
        <v>745</v>
      </c>
      <c r="C316" s="819">
        <f>NAV!E223</f>
        <v>0</v>
      </c>
      <c r="D316" s="820"/>
      <c r="F316" s="217"/>
    </row>
    <row r="317" spans="1:6" ht="14.25" customHeight="1" thickBot="1">
      <c r="B317" s="382" t="s">
        <v>965</v>
      </c>
      <c r="C317" s="819">
        <f>NAV!E224</f>
        <v>0</v>
      </c>
      <c r="D317" s="820"/>
    </row>
    <row r="318" spans="1:6" ht="14.25" customHeight="1" thickBot="1">
      <c r="B318" s="382" t="s">
        <v>744</v>
      </c>
      <c r="C318" s="819">
        <f>NAV!E225</f>
        <v>0</v>
      </c>
      <c r="D318" s="820"/>
    </row>
    <row r="319" spans="1:6" ht="12.75" thickBot="1">
      <c r="B319" s="382" t="str">
        <f>NAV!C226</f>
        <v>보유지분율(%)</v>
      </c>
      <c r="C319" s="823">
        <f>NAV!D226</f>
        <v>0</v>
      </c>
      <c r="D319" s="824"/>
    </row>
    <row r="320" spans="1:6" ht="12.75" thickBot="1">
      <c r="B320" s="382" t="s">
        <v>746</v>
      </c>
      <c r="C320" s="825">
        <f>NAV!E226</f>
        <v>0</v>
      </c>
      <c r="D320" s="826"/>
    </row>
    <row r="326" spans="1:18">
      <c r="A326" s="149">
        <f>A288+1</f>
        <v>2</v>
      </c>
      <c r="B326" s="399" t="str">
        <f>NAV!B237</f>
        <v>SPC없음</v>
      </c>
      <c r="G326" s="399" t="str">
        <f>B326</f>
        <v>SPC없음</v>
      </c>
    </row>
    <row r="327" spans="1:18">
      <c r="B327" s="399" t="str">
        <f>NAV!C238</f>
        <v>SPC없음</v>
      </c>
      <c r="G327" s="399" t="str">
        <f>B327</f>
        <v>SPC없음</v>
      </c>
    </row>
    <row r="328" spans="1:18" ht="12.75" thickBot="1">
      <c r="B328" s="215" t="s">
        <v>750</v>
      </c>
      <c r="C328" s="216"/>
      <c r="D328" s="216"/>
      <c r="E328" s="216"/>
      <c r="G328" s="215" t="s">
        <v>751</v>
      </c>
      <c r="H328" s="216"/>
      <c r="I328" s="216"/>
      <c r="K328" s="215" t="s">
        <v>752</v>
      </c>
    </row>
    <row r="329" spans="1:18" ht="12.75" thickBot="1">
      <c r="B329" s="366" t="s">
        <v>27</v>
      </c>
      <c r="C329" s="367" t="s">
        <v>28</v>
      </c>
      <c r="D329" s="367" t="s">
        <v>29</v>
      </c>
      <c r="F329" s="368" t="s">
        <v>3461</v>
      </c>
      <c r="G329" s="353" t="str">
        <f>$G$74</f>
        <v>SPC명</v>
      </c>
      <c r="H329" s="369" t="s">
        <v>3199</v>
      </c>
      <c r="I329" s="369" t="s">
        <v>753</v>
      </c>
      <c r="J329" s="368" t="s">
        <v>3461</v>
      </c>
      <c r="K329" s="353" t="s">
        <v>3440</v>
      </c>
      <c r="L329" s="353" t="str">
        <f>$L$74</f>
        <v>투자자산명</v>
      </c>
      <c r="M329" s="358" t="s">
        <v>754</v>
      </c>
      <c r="N329" s="358" t="s">
        <v>47</v>
      </c>
      <c r="O329" s="369" t="s">
        <v>749</v>
      </c>
      <c r="P329" s="400" t="s">
        <v>3460</v>
      </c>
      <c r="Q329" s="370" t="s">
        <v>3463</v>
      </c>
      <c r="R329" s="370" t="s">
        <v>6833</v>
      </c>
    </row>
    <row r="330" spans="1:18" ht="12.75" thickBot="1">
      <c r="B330" s="371" t="s">
        <v>3441</v>
      </c>
      <c r="C330" s="372">
        <f>SUM(C331:C332)</f>
        <v>0</v>
      </c>
      <c r="D330" s="372">
        <f>SUM(D331:D332)</f>
        <v>0</v>
      </c>
      <c r="F330" s="149" t="str">
        <f>IF(G330=0,"",COUNTA(G$330:$G330))</f>
        <v/>
      </c>
      <c r="G330" s="373">
        <f>IF(NAV!L243="SPC 없음",0,NAV!L243)</f>
        <v>0</v>
      </c>
      <c r="H330" s="374">
        <f>NAV!W243</f>
        <v>0</v>
      </c>
      <c r="I330" s="374" t="str">
        <f>NAV!S243</f>
        <v>SPC 없음</v>
      </c>
      <c r="J330" s="149" t="str">
        <f>IF(L330=0,"",COUNTA(L$330:$L330)+COUNT($F$330:$F$335))</f>
        <v/>
      </c>
      <c r="K330" s="373">
        <f>IF($B327="SPC없음",0,$B327)</f>
        <v>0</v>
      </c>
      <c r="L330" s="375">
        <f>NAV!J251</f>
        <v>0</v>
      </c>
      <c r="M330" s="376">
        <f>NAV!N251</f>
        <v>0</v>
      </c>
      <c r="N330" s="376">
        <f>NAV!T251</f>
        <v>0</v>
      </c>
      <c r="O330" s="377">
        <f>IF(N330="장부가액 준용","장부가액 준용",IF(N330="취득원가 준용","취득원가 준용",NAV!R251))</f>
        <v>0</v>
      </c>
      <c r="P330" s="377">
        <f>NAV!W251</f>
        <v>0</v>
      </c>
      <c r="Q330" s="377">
        <f>NAV!S251</f>
        <v>0</v>
      </c>
      <c r="R330" s="737" t="str">
        <f>MID(NAV!U251,FIND("(",NAV!U251)+1,FIND(")", NAV!U251)-FIND("(",NAV!U251)-1)</f>
        <v>KRW</v>
      </c>
    </row>
    <row r="331" spans="1:18" ht="12.75" thickBot="1">
      <c r="B331" s="379" t="s">
        <v>3464</v>
      </c>
      <c r="C331" s="380">
        <f>NAV!D244</f>
        <v>0</v>
      </c>
      <c r="D331" s="380">
        <f>NAV!E244</f>
        <v>0</v>
      </c>
      <c r="F331" s="149" t="str">
        <f>IF(G331=0,"",COUNTA(G$330:$G331))</f>
        <v/>
      </c>
      <c r="G331" s="373">
        <f>IF(NAV!L244="SPC 없음",0,NAV!L244)</f>
        <v>0</v>
      </c>
      <c r="H331" s="374">
        <f>NAV!W244</f>
        <v>0</v>
      </c>
      <c r="I331" s="374" t="str">
        <f>NAV!S244</f>
        <v>SPC 없음</v>
      </c>
      <c r="J331" s="149" t="str">
        <f>IF(L331=0,"",COUNTA(L$330:$L331)+COUNT($F$330:$F$335))</f>
        <v/>
      </c>
      <c r="K331" s="373">
        <f t="shared" ref="K331:K340" si="29">K330</f>
        <v>0</v>
      </c>
      <c r="L331" s="375">
        <f>NAV!J252</f>
        <v>0</v>
      </c>
      <c r="M331" s="376">
        <f>NAV!N252</f>
        <v>0</v>
      </c>
      <c r="N331" s="376">
        <f>NAV!T252</f>
        <v>0</v>
      </c>
      <c r="O331" s="377">
        <f>IF(N331="장부가액 준용","장부가액 준용",IF(N331="취득원가 준용","취득원가 준용",NAV!R252))</f>
        <v>0</v>
      </c>
      <c r="P331" s="377">
        <f>NAV!W252</f>
        <v>0</v>
      </c>
      <c r="Q331" s="377">
        <f>NAV!S252</f>
        <v>0</v>
      </c>
      <c r="R331" s="737" t="str">
        <f>MID(NAV!U252,FIND("(",NAV!U252)+1,FIND(")", NAV!U252)-FIND("(",NAV!U252)-1)</f>
        <v>KRW</v>
      </c>
    </row>
    <row r="332" spans="1:18" ht="12.75" thickBot="1">
      <c r="B332" s="379" t="s">
        <v>156</v>
      </c>
      <c r="C332" s="380">
        <f>NAV!D245</f>
        <v>0</v>
      </c>
      <c r="D332" s="380">
        <f>NAV!E245</f>
        <v>0</v>
      </c>
      <c r="F332" s="149" t="str">
        <f>IF(G332=0,"",COUNTA(G$330:$G332))</f>
        <v/>
      </c>
      <c r="G332" s="373">
        <f>IF(NAV!L245="SPC 없음",0,NAV!L245)</f>
        <v>0</v>
      </c>
      <c r="H332" s="374">
        <f>NAV!W245</f>
        <v>0</v>
      </c>
      <c r="I332" s="374" t="str">
        <f>NAV!S245</f>
        <v>SPC 없음</v>
      </c>
      <c r="J332" s="149" t="str">
        <f>IF(L332=0,"",COUNTA(L$330:$L332)+COUNT($F$330:$F$335))</f>
        <v/>
      </c>
      <c r="K332" s="373">
        <f t="shared" si="29"/>
        <v>0</v>
      </c>
      <c r="L332" s="375">
        <f>NAV!J253</f>
        <v>0</v>
      </c>
      <c r="M332" s="376">
        <f>NAV!N253</f>
        <v>0</v>
      </c>
      <c r="N332" s="376">
        <f>NAV!T253</f>
        <v>0</v>
      </c>
      <c r="O332" s="377">
        <f>IF(N332="장부가액 준용","장부가액 준용",IF(N332="취득원가 준용","취득원가 준용",NAV!R253))</f>
        <v>0</v>
      </c>
      <c r="P332" s="377">
        <f>NAV!W253</f>
        <v>0</v>
      </c>
      <c r="Q332" s="377">
        <f>NAV!S253</f>
        <v>0</v>
      </c>
      <c r="R332" s="737" t="str">
        <f>MID(NAV!U253,FIND("(",NAV!U253)+1,FIND(")", NAV!U253)-FIND("(",NAV!U253)-1)</f>
        <v>KRW</v>
      </c>
    </row>
    <row r="333" spans="1:18" ht="12.75" thickBot="1">
      <c r="B333" s="371" t="s">
        <v>3442</v>
      </c>
      <c r="C333" s="372">
        <f>NAV!D246</f>
        <v>0</v>
      </c>
      <c r="D333" s="372">
        <f>NAV!E246</f>
        <v>0</v>
      </c>
      <c r="F333" s="149" t="str">
        <f>IF(G333=0,"",COUNTA(G$330:$G333))</f>
        <v/>
      </c>
      <c r="G333" s="373">
        <f>IF(NAV!L246="SPC 없음",0,NAV!L246)</f>
        <v>0</v>
      </c>
      <c r="H333" s="374">
        <f>NAV!W246</f>
        <v>0</v>
      </c>
      <c r="I333" s="374" t="str">
        <f>NAV!S246</f>
        <v>SPC 없음</v>
      </c>
      <c r="J333" s="149" t="str">
        <f>IF(L333=0,"",COUNTA(L$330:$L333)+COUNT($F$330:$F$335))</f>
        <v/>
      </c>
      <c r="K333" s="373">
        <f t="shared" si="29"/>
        <v>0</v>
      </c>
      <c r="L333" s="375">
        <f>NAV!J254</f>
        <v>0</v>
      </c>
      <c r="M333" s="376">
        <f>NAV!N254</f>
        <v>0</v>
      </c>
      <c r="N333" s="376">
        <f>NAV!T254</f>
        <v>0</v>
      </c>
      <c r="O333" s="377">
        <f>IF(N333="장부가액 준용","장부가액 준용",IF(N333="취득원가 준용","취득원가 준용",NAV!R254))</f>
        <v>0</v>
      </c>
      <c r="P333" s="377">
        <f>NAV!W254</f>
        <v>0</v>
      </c>
      <c r="Q333" s="377">
        <f>NAV!S254</f>
        <v>0</v>
      </c>
      <c r="R333" s="737" t="str">
        <f>MID(NAV!U254,FIND("(",NAV!U254)+1,FIND(")", NAV!U254)-FIND("(",NAV!U254)-1)</f>
        <v>KRW</v>
      </c>
    </row>
    <row r="334" spans="1:18" ht="12.75" thickBot="1">
      <c r="A334" s="149">
        <v>1</v>
      </c>
      <c r="B334" s="381" t="str">
        <f t="shared" ref="B334:B343" si="30">IFERROR(IF(F330=A334,VLOOKUP(A334,$F$329:$I$340,2,0),VLOOKUP(A334,$J$329:$Q$340,3,0)&amp;" "&amp;VLOOKUP(A334,$J$329:$Q$340,4,0)),"")</f>
        <v/>
      </c>
      <c r="C334" s="380" t="str">
        <f t="shared" ref="C334:C342" si="31">IFERROR(IF(F330=A334,VLOOKUP(A334,$F$329:$I$340,3,0),VLOOKUP(A334,$J$329:$Q$340,7,0)),"")</f>
        <v/>
      </c>
      <c r="D334" s="380" t="str">
        <f t="shared" ref="D334:D342" si="32">IFERROR(IF(F330=A334,VLOOKUP(A334,$F$329:$I$340,4,0),VLOOKUP(A334,$J$329:$Q$340,8,0)),"")</f>
        <v/>
      </c>
      <c r="F334" s="149" t="str">
        <f>IF(G334=0,"",COUNTA(G$330:$G334))</f>
        <v/>
      </c>
      <c r="G334" s="373">
        <f>IF(NAV!L247="SPC 없음",0,NAV!L247)</f>
        <v>0</v>
      </c>
      <c r="H334" s="374">
        <f>NAV!W247</f>
        <v>0</v>
      </c>
      <c r="I334" s="374" t="str">
        <f>NAV!S247</f>
        <v>SPC 없음</v>
      </c>
      <c r="J334" s="149" t="str">
        <f>IF(L334=0,"",COUNTA(L$330:$L334)+COUNT($F$330:$F$335))</f>
        <v/>
      </c>
      <c r="K334" s="373">
        <f t="shared" si="29"/>
        <v>0</v>
      </c>
      <c r="L334" s="375">
        <f>NAV!J255</f>
        <v>0</v>
      </c>
      <c r="M334" s="376">
        <f>NAV!N255</f>
        <v>0</v>
      </c>
      <c r="N334" s="376">
        <f>NAV!T255</f>
        <v>0</v>
      </c>
      <c r="O334" s="377">
        <f>IF(N334="장부가액 준용","장부가액 준용",IF(N334="취득원가 준용","취득원가 준용",NAV!R255))</f>
        <v>0</v>
      </c>
      <c r="P334" s="377">
        <f>NAV!W255</f>
        <v>0</v>
      </c>
      <c r="Q334" s="377">
        <f>NAV!S255</f>
        <v>0</v>
      </c>
      <c r="R334" s="737" t="str">
        <f>MID(NAV!U255,FIND("(",NAV!U255)+1,FIND(")", NAV!U255)-FIND("(",NAV!U255)-1)</f>
        <v>KRW</v>
      </c>
    </row>
    <row r="335" spans="1:18" ht="12.75" thickBot="1">
      <c r="A335" s="149">
        <f>A334+1</f>
        <v>2</v>
      </c>
      <c r="B335" s="381" t="str">
        <f t="shared" si="30"/>
        <v/>
      </c>
      <c r="C335" s="380" t="str">
        <f t="shared" si="31"/>
        <v/>
      </c>
      <c r="D335" s="380" t="str">
        <f t="shared" si="32"/>
        <v/>
      </c>
      <c r="F335" s="149" t="str">
        <f>IF(G335=0,"",COUNTA(G$330:$G335))</f>
        <v/>
      </c>
      <c r="G335" s="373">
        <f>IF(NAV!L248="SPC 없음",0,NAV!L248)</f>
        <v>0</v>
      </c>
      <c r="H335" s="374">
        <f>NAV!W248</f>
        <v>0</v>
      </c>
      <c r="I335" s="374" t="str">
        <f>NAV!S248</f>
        <v>SPC 없음</v>
      </c>
      <c r="J335" s="149" t="str">
        <f>IF(L335=0,"",COUNTA(L$330:$L335)+COUNT($F$330:$F$335))</f>
        <v/>
      </c>
      <c r="K335" s="373">
        <f t="shared" si="29"/>
        <v>0</v>
      </c>
      <c r="L335" s="375">
        <f>NAV!J256</f>
        <v>0</v>
      </c>
      <c r="M335" s="376">
        <f>NAV!N256</f>
        <v>0</v>
      </c>
      <c r="N335" s="376">
        <f>NAV!T256</f>
        <v>0</v>
      </c>
      <c r="O335" s="377">
        <f>IF(N335="장부가액 준용","장부가액 준용",IF(N335="취득원가 준용","취득원가 준용",NAV!R256))</f>
        <v>0</v>
      </c>
      <c r="P335" s="377">
        <f>NAV!W256</f>
        <v>0</v>
      </c>
      <c r="Q335" s="377">
        <f>NAV!S256</f>
        <v>0</v>
      </c>
      <c r="R335" s="737" t="str">
        <f>MID(NAV!U256,FIND("(",NAV!U256)+1,FIND(")", NAV!U256)-FIND("(",NAV!U256)-1)</f>
        <v>KRW</v>
      </c>
    </row>
    <row r="336" spans="1:18" ht="12.75" thickBot="1">
      <c r="A336" s="149">
        <f t="shared" ref="A336:A350" si="33">A335+1</f>
        <v>3</v>
      </c>
      <c r="B336" s="381" t="str">
        <f t="shared" si="30"/>
        <v/>
      </c>
      <c r="C336" s="380" t="str">
        <f t="shared" si="31"/>
        <v/>
      </c>
      <c r="D336" s="380" t="str">
        <f t="shared" si="32"/>
        <v/>
      </c>
      <c r="J336" s="149" t="str">
        <f>IF(L336=0,"",COUNTA(L$330:$L336)+COUNT($F$330:$F$335))</f>
        <v/>
      </c>
      <c r="K336" s="373">
        <f t="shared" si="29"/>
        <v>0</v>
      </c>
      <c r="L336" s="375">
        <f>NAV!J257</f>
        <v>0</v>
      </c>
      <c r="M336" s="376">
        <f>NAV!N257</f>
        <v>0</v>
      </c>
      <c r="N336" s="376">
        <f>NAV!T257</f>
        <v>0</v>
      </c>
      <c r="O336" s="377">
        <f>IF(N336="장부가액 준용","장부가액 준용",IF(N336="취득원가 준용","취득원가 준용",NAV!R257))</f>
        <v>0</v>
      </c>
      <c r="P336" s="377">
        <f>NAV!W257</f>
        <v>0</v>
      </c>
      <c r="Q336" s="377">
        <f>NAV!S257</f>
        <v>0</v>
      </c>
      <c r="R336" s="737" t="str">
        <f>MID(NAV!U257,FIND("(",NAV!U257)+1,FIND(")", NAV!U257)-FIND("(",NAV!U257)-1)</f>
        <v>KRW</v>
      </c>
    </row>
    <row r="337" spans="1:18" ht="12.75" thickBot="1">
      <c r="A337" s="149">
        <f t="shared" si="33"/>
        <v>4</v>
      </c>
      <c r="B337" s="381" t="str">
        <f t="shared" si="30"/>
        <v/>
      </c>
      <c r="C337" s="380" t="str">
        <f t="shared" si="31"/>
        <v/>
      </c>
      <c r="D337" s="380" t="str">
        <f t="shared" si="32"/>
        <v/>
      </c>
      <c r="J337" s="149" t="str">
        <f>IF(L337=0,"",COUNTA(L$330:$L337)+COUNT($F$330:$F$335))</f>
        <v/>
      </c>
      <c r="K337" s="373">
        <f t="shared" si="29"/>
        <v>0</v>
      </c>
      <c r="L337" s="375">
        <f>NAV!J258</f>
        <v>0</v>
      </c>
      <c r="M337" s="376">
        <f>NAV!N258</f>
        <v>0</v>
      </c>
      <c r="N337" s="376">
        <f>NAV!T258</f>
        <v>0</v>
      </c>
      <c r="O337" s="377">
        <f>IF(N337="장부가액 준용","장부가액 준용",IF(N337="취득원가 준용","취득원가 준용",NAV!R258))</f>
        <v>0</v>
      </c>
      <c r="P337" s="377">
        <f>NAV!W258</f>
        <v>0</v>
      </c>
      <c r="Q337" s="377">
        <f>NAV!S258</f>
        <v>0</v>
      </c>
      <c r="R337" s="737" t="str">
        <f>MID(NAV!U258,FIND("(",NAV!U258)+1,FIND(")", NAV!U258)-FIND("(",NAV!U258)-1)</f>
        <v>KRW</v>
      </c>
    </row>
    <row r="338" spans="1:18" ht="12.75" thickBot="1">
      <c r="A338" s="149">
        <f t="shared" si="33"/>
        <v>5</v>
      </c>
      <c r="B338" s="381" t="str">
        <f t="shared" si="30"/>
        <v/>
      </c>
      <c r="C338" s="380" t="str">
        <f t="shared" si="31"/>
        <v/>
      </c>
      <c r="D338" s="380" t="str">
        <f t="shared" si="32"/>
        <v/>
      </c>
      <c r="J338" s="149" t="str">
        <f>IF(L338=0,"",COUNTA(L$330:$L338)+COUNT($F$330:$F$335))</f>
        <v/>
      </c>
      <c r="K338" s="373">
        <f t="shared" si="29"/>
        <v>0</v>
      </c>
      <c r="L338" s="375">
        <f>NAV!J259</f>
        <v>0</v>
      </c>
      <c r="M338" s="376">
        <f>NAV!N259</f>
        <v>0</v>
      </c>
      <c r="N338" s="376">
        <f>NAV!T259</f>
        <v>0</v>
      </c>
      <c r="O338" s="377">
        <f>IF(N338="장부가액 준용","장부가액 준용",IF(N338="취득원가 준용","취득원가 준용",NAV!R259))</f>
        <v>0</v>
      </c>
      <c r="P338" s="377">
        <f>NAV!W259</f>
        <v>0</v>
      </c>
      <c r="Q338" s="377">
        <f>NAV!S259</f>
        <v>0</v>
      </c>
      <c r="R338" s="737" t="str">
        <f>MID(NAV!U259,FIND("(",NAV!U259)+1,FIND(")", NAV!U259)-FIND("(",NAV!U259)-1)</f>
        <v>KRW</v>
      </c>
    </row>
    <row r="339" spans="1:18" ht="12.75" thickBot="1">
      <c r="A339" s="149">
        <f t="shared" si="33"/>
        <v>6</v>
      </c>
      <c r="B339" s="381" t="str">
        <f t="shared" si="30"/>
        <v/>
      </c>
      <c r="C339" s="380" t="str">
        <f t="shared" si="31"/>
        <v/>
      </c>
      <c r="D339" s="380" t="str">
        <f t="shared" si="32"/>
        <v/>
      </c>
      <c r="J339" s="149" t="str">
        <f>IF(L339=0,"",COUNTA(L$330:$L339)+COUNT($F$330:$F$335))</f>
        <v/>
      </c>
      <c r="K339" s="373">
        <f t="shared" si="29"/>
        <v>0</v>
      </c>
      <c r="L339" s="375">
        <f>NAV!J260</f>
        <v>0</v>
      </c>
      <c r="M339" s="376">
        <f>NAV!N260</f>
        <v>0</v>
      </c>
      <c r="N339" s="376">
        <f>NAV!T260</f>
        <v>0</v>
      </c>
      <c r="O339" s="377">
        <f>IF(N339="장부가액 준용","장부가액 준용",IF(N339="취득원가 준용","취득원가 준용",NAV!R260))</f>
        <v>0</v>
      </c>
      <c r="P339" s="377">
        <f>NAV!W260</f>
        <v>0</v>
      </c>
      <c r="Q339" s="377">
        <f>NAV!S260</f>
        <v>0</v>
      </c>
      <c r="R339" s="737" t="str">
        <f>MID(NAV!U260,FIND("(",NAV!U260)+1,FIND(")", NAV!U260)-FIND("(",NAV!U260)-1)</f>
        <v>KRW</v>
      </c>
    </row>
    <row r="340" spans="1:18" ht="12.75" thickBot="1">
      <c r="A340" s="149">
        <f t="shared" si="33"/>
        <v>7</v>
      </c>
      <c r="B340" s="381" t="str">
        <f t="shared" si="30"/>
        <v/>
      </c>
      <c r="C340" s="380" t="str">
        <f t="shared" si="31"/>
        <v/>
      </c>
      <c r="D340" s="380" t="str">
        <f t="shared" si="32"/>
        <v/>
      </c>
      <c r="J340" s="149" t="str">
        <f>IF(L340=0,"",COUNTA(L$330:$L340)+COUNT($F$330:$F$335))</f>
        <v/>
      </c>
      <c r="K340" s="373">
        <f t="shared" si="29"/>
        <v>0</v>
      </c>
      <c r="L340" s="375">
        <f>NAV!J261</f>
        <v>0</v>
      </c>
      <c r="M340" s="376">
        <f>NAV!N261</f>
        <v>0</v>
      </c>
      <c r="N340" s="376">
        <f>NAV!T261</f>
        <v>0</v>
      </c>
      <c r="O340" s="377">
        <f>IF(N340="장부가액 준용","장부가액 준용",IF(N340="취득원가 준용","취득원가 준용",NAV!R261))</f>
        <v>0</v>
      </c>
      <c r="P340" s="377">
        <f>NAV!W261</f>
        <v>0</v>
      </c>
      <c r="Q340" s="377">
        <f>NAV!S261</f>
        <v>0</v>
      </c>
      <c r="R340" s="737" t="str">
        <f>MID(NAV!U261,FIND("(",NAV!U261)+1,FIND(")", NAV!U261)-FIND("(",NAV!U261)-1)</f>
        <v>KRW</v>
      </c>
    </row>
    <row r="341" spans="1:18" ht="12.75" hidden="1" customHeight="1" outlineLevel="1" thickBot="1">
      <c r="A341" s="149">
        <f t="shared" si="33"/>
        <v>8</v>
      </c>
      <c r="B341" s="381" t="str">
        <f t="shared" si="30"/>
        <v/>
      </c>
      <c r="C341" s="380" t="str">
        <f t="shared" si="31"/>
        <v/>
      </c>
      <c r="D341" s="380" t="str">
        <f t="shared" si="32"/>
        <v/>
      </c>
    </row>
    <row r="342" spans="1:18" ht="12.75" hidden="1" customHeight="1" outlineLevel="1" thickBot="1">
      <c r="A342" s="149">
        <f t="shared" si="33"/>
        <v>9</v>
      </c>
      <c r="B342" s="381" t="str">
        <f t="shared" si="30"/>
        <v/>
      </c>
      <c r="C342" s="380" t="str">
        <f t="shared" si="31"/>
        <v/>
      </c>
      <c r="D342" s="380" t="str">
        <f t="shared" si="32"/>
        <v/>
      </c>
    </row>
    <row r="343" spans="1:18" ht="12.75" hidden="1" customHeight="1" outlineLevel="1" thickBot="1">
      <c r="A343" s="149">
        <f t="shared" si="33"/>
        <v>10</v>
      </c>
      <c r="B343" s="381" t="str">
        <f t="shared" si="30"/>
        <v/>
      </c>
      <c r="C343" s="380" t="str">
        <f t="shared" ref="C343:C350" si="34">IFERROR(IF(F339=A343,VLOOKUP(A343,$F$329:$I$340,3,0),VLOOKUP(A343,$J$329:$Q$340,7,0)),"")</f>
        <v/>
      </c>
      <c r="D343" s="380" t="str">
        <f t="shared" ref="D343:D350" si="35">IFERROR(IF(F339=A343,VLOOKUP(A343,$F$329:$I$340,4,0),VLOOKUP(A343,$J$329:$Q$340,8,0)),"")</f>
        <v/>
      </c>
    </row>
    <row r="344" spans="1:18" ht="12.75" hidden="1" customHeight="1" outlineLevel="1" thickBot="1">
      <c r="A344" s="149">
        <f t="shared" si="33"/>
        <v>11</v>
      </c>
      <c r="B344" s="381" t="str">
        <f t="shared" ref="B344:B350" si="36">IFERROR(IF(F340=A344,VLOOKUP(A344,$F$329:$I$340,2,0),VLOOKUP(A344,$J$329:$Q$340,3,0)&amp;" "&amp;VLOOKUP(A344,$J$329:$Q$340,4,0)),"")</f>
        <v/>
      </c>
      <c r="C344" s="380" t="str">
        <f t="shared" si="34"/>
        <v/>
      </c>
      <c r="D344" s="380" t="str">
        <f t="shared" si="35"/>
        <v/>
      </c>
    </row>
    <row r="345" spans="1:18" ht="12.75" hidden="1" customHeight="1" outlineLevel="1" thickBot="1">
      <c r="A345" s="149">
        <f t="shared" si="33"/>
        <v>12</v>
      </c>
      <c r="B345" s="381" t="str">
        <f t="shared" si="36"/>
        <v/>
      </c>
      <c r="C345" s="380" t="str">
        <f t="shared" si="34"/>
        <v/>
      </c>
      <c r="D345" s="380" t="str">
        <f t="shared" si="35"/>
        <v/>
      </c>
    </row>
    <row r="346" spans="1:18" ht="12.75" hidden="1" customHeight="1" outlineLevel="1" thickBot="1">
      <c r="A346" s="149">
        <f t="shared" si="33"/>
        <v>13</v>
      </c>
      <c r="B346" s="381" t="str">
        <f t="shared" si="36"/>
        <v/>
      </c>
      <c r="C346" s="380" t="str">
        <f t="shared" si="34"/>
        <v/>
      </c>
      <c r="D346" s="380" t="str">
        <f t="shared" si="35"/>
        <v/>
      </c>
    </row>
    <row r="347" spans="1:18" ht="12.75" hidden="1" customHeight="1" outlineLevel="1" thickBot="1">
      <c r="A347" s="149">
        <f t="shared" si="33"/>
        <v>14</v>
      </c>
      <c r="B347" s="381" t="str">
        <f t="shared" si="36"/>
        <v/>
      </c>
      <c r="C347" s="380" t="str">
        <f t="shared" si="34"/>
        <v/>
      </c>
      <c r="D347" s="380" t="str">
        <f t="shared" si="35"/>
        <v/>
      </c>
    </row>
    <row r="348" spans="1:18" ht="12.75" hidden="1" customHeight="1" outlineLevel="1" thickBot="1">
      <c r="A348" s="149">
        <f t="shared" si="33"/>
        <v>15</v>
      </c>
      <c r="B348" s="381" t="str">
        <f t="shared" si="36"/>
        <v/>
      </c>
      <c r="C348" s="380" t="str">
        <f t="shared" si="34"/>
        <v/>
      </c>
      <c r="D348" s="380" t="str">
        <f t="shared" si="35"/>
        <v/>
      </c>
    </row>
    <row r="349" spans="1:18" ht="12.75" hidden="1" customHeight="1" outlineLevel="1" thickBot="1">
      <c r="A349" s="149">
        <f t="shared" si="33"/>
        <v>16</v>
      </c>
      <c r="B349" s="381" t="str">
        <f t="shared" si="36"/>
        <v/>
      </c>
      <c r="C349" s="380" t="str">
        <f t="shared" si="34"/>
        <v/>
      </c>
      <c r="D349" s="380" t="str">
        <f t="shared" si="35"/>
        <v/>
      </c>
    </row>
    <row r="350" spans="1:18" ht="12.75" hidden="1" customHeight="1" outlineLevel="1" thickBot="1">
      <c r="A350" s="149">
        <f t="shared" si="33"/>
        <v>17</v>
      </c>
      <c r="B350" s="381" t="str">
        <f t="shared" si="36"/>
        <v/>
      </c>
      <c r="C350" s="380" t="str">
        <f t="shared" si="34"/>
        <v/>
      </c>
      <c r="D350" s="380" t="str">
        <f t="shared" si="35"/>
        <v/>
      </c>
    </row>
    <row r="351" spans="1:18" ht="12.75" collapsed="1" thickBot="1">
      <c r="B351" s="382" t="s">
        <v>2</v>
      </c>
      <c r="C351" s="372">
        <f>SUM(C330,C333)</f>
        <v>0</v>
      </c>
      <c r="D351" s="383">
        <f>SUM(D330,D333)</f>
        <v>0</v>
      </c>
    </row>
    <row r="352" spans="1:18" ht="12.75" thickBot="1">
      <c r="B352" s="382" t="s">
        <v>30</v>
      </c>
      <c r="C352" s="819">
        <f>NAV!E256</f>
        <v>0</v>
      </c>
      <c r="D352" s="820"/>
    </row>
    <row r="353" spans="1:18" ht="12.75" thickBot="1">
      <c r="B353" s="382" t="s">
        <v>31</v>
      </c>
      <c r="C353" s="819">
        <f>D351-C352</f>
        <v>0</v>
      </c>
      <c r="D353" s="820"/>
    </row>
    <row r="354" spans="1:18" ht="12.75" thickBot="1">
      <c r="B354" s="382" t="s">
        <v>745</v>
      </c>
      <c r="C354" s="819">
        <f>NAV!E261</f>
        <v>0</v>
      </c>
      <c r="D354" s="820"/>
      <c r="F354" s="217"/>
    </row>
    <row r="355" spans="1:18" ht="12.75" thickBot="1">
      <c r="B355" s="382" t="s">
        <v>965</v>
      </c>
      <c r="C355" s="819">
        <f>NAV!E262</f>
        <v>0</v>
      </c>
      <c r="D355" s="820"/>
    </row>
    <row r="356" spans="1:18" ht="12.75" thickBot="1">
      <c r="B356" s="382" t="s">
        <v>744</v>
      </c>
      <c r="C356" s="819">
        <f>NAV!E263</f>
        <v>0</v>
      </c>
      <c r="D356" s="820"/>
    </row>
    <row r="357" spans="1:18" ht="12.75" thickBot="1">
      <c r="B357" s="382" t="str">
        <f>NAV!C264</f>
        <v>보유지분율(%)</v>
      </c>
      <c r="C357" s="823">
        <f>NAV!D264</f>
        <v>0</v>
      </c>
      <c r="D357" s="824"/>
    </row>
    <row r="358" spans="1:18" ht="12.75" thickBot="1">
      <c r="B358" s="382" t="s">
        <v>746</v>
      </c>
      <c r="C358" s="825">
        <f>NAV!E264</f>
        <v>0</v>
      </c>
      <c r="D358" s="826"/>
    </row>
    <row r="364" spans="1:18">
      <c r="A364" s="149">
        <f>A326+1</f>
        <v>3</v>
      </c>
      <c r="B364" s="399" t="str">
        <f>NAV!B275</f>
        <v>SPC없음</v>
      </c>
      <c r="G364" s="399" t="str">
        <f>B364</f>
        <v>SPC없음</v>
      </c>
    </row>
    <row r="365" spans="1:18">
      <c r="B365" s="399" t="str">
        <f>NAV!C276</f>
        <v>SPC없음</v>
      </c>
      <c r="G365" s="399" t="str">
        <f>B365</f>
        <v>SPC없음</v>
      </c>
    </row>
    <row r="366" spans="1:18" ht="12.75" thickBot="1">
      <c r="B366" s="215" t="s">
        <v>750</v>
      </c>
      <c r="C366" s="216"/>
      <c r="D366" s="216"/>
      <c r="E366" s="216"/>
      <c r="F366" s="216"/>
      <c r="G366" s="215" t="s">
        <v>751</v>
      </c>
      <c r="H366" s="216"/>
      <c r="I366" s="216"/>
      <c r="K366" s="215" t="s">
        <v>752</v>
      </c>
    </row>
    <row r="367" spans="1:18" ht="12.75" thickBot="1">
      <c r="B367" s="366" t="s">
        <v>27</v>
      </c>
      <c r="C367" s="367" t="s">
        <v>28</v>
      </c>
      <c r="D367" s="367" t="s">
        <v>29</v>
      </c>
      <c r="F367" s="368" t="s">
        <v>3461</v>
      </c>
      <c r="G367" s="353" t="str">
        <f>$G$74</f>
        <v>SPC명</v>
      </c>
      <c r="H367" s="369" t="s">
        <v>3200</v>
      </c>
      <c r="I367" s="369" t="s">
        <v>753</v>
      </c>
      <c r="J367" s="368" t="s">
        <v>3461</v>
      </c>
      <c r="K367" s="353" t="s">
        <v>3440</v>
      </c>
      <c r="L367" s="353" t="str">
        <f>$L$74</f>
        <v>투자자산명</v>
      </c>
      <c r="M367" s="358" t="s">
        <v>754</v>
      </c>
      <c r="N367" s="358" t="s">
        <v>47</v>
      </c>
      <c r="O367" s="369" t="s">
        <v>749</v>
      </c>
      <c r="P367" s="400" t="s">
        <v>3460</v>
      </c>
      <c r="Q367" s="370" t="s">
        <v>3463</v>
      </c>
      <c r="R367" s="370" t="s">
        <v>6833</v>
      </c>
    </row>
    <row r="368" spans="1:18" ht="12.75" thickBot="1">
      <c r="B368" s="371" t="s">
        <v>3441</v>
      </c>
      <c r="C368" s="372">
        <f>SUM(C369:C370)</f>
        <v>0</v>
      </c>
      <c r="D368" s="372">
        <f>SUM(D369:D370)</f>
        <v>0</v>
      </c>
      <c r="F368" s="149" t="str">
        <f>IF(G368=0,"",COUNTA(G$368:$G368))</f>
        <v/>
      </c>
      <c r="G368" s="373">
        <f>IF(NAV!L281="SPC 없음",0,NAV!L281)</f>
        <v>0</v>
      </c>
      <c r="H368" s="374">
        <f>NAV!W281</f>
        <v>0</v>
      </c>
      <c r="I368" s="374" t="str">
        <f>NAV!S281</f>
        <v>SPC 없음</v>
      </c>
      <c r="J368" s="149" t="str">
        <f>IF(L368=0,"",COUNTA(L$368:$L368)+COUNT($F$368:$F$373))</f>
        <v/>
      </c>
      <c r="K368" s="373">
        <f>IF($B365="SPC없음",0,$B365)</f>
        <v>0</v>
      </c>
      <c r="L368" s="375">
        <f>NAV!J289</f>
        <v>0</v>
      </c>
      <c r="M368" s="376">
        <f>NAV!N289</f>
        <v>0</v>
      </c>
      <c r="N368" s="376">
        <f>NAV!T289</f>
        <v>0</v>
      </c>
      <c r="O368" s="377">
        <f>IF(N368="장부가액 준용","장부가액 준용",IF(N368="취득원가 준용","취득원가 준용",NAV!R289))</f>
        <v>0</v>
      </c>
      <c r="P368" s="377">
        <f>NAV!W289</f>
        <v>0</v>
      </c>
      <c r="Q368" s="377">
        <f>NAV!S289</f>
        <v>0</v>
      </c>
      <c r="R368" s="737" t="str">
        <f>MID(NAV!U289,FIND("(",NAV!U289)+1,FIND(")", NAV!U289)-FIND("(",NAV!U289)-1)</f>
        <v>KRW</v>
      </c>
    </row>
    <row r="369" spans="1:18" ht="12.75" thickBot="1">
      <c r="B369" s="379" t="s">
        <v>3464</v>
      </c>
      <c r="C369" s="380">
        <f>NAV!D282</f>
        <v>0</v>
      </c>
      <c r="D369" s="380">
        <f>NAV!E282</f>
        <v>0</v>
      </c>
      <c r="F369" s="149" t="str">
        <f>IF(G369=0,"",COUNTA(G$368:$G369))</f>
        <v/>
      </c>
      <c r="G369" s="373">
        <f>IF(NAV!L282="SPC 없음",0,NAV!L282)</f>
        <v>0</v>
      </c>
      <c r="H369" s="374">
        <f>NAV!W282</f>
        <v>0</v>
      </c>
      <c r="I369" s="374" t="str">
        <f>NAV!S282</f>
        <v>SPC 없음</v>
      </c>
      <c r="J369" s="149" t="str">
        <f>IF(L369=0,"",COUNTA(L$368:$L369)+COUNT($F$368:$F$373))</f>
        <v/>
      </c>
      <c r="K369" s="373">
        <f t="shared" ref="K369:K378" si="37">K368</f>
        <v>0</v>
      </c>
      <c r="L369" s="375">
        <f>NAV!J290</f>
        <v>0</v>
      </c>
      <c r="M369" s="376">
        <f>NAV!N290</f>
        <v>0</v>
      </c>
      <c r="N369" s="376">
        <f>NAV!T290</f>
        <v>0</v>
      </c>
      <c r="O369" s="377">
        <f>IF(N369="장부가액 준용","장부가액 준용",IF(N369="취득원가 준용","취득원가 준용",NAV!R290))</f>
        <v>0</v>
      </c>
      <c r="P369" s="377">
        <f>NAV!W290</f>
        <v>0</v>
      </c>
      <c r="Q369" s="377">
        <f>NAV!S290</f>
        <v>0</v>
      </c>
      <c r="R369" s="737" t="str">
        <f>MID(NAV!U290,FIND("(",NAV!U290)+1,FIND(")", NAV!U290)-FIND("(",NAV!U290)-1)</f>
        <v>KRW</v>
      </c>
    </row>
    <row r="370" spans="1:18" ht="12.75" thickBot="1">
      <c r="B370" s="379" t="s">
        <v>156</v>
      </c>
      <c r="C370" s="380">
        <f>NAV!D283</f>
        <v>0</v>
      </c>
      <c r="D370" s="380">
        <f>NAV!E283</f>
        <v>0</v>
      </c>
      <c r="F370" s="149" t="str">
        <f>IF(G370=0,"",COUNTA(G$368:$G370))</f>
        <v/>
      </c>
      <c r="G370" s="373">
        <f>IF(NAV!L283="SPC 없음",0,NAV!L283)</f>
        <v>0</v>
      </c>
      <c r="H370" s="374">
        <f>NAV!W283</f>
        <v>0</v>
      </c>
      <c r="I370" s="374" t="str">
        <f>NAV!S283</f>
        <v>SPC 없음</v>
      </c>
      <c r="J370" s="149" t="str">
        <f>IF(L370=0,"",COUNTA(L$368:$L370)+COUNT($F$368:$F$373))</f>
        <v/>
      </c>
      <c r="K370" s="373">
        <f t="shared" si="37"/>
        <v>0</v>
      </c>
      <c r="L370" s="375">
        <f>NAV!J291</f>
        <v>0</v>
      </c>
      <c r="M370" s="376">
        <f>NAV!N291</f>
        <v>0</v>
      </c>
      <c r="N370" s="376">
        <f>NAV!T291</f>
        <v>0</v>
      </c>
      <c r="O370" s="377">
        <f>IF(N370="장부가액 준용","장부가액 준용",IF(N370="취득원가 준용","취득원가 준용",NAV!R291))</f>
        <v>0</v>
      </c>
      <c r="P370" s="377">
        <f>NAV!W291</f>
        <v>0</v>
      </c>
      <c r="Q370" s="377">
        <f>NAV!S291</f>
        <v>0</v>
      </c>
      <c r="R370" s="737" t="str">
        <f>MID(NAV!U291,FIND("(",NAV!U291)+1,FIND(")", NAV!U291)-FIND("(",NAV!U291)-1)</f>
        <v>KRW</v>
      </c>
    </row>
    <row r="371" spans="1:18" ht="12.75" thickBot="1">
      <c r="B371" s="371" t="s">
        <v>3442</v>
      </c>
      <c r="C371" s="372">
        <f>NAV!D284</f>
        <v>0</v>
      </c>
      <c r="D371" s="372">
        <f>NAV!E284</f>
        <v>0</v>
      </c>
      <c r="F371" s="149" t="str">
        <f>IF(G371=0,"",COUNTA(G$368:$G371))</f>
        <v/>
      </c>
      <c r="G371" s="373">
        <f>IF(NAV!L284="SPC 없음",0,NAV!L284)</f>
        <v>0</v>
      </c>
      <c r="H371" s="374">
        <f>NAV!W284</f>
        <v>0</v>
      </c>
      <c r="I371" s="374" t="str">
        <f>NAV!S284</f>
        <v>SPC 없음</v>
      </c>
      <c r="J371" s="149" t="str">
        <f>IF(L371=0,"",COUNTA(L$368:$L371)+COUNT($F$368:$F$373))</f>
        <v/>
      </c>
      <c r="K371" s="373">
        <f t="shared" si="37"/>
        <v>0</v>
      </c>
      <c r="L371" s="375">
        <f>NAV!J292</f>
        <v>0</v>
      </c>
      <c r="M371" s="376">
        <f>NAV!N292</f>
        <v>0</v>
      </c>
      <c r="N371" s="376">
        <f>NAV!T292</f>
        <v>0</v>
      </c>
      <c r="O371" s="377">
        <f>IF(N371="장부가액 준용","장부가액 준용",IF(N371="취득원가 준용","취득원가 준용",NAV!R292))</f>
        <v>0</v>
      </c>
      <c r="P371" s="377">
        <f>NAV!W292</f>
        <v>0</v>
      </c>
      <c r="Q371" s="377">
        <f>NAV!S292</f>
        <v>0</v>
      </c>
      <c r="R371" s="737" t="str">
        <f>MID(NAV!U292,FIND("(",NAV!U292)+1,FIND(")", NAV!U292)-FIND("(",NAV!U292)-1)</f>
        <v>KRW</v>
      </c>
    </row>
    <row r="372" spans="1:18" ht="12.75" thickBot="1">
      <c r="A372" s="149">
        <v>1</v>
      </c>
      <c r="B372" s="381" t="str">
        <f>IFERROR(IF(F368=A372,VLOOKUP(A372,$F$367:$I$378,2,0),VLOOKUP(A372,$J$367:$Q$378,3,0)&amp;" "&amp;VLOOKUP(A372,$J$367:$Q$378,4,0)),"")</f>
        <v/>
      </c>
      <c r="C372" s="380" t="str">
        <f>IFERROR(IF(F368=A372,VLOOKUP(A372,$F$367:$I$378,3,0),VLOOKUP(A372,$J$367:$Q$378,7,0)),"")</f>
        <v/>
      </c>
      <c r="D372" s="380" t="str">
        <f>IFERROR(IF(F368=A372,VLOOKUP(A372,$F$367:$I$378,4,0),VLOOKUP(A372,$J$367:$Q$378,8,0)),"")</f>
        <v/>
      </c>
      <c r="F372" s="149" t="str">
        <f>IF(G372=0,"",COUNTA(G$368:$G372))</f>
        <v/>
      </c>
      <c r="G372" s="373">
        <f>IF(NAV!L285="SPC 없음",0,NAV!L285)</f>
        <v>0</v>
      </c>
      <c r="H372" s="374">
        <f>NAV!W285</f>
        <v>0</v>
      </c>
      <c r="I372" s="374" t="str">
        <f>NAV!S285</f>
        <v>SPC 없음</v>
      </c>
      <c r="J372" s="149" t="str">
        <f>IF(L372=0,"",COUNTA(L$368:$L372)+COUNT($F$368:$F$373))</f>
        <v/>
      </c>
      <c r="K372" s="373">
        <f t="shared" si="37"/>
        <v>0</v>
      </c>
      <c r="L372" s="375">
        <f>NAV!J293</f>
        <v>0</v>
      </c>
      <c r="M372" s="376">
        <f>NAV!N293</f>
        <v>0</v>
      </c>
      <c r="N372" s="376">
        <f>NAV!T293</f>
        <v>0</v>
      </c>
      <c r="O372" s="377">
        <f>IF(N372="장부가액 준용","장부가액 준용",IF(N372="취득원가 준용","취득원가 준용",NAV!R293))</f>
        <v>0</v>
      </c>
      <c r="P372" s="377">
        <f>NAV!W293</f>
        <v>0</v>
      </c>
      <c r="Q372" s="377">
        <f>NAV!S293</f>
        <v>0</v>
      </c>
      <c r="R372" s="737" t="str">
        <f>MID(NAV!U293,FIND("(",NAV!U293)+1,FIND(")", NAV!U293)-FIND("(",NAV!U293)-1)</f>
        <v>KRW</v>
      </c>
    </row>
    <row r="373" spans="1:18" ht="12.75" thickBot="1">
      <c r="A373" s="149">
        <f>A372+1</f>
        <v>2</v>
      </c>
      <c r="B373" s="381" t="str">
        <f t="shared" ref="B373:B388" si="38">IFERROR(IF(F369=A373,VLOOKUP(A373,$F$367:$I$378,2,0),VLOOKUP(A373,$J$367:$Q$378,3,0)&amp;" "&amp;VLOOKUP(A373,$J$367:$Q$378,4,0)),"")</f>
        <v/>
      </c>
      <c r="C373" s="380" t="str">
        <f t="shared" ref="C373:C388" si="39">IFERROR(IF(F369=A373,VLOOKUP(A373,$F$367:$I$378,3,0),VLOOKUP(A373,$J$367:$Q$378,7,0)),"")</f>
        <v/>
      </c>
      <c r="D373" s="380" t="str">
        <f t="shared" ref="D373:D388" si="40">IFERROR(IF(F369=A373,VLOOKUP(A373,$F$367:$I$378,4,0),VLOOKUP(A373,$J$367:$Q$378,8,0)),"")</f>
        <v/>
      </c>
      <c r="F373" s="149" t="str">
        <f>IF(G373=0,"",COUNTA(G$368:$G373))</f>
        <v/>
      </c>
      <c r="G373" s="373">
        <f>IF(NAV!L286="SPC 없음",0,NAV!L286)</f>
        <v>0</v>
      </c>
      <c r="H373" s="374">
        <f>NAV!W286</f>
        <v>0</v>
      </c>
      <c r="I373" s="374" t="str">
        <f>NAV!S286</f>
        <v>SPC 없음</v>
      </c>
      <c r="J373" s="149" t="str">
        <f>IF(L373=0,"",COUNTA(L$368:$L373)+COUNT($F$368:$F$373))</f>
        <v/>
      </c>
      <c r="K373" s="373">
        <f t="shared" si="37"/>
        <v>0</v>
      </c>
      <c r="L373" s="375">
        <f>NAV!J294</f>
        <v>0</v>
      </c>
      <c r="M373" s="376">
        <f>NAV!N294</f>
        <v>0</v>
      </c>
      <c r="N373" s="376">
        <f>NAV!T294</f>
        <v>0</v>
      </c>
      <c r="O373" s="377">
        <f>IF(N373="장부가액 준용","장부가액 준용",IF(N373="취득원가 준용","취득원가 준용",NAV!R294))</f>
        <v>0</v>
      </c>
      <c r="P373" s="377">
        <f>NAV!W294</f>
        <v>0</v>
      </c>
      <c r="Q373" s="377">
        <f>NAV!S294</f>
        <v>0</v>
      </c>
      <c r="R373" s="737" t="str">
        <f>MID(NAV!U294,FIND("(",NAV!U294)+1,FIND(")", NAV!U294)-FIND("(",NAV!U294)-1)</f>
        <v>KRW</v>
      </c>
    </row>
    <row r="374" spans="1:18" ht="12.75" thickBot="1">
      <c r="A374" s="149">
        <f t="shared" ref="A374:A388" si="41">A373+1</f>
        <v>3</v>
      </c>
      <c r="B374" s="381" t="str">
        <f t="shared" si="38"/>
        <v/>
      </c>
      <c r="C374" s="380" t="str">
        <f t="shared" si="39"/>
        <v/>
      </c>
      <c r="D374" s="380" t="str">
        <f t="shared" si="40"/>
        <v/>
      </c>
      <c r="J374" s="149" t="str">
        <f>IF(L374=0,"",COUNTA(L$368:$L374)+COUNT($F$368:$F$373))</f>
        <v/>
      </c>
      <c r="K374" s="373">
        <f t="shared" si="37"/>
        <v>0</v>
      </c>
      <c r="L374" s="375">
        <f>NAV!J295</f>
        <v>0</v>
      </c>
      <c r="M374" s="376">
        <f>NAV!N295</f>
        <v>0</v>
      </c>
      <c r="N374" s="376">
        <f>NAV!T295</f>
        <v>0</v>
      </c>
      <c r="O374" s="377">
        <f>IF(N374="장부가액 준용","장부가액 준용",IF(N374="취득원가 준용","취득원가 준용",NAV!R295))</f>
        <v>0</v>
      </c>
      <c r="P374" s="377">
        <f>NAV!W295</f>
        <v>0</v>
      </c>
      <c r="Q374" s="377">
        <f>NAV!S295</f>
        <v>0</v>
      </c>
      <c r="R374" s="737" t="str">
        <f>MID(NAV!U295,FIND("(",NAV!U295)+1,FIND(")", NAV!U295)-FIND("(",NAV!U295)-1)</f>
        <v>KRW</v>
      </c>
    </row>
    <row r="375" spans="1:18" ht="12.75" thickBot="1">
      <c r="A375" s="149">
        <f t="shared" si="41"/>
        <v>4</v>
      </c>
      <c r="B375" s="381" t="str">
        <f t="shared" si="38"/>
        <v/>
      </c>
      <c r="C375" s="380" t="str">
        <f t="shared" si="39"/>
        <v/>
      </c>
      <c r="D375" s="380" t="str">
        <f t="shared" si="40"/>
        <v/>
      </c>
      <c r="J375" s="149" t="str">
        <f>IF(L375=0,"",COUNTA(L$368:$L375)+COUNT($F$368:$F$373))</f>
        <v/>
      </c>
      <c r="K375" s="373">
        <f t="shared" si="37"/>
        <v>0</v>
      </c>
      <c r="L375" s="375">
        <f>NAV!J296</f>
        <v>0</v>
      </c>
      <c r="M375" s="376">
        <f>NAV!N296</f>
        <v>0</v>
      </c>
      <c r="N375" s="376">
        <f>NAV!T296</f>
        <v>0</v>
      </c>
      <c r="O375" s="377">
        <f>IF(N375="장부가액 준용","장부가액 준용",IF(N375="취득원가 준용","취득원가 준용",NAV!R296))</f>
        <v>0</v>
      </c>
      <c r="P375" s="377">
        <f>NAV!W296</f>
        <v>0</v>
      </c>
      <c r="Q375" s="377">
        <f>NAV!S296</f>
        <v>0</v>
      </c>
      <c r="R375" s="737" t="str">
        <f>MID(NAV!U296,FIND("(",NAV!U296)+1,FIND(")", NAV!U296)-FIND("(",NAV!U296)-1)</f>
        <v>KRW</v>
      </c>
    </row>
    <row r="376" spans="1:18" ht="12.75" thickBot="1">
      <c r="A376" s="149">
        <f t="shared" si="41"/>
        <v>5</v>
      </c>
      <c r="B376" s="381" t="str">
        <f t="shared" si="38"/>
        <v/>
      </c>
      <c r="C376" s="380" t="str">
        <f t="shared" si="39"/>
        <v/>
      </c>
      <c r="D376" s="380" t="str">
        <f t="shared" si="40"/>
        <v/>
      </c>
      <c r="J376" s="149" t="str">
        <f>IF(L376=0,"",COUNTA(L$368:$L376)+COUNT($F$368:$F$373))</f>
        <v/>
      </c>
      <c r="K376" s="373">
        <f t="shared" si="37"/>
        <v>0</v>
      </c>
      <c r="L376" s="375">
        <f>NAV!J297</f>
        <v>0</v>
      </c>
      <c r="M376" s="376">
        <f>NAV!N297</f>
        <v>0</v>
      </c>
      <c r="N376" s="376">
        <f>NAV!T297</f>
        <v>0</v>
      </c>
      <c r="O376" s="377">
        <f>IF(N376="장부가액 준용","장부가액 준용",IF(N376="취득원가 준용","취득원가 준용",NAV!R297))</f>
        <v>0</v>
      </c>
      <c r="P376" s="377">
        <f>NAV!W297</f>
        <v>0</v>
      </c>
      <c r="Q376" s="377">
        <f>NAV!S297</f>
        <v>0</v>
      </c>
      <c r="R376" s="737" t="str">
        <f>MID(NAV!U297,FIND("(",NAV!U297)+1,FIND(")", NAV!U297)-FIND("(",NAV!U297)-1)</f>
        <v>KRW</v>
      </c>
    </row>
    <row r="377" spans="1:18" ht="12.75" thickBot="1">
      <c r="A377" s="149">
        <f t="shared" si="41"/>
        <v>6</v>
      </c>
      <c r="B377" s="381" t="str">
        <f t="shared" si="38"/>
        <v/>
      </c>
      <c r="C377" s="380" t="str">
        <f t="shared" si="39"/>
        <v/>
      </c>
      <c r="D377" s="380" t="str">
        <f t="shared" si="40"/>
        <v/>
      </c>
      <c r="J377" s="149" t="str">
        <f>IF(L377=0,"",COUNTA(L$368:$L377)+COUNT($F$368:$F$373))</f>
        <v/>
      </c>
      <c r="K377" s="373">
        <f t="shared" si="37"/>
        <v>0</v>
      </c>
      <c r="L377" s="375">
        <f>NAV!J298</f>
        <v>0</v>
      </c>
      <c r="M377" s="376">
        <f>NAV!N298</f>
        <v>0</v>
      </c>
      <c r="N377" s="376">
        <f>NAV!T298</f>
        <v>0</v>
      </c>
      <c r="O377" s="377">
        <f>IF(N377="장부가액 준용","장부가액 준용",IF(N377="취득원가 준용","취득원가 준용",NAV!R298))</f>
        <v>0</v>
      </c>
      <c r="P377" s="377">
        <f>NAV!W298</f>
        <v>0</v>
      </c>
      <c r="Q377" s="377">
        <f>NAV!S298</f>
        <v>0</v>
      </c>
      <c r="R377" s="737" t="str">
        <f>MID(NAV!U298,FIND("(",NAV!U298)+1,FIND(")", NAV!U298)-FIND("(",NAV!U298)-1)</f>
        <v>KRW</v>
      </c>
    </row>
    <row r="378" spans="1:18" ht="12.75" thickBot="1">
      <c r="A378" s="149">
        <f t="shared" si="41"/>
        <v>7</v>
      </c>
      <c r="B378" s="381" t="str">
        <f t="shared" si="38"/>
        <v/>
      </c>
      <c r="C378" s="380" t="str">
        <f t="shared" si="39"/>
        <v/>
      </c>
      <c r="D378" s="380" t="str">
        <f t="shared" si="40"/>
        <v/>
      </c>
      <c r="J378" s="149" t="str">
        <f>IF(L378=0,"",COUNTA(L$368:$L378)+COUNT($F$368:$F$373))</f>
        <v/>
      </c>
      <c r="K378" s="373">
        <f t="shared" si="37"/>
        <v>0</v>
      </c>
      <c r="L378" s="375">
        <f>NAV!J299</f>
        <v>0</v>
      </c>
      <c r="M378" s="376">
        <f>NAV!N299</f>
        <v>0</v>
      </c>
      <c r="N378" s="376">
        <f>NAV!T299</f>
        <v>0</v>
      </c>
      <c r="O378" s="377">
        <f>IF(N378="장부가액 준용","장부가액 준용",IF(N378="취득원가 준용","취득원가 준용",NAV!R299))</f>
        <v>0</v>
      </c>
      <c r="P378" s="377">
        <f>NAV!W299</f>
        <v>0</v>
      </c>
      <c r="Q378" s="377">
        <f>NAV!S299</f>
        <v>0</v>
      </c>
      <c r="R378" s="737" t="str">
        <f>MID(NAV!U299,FIND("(",NAV!U299)+1,FIND(")", NAV!U299)-FIND("(",NAV!U299)-1)</f>
        <v>KRW</v>
      </c>
    </row>
    <row r="379" spans="1:18" ht="12.75" hidden="1" customHeight="1" outlineLevel="1" thickBot="1">
      <c r="A379" s="149">
        <f t="shared" si="41"/>
        <v>8</v>
      </c>
      <c r="B379" s="381" t="str">
        <f t="shared" si="38"/>
        <v/>
      </c>
      <c r="C379" s="380" t="str">
        <f t="shared" si="39"/>
        <v/>
      </c>
      <c r="D379" s="380" t="str">
        <f t="shared" si="40"/>
        <v/>
      </c>
    </row>
    <row r="380" spans="1:18" ht="12.75" hidden="1" customHeight="1" outlineLevel="1" thickBot="1">
      <c r="A380" s="149">
        <f t="shared" si="41"/>
        <v>9</v>
      </c>
      <c r="B380" s="381" t="str">
        <f t="shared" si="38"/>
        <v/>
      </c>
      <c r="C380" s="380" t="str">
        <f t="shared" si="39"/>
        <v/>
      </c>
      <c r="D380" s="380" t="str">
        <f t="shared" si="40"/>
        <v/>
      </c>
    </row>
    <row r="381" spans="1:18" ht="12.75" hidden="1" customHeight="1" outlineLevel="1" thickBot="1">
      <c r="A381" s="149">
        <f t="shared" si="41"/>
        <v>10</v>
      </c>
      <c r="B381" s="381" t="str">
        <f t="shared" si="38"/>
        <v/>
      </c>
      <c r="C381" s="380" t="str">
        <f t="shared" si="39"/>
        <v/>
      </c>
      <c r="D381" s="380" t="str">
        <f t="shared" si="40"/>
        <v/>
      </c>
    </row>
    <row r="382" spans="1:18" ht="12.75" hidden="1" customHeight="1" outlineLevel="1" thickBot="1">
      <c r="A382" s="149">
        <f t="shared" si="41"/>
        <v>11</v>
      </c>
      <c r="B382" s="381" t="str">
        <f t="shared" si="38"/>
        <v/>
      </c>
      <c r="C382" s="380" t="str">
        <f t="shared" si="39"/>
        <v/>
      </c>
      <c r="D382" s="380" t="str">
        <f t="shared" si="40"/>
        <v/>
      </c>
    </row>
    <row r="383" spans="1:18" ht="12.75" hidden="1" customHeight="1" outlineLevel="1" thickBot="1">
      <c r="A383" s="149">
        <f t="shared" si="41"/>
        <v>12</v>
      </c>
      <c r="B383" s="381" t="str">
        <f t="shared" si="38"/>
        <v/>
      </c>
      <c r="C383" s="380" t="str">
        <f t="shared" si="39"/>
        <v/>
      </c>
      <c r="D383" s="380" t="str">
        <f t="shared" si="40"/>
        <v/>
      </c>
    </row>
    <row r="384" spans="1:18" ht="12.75" hidden="1" customHeight="1" outlineLevel="1" thickBot="1">
      <c r="A384" s="149">
        <f t="shared" si="41"/>
        <v>13</v>
      </c>
      <c r="B384" s="381" t="str">
        <f t="shared" si="38"/>
        <v/>
      </c>
      <c r="C384" s="380" t="str">
        <f t="shared" si="39"/>
        <v/>
      </c>
      <c r="D384" s="380" t="str">
        <f t="shared" si="40"/>
        <v/>
      </c>
    </row>
    <row r="385" spans="1:6" ht="12.75" hidden="1" customHeight="1" outlineLevel="1" thickBot="1">
      <c r="A385" s="149">
        <f t="shared" si="41"/>
        <v>14</v>
      </c>
      <c r="B385" s="381" t="str">
        <f t="shared" si="38"/>
        <v/>
      </c>
      <c r="C385" s="380" t="str">
        <f t="shared" si="39"/>
        <v/>
      </c>
      <c r="D385" s="380" t="str">
        <f t="shared" si="40"/>
        <v/>
      </c>
    </row>
    <row r="386" spans="1:6" ht="12.75" hidden="1" customHeight="1" outlineLevel="1" thickBot="1">
      <c r="A386" s="149">
        <f t="shared" si="41"/>
        <v>15</v>
      </c>
      <c r="B386" s="381" t="str">
        <f t="shared" si="38"/>
        <v/>
      </c>
      <c r="C386" s="380" t="str">
        <f t="shared" si="39"/>
        <v/>
      </c>
      <c r="D386" s="380" t="str">
        <f t="shared" si="40"/>
        <v/>
      </c>
    </row>
    <row r="387" spans="1:6" ht="12.75" hidden="1" customHeight="1" outlineLevel="1" thickBot="1">
      <c r="A387" s="149">
        <f t="shared" si="41"/>
        <v>16</v>
      </c>
      <c r="B387" s="381" t="str">
        <f t="shared" si="38"/>
        <v/>
      </c>
      <c r="C387" s="380" t="str">
        <f t="shared" si="39"/>
        <v/>
      </c>
      <c r="D387" s="380" t="str">
        <f t="shared" si="40"/>
        <v/>
      </c>
    </row>
    <row r="388" spans="1:6" ht="12.75" hidden="1" customHeight="1" outlineLevel="1" thickBot="1">
      <c r="A388" s="149">
        <f t="shared" si="41"/>
        <v>17</v>
      </c>
      <c r="B388" s="381" t="str">
        <f t="shared" si="38"/>
        <v/>
      </c>
      <c r="C388" s="380" t="str">
        <f t="shared" si="39"/>
        <v/>
      </c>
      <c r="D388" s="380" t="str">
        <f t="shared" si="40"/>
        <v/>
      </c>
    </row>
    <row r="389" spans="1:6" ht="12.75" collapsed="1" thickBot="1">
      <c r="B389" s="382" t="s">
        <v>2</v>
      </c>
      <c r="C389" s="372">
        <f>SUM(C368,C371)</f>
        <v>0</v>
      </c>
      <c r="D389" s="383">
        <f>SUM(D368,D371)</f>
        <v>0</v>
      </c>
    </row>
    <row r="390" spans="1:6" ht="12.75" thickBot="1">
      <c r="B390" s="382" t="s">
        <v>30</v>
      </c>
      <c r="C390" s="819">
        <f>NAV!E294</f>
        <v>0</v>
      </c>
      <c r="D390" s="820"/>
    </row>
    <row r="391" spans="1:6" ht="12.75" thickBot="1">
      <c r="B391" s="382" t="s">
        <v>31</v>
      </c>
      <c r="C391" s="819">
        <f>D389-C390</f>
        <v>0</v>
      </c>
      <c r="D391" s="820"/>
    </row>
    <row r="392" spans="1:6" ht="12.75" thickBot="1">
      <c r="B392" s="382" t="s">
        <v>3474</v>
      </c>
      <c r="C392" s="819">
        <f>NAV!E299</f>
        <v>0</v>
      </c>
      <c r="D392" s="820"/>
      <c r="F392" s="217"/>
    </row>
    <row r="393" spans="1:6" ht="12.75" thickBot="1">
      <c r="B393" s="382" t="s">
        <v>3475</v>
      </c>
      <c r="C393" s="819">
        <f>NAV!E300</f>
        <v>0</v>
      </c>
      <c r="D393" s="820"/>
    </row>
    <row r="394" spans="1:6" ht="12.75" thickBot="1">
      <c r="B394" s="382" t="s">
        <v>744</v>
      </c>
      <c r="C394" s="819">
        <f>NAV!E301</f>
        <v>0</v>
      </c>
      <c r="D394" s="820"/>
    </row>
    <row r="395" spans="1:6" ht="12.75" thickBot="1">
      <c r="B395" s="382" t="str">
        <f>NAV!C302</f>
        <v>보유지분율(%)</v>
      </c>
      <c r="C395" s="823">
        <f>NAV!D302</f>
        <v>0</v>
      </c>
      <c r="D395" s="824"/>
    </row>
    <row r="396" spans="1:6" ht="12.75" thickBot="1">
      <c r="B396" s="382" t="s">
        <v>3476</v>
      </c>
      <c r="C396" s="825">
        <f>NAV!E302</f>
        <v>0</v>
      </c>
      <c r="D396" s="826"/>
    </row>
    <row r="402" spans="1:18">
      <c r="A402" s="149">
        <f>A364+1</f>
        <v>4</v>
      </c>
      <c r="B402" s="399" t="str">
        <f>NAV!B313</f>
        <v>SPC없음</v>
      </c>
      <c r="G402" s="399" t="str">
        <f>B402</f>
        <v>SPC없음</v>
      </c>
    </row>
    <row r="403" spans="1:18">
      <c r="B403" s="399" t="str">
        <f>NAV!C314</f>
        <v>SPC없음</v>
      </c>
      <c r="G403" s="399" t="str">
        <f>B403</f>
        <v>SPC없음</v>
      </c>
    </row>
    <row r="404" spans="1:18" ht="12.75" thickBot="1">
      <c r="B404" s="215" t="s">
        <v>750</v>
      </c>
      <c r="C404" s="216"/>
      <c r="D404" s="216"/>
      <c r="E404" s="216"/>
      <c r="F404" s="216"/>
      <c r="G404" s="215" t="s">
        <v>751</v>
      </c>
      <c r="H404" s="216"/>
      <c r="I404" s="216"/>
      <c r="K404" s="215" t="s">
        <v>752</v>
      </c>
    </row>
    <row r="405" spans="1:18" ht="12.75" thickBot="1">
      <c r="B405" s="366" t="s">
        <v>27</v>
      </c>
      <c r="C405" s="367" t="s">
        <v>28</v>
      </c>
      <c r="D405" s="367" t="s">
        <v>29</v>
      </c>
      <c r="F405" s="368" t="s">
        <v>3461</v>
      </c>
      <c r="G405" s="353" t="str">
        <f>$G$74</f>
        <v>SPC명</v>
      </c>
      <c r="H405" s="369" t="s">
        <v>3201</v>
      </c>
      <c r="I405" s="369" t="s">
        <v>753</v>
      </c>
      <c r="J405" s="368" t="s">
        <v>3461</v>
      </c>
      <c r="K405" s="353" t="s">
        <v>3440</v>
      </c>
      <c r="L405" s="353" t="str">
        <f>$L$74</f>
        <v>투자자산명</v>
      </c>
      <c r="M405" s="358" t="s">
        <v>754</v>
      </c>
      <c r="N405" s="358" t="s">
        <v>47</v>
      </c>
      <c r="O405" s="369" t="s">
        <v>749</v>
      </c>
      <c r="P405" s="400" t="s">
        <v>3460</v>
      </c>
      <c r="Q405" s="370" t="s">
        <v>3463</v>
      </c>
      <c r="R405" s="370" t="s">
        <v>6833</v>
      </c>
    </row>
    <row r="406" spans="1:18" ht="12.75" thickBot="1">
      <c r="B406" s="371" t="s">
        <v>3441</v>
      </c>
      <c r="C406" s="372">
        <f>SUM(C407:C408)</f>
        <v>0</v>
      </c>
      <c r="D406" s="372">
        <f>SUM(D407:D408)</f>
        <v>0</v>
      </c>
      <c r="F406" s="149" t="str">
        <f>IF(G406=0,"",COUNTA(G$406:$G406))</f>
        <v/>
      </c>
      <c r="G406" s="373">
        <f>IF(NAV!L319="SPC 없음",0,NAV!L319)</f>
        <v>0</v>
      </c>
      <c r="H406" s="374">
        <f>NAV!W319</f>
        <v>0</v>
      </c>
      <c r="I406" s="374" t="str">
        <f>NAV!S319</f>
        <v>SPC 없음</v>
      </c>
      <c r="J406" s="149" t="str">
        <f>IF(L406=0,"",COUNTA(L$406:$L406)+COUNT($F$406:$F$411))</f>
        <v/>
      </c>
      <c r="K406" s="373">
        <f>IF($B403="SPC없음",0,$B403)</f>
        <v>0</v>
      </c>
      <c r="L406" s="375">
        <f>NAV!J327</f>
        <v>0</v>
      </c>
      <c r="M406" s="376">
        <f>NAV!N327</f>
        <v>0</v>
      </c>
      <c r="N406" s="376">
        <f>NAV!T327</f>
        <v>0</v>
      </c>
      <c r="O406" s="377">
        <f>IF(N406="장부가액 준용","장부가액 준용",IF(N406="취득원가 준용","취득원가 준용",NAV!R327))</f>
        <v>0</v>
      </c>
      <c r="P406" s="377">
        <f>NAV!W327</f>
        <v>0</v>
      </c>
      <c r="Q406" s="377">
        <f>NAV!S327</f>
        <v>0</v>
      </c>
      <c r="R406" s="737" t="str">
        <f>MID(NAV!U327,FIND("(",NAV!U327)+1,FIND(")", NAV!U327)-FIND("(",NAV!U327)-1)</f>
        <v>KRW</v>
      </c>
    </row>
    <row r="407" spans="1:18" ht="12.75" thickBot="1">
      <c r="B407" s="379" t="s">
        <v>3477</v>
      </c>
      <c r="C407" s="380">
        <f>NAV!D320</f>
        <v>0</v>
      </c>
      <c r="D407" s="380">
        <f>NAV!E320</f>
        <v>0</v>
      </c>
      <c r="F407" s="149" t="str">
        <f>IF(G407=0,"",COUNTA(G$406:$G407))</f>
        <v/>
      </c>
      <c r="G407" s="373">
        <f>IF(NAV!L320="SPC 없음",0,NAV!L320)</f>
        <v>0</v>
      </c>
      <c r="H407" s="374">
        <f>NAV!W320</f>
        <v>0</v>
      </c>
      <c r="I407" s="374" t="str">
        <f>NAV!S320</f>
        <v>SPC 없음</v>
      </c>
      <c r="J407" s="149" t="str">
        <f>IF(L407=0,"",COUNTA(L$406:$L407)+COUNT($F$406:$F$411))</f>
        <v/>
      </c>
      <c r="K407" s="373">
        <f t="shared" ref="K407:K416" si="42">K406</f>
        <v>0</v>
      </c>
      <c r="L407" s="375">
        <f>NAV!J328</f>
        <v>0</v>
      </c>
      <c r="M407" s="376">
        <f>NAV!N328</f>
        <v>0</v>
      </c>
      <c r="N407" s="376">
        <f>NAV!T328</f>
        <v>0</v>
      </c>
      <c r="O407" s="377">
        <f>IF(N407="장부가액 준용","장부가액 준용",IF(N407="취득원가 준용","취득원가 준용",NAV!R328))</f>
        <v>0</v>
      </c>
      <c r="P407" s="377">
        <f>NAV!W328</f>
        <v>0</v>
      </c>
      <c r="Q407" s="377">
        <f>NAV!S328</f>
        <v>0</v>
      </c>
      <c r="R407" s="737" t="str">
        <f>MID(NAV!U328,FIND("(",NAV!U328)+1,FIND(")", NAV!U328)-FIND("(",NAV!U328)-1)</f>
        <v>KRW</v>
      </c>
    </row>
    <row r="408" spans="1:18" ht="12.75" thickBot="1">
      <c r="B408" s="379" t="s">
        <v>156</v>
      </c>
      <c r="C408" s="380">
        <f>NAV!D321</f>
        <v>0</v>
      </c>
      <c r="D408" s="380">
        <f>NAV!E321</f>
        <v>0</v>
      </c>
      <c r="F408" s="149" t="str">
        <f>IF(G408=0,"",COUNTA(G$406:$G408))</f>
        <v/>
      </c>
      <c r="G408" s="373">
        <f>IF(NAV!L321="SPC 없음",0,NAV!L321)</f>
        <v>0</v>
      </c>
      <c r="H408" s="374">
        <f>NAV!W321</f>
        <v>0</v>
      </c>
      <c r="I408" s="374" t="str">
        <f>NAV!S321</f>
        <v>SPC 없음</v>
      </c>
      <c r="J408" s="149" t="str">
        <f>IF(L408=0,"",COUNTA(L$406:$L408)+COUNT($F$406:$F$411))</f>
        <v/>
      </c>
      <c r="K408" s="373">
        <f t="shared" si="42"/>
        <v>0</v>
      </c>
      <c r="L408" s="375">
        <f>NAV!J329</f>
        <v>0</v>
      </c>
      <c r="M408" s="376">
        <f>NAV!N329</f>
        <v>0</v>
      </c>
      <c r="N408" s="376">
        <f>NAV!T329</f>
        <v>0</v>
      </c>
      <c r="O408" s="377">
        <f>IF(N408="장부가액 준용","장부가액 준용",IF(N408="취득원가 준용","취득원가 준용",NAV!R329))</f>
        <v>0</v>
      </c>
      <c r="P408" s="377">
        <f>NAV!W329</f>
        <v>0</v>
      </c>
      <c r="Q408" s="377">
        <f>NAV!S329</f>
        <v>0</v>
      </c>
      <c r="R408" s="737" t="str">
        <f>MID(NAV!U329,FIND("(",NAV!U329)+1,FIND(")", NAV!U329)-FIND("(",NAV!U329)-1)</f>
        <v>KRW</v>
      </c>
    </row>
    <row r="409" spans="1:18" ht="12.75" thickBot="1">
      <c r="B409" s="371" t="s">
        <v>3442</v>
      </c>
      <c r="C409" s="372">
        <f>NAV!D322</f>
        <v>0</v>
      </c>
      <c r="D409" s="372">
        <f>NAV!E322</f>
        <v>0</v>
      </c>
      <c r="F409" s="149" t="str">
        <f>IF(G409=0,"",COUNTA(G$406:$G409))</f>
        <v/>
      </c>
      <c r="G409" s="373">
        <f>IF(NAV!L322="SPC 없음",0,NAV!L322)</f>
        <v>0</v>
      </c>
      <c r="H409" s="374">
        <f>NAV!W322</f>
        <v>0</v>
      </c>
      <c r="I409" s="374" t="str">
        <f>NAV!S322</f>
        <v>SPC 없음</v>
      </c>
      <c r="J409" s="149" t="str">
        <f>IF(L409=0,"",COUNTA(L$406:$L409)+COUNT($F$406:$F$411))</f>
        <v/>
      </c>
      <c r="K409" s="373">
        <f t="shared" si="42"/>
        <v>0</v>
      </c>
      <c r="L409" s="375">
        <f>NAV!J330</f>
        <v>0</v>
      </c>
      <c r="M409" s="376">
        <f>NAV!N330</f>
        <v>0</v>
      </c>
      <c r="N409" s="376">
        <f>NAV!T330</f>
        <v>0</v>
      </c>
      <c r="O409" s="377">
        <f>IF(N409="장부가액 준용","장부가액 준용",IF(N409="취득원가 준용","취득원가 준용",NAV!R330))</f>
        <v>0</v>
      </c>
      <c r="P409" s="377">
        <f>NAV!W330</f>
        <v>0</v>
      </c>
      <c r="Q409" s="377">
        <f>NAV!S330</f>
        <v>0</v>
      </c>
      <c r="R409" s="737" t="str">
        <f>MID(NAV!U330,FIND("(",NAV!U330)+1,FIND(")", NAV!U330)-FIND("(",NAV!U330)-1)</f>
        <v>KRW</v>
      </c>
    </row>
    <row r="410" spans="1:18" ht="12.75" thickBot="1">
      <c r="A410" s="149">
        <v>1</v>
      </c>
      <c r="B410" s="381" t="str">
        <f>IFERROR(IF(F406=A410,VLOOKUP(A410,$F$405:$I$416,2,0),VLOOKUP(A410,$J$405:$Q$416,3,0)&amp;" "&amp;VLOOKUP(A410,$J$405:$Q$416,4,0)),"")</f>
        <v/>
      </c>
      <c r="C410" s="380" t="str">
        <f>IFERROR(IF(F406=A410,VLOOKUP(A410,$F$405:$I$416,3,0),VLOOKUP(A410,$J$405:$Q$416,7,0)),"")</f>
        <v/>
      </c>
      <c r="D410" s="380" t="str">
        <f>IFERROR(IF(F406=A410,VLOOKUP(A410,$F$405:$I$416,4,0),VLOOKUP(A410,$J$405:$Q$416,8,0)),"")</f>
        <v/>
      </c>
      <c r="F410" s="149" t="str">
        <f>IF(G410=0,"",COUNTA(G$406:$G410))</f>
        <v/>
      </c>
      <c r="G410" s="373">
        <f>IF(NAV!L323="SPC 없음",0,NAV!L323)</f>
        <v>0</v>
      </c>
      <c r="H410" s="374">
        <f>NAV!W323</f>
        <v>0</v>
      </c>
      <c r="I410" s="374" t="str">
        <f>NAV!S323</f>
        <v>SPC 없음</v>
      </c>
      <c r="J410" s="149" t="str">
        <f>IF(L410=0,"",COUNTA(L$406:$L410)+COUNT($F$406:$F$411))</f>
        <v/>
      </c>
      <c r="K410" s="373">
        <f t="shared" si="42"/>
        <v>0</v>
      </c>
      <c r="L410" s="375">
        <f>NAV!J331</f>
        <v>0</v>
      </c>
      <c r="M410" s="376">
        <f>NAV!N331</f>
        <v>0</v>
      </c>
      <c r="N410" s="376">
        <f>NAV!T331</f>
        <v>0</v>
      </c>
      <c r="O410" s="377">
        <f>IF(N410="장부가액 준용","장부가액 준용",IF(N410="취득원가 준용","취득원가 준용",NAV!R331))</f>
        <v>0</v>
      </c>
      <c r="P410" s="377">
        <f>NAV!W331</f>
        <v>0</v>
      </c>
      <c r="Q410" s="377">
        <f>NAV!S331</f>
        <v>0</v>
      </c>
      <c r="R410" s="737" t="str">
        <f>MID(NAV!U331,FIND("(",NAV!U331)+1,FIND(")", NAV!U331)-FIND("(",NAV!U331)-1)</f>
        <v>KRW</v>
      </c>
    </row>
    <row r="411" spans="1:18" ht="12.75" thickBot="1">
      <c r="A411" s="149">
        <f>A410+1</f>
        <v>2</v>
      </c>
      <c r="B411" s="381" t="str">
        <f t="shared" ref="B411:B426" si="43">IFERROR(IF(F407=A411,VLOOKUP(A411,$F$405:$I$416,2,0),VLOOKUP(A411,$J$405:$Q$416,3,0)&amp;" "&amp;VLOOKUP(A411,$J$405:$Q$416,4,0)),"")</f>
        <v/>
      </c>
      <c r="C411" s="380" t="str">
        <f t="shared" ref="C411:C426" si="44">IFERROR(IF(F407=A411,VLOOKUP(A411,$F$405:$I$416,3,0),VLOOKUP(A411,$J$405:$Q$416,7,0)),"")</f>
        <v/>
      </c>
      <c r="D411" s="380" t="str">
        <f t="shared" ref="D411:D426" si="45">IFERROR(IF(F407=A411,VLOOKUP(A411,$F$405:$I$416,4,0),VLOOKUP(A411,$J$405:$Q$416,8,0)),"")</f>
        <v/>
      </c>
      <c r="F411" s="149" t="str">
        <f>IF(G411=0,"",COUNTA(G$406:$G411))</f>
        <v/>
      </c>
      <c r="G411" s="373">
        <f>IF(NAV!L324="SPC 없음",0,NAV!L324)</f>
        <v>0</v>
      </c>
      <c r="H411" s="374">
        <f>NAV!W324</f>
        <v>0</v>
      </c>
      <c r="I411" s="374" t="str">
        <f>NAV!S324</f>
        <v>SPC 없음</v>
      </c>
      <c r="J411" s="149" t="str">
        <f>IF(L411=0,"",COUNTA(L$406:$L411)+COUNT($F$406:$F$411))</f>
        <v/>
      </c>
      <c r="K411" s="373">
        <f t="shared" si="42"/>
        <v>0</v>
      </c>
      <c r="L411" s="375">
        <f>NAV!J332</f>
        <v>0</v>
      </c>
      <c r="M411" s="376">
        <f>NAV!N332</f>
        <v>0</v>
      </c>
      <c r="N411" s="376">
        <f>NAV!T332</f>
        <v>0</v>
      </c>
      <c r="O411" s="377">
        <f>IF(N411="장부가액 준용","장부가액 준용",IF(N411="취득원가 준용","취득원가 준용",NAV!R332))</f>
        <v>0</v>
      </c>
      <c r="P411" s="377">
        <f>NAV!W332</f>
        <v>0</v>
      </c>
      <c r="Q411" s="377">
        <f>NAV!S332</f>
        <v>0</v>
      </c>
      <c r="R411" s="737" t="str">
        <f>MID(NAV!U332,FIND("(",NAV!U332)+1,FIND(")", NAV!U332)-FIND("(",NAV!U332)-1)</f>
        <v>KRW</v>
      </c>
    </row>
    <row r="412" spans="1:18" ht="12.75" thickBot="1">
      <c r="A412" s="149">
        <f t="shared" ref="A412:A426" si="46">A411+1</f>
        <v>3</v>
      </c>
      <c r="B412" s="381" t="str">
        <f t="shared" si="43"/>
        <v/>
      </c>
      <c r="C412" s="380" t="str">
        <f t="shared" si="44"/>
        <v/>
      </c>
      <c r="D412" s="380" t="str">
        <f t="shared" si="45"/>
        <v/>
      </c>
      <c r="J412" s="149" t="str">
        <f>IF(L412=0,"",COUNTA(L$406:$L412)+COUNT($F$406:$F$411))</f>
        <v/>
      </c>
      <c r="K412" s="373">
        <f t="shared" si="42"/>
        <v>0</v>
      </c>
      <c r="L412" s="375">
        <f>NAV!J333</f>
        <v>0</v>
      </c>
      <c r="M412" s="376">
        <f>NAV!N333</f>
        <v>0</v>
      </c>
      <c r="N412" s="376">
        <f>NAV!T333</f>
        <v>0</v>
      </c>
      <c r="O412" s="377">
        <f>IF(N412="장부가액 준용","장부가액 준용",IF(N412="취득원가 준용","취득원가 준용",NAV!R333))</f>
        <v>0</v>
      </c>
      <c r="P412" s="377">
        <f>NAV!W333</f>
        <v>0</v>
      </c>
      <c r="Q412" s="377">
        <f>NAV!S333</f>
        <v>0</v>
      </c>
      <c r="R412" s="737" t="str">
        <f>MID(NAV!U333,FIND("(",NAV!U333)+1,FIND(")", NAV!U333)-FIND("(",NAV!U333)-1)</f>
        <v>KRW</v>
      </c>
    </row>
    <row r="413" spans="1:18" ht="12.75" thickBot="1">
      <c r="A413" s="149">
        <f t="shared" si="46"/>
        <v>4</v>
      </c>
      <c r="B413" s="381" t="str">
        <f t="shared" si="43"/>
        <v/>
      </c>
      <c r="C413" s="380" t="str">
        <f t="shared" si="44"/>
        <v/>
      </c>
      <c r="D413" s="380" t="str">
        <f t="shared" si="45"/>
        <v/>
      </c>
      <c r="J413" s="149" t="str">
        <f>IF(L413=0,"",COUNTA(L$406:$L413)+COUNT($F$406:$F$411))</f>
        <v/>
      </c>
      <c r="K413" s="373">
        <f t="shared" si="42"/>
        <v>0</v>
      </c>
      <c r="L413" s="375">
        <f>NAV!J334</f>
        <v>0</v>
      </c>
      <c r="M413" s="376">
        <f>NAV!N334</f>
        <v>0</v>
      </c>
      <c r="N413" s="376">
        <f>NAV!T334</f>
        <v>0</v>
      </c>
      <c r="O413" s="377">
        <f>IF(N413="장부가액 준용","장부가액 준용",IF(N413="취득원가 준용","취득원가 준용",NAV!R334))</f>
        <v>0</v>
      </c>
      <c r="P413" s="377">
        <f>NAV!W334</f>
        <v>0</v>
      </c>
      <c r="Q413" s="377">
        <f>NAV!S334</f>
        <v>0</v>
      </c>
      <c r="R413" s="737" t="str">
        <f>MID(NAV!U334,FIND("(",NAV!U334)+1,FIND(")", NAV!U334)-FIND("(",NAV!U334)-1)</f>
        <v>KRW</v>
      </c>
    </row>
    <row r="414" spans="1:18" ht="12.75" thickBot="1">
      <c r="A414" s="149">
        <f t="shared" si="46"/>
        <v>5</v>
      </c>
      <c r="B414" s="381" t="str">
        <f t="shared" si="43"/>
        <v/>
      </c>
      <c r="C414" s="380" t="str">
        <f t="shared" si="44"/>
        <v/>
      </c>
      <c r="D414" s="380" t="str">
        <f t="shared" si="45"/>
        <v/>
      </c>
      <c r="J414" s="149" t="str">
        <f>IF(L414=0,"",COUNTA(L$406:$L414)+COUNT($F$406:$F$411))</f>
        <v/>
      </c>
      <c r="K414" s="373">
        <f t="shared" si="42"/>
        <v>0</v>
      </c>
      <c r="L414" s="375">
        <f>NAV!J335</f>
        <v>0</v>
      </c>
      <c r="M414" s="376">
        <f>NAV!N335</f>
        <v>0</v>
      </c>
      <c r="N414" s="376">
        <f>NAV!T335</f>
        <v>0</v>
      </c>
      <c r="O414" s="377">
        <f>IF(N414="장부가액 준용","장부가액 준용",IF(N414="취득원가 준용","취득원가 준용",NAV!R335))</f>
        <v>0</v>
      </c>
      <c r="P414" s="377">
        <f>NAV!W335</f>
        <v>0</v>
      </c>
      <c r="Q414" s="377">
        <f>NAV!S335</f>
        <v>0</v>
      </c>
      <c r="R414" s="737" t="str">
        <f>MID(NAV!U335,FIND("(",NAV!U335)+1,FIND(")", NAV!U335)-FIND("(",NAV!U335)-1)</f>
        <v>KRW</v>
      </c>
    </row>
    <row r="415" spans="1:18" ht="12.75" thickBot="1">
      <c r="A415" s="149">
        <f t="shared" si="46"/>
        <v>6</v>
      </c>
      <c r="B415" s="381" t="str">
        <f t="shared" si="43"/>
        <v/>
      </c>
      <c r="C415" s="380" t="str">
        <f t="shared" si="44"/>
        <v/>
      </c>
      <c r="D415" s="380" t="str">
        <f t="shared" si="45"/>
        <v/>
      </c>
      <c r="J415" s="149" t="str">
        <f>IF(L415=0,"",COUNTA(L$406:$L415)+COUNT($F$406:$F$411))</f>
        <v/>
      </c>
      <c r="K415" s="373">
        <f t="shared" si="42"/>
        <v>0</v>
      </c>
      <c r="L415" s="375">
        <f>NAV!J336</f>
        <v>0</v>
      </c>
      <c r="M415" s="376">
        <f>NAV!N336</f>
        <v>0</v>
      </c>
      <c r="N415" s="376">
        <f>NAV!T336</f>
        <v>0</v>
      </c>
      <c r="O415" s="377">
        <f>IF(N415="장부가액 준용","장부가액 준용",IF(N415="취득원가 준용","취득원가 준용",NAV!R336))</f>
        <v>0</v>
      </c>
      <c r="P415" s="377">
        <f>NAV!W336</f>
        <v>0</v>
      </c>
      <c r="Q415" s="377">
        <f>NAV!S336</f>
        <v>0</v>
      </c>
      <c r="R415" s="737" t="str">
        <f>MID(NAV!U336,FIND("(",NAV!U336)+1,FIND(")", NAV!U336)-FIND("(",NAV!U336)-1)</f>
        <v>KRW</v>
      </c>
    </row>
    <row r="416" spans="1:18" ht="12.75" thickBot="1">
      <c r="A416" s="149">
        <f t="shared" si="46"/>
        <v>7</v>
      </c>
      <c r="B416" s="381" t="str">
        <f t="shared" si="43"/>
        <v/>
      </c>
      <c r="C416" s="380" t="str">
        <f t="shared" si="44"/>
        <v/>
      </c>
      <c r="D416" s="380" t="str">
        <f t="shared" si="45"/>
        <v/>
      </c>
      <c r="J416" s="149" t="str">
        <f>IF(L416=0,"",COUNTA(L$406:$L416)+COUNT($F$406:$F$411))</f>
        <v/>
      </c>
      <c r="K416" s="373">
        <f t="shared" si="42"/>
        <v>0</v>
      </c>
      <c r="L416" s="375">
        <f>NAV!J337</f>
        <v>0</v>
      </c>
      <c r="M416" s="376">
        <f>NAV!N337</f>
        <v>0</v>
      </c>
      <c r="N416" s="376">
        <f>NAV!T337</f>
        <v>0</v>
      </c>
      <c r="O416" s="377">
        <f>IF(N416="장부가액 준용","장부가액 준용",IF(N416="취득원가 준용","취득원가 준용",NAV!R337))</f>
        <v>0</v>
      </c>
      <c r="P416" s="377">
        <f>NAV!W337</f>
        <v>0</v>
      </c>
      <c r="Q416" s="377">
        <f>NAV!S337</f>
        <v>0</v>
      </c>
      <c r="R416" s="737" t="str">
        <f>MID(NAV!U337,FIND("(",NAV!U337)+1,FIND(")", NAV!U337)-FIND("(",NAV!U337)-1)</f>
        <v>KRW</v>
      </c>
    </row>
    <row r="417" spans="1:6" ht="12.75" hidden="1" customHeight="1" outlineLevel="1" thickBot="1">
      <c r="A417" s="149">
        <f t="shared" si="46"/>
        <v>8</v>
      </c>
      <c r="B417" s="381" t="str">
        <f t="shared" si="43"/>
        <v/>
      </c>
      <c r="C417" s="380" t="str">
        <f t="shared" si="44"/>
        <v/>
      </c>
      <c r="D417" s="380" t="str">
        <f t="shared" si="45"/>
        <v/>
      </c>
    </row>
    <row r="418" spans="1:6" ht="12.75" hidden="1" customHeight="1" outlineLevel="1" thickBot="1">
      <c r="A418" s="149">
        <f t="shared" si="46"/>
        <v>9</v>
      </c>
      <c r="B418" s="381" t="str">
        <f t="shared" si="43"/>
        <v/>
      </c>
      <c r="C418" s="380" t="str">
        <f t="shared" si="44"/>
        <v/>
      </c>
      <c r="D418" s="380" t="str">
        <f t="shared" si="45"/>
        <v/>
      </c>
    </row>
    <row r="419" spans="1:6" ht="12.75" hidden="1" customHeight="1" outlineLevel="1" thickBot="1">
      <c r="A419" s="149">
        <f t="shared" si="46"/>
        <v>10</v>
      </c>
      <c r="B419" s="381" t="str">
        <f t="shared" si="43"/>
        <v/>
      </c>
      <c r="C419" s="380" t="str">
        <f t="shared" si="44"/>
        <v/>
      </c>
      <c r="D419" s="380" t="str">
        <f t="shared" si="45"/>
        <v/>
      </c>
    </row>
    <row r="420" spans="1:6" ht="12.75" hidden="1" customHeight="1" outlineLevel="1" thickBot="1">
      <c r="A420" s="149">
        <f t="shared" si="46"/>
        <v>11</v>
      </c>
      <c r="B420" s="381" t="str">
        <f t="shared" si="43"/>
        <v/>
      </c>
      <c r="C420" s="380" t="str">
        <f t="shared" si="44"/>
        <v/>
      </c>
      <c r="D420" s="380" t="str">
        <f t="shared" si="45"/>
        <v/>
      </c>
    </row>
    <row r="421" spans="1:6" ht="12.75" hidden="1" customHeight="1" outlineLevel="1" thickBot="1">
      <c r="A421" s="149">
        <f t="shared" si="46"/>
        <v>12</v>
      </c>
      <c r="B421" s="381" t="str">
        <f t="shared" si="43"/>
        <v/>
      </c>
      <c r="C421" s="380" t="str">
        <f t="shared" si="44"/>
        <v/>
      </c>
      <c r="D421" s="380" t="str">
        <f t="shared" si="45"/>
        <v/>
      </c>
    </row>
    <row r="422" spans="1:6" ht="12.75" hidden="1" customHeight="1" outlineLevel="1" thickBot="1">
      <c r="A422" s="149">
        <f t="shared" si="46"/>
        <v>13</v>
      </c>
      <c r="B422" s="381" t="str">
        <f t="shared" si="43"/>
        <v/>
      </c>
      <c r="C422" s="380" t="str">
        <f t="shared" si="44"/>
        <v/>
      </c>
      <c r="D422" s="380" t="str">
        <f t="shared" si="45"/>
        <v/>
      </c>
    </row>
    <row r="423" spans="1:6" ht="12.75" hidden="1" customHeight="1" outlineLevel="1" thickBot="1">
      <c r="A423" s="149">
        <f t="shared" si="46"/>
        <v>14</v>
      </c>
      <c r="B423" s="381" t="str">
        <f t="shared" si="43"/>
        <v/>
      </c>
      <c r="C423" s="380" t="str">
        <f t="shared" si="44"/>
        <v/>
      </c>
      <c r="D423" s="380" t="str">
        <f t="shared" si="45"/>
        <v/>
      </c>
    </row>
    <row r="424" spans="1:6" ht="12.75" hidden="1" customHeight="1" outlineLevel="1" thickBot="1">
      <c r="A424" s="149">
        <f t="shared" si="46"/>
        <v>15</v>
      </c>
      <c r="B424" s="381" t="str">
        <f t="shared" si="43"/>
        <v/>
      </c>
      <c r="C424" s="380" t="str">
        <f t="shared" si="44"/>
        <v/>
      </c>
      <c r="D424" s="380" t="str">
        <f t="shared" si="45"/>
        <v/>
      </c>
    </row>
    <row r="425" spans="1:6" ht="12.75" hidden="1" customHeight="1" outlineLevel="1" thickBot="1">
      <c r="A425" s="149">
        <f t="shared" si="46"/>
        <v>16</v>
      </c>
      <c r="B425" s="381" t="str">
        <f t="shared" si="43"/>
        <v/>
      </c>
      <c r="C425" s="380" t="str">
        <f t="shared" si="44"/>
        <v/>
      </c>
      <c r="D425" s="380" t="str">
        <f t="shared" si="45"/>
        <v/>
      </c>
    </row>
    <row r="426" spans="1:6" ht="12.75" hidden="1" customHeight="1" outlineLevel="1" thickBot="1">
      <c r="A426" s="149">
        <f t="shared" si="46"/>
        <v>17</v>
      </c>
      <c r="B426" s="381" t="str">
        <f t="shared" si="43"/>
        <v/>
      </c>
      <c r="C426" s="380" t="str">
        <f t="shared" si="44"/>
        <v/>
      </c>
      <c r="D426" s="380" t="str">
        <f t="shared" si="45"/>
        <v/>
      </c>
    </row>
    <row r="427" spans="1:6" ht="12.75" collapsed="1" thickBot="1">
      <c r="B427" s="382" t="s">
        <v>2</v>
      </c>
      <c r="C427" s="372">
        <f>SUM(C406,C409)</f>
        <v>0</v>
      </c>
      <c r="D427" s="383">
        <f>SUM(D406,D409)</f>
        <v>0</v>
      </c>
    </row>
    <row r="428" spans="1:6" ht="12.75" thickBot="1">
      <c r="B428" s="382" t="s">
        <v>30</v>
      </c>
      <c r="C428" s="819">
        <f>NAV!E332</f>
        <v>0</v>
      </c>
      <c r="D428" s="820"/>
    </row>
    <row r="429" spans="1:6" ht="12.75" thickBot="1">
      <c r="B429" s="382" t="s">
        <v>31</v>
      </c>
      <c r="C429" s="819">
        <f>D427-C428</f>
        <v>0</v>
      </c>
      <c r="D429" s="820"/>
    </row>
    <row r="430" spans="1:6" ht="12.75" thickBot="1">
      <c r="B430" s="382" t="s">
        <v>3478</v>
      </c>
      <c r="C430" s="819">
        <f>NAV!E337</f>
        <v>0</v>
      </c>
      <c r="D430" s="820"/>
      <c r="F430" s="217"/>
    </row>
    <row r="431" spans="1:6" ht="12.75" thickBot="1">
      <c r="B431" s="382" t="s">
        <v>3475</v>
      </c>
      <c r="C431" s="819">
        <f>NAV!E338</f>
        <v>0</v>
      </c>
      <c r="D431" s="820"/>
    </row>
    <row r="432" spans="1:6" ht="12.75" thickBot="1">
      <c r="B432" s="382" t="s">
        <v>744</v>
      </c>
      <c r="C432" s="819">
        <f>NAV!E339</f>
        <v>0</v>
      </c>
      <c r="D432" s="820"/>
    </row>
    <row r="433" spans="1:18" ht="12.75" thickBot="1">
      <c r="B433" s="382" t="str">
        <f>NAV!C340</f>
        <v>보유지분율(%)</v>
      </c>
      <c r="C433" s="823">
        <f>NAV!D340</f>
        <v>0</v>
      </c>
      <c r="D433" s="824"/>
    </row>
    <row r="434" spans="1:18" ht="12.75" thickBot="1">
      <c r="B434" s="382" t="s">
        <v>3479</v>
      </c>
      <c r="C434" s="825">
        <f>NAV!E340</f>
        <v>0</v>
      </c>
      <c r="D434" s="826"/>
    </row>
    <row r="440" spans="1:18">
      <c r="A440" s="149">
        <f>A402+1</f>
        <v>5</v>
      </c>
      <c r="B440" s="399" t="str">
        <f>NAV!B351</f>
        <v>SPC없음</v>
      </c>
      <c r="G440" s="399" t="str">
        <f>B440</f>
        <v>SPC없음</v>
      </c>
    </row>
    <row r="441" spans="1:18">
      <c r="B441" s="399" t="str">
        <f>NAV!C352</f>
        <v>SPC없음</v>
      </c>
      <c r="G441" s="399" t="str">
        <f>B441</f>
        <v>SPC없음</v>
      </c>
    </row>
    <row r="442" spans="1:18" ht="12.75" thickBot="1">
      <c r="B442" s="215" t="s">
        <v>750</v>
      </c>
      <c r="C442" s="216"/>
      <c r="D442" s="216"/>
      <c r="E442" s="216"/>
      <c r="F442" s="216"/>
      <c r="G442" s="215" t="s">
        <v>751</v>
      </c>
      <c r="H442" s="216"/>
      <c r="I442" s="216"/>
      <c r="K442" s="215" t="s">
        <v>752</v>
      </c>
    </row>
    <row r="443" spans="1:18" ht="12.75" thickBot="1">
      <c r="B443" s="366" t="s">
        <v>27</v>
      </c>
      <c r="C443" s="367" t="s">
        <v>28</v>
      </c>
      <c r="D443" s="367" t="s">
        <v>29</v>
      </c>
      <c r="F443" s="368" t="s">
        <v>3461</v>
      </c>
      <c r="G443" s="353" t="str">
        <f>$G$74</f>
        <v>SPC명</v>
      </c>
      <c r="H443" s="369" t="s">
        <v>3201</v>
      </c>
      <c r="I443" s="369" t="s">
        <v>753</v>
      </c>
      <c r="J443" s="368" t="s">
        <v>3461</v>
      </c>
      <c r="K443" s="353" t="s">
        <v>3440</v>
      </c>
      <c r="L443" s="353" t="str">
        <f>$L$74</f>
        <v>투자자산명</v>
      </c>
      <c r="M443" s="358" t="s">
        <v>754</v>
      </c>
      <c r="N443" s="358" t="s">
        <v>47</v>
      </c>
      <c r="O443" s="369" t="s">
        <v>749</v>
      </c>
      <c r="P443" s="400" t="s">
        <v>3460</v>
      </c>
      <c r="Q443" s="370" t="s">
        <v>3463</v>
      </c>
      <c r="R443" s="370" t="s">
        <v>6833</v>
      </c>
    </row>
    <row r="444" spans="1:18" ht="12.75" thickBot="1">
      <c r="B444" s="371" t="s">
        <v>3441</v>
      </c>
      <c r="C444" s="372">
        <f>SUM(C445:C446)</f>
        <v>0</v>
      </c>
      <c r="D444" s="372">
        <f>SUM(D445:D446)</f>
        <v>0</v>
      </c>
      <c r="F444" s="149" t="str">
        <f>IF(G444=0,"",COUNTA(G$444:$G444))</f>
        <v/>
      </c>
      <c r="G444" s="373">
        <f>IF(NAV!L357="SPC 없음",0,NAV!L357)</f>
        <v>0</v>
      </c>
      <c r="H444" s="374">
        <f>NAV!W357</f>
        <v>0</v>
      </c>
      <c r="I444" s="374" t="str">
        <f>NAV!S357</f>
        <v>SPC 없음</v>
      </c>
      <c r="J444" s="149" t="str">
        <f>IF(L444=0,"",COUNTA(L$444:$L444)+COUNT($F$444:$F$449))</f>
        <v/>
      </c>
      <c r="K444" s="373">
        <f>IF($B441="SPC없음",0,$B441)</f>
        <v>0</v>
      </c>
      <c r="L444" s="375">
        <f>NAV!J365</f>
        <v>0</v>
      </c>
      <c r="M444" s="376">
        <f>NAV!N365</f>
        <v>0</v>
      </c>
      <c r="N444" s="376">
        <f>NAV!T365</f>
        <v>0</v>
      </c>
      <c r="O444" s="377">
        <f>IF(N444="장부가액 준용","장부가액 준용",IF(N444="취득원가 준용","취득원가 준용",NAV!R365))</f>
        <v>0</v>
      </c>
      <c r="P444" s="377">
        <f>NAV!W365</f>
        <v>0</v>
      </c>
      <c r="Q444" s="377">
        <f>NAV!S365</f>
        <v>0</v>
      </c>
      <c r="R444" s="737" t="str">
        <f>MID(NAV!U365,FIND("(",NAV!U365)+1,FIND(")", NAV!U365)-FIND("(",NAV!U365)-1)</f>
        <v>KRW</v>
      </c>
    </row>
    <row r="445" spans="1:18" ht="12.75" thickBot="1">
      <c r="B445" s="379" t="s">
        <v>3443</v>
      </c>
      <c r="C445" s="380">
        <f>NAV!D358</f>
        <v>0</v>
      </c>
      <c r="D445" s="380">
        <f>NAV!E358</f>
        <v>0</v>
      </c>
      <c r="F445" s="149" t="str">
        <f>IF(G445=0,"",COUNTA(G$444:$G445))</f>
        <v/>
      </c>
      <c r="G445" s="373">
        <f>IF(NAV!L358="SPC 없음",0,NAV!L358)</f>
        <v>0</v>
      </c>
      <c r="H445" s="374">
        <f>NAV!W358</f>
        <v>0</v>
      </c>
      <c r="I445" s="374" t="str">
        <f>NAV!S358</f>
        <v>SPC 없음</v>
      </c>
      <c r="J445" s="149" t="str">
        <f>IF(L445=0,"",COUNTA(L$444:$L445)+COUNT($F$444:$F$449))</f>
        <v/>
      </c>
      <c r="K445" s="373">
        <f t="shared" ref="K445:K454" si="47">K444</f>
        <v>0</v>
      </c>
      <c r="L445" s="375">
        <f>NAV!J366</f>
        <v>0</v>
      </c>
      <c r="M445" s="376">
        <f>NAV!N366</f>
        <v>0</v>
      </c>
      <c r="N445" s="376">
        <f>NAV!T366</f>
        <v>0</v>
      </c>
      <c r="O445" s="377">
        <f>IF(N445="장부가액 준용","장부가액 준용",IF(N445="취득원가 준용","취득원가 준용",NAV!R366))</f>
        <v>0</v>
      </c>
      <c r="P445" s="377">
        <f>NAV!W366</f>
        <v>0</v>
      </c>
      <c r="Q445" s="377">
        <f>NAV!S366</f>
        <v>0</v>
      </c>
      <c r="R445" s="737" t="str">
        <f>MID(NAV!U366,FIND("(",NAV!U366)+1,FIND(")", NAV!U366)-FIND("(",NAV!U366)-1)</f>
        <v>KRW</v>
      </c>
    </row>
    <row r="446" spans="1:18" ht="12.75" thickBot="1">
      <c r="B446" s="379" t="s">
        <v>156</v>
      </c>
      <c r="C446" s="380">
        <f>NAV!D359</f>
        <v>0</v>
      </c>
      <c r="D446" s="380">
        <f>NAV!E359</f>
        <v>0</v>
      </c>
      <c r="F446" s="149" t="str">
        <f>IF(G446=0,"",COUNTA(G$444:$G446))</f>
        <v/>
      </c>
      <c r="G446" s="373">
        <f>IF(NAV!L359="SPC 없음",0,NAV!L359)</f>
        <v>0</v>
      </c>
      <c r="H446" s="374">
        <f>NAV!W359</f>
        <v>0</v>
      </c>
      <c r="I446" s="374" t="str">
        <f>NAV!S359</f>
        <v>SPC 없음</v>
      </c>
      <c r="J446" s="149" t="str">
        <f>IF(L446=0,"",COUNTA(L$444:$L446)+COUNT($F$444:$F$449))</f>
        <v/>
      </c>
      <c r="K446" s="373">
        <f t="shared" si="47"/>
        <v>0</v>
      </c>
      <c r="L446" s="375">
        <f>NAV!J367</f>
        <v>0</v>
      </c>
      <c r="M446" s="376">
        <f>NAV!N367</f>
        <v>0</v>
      </c>
      <c r="N446" s="376">
        <f>NAV!T367</f>
        <v>0</v>
      </c>
      <c r="O446" s="377">
        <f>IF(N446="장부가액 준용","장부가액 준용",IF(N446="취득원가 준용","취득원가 준용",NAV!R367))</f>
        <v>0</v>
      </c>
      <c r="P446" s="377">
        <f>NAV!W367</f>
        <v>0</v>
      </c>
      <c r="Q446" s="377">
        <f>NAV!S367</f>
        <v>0</v>
      </c>
      <c r="R446" s="737" t="str">
        <f>MID(NAV!U367,FIND("(",NAV!U367)+1,FIND(")", NAV!U367)-FIND("(",NAV!U367)-1)</f>
        <v>KRW</v>
      </c>
    </row>
    <row r="447" spans="1:18" ht="12.75" thickBot="1">
      <c r="B447" s="371" t="s">
        <v>3442</v>
      </c>
      <c r="C447" s="372">
        <f>NAV!D360</f>
        <v>0</v>
      </c>
      <c r="D447" s="372">
        <f>NAV!E360</f>
        <v>0</v>
      </c>
      <c r="F447" s="149" t="str">
        <f>IF(G447=0,"",COUNTA(G$444:$G447))</f>
        <v/>
      </c>
      <c r="G447" s="373">
        <f>IF(NAV!L360="SPC 없음",0,NAV!L360)</f>
        <v>0</v>
      </c>
      <c r="H447" s="374">
        <f>NAV!W360</f>
        <v>0</v>
      </c>
      <c r="I447" s="374" t="str">
        <f>NAV!S360</f>
        <v>SPC 없음</v>
      </c>
      <c r="J447" s="149" t="str">
        <f>IF(L447=0,"",COUNTA(L$444:$L447)+COUNT($F$444:$F$449))</f>
        <v/>
      </c>
      <c r="K447" s="373">
        <f t="shared" si="47"/>
        <v>0</v>
      </c>
      <c r="L447" s="375">
        <f>NAV!J368</f>
        <v>0</v>
      </c>
      <c r="M447" s="376">
        <f>NAV!N368</f>
        <v>0</v>
      </c>
      <c r="N447" s="376">
        <f>NAV!T368</f>
        <v>0</v>
      </c>
      <c r="O447" s="377">
        <f>IF(N447="장부가액 준용","장부가액 준용",IF(N447="취득원가 준용","취득원가 준용",NAV!R368))</f>
        <v>0</v>
      </c>
      <c r="P447" s="377">
        <f>NAV!W368</f>
        <v>0</v>
      </c>
      <c r="Q447" s="377">
        <f>NAV!S368</f>
        <v>0</v>
      </c>
      <c r="R447" s="737" t="str">
        <f>MID(NAV!U368,FIND("(",NAV!U368)+1,FIND(")", NAV!U368)-FIND("(",NAV!U368)-1)</f>
        <v>KRW</v>
      </c>
    </row>
    <row r="448" spans="1:18" ht="12.75" thickBot="1">
      <c r="A448" s="149">
        <v>1</v>
      </c>
      <c r="B448" s="381" t="str">
        <f>IFERROR(IF(F444=A448,VLOOKUP(A448,$F$443:$I$454,2,0),VLOOKUP(A448,$J$443:$Q$454,3,0)&amp;" "&amp;VLOOKUP(A448,$J$443:$Q$454,4,0)),"")</f>
        <v/>
      </c>
      <c r="C448" s="380" t="str">
        <f>IFERROR(IF(F444=A448,VLOOKUP(A448,$F$443:$I$454,3,0),VLOOKUP(A448,$J$443:$Q$454,7,0)),"")</f>
        <v/>
      </c>
      <c r="D448" s="380" t="str">
        <f>IFERROR(IF(F444=A448,VLOOKUP(A448,$F$443:$I$454,4,0),VLOOKUP(A448,$J$443:$Q$454,8,0)),"")</f>
        <v/>
      </c>
      <c r="F448" s="149" t="str">
        <f>IF(G448=0,"",COUNTA(G$444:$G448))</f>
        <v/>
      </c>
      <c r="G448" s="373">
        <f>IF(NAV!L361="SPC 없음",0,NAV!L361)</f>
        <v>0</v>
      </c>
      <c r="H448" s="374">
        <f>NAV!W361</f>
        <v>0</v>
      </c>
      <c r="I448" s="374" t="str">
        <f>NAV!S361</f>
        <v>SPC 없음</v>
      </c>
      <c r="J448" s="149" t="str">
        <f>IF(L448=0,"",COUNTA(L$444:$L448)+COUNT($F$444:$F$449))</f>
        <v/>
      </c>
      <c r="K448" s="373">
        <f t="shared" si="47"/>
        <v>0</v>
      </c>
      <c r="L448" s="375">
        <f>NAV!J369</f>
        <v>0</v>
      </c>
      <c r="M448" s="376">
        <f>NAV!N369</f>
        <v>0</v>
      </c>
      <c r="N448" s="376">
        <f>NAV!T369</f>
        <v>0</v>
      </c>
      <c r="O448" s="377">
        <f>IF(N448="장부가액 준용","장부가액 준용",IF(N448="취득원가 준용","취득원가 준용",NAV!R369))</f>
        <v>0</v>
      </c>
      <c r="P448" s="377">
        <f>NAV!W369</f>
        <v>0</v>
      </c>
      <c r="Q448" s="377">
        <f>NAV!S369</f>
        <v>0</v>
      </c>
      <c r="R448" s="737" t="str">
        <f>MID(NAV!U369,FIND("(",NAV!U369)+1,FIND(")", NAV!U369)-FIND("(",NAV!U369)-1)</f>
        <v>KRW</v>
      </c>
    </row>
    <row r="449" spans="1:18" ht="12.75" thickBot="1">
      <c r="A449" s="149">
        <f>A448+1</f>
        <v>2</v>
      </c>
      <c r="B449" s="381" t="str">
        <f t="shared" ref="B449:B464" si="48">IFERROR(IF(F445=A449,VLOOKUP(A449,$F$443:$I$454,2,0),VLOOKUP(A449,$J$443:$Q$454,3,0)&amp;" "&amp;VLOOKUP(A449,$J$443:$Q$454,4,0)),"")</f>
        <v/>
      </c>
      <c r="C449" s="380" t="str">
        <f t="shared" ref="C449:C464" si="49">IFERROR(IF(F445=A449,VLOOKUP(A449,$F$443:$I$454,3,0),VLOOKUP(A449,$J$443:$Q$454,7,0)),"")</f>
        <v/>
      </c>
      <c r="D449" s="380" t="str">
        <f t="shared" ref="D449:D464" si="50">IFERROR(IF(F445=A449,VLOOKUP(A449,$F$443:$I$454,4,0),VLOOKUP(A449,$J$443:$Q$454,8,0)),"")</f>
        <v/>
      </c>
      <c r="F449" s="149" t="str">
        <f>IF(G449=0,"",COUNTA(G$444:$G449))</f>
        <v/>
      </c>
      <c r="G449" s="373">
        <f>IF(NAV!L362="SPC 없음",0,NAV!L362)</f>
        <v>0</v>
      </c>
      <c r="H449" s="374">
        <f>NAV!W362</f>
        <v>0</v>
      </c>
      <c r="I449" s="374" t="str">
        <f>NAV!S362</f>
        <v>SPC 없음</v>
      </c>
      <c r="J449" s="149" t="str">
        <f>IF(L449=0,"",COUNTA(L$444:$L449)+COUNT($F$444:$F$449))</f>
        <v/>
      </c>
      <c r="K449" s="373">
        <f t="shared" si="47"/>
        <v>0</v>
      </c>
      <c r="L449" s="375">
        <f>NAV!J370</f>
        <v>0</v>
      </c>
      <c r="M449" s="376">
        <f>NAV!N370</f>
        <v>0</v>
      </c>
      <c r="N449" s="376">
        <f>NAV!T370</f>
        <v>0</v>
      </c>
      <c r="O449" s="377">
        <f>IF(N449="장부가액 준용","장부가액 준용",IF(N449="취득원가 준용","취득원가 준용",NAV!R370))</f>
        <v>0</v>
      </c>
      <c r="P449" s="377">
        <f>NAV!W370</f>
        <v>0</v>
      </c>
      <c r="Q449" s="377">
        <f>NAV!S370</f>
        <v>0</v>
      </c>
      <c r="R449" s="737" t="str">
        <f>MID(NAV!U370,FIND("(",NAV!U370)+1,FIND(")", NAV!U370)-FIND("(",NAV!U370)-1)</f>
        <v>KRW</v>
      </c>
    </row>
    <row r="450" spans="1:18" ht="12.75" thickBot="1">
      <c r="A450" s="149">
        <f t="shared" ref="A450:A464" si="51">A449+1</f>
        <v>3</v>
      </c>
      <c r="B450" s="381" t="str">
        <f t="shared" si="48"/>
        <v/>
      </c>
      <c r="C450" s="380" t="str">
        <f t="shared" si="49"/>
        <v/>
      </c>
      <c r="D450" s="380" t="str">
        <f t="shared" si="50"/>
        <v/>
      </c>
      <c r="J450" s="149" t="str">
        <f>IF(L450=0,"",COUNTA(L$444:$L450)+COUNT($F$444:$F$449))</f>
        <v/>
      </c>
      <c r="K450" s="373">
        <f t="shared" si="47"/>
        <v>0</v>
      </c>
      <c r="L450" s="375">
        <f>NAV!J371</f>
        <v>0</v>
      </c>
      <c r="M450" s="376">
        <f>NAV!N371</f>
        <v>0</v>
      </c>
      <c r="N450" s="376">
        <f>NAV!T371</f>
        <v>0</v>
      </c>
      <c r="O450" s="377">
        <f>IF(N450="장부가액 준용","장부가액 준용",IF(N450="취득원가 준용","취득원가 준용",NAV!R371))</f>
        <v>0</v>
      </c>
      <c r="P450" s="377">
        <f>NAV!W371</f>
        <v>0</v>
      </c>
      <c r="Q450" s="377">
        <f>NAV!S371</f>
        <v>0</v>
      </c>
      <c r="R450" s="737" t="str">
        <f>MID(NAV!U371,FIND("(",NAV!U371)+1,FIND(")", NAV!U371)-FIND("(",NAV!U371)-1)</f>
        <v>KRW</v>
      </c>
    </row>
    <row r="451" spans="1:18" ht="12.75" thickBot="1">
      <c r="A451" s="149">
        <f t="shared" si="51"/>
        <v>4</v>
      </c>
      <c r="B451" s="381" t="str">
        <f t="shared" si="48"/>
        <v/>
      </c>
      <c r="C451" s="380" t="str">
        <f t="shared" si="49"/>
        <v/>
      </c>
      <c r="D451" s="380" t="str">
        <f t="shared" si="50"/>
        <v/>
      </c>
      <c r="J451" s="149" t="str">
        <f>IF(L451=0,"",COUNTA(L$444:$L451)+COUNT($F$444:$F$449))</f>
        <v/>
      </c>
      <c r="K451" s="373">
        <f t="shared" si="47"/>
        <v>0</v>
      </c>
      <c r="L451" s="375">
        <f>NAV!J372</f>
        <v>0</v>
      </c>
      <c r="M451" s="376">
        <f>NAV!N372</f>
        <v>0</v>
      </c>
      <c r="N451" s="376">
        <f>NAV!T372</f>
        <v>0</v>
      </c>
      <c r="O451" s="377">
        <f>IF(N451="장부가액 준용","장부가액 준용",IF(N451="취득원가 준용","취득원가 준용",NAV!R372))</f>
        <v>0</v>
      </c>
      <c r="P451" s="377">
        <f>NAV!W372</f>
        <v>0</v>
      </c>
      <c r="Q451" s="377">
        <f>NAV!S372</f>
        <v>0</v>
      </c>
      <c r="R451" s="737" t="str">
        <f>MID(NAV!U372,FIND("(",NAV!U372)+1,FIND(")", NAV!U372)-FIND("(",NAV!U372)-1)</f>
        <v>KRW</v>
      </c>
    </row>
    <row r="452" spans="1:18" ht="12.75" thickBot="1">
      <c r="A452" s="149">
        <f t="shared" si="51"/>
        <v>5</v>
      </c>
      <c r="B452" s="381" t="str">
        <f t="shared" si="48"/>
        <v/>
      </c>
      <c r="C452" s="380" t="str">
        <f t="shared" si="49"/>
        <v/>
      </c>
      <c r="D452" s="380" t="str">
        <f t="shared" si="50"/>
        <v/>
      </c>
      <c r="J452" s="149" t="str">
        <f>IF(L452=0,"",COUNTA(L$444:$L452)+COUNT($F$444:$F$449))</f>
        <v/>
      </c>
      <c r="K452" s="373">
        <f t="shared" si="47"/>
        <v>0</v>
      </c>
      <c r="L452" s="375">
        <f>NAV!J373</f>
        <v>0</v>
      </c>
      <c r="M452" s="376">
        <f>NAV!N373</f>
        <v>0</v>
      </c>
      <c r="N452" s="376">
        <f>NAV!T373</f>
        <v>0</v>
      </c>
      <c r="O452" s="377">
        <f>IF(N452="장부가액 준용","장부가액 준용",IF(N452="취득원가 준용","취득원가 준용",NAV!R373))</f>
        <v>0</v>
      </c>
      <c r="P452" s="377">
        <f>NAV!W373</f>
        <v>0</v>
      </c>
      <c r="Q452" s="377">
        <f>NAV!S373</f>
        <v>0</v>
      </c>
      <c r="R452" s="737" t="str">
        <f>MID(NAV!U373,FIND("(",NAV!U373)+1,FIND(")", NAV!U373)-FIND("(",NAV!U373)-1)</f>
        <v>KRW</v>
      </c>
    </row>
    <row r="453" spans="1:18" ht="12.75" thickBot="1">
      <c r="A453" s="149">
        <f t="shared" si="51"/>
        <v>6</v>
      </c>
      <c r="B453" s="381" t="str">
        <f t="shared" si="48"/>
        <v/>
      </c>
      <c r="C453" s="380" t="str">
        <f t="shared" si="49"/>
        <v/>
      </c>
      <c r="D453" s="380" t="str">
        <f t="shared" si="50"/>
        <v/>
      </c>
      <c r="J453" s="149" t="str">
        <f>IF(L453=0,"",COUNTA(L$444:$L453)+COUNT($F$444:$F$449))</f>
        <v/>
      </c>
      <c r="K453" s="373">
        <f t="shared" si="47"/>
        <v>0</v>
      </c>
      <c r="L453" s="375">
        <f>NAV!J374</f>
        <v>0</v>
      </c>
      <c r="M453" s="376">
        <f>NAV!N374</f>
        <v>0</v>
      </c>
      <c r="N453" s="376">
        <f>NAV!T374</f>
        <v>0</v>
      </c>
      <c r="O453" s="377">
        <f>IF(N453="장부가액 준용","장부가액 준용",IF(N453="취득원가 준용","취득원가 준용",NAV!R374))</f>
        <v>0</v>
      </c>
      <c r="P453" s="377">
        <f>NAV!W374</f>
        <v>0</v>
      </c>
      <c r="Q453" s="377">
        <f>NAV!S374</f>
        <v>0</v>
      </c>
      <c r="R453" s="737" t="str">
        <f>MID(NAV!U374,FIND("(",NAV!U374)+1,FIND(")", NAV!U374)-FIND("(",NAV!U374)-1)</f>
        <v>KRW</v>
      </c>
    </row>
    <row r="454" spans="1:18" ht="12.75" thickBot="1">
      <c r="A454" s="149">
        <f t="shared" si="51"/>
        <v>7</v>
      </c>
      <c r="B454" s="381" t="str">
        <f t="shared" si="48"/>
        <v/>
      </c>
      <c r="C454" s="380" t="str">
        <f t="shared" si="49"/>
        <v/>
      </c>
      <c r="D454" s="380" t="str">
        <f t="shared" si="50"/>
        <v/>
      </c>
      <c r="J454" s="149" t="str">
        <f>IF(L454=0,"",COUNTA(L$444:$L454)+COUNT($F$444:$F$449))</f>
        <v/>
      </c>
      <c r="K454" s="373">
        <f t="shared" si="47"/>
        <v>0</v>
      </c>
      <c r="L454" s="375">
        <f>NAV!J375</f>
        <v>0</v>
      </c>
      <c r="M454" s="376">
        <f>NAV!N375</f>
        <v>0</v>
      </c>
      <c r="N454" s="376">
        <f>NAV!T375</f>
        <v>0</v>
      </c>
      <c r="O454" s="377">
        <f>IF(N454="장부가액 준용","장부가액 준용",IF(N454="취득원가 준용","취득원가 준용",NAV!R375))</f>
        <v>0</v>
      </c>
      <c r="P454" s="377">
        <f>NAV!W375</f>
        <v>0</v>
      </c>
      <c r="Q454" s="377">
        <f>NAV!S375</f>
        <v>0</v>
      </c>
      <c r="R454" s="737" t="str">
        <f>MID(NAV!U375,FIND("(",NAV!U375)+1,FIND(")", NAV!U375)-FIND("(",NAV!U375)-1)</f>
        <v>KRW</v>
      </c>
    </row>
    <row r="455" spans="1:18" ht="12.75" hidden="1" customHeight="1" outlineLevel="1" thickBot="1">
      <c r="A455" s="149">
        <f t="shared" si="51"/>
        <v>8</v>
      </c>
      <c r="B455" s="381" t="str">
        <f t="shared" si="48"/>
        <v/>
      </c>
      <c r="C455" s="380" t="str">
        <f t="shared" si="49"/>
        <v/>
      </c>
      <c r="D455" s="380" t="str">
        <f t="shared" si="50"/>
        <v/>
      </c>
    </row>
    <row r="456" spans="1:18" ht="12.75" hidden="1" customHeight="1" outlineLevel="1" thickBot="1">
      <c r="A456" s="149">
        <f t="shared" si="51"/>
        <v>9</v>
      </c>
      <c r="B456" s="381" t="str">
        <f t="shared" si="48"/>
        <v/>
      </c>
      <c r="C456" s="380" t="str">
        <f t="shared" si="49"/>
        <v/>
      </c>
      <c r="D456" s="380" t="str">
        <f t="shared" si="50"/>
        <v/>
      </c>
    </row>
    <row r="457" spans="1:18" ht="12.75" hidden="1" customHeight="1" outlineLevel="1" thickBot="1">
      <c r="A457" s="149">
        <f t="shared" si="51"/>
        <v>10</v>
      </c>
      <c r="B457" s="381" t="str">
        <f t="shared" si="48"/>
        <v/>
      </c>
      <c r="C457" s="380" t="str">
        <f t="shared" si="49"/>
        <v/>
      </c>
      <c r="D457" s="380" t="str">
        <f t="shared" si="50"/>
        <v/>
      </c>
    </row>
    <row r="458" spans="1:18" ht="12.75" hidden="1" customHeight="1" outlineLevel="1" thickBot="1">
      <c r="A458" s="149">
        <f t="shared" si="51"/>
        <v>11</v>
      </c>
      <c r="B458" s="381" t="str">
        <f t="shared" si="48"/>
        <v/>
      </c>
      <c r="C458" s="380" t="str">
        <f t="shared" si="49"/>
        <v/>
      </c>
      <c r="D458" s="380" t="str">
        <f t="shared" si="50"/>
        <v/>
      </c>
    </row>
    <row r="459" spans="1:18" ht="12.75" hidden="1" customHeight="1" outlineLevel="1" thickBot="1">
      <c r="A459" s="149">
        <f t="shared" si="51"/>
        <v>12</v>
      </c>
      <c r="B459" s="381" t="str">
        <f t="shared" si="48"/>
        <v/>
      </c>
      <c r="C459" s="380" t="str">
        <f t="shared" si="49"/>
        <v/>
      </c>
      <c r="D459" s="380" t="str">
        <f t="shared" si="50"/>
        <v/>
      </c>
    </row>
    <row r="460" spans="1:18" ht="12.75" hidden="1" customHeight="1" outlineLevel="1" thickBot="1">
      <c r="A460" s="149">
        <f t="shared" si="51"/>
        <v>13</v>
      </c>
      <c r="B460" s="381" t="str">
        <f t="shared" si="48"/>
        <v/>
      </c>
      <c r="C460" s="380" t="str">
        <f t="shared" si="49"/>
        <v/>
      </c>
      <c r="D460" s="380" t="str">
        <f t="shared" si="50"/>
        <v/>
      </c>
    </row>
    <row r="461" spans="1:18" ht="12.75" hidden="1" customHeight="1" outlineLevel="1" thickBot="1">
      <c r="A461" s="149">
        <f t="shared" si="51"/>
        <v>14</v>
      </c>
      <c r="B461" s="381" t="str">
        <f t="shared" si="48"/>
        <v/>
      </c>
      <c r="C461" s="380" t="str">
        <f t="shared" si="49"/>
        <v/>
      </c>
      <c r="D461" s="380" t="str">
        <f t="shared" si="50"/>
        <v/>
      </c>
    </row>
    <row r="462" spans="1:18" ht="12.75" hidden="1" customHeight="1" outlineLevel="1" thickBot="1">
      <c r="A462" s="149">
        <f t="shared" si="51"/>
        <v>15</v>
      </c>
      <c r="B462" s="381" t="str">
        <f t="shared" si="48"/>
        <v/>
      </c>
      <c r="C462" s="380" t="str">
        <f t="shared" si="49"/>
        <v/>
      </c>
      <c r="D462" s="380" t="str">
        <f t="shared" si="50"/>
        <v/>
      </c>
    </row>
    <row r="463" spans="1:18" ht="12.75" hidden="1" customHeight="1" outlineLevel="1" thickBot="1">
      <c r="A463" s="149">
        <f t="shared" si="51"/>
        <v>16</v>
      </c>
      <c r="B463" s="381" t="str">
        <f t="shared" si="48"/>
        <v/>
      </c>
      <c r="C463" s="380" t="str">
        <f t="shared" si="49"/>
        <v/>
      </c>
      <c r="D463" s="380" t="str">
        <f t="shared" si="50"/>
        <v/>
      </c>
    </row>
    <row r="464" spans="1:18" ht="12.75" hidden="1" customHeight="1" outlineLevel="1" thickBot="1">
      <c r="A464" s="149">
        <f t="shared" si="51"/>
        <v>17</v>
      </c>
      <c r="B464" s="381" t="str">
        <f t="shared" si="48"/>
        <v/>
      </c>
      <c r="C464" s="380" t="str">
        <f t="shared" si="49"/>
        <v/>
      </c>
      <c r="D464" s="380" t="str">
        <f t="shared" si="50"/>
        <v/>
      </c>
    </row>
    <row r="465" spans="1:11" ht="12.75" collapsed="1" thickBot="1">
      <c r="B465" s="382" t="s">
        <v>2</v>
      </c>
      <c r="C465" s="372">
        <f>SUM(C444,C447)</f>
        <v>0</v>
      </c>
      <c r="D465" s="383">
        <f>SUM(D444,D447)</f>
        <v>0</v>
      </c>
    </row>
    <row r="466" spans="1:11" ht="12.75" thickBot="1">
      <c r="B466" s="382" t="s">
        <v>30</v>
      </c>
      <c r="C466" s="819">
        <f>NAV!E370</f>
        <v>0</v>
      </c>
      <c r="D466" s="820"/>
    </row>
    <row r="467" spans="1:11" ht="12.75" thickBot="1">
      <c r="B467" s="382" t="s">
        <v>31</v>
      </c>
      <c r="C467" s="819">
        <f>D465-C466</f>
        <v>0</v>
      </c>
      <c r="D467" s="820"/>
    </row>
    <row r="468" spans="1:11" ht="12.75" thickBot="1">
      <c r="B468" s="382" t="s">
        <v>745</v>
      </c>
      <c r="C468" s="819">
        <f>NAV!E375</f>
        <v>0</v>
      </c>
      <c r="D468" s="820"/>
      <c r="F468" s="217"/>
    </row>
    <row r="469" spans="1:11" ht="12.75" thickBot="1">
      <c r="B469" s="382" t="s">
        <v>965</v>
      </c>
      <c r="C469" s="819">
        <f>NAV!E376</f>
        <v>0</v>
      </c>
      <c r="D469" s="820"/>
    </row>
    <row r="470" spans="1:11" ht="12.75" thickBot="1">
      <c r="B470" s="382" t="s">
        <v>744</v>
      </c>
      <c r="C470" s="819">
        <f>NAV!E377</f>
        <v>0</v>
      </c>
      <c r="D470" s="820"/>
    </row>
    <row r="471" spans="1:11" ht="12.75" thickBot="1">
      <c r="B471" s="382" t="str">
        <f>NAV!C378</f>
        <v>보유지분율(%)</v>
      </c>
      <c r="C471" s="823">
        <f>NAV!D378</f>
        <v>0</v>
      </c>
      <c r="D471" s="824"/>
    </row>
    <row r="472" spans="1:11" ht="12.75" thickBot="1">
      <c r="B472" s="382" t="s">
        <v>746</v>
      </c>
      <c r="C472" s="825">
        <f>NAV!E378</f>
        <v>0</v>
      </c>
      <c r="D472" s="826"/>
    </row>
    <row r="478" spans="1:11">
      <c r="A478" s="149">
        <f>A440+1</f>
        <v>6</v>
      </c>
      <c r="B478" s="399" t="str">
        <f>NAV!B389</f>
        <v>SPC없음</v>
      </c>
      <c r="G478" s="399" t="str">
        <f>B478</f>
        <v>SPC없음</v>
      </c>
    </row>
    <row r="479" spans="1:11">
      <c r="B479" s="399" t="str">
        <f>NAV!C390</f>
        <v>SPC없음</v>
      </c>
      <c r="G479" s="399" t="str">
        <f>B479</f>
        <v>SPC없음</v>
      </c>
    </row>
    <row r="480" spans="1:11" ht="12.75" thickBot="1">
      <c r="B480" s="215" t="s">
        <v>750</v>
      </c>
      <c r="C480" s="216"/>
      <c r="D480" s="216"/>
      <c r="E480" s="216"/>
      <c r="F480" s="216"/>
      <c r="G480" s="215" t="s">
        <v>751</v>
      </c>
      <c r="H480" s="216"/>
      <c r="I480" s="216"/>
      <c r="K480" s="215" t="s">
        <v>752</v>
      </c>
    </row>
    <row r="481" spans="1:18" ht="12.75" thickBot="1">
      <c r="B481" s="366" t="s">
        <v>27</v>
      </c>
      <c r="C481" s="367" t="s">
        <v>28</v>
      </c>
      <c r="D481" s="367" t="s">
        <v>29</v>
      </c>
      <c r="F481" s="368" t="s">
        <v>3461</v>
      </c>
      <c r="G481" s="353" t="str">
        <f>$G$74</f>
        <v>SPC명</v>
      </c>
      <c r="H481" s="369" t="s">
        <v>3200</v>
      </c>
      <c r="I481" s="369" t="s">
        <v>753</v>
      </c>
      <c r="J481" s="368" t="s">
        <v>3461</v>
      </c>
      <c r="K481" s="353" t="s">
        <v>3440</v>
      </c>
      <c r="L481" s="353" t="str">
        <f>$L$74</f>
        <v>투자자산명</v>
      </c>
      <c r="M481" s="358" t="s">
        <v>754</v>
      </c>
      <c r="N481" s="358" t="s">
        <v>47</v>
      </c>
      <c r="O481" s="369" t="s">
        <v>749</v>
      </c>
      <c r="P481" s="400" t="s">
        <v>3460</v>
      </c>
      <c r="Q481" s="370" t="s">
        <v>3463</v>
      </c>
      <c r="R481" s="370" t="s">
        <v>6833</v>
      </c>
    </row>
    <row r="482" spans="1:18" ht="12.75" thickBot="1">
      <c r="B482" s="371" t="s">
        <v>3441</v>
      </c>
      <c r="C482" s="372">
        <f>SUM(C483:C484)</f>
        <v>0</v>
      </c>
      <c r="D482" s="372">
        <f>SUM(D483:D484)</f>
        <v>0</v>
      </c>
      <c r="F482" s="149" t="str">
        <f>IF(G482=0,"",COUNTA(G$482:$G482))</f>
        <v/>
      </c>
      <c r="G482" s="373">
        <f>IF(NAV!L395="SPC 없음",0,NAV!L395)</f>
        <v>0</v>
      </c>
      <c r="H482" s="374">
        <f>NAV!W395</f>
        <v>0</v>
      </c>
      <c r="I482" s="374" t="str">
        <f>NAV!S395</f>
        <v>SPC 없음</v>
      </c>
      <c r="J482" s="149" t="str">
        <f>IF(L482=0,"",COUNTA(L$482:$L482)+COUNT($F$482:$F$487))</f>
        <v/>
      </c>
      <c r="K482" s="373">
        <f>IF($B479="SPC없음",0,$B479)</f>
        <v>0</v>
      </c>
      <c r="L482" s="375">
        <f>NAV!J403</f>
        <v>0</v>
      </c>
      <c r="M482" s="376">
        <f>NAV!N403</f>
        <v>0</v>
      </c>
      <c r="N482" s="376">
        <f>NAV!T403</f>
        <v>0</v>
      </c>
      <c r="O482" s="377">
        <f>IF(N482="장부가액 준용","장부가액 준용",IF(N482="취득원가 준용","취득원가 준용",NAV!R403))</f>
        <v>0</v>
      </c>
      <c r="P482" s="377">
        <f>NAV!W403</f>
        <v>0</v>
      </c>
      <c r="Q482" s="377">
        <f>NAV!S403</f>
        <v>0</v>
      </c>
      <c r="R482" s="737" t="str">
        <f>MID(NAV!U403,FIND("(",NAV!U403)+1,FIND(")", NAV!U403)-FIND("(",NAV!U403)-1)</f>
        <v>KRW</v>
      </c>
    </row>
    <row r="483" spans="1:18" ht="12.75" thickBot="1">
      <c r="B483" s="379" t="s">
        <v>3443</v>
      </c>
      <c r="C483" s="380">
        <f>NAV!D396</f>
        <v>0</v>
      </c>
      <c r="D483" s="380">
        <f>NAV!E396</f>
        <v>0</v>
      </c>
      <c r="F483" s="149" t="str">
        <f>IF(G483=0,"",COUNTA(G$482:$G483))</f>
        <v/>
      </c>
      <c r="G483" s="373">
        <f>IF(NAV!L396="SPC 없음",0,NAV!L396)</f>
        <v>0</v>
      </c>
      <c r="H483" s="374">
        <f>NAV!W396</f>
        <v>0</v>
      </c>
      <c r="I483" s="374" t="str">
        <f>NAV!S396</f>
        <v>SPC 없음</v>
      </c>
      <c r="J483" s="149" t="str">
        <f>IF(L483=0,"",COUNTA(L$482:$L483)+COUNT($F$482:$F$487))</f>
        <v/>
      </c>
      <c r="K483" s="373">
        <f t="shared" ref="K483:K492" si="52">K482</f>
        <v>0</v>
      </c>
      <c r="L483" s="375">
        <f>NAV!J404</f>
        <v>0</v>
      </c>
      <c r="M483" s="376">
        <f>NAV!N404</f>
        <v>0</v>
      </c>
      <c r="N483" s="376">
        <f>NAV!T404</f>
        <v>0</v>
      </c>
      <c r="O483" s="377">
        <f>IF(N483="장부가액 준용","장부가액 준용",IF(N483="취득원가 준용","취득원가 준용",NAV!R404))</f>
        <v>0</v>
      </c>
      <c r="P483" s="377">
        <f>NAV!W404</f>
        <v>0</v>
      </c>
      <c r="Q483" s="377">
        <f>NAV!S404</f>
        <v>0</v>
      </c>
      <c r="R483" s="737" t="str">
        <f>MID(NAV!U404,FIND("(",NAV!U404)+1,FIND(")", NAV!U404)-FIND("(",NAV!U404)-1)</f>
        <v>KRW</v>
      </c>
    </row>
    <row r="484" spans="1:18" ht="12.75" thickBot="1">
      <c r="B484" s="379" t="s">
        <v>156</v>
      </c>
      <c r="C484" s="380">
        <f>NAV!D397</f>
        <v>0</v>
      </c>
      <c r="D484" s="380">
        <f>NAV!E397</f>
        <v>0</v>
      </c>
      <c r="F484" s="149" t="str">
        <f>IF(G484=0,"",COUNTA(G$482:$G484))</f>
        <v/>
      </c>
      <c r="G484" s="373">
        <f>IF(NAV!L397="SPC 없음",0,NAV!L397)</f>
        <v>0</v>
      </c>
      <c r="H484" s="374">
        <f>NAV!W397</f>
        <v>0</v>
      </c>
      <c r="I484" s="374" t="str">
        <f>NAV!S397</f>
        <v>SPC 없음</v>
      </c>
      <c r="J484" s="149" t="str">
        <f>IF(L484=0,"",COUNTA(L$482:$L484)+COUNT($F$482:$F$487))</f>
        <v/>
      </c>
      <c r="K484" s="373">
        <f t="shared" si="52"/>
        <v>0</v>
      </c>
      <c r="L484" s="375">
        <f>NAV!J405</f>
        <v>0</v>
      </c>
      <c r="M484" s="376">
        <f>NAV!N405</f>
        <v>0</v>
      </c>
      <c r="N484" s="376">
        <f>NAV!T405</f>
        <v>0</v>
      </c>
      <c r="O484" s="377">
        <f>IF(N484="장부가액 준용","장부가액 준용",IF(N484="취득원가 준용","취득원가 준용",NAV!R405))</f>
        <v>0</v>
      </c>
      <c r="P484" s="377">
        <f>NAV!W405</f>
        <v>0</v>
      </c>
      <c r="Q484" s="377">
        <f>NAV!S405</f>
        <v>0</v>
      </c>
      <c r="R484" s="737" t="str">
        <f>MID(NAV!U405,FIND("(",NAV!U405)+1,FIND(")", NAV!U405)-FIND("(",NAV!U405)-1)</f>
        <v>KRW</v>
      </c>
    </row>
    <row r="485" spans="1:18" ht="12.75" thickBot="1">
      <c r="B485" s="371" t="s">
        <v>3442</v>
      </c>
      <c r="C485" s="372">
        <f>NAV!D398</f>
        <v>0</v>
      </c>
      <c r="D485" s="372">
        <f>NAV!E398</f>
        <v>0</v>
      </c>
      <c r="F485" s="149" t="str">
        <f>IF(G485=0,"",COUNTA(G$482:$G485))</f>
        <v/>
      </c>
      <c r="G485" s="373">
        <f>IF(NAV!L398="SPC 없음",0,NAV!L398)</f>
        <v>0</v>
      </c>
      <c r="H485" s="374">
        <f>NAV!W398</f>
        <v>0</v>
      </c>
      <c r="I485" s="374" t="str">
        <f>NAV!S398</f>
        <v>SPC 없음</v>
      </c>
      <c r="J485" s="149" t="str">
        <f>IF(L485=0,"",COUNTA(L$482:$L485)+COUNT($F$482:$F$487))</f>
        <v/>
      </c>
      <c r="K485" s="373">
        <f t="shared" si="52"/>
        <v>0</v>
      </c>
      <c r="L485" s="375">
        <f>NAV!J406</f>
        <v>0</v>
      </c>
      <c r="M485" s="376">
        <f>NAV!N406</f>
        <v>0</v>
      </c>
      <c r="N485" s="376">
        <f>NAV!T406</f>
        <v>0</v>
      </c>
      <c r="O485" s="377">
        <f>IF(N485="장부가액 준용","장부가액 준용",IF(N485="취득원가 준용","취득원가 준용",NAV!R406))</f>
        <v>0</v>
      </c>
      <c r="P485" s="377">
        <f>NAV!W406</f>
        <v>0</v>
      </c>
      <c r="Q485" s="377">
        <f>NAV!S406</f>
        <v>0</v>
      </c>
      <c r="R485" s="737" t="str">
        <f>MID(NAV!U406,FIND("(",NAV!U406)+1,FIND(")", NAV!U406)-FIND("(",NAV!U406)-1)</f>
        <v>KRW</v>
      </c>
    </row>
    <row r="486" spans="1:18" ht="12.75" thickBot="1">
      <c r="A486" s="149">
        <v>1</v>
      </c>
      <c r="B486" s="381" t="str">
        <f>IFERROR(IF(F482=A486,VLOOKUP(A486,$F$481:$I$492,2,0),VLOOKUP(A486,$J$481:$Q$492,3,0)&amp;" "&amp;VLOOKUP(A486,$J$481:$Q$492,4,0)),"")</f>
        <v/>
      </c>
      <c r="C486" s="380" t="str">
        <f>IFERROR(IF(F482=A486,VLOOKUP(A486,$F$481:$I$492,3,0),VLOOKUP(A486,$J$481:$Q$492,7,0)),"")</f>
        <v/>
      </c>
      <c r="D486" s="380" t="str">
        <f>IFERROR(IF(F482=A486,VLOOKUP(A486,$F$481:$I$492,4,0),VLOOKUP(A486,$J$481:$Q$492,8,0)),"")</f>
        <v/>
      </c>
      <c r="F486" s="149" t="str">
        <f>IF(G486=0,"",COUNTA(G$482:$G486))</f>
        <v/>
      </c>
      <c r="G486" s="373">
        <f>IF(NAV!L399="SPC 없음",0,NAV!L399)</f>
        <v>0</v>
      </c>
      <c r="H486" s="374">
        <f>NAV!W399</f>
        <v>0</v>
      </c>
      <c r="I486" s="374" t="str">
        <f>NAV!S399</f>
        <v>SPC 없음</v>
      </c>
      <c r="J486" s="149" t="str">
        <f>IF(L486=0,"",COUNTA(L$482:$L486)+COUNT($F$482:$F$487))</f>
        <v/>
      </c>
      <c r="K486" s="373">
        <f t="shared" si="52"/>
        <v>0</v>
      </c>
      <c r="L486" s="375">
        <f>NAV!J407</f>
        <v>0</v>
      </c>
      <c r="M486" s="376">
        <f>NAV!N407</f>
        <v>0</v>
      </c>
      <c r="N486" s="376">
        <f>NAV!T407</f>
        <v>0</v>
      </c>
      <c r="O486" s="377">
        <f>IF(N486="장부가액 준용","장부가액 준용",IF(N486="취득원가 준용","취득원가 준용",NAV!R407))</f>
        <v>0</v>
      </c>
      <c r="P486" s="377">
        <f>NAV!W407</f>
        <v>0</v>
      </c>
      <c r="Q486" s="377">
        <f>NAV!S407</f>
        <v>0</v>
      </c>
      <c r="R486" s="737" t="str">
        <f>MID(NAV!U407,FIND("(",NAV!U407)+1,FIND(")", NAV!U407)-FIND("(",NAV!U407)-1)</f>
        <v>KRW</v>
      </c>
    </row>
    <row r="487" spans="1:18" ht="12.75" thickBot="1">
      <c r="A487" s="149">
        <f>A486+1</f>
        <v>2</v>
      </c>
      <c r="B487" s="381" t="str">
        <f t="shared" ref="B487:B502" si="53">IFERROR(IF(F483=A487,VLOOKUP(A487,$F$481:$I$492,2,0),VLOOKUP(A487,$J$481:$Q$492,3,0)&amp;" "&amp;VLOOKUP(A487,$J$481:$Q$492,4,0)),"")</f>
        <v/>
      </c>
      <c r="C487" s="380" t="str">
        <f t="shared" ref="C487:C502" si="54">IFERROR(IF(F483=A487,VLOOKUP(A487,$F$481:$I$492,3,0),VLOOKUP(A487,$J$481:$Q$492,7,0)),"")</f>
        <v/>
      </c>
      <c r="D487" s="380" t="str">
        <f t="shared" ref="D487:D502" si="55">IFERROR(IF(F483=A487,VLOOKUP(A487,$F$481:$I$492,4,0),VLOOKUP(A487,$J$481:$Q$492,8,0)),"")</f>
        <v/>
      </c>
      <c r="F487" s="149" t="str">
        <f>IF(G487=0,"",COUNTA(G$482:$G487))</f>
        <v/>
      </c>
      <c r="G487" s="373">
        <f>IF(NAV!L400="SPC 없음",0,NAV!L400)</f>
        <v>0</v>
      </c>
      <c r="H487" s="374">
        <f>NAV!W400</f>
        <v>0</v>
      </c>
      <c r="I487" s="374" t="str">
        <f>NAV!S400</f>
        <v>SPC 없음</v>
      </c>
      <c r="J487" s="149" t="str">
        <f>IF(L487=0,"",COUNTA(L$482:$L487)+COUNT($F$482:$F$487))</f>
        <v/>
      </c>
      <c r="K487" s="373">
        <f t="shared" si="52"/>
        <v>0</v>
      </c>
      <c r="L487" s="375">
        <f>NAV!J408</f>
        <v>0</v>
      </c>
      <c r="M487" s="376">
        <f>NAV!N408</f>
        <v>0</v>
      </c>
      <c r="N487" s="376">
        <f>NAV!T408</f>
        <v>0</v>
      </c>
      <c r="O487" s="377">
        <f>IF(N487="장부가액 준용","장부가액 준용",IF(N487="취득원가 준용","취득원가 준용",NAV!R408))</f>
        <v>0</v>
      </c>
      <c r="P487" s="377">
        <f>NAV!W408</f>
        <v>0</v>
      </c>
      <c r="Q487" s="377">
        <f>NAV!S408</f>
        <v>0</v>
      </c>
      <c r="R487" s="737" t="str">
        <f>MID(NAV!U408,FIND("(",NAV!U408)+1,FIND(")", NAV!U408)-FIND("(",NAV!U408)-1)</f>
        <v>KRW</v>
      </c>
    </row>
    <row r="488" spans="1:18" ht="12.75" thickBot="1">
      <c r="A488" s="149">
        <f t="shared" ref="A488:A502" si="56">A487+1</f>
        <v>3</v>
      </c>
      <c r="B488" s="381" t="str">
        <f t="shared" si="53"/>
        <v/>
      </c>
      <c r="C488" s="380" t="str">
        <f t="shared" si="54"/>
        <v/>
      </c>
      <c r="D488" s="380" t="str">
        <f t="shared" si="55"/>
        <v/>
      </c>
      <c r="J488" s="149" t="str">
        <f>IF(L488=0,"",COUNTA(L$482:$L488)+COUNT($F$482:$F$487))</f>
        <v/>
      </c>
      <c r="K488" s="373">
        <f t="shared" si="52"/>
        <v>0</v>
      </c>
      <c r="L488" s="375">
        <f>NAV!J409</f>
        <v>0</v>
      </c>
      <c r="M488" s="376">
        <f>NAV!N409</f>
        <v>0</v>
      </c>
      <c r="N488" s="376">
        <f>NAV!T409</f>
        <v>0</v>
      </c>
      <c r="O488" s="377">
        <f>IF(N488="장부가액 준용","장부가액 준용",IF(N488="취득원가 준용","취득원가 준용",NAV!R409))</f>
        <v>0</v>
      </c>
      <c r="P488" s="377">
        <f>NAV!W409</f>
        <v>0</v>
      </c>
      <c r="Q488" s="377">
        <f>NAV!S409</f>
        <v>0</v>
      </c>
      <c r="R488" s="737" t="str">
        <f>MID(NAV!U409,FIND("(",NAV!U409)+1,FIND(")", NAV!U409)-FIND("(",NAV!U409)-1)</f>
        <v>KRW</v>
      </c>
    </row>
    <row r="489" spans="1:18" ht="12.75" thickBot="1">
      <c r="A489" s="149">
        <f t="shared" si="56"/>
        <v>4</v>
      </c>
      <c r="B489" s="381" t="str">
        <f t="shared" si="53"/>
        <v/>
      </c>
      <c r="C489" s="380" t="str">
        <f t="shared" si="54"/>
        <v/>
      </c>
      <c r="D489" s="380" t="str">
        <f t="shared" si="55"/>
        <v/>
      </c>
      <c r="J489" s="149" t="str">
        <f>IF(L489=0,"",COUNTA(L$482:$L489)+COUNT($F$482:$F$487))</f>
        <v/>
      </c>
      <c r="K489" s="373">
        <f t="shared" si="52"/>
        <v>0</v>
      </c>
      <c r="L489" s="375">
        <f>NAV!J410</f>
        <v>0</v>
      </c>
      <c r="M489" s="376">
        <f>NAV!N410</f>
        <v>0</v>
      </c>
      <c r="N489" s="376">
        <f>NAV!T410</f>
        <v>0</v>
      </c>
      <c r="O489" s="377">
        <f>IF(N489="장부가액 준용","장부가액 준용",IF(N489="취득원가 준용","취득원가 준용",NAV!R410))</f>
        <v>0</v>
      </c>
      <c r="P489" s="377">
        <f>NAV!W410</f>
        <v>0</v>
      </c>
      <c r="Q489" s="377">
        <f>NAV!S410</f>
        <v>0</v>
      </c>
      <c r="R489" s="737" t="str">
        <f>MID(NAV!U410,FIND("(",NAV!U410)+1,FIND(")", NAV!U410)-FIND("(",NAV!U410)-1)</f>
        <v>KRW</v>
      </c>
    </row>
    <row r="490" spans="1:18" ht="12.75" thickBot="1">
      <c r="A490" s="149">
        <f t="shared" si="56"/>
        <v>5</v>
      </c>
      <c r="B490" s="381" t="str">
        <f t="shared" si="53"/>
        <v/>
      </c>
      <c r="C490" s="380" t="str">
        <f t="shared" si="54"/>
        <v/>
      </c>
      <c r="D490" s="380" t="str">
        <f t="shared" si="55"/>
        <v/>
      </c>
      <c r="J490" s="149" t="str">
        <f>IF(L490=0,"",COUNTA(L$482:$L490)+COUNT($F$482:$F$487))</f>
        <v/>
      </c>
      <c r="K490" s="373">
        <f t="shared" si="52"/>
        <v>0</v>
      </c>
      <c r="L490" s="375">
        <f>NAV!J411</f>
        <v>0</v>
      </c>
      <c r="M490" s="376">
        <f>NAV!N411</f>
        <v>0</v>
      </c>
      <c r="N490" s="376">
        <f>NAV!T411</f>
        <v>0</v>
      </c>
      <c r="O490" s="377">
        <f>IF(N490="장부가액 준용","장부가액 준용",IF(N490="취득원가 준용","취득원가 준용",NAV!R411))</f>
        <v>0</v>
      </c>
      <c r="P490" s="377">
        <f>NAV!W411</f>
        <v>0</v>
      </c>
      <c r="Q490" s="377">
        <f>NAV!S411</f>
        <v>0</v>
      </c>
      <c r="R490" s="737" t="str">
        <f>MID(NAV!U411,FIND("(",NAV!U411)+1,FIND(")", NAV!U411)-FIND("(",NAV!U411)-1)</f>
        <v>KRW</v>
      </c>
    </row>
    <row r="491" spans="1:18" ht="12.75" thickBot="1">
      <c r="A491" s="149">
        <f t="shared" si="56"/>
        <v>6</v>
      </c>
      <c r="B491" s="381" t="str">
        <f t="shared" si="53"/>
        <v/>
      </c>
      <c r="C491" s="380" t="str">
        <f t="shared" si="54"/>
        <v/>
      </c>
      <c r="D491" s="380" t="str">
        <f t="shared" si="55"/>
        <v/>
      </c>
      <c r="J491" s="149" t="str">
        <f>IF(L491=0,"",COUNTA(L$482:$L491)+COUNT($F$482:$F$487))</f>
        <v/>
      </c>
      <c r="K491" s="373">
        <f t="shared" si="52"/>
        <v>0</v>
      </c>
      <c r="L491" s="375">
        <f>NAV!J412</f>
        <v>0</v>
      </c>
      <c r="M491" s="376">
        <f>NAV!N412</f>
        <v>0</v>
      </c>
      <c r="N491" s="376">
        <f>NAV!T412</f>
        <v>0</v>
      </c>
      <c r="O491" s="377">
        <f>IF(N491="장부가액 준용","장부가액 준용",IF(N491="취득원가 준용","취득원가 준용",NAV!R412))</f>
        <v>0</v>
      </c>
      <c r="P491" s="377">
        <f>NAV!W412</f>
        <v>0</v>
      </c>
      <c r="Q491" s="377">
        <f>NAV!S412</f>
        <v>0</v>
      </c>
      <c r="R491" s="737" t="str">
        <f>MID(NAV!U412,FIND("(",NAV!U412)+1,FIND(")", NAV!U412)-FIND("(",NAV!U412)-1)</f>
        <v>KRW</v>
      </c>
    </row>
    <row r="492" spans="1:18" ht="12.75" thickBot="1">
      <c r="A492" s="149">
        <f t="shared" si="56"/>
        <v>7</v>
      </c>
      <c r="B492" s="381" t="str">
        <f t="shared" si="53"/>
        <v/>
      </c>
      <c r="C492" s="380" t="str">
        <f t="shared" si="54"/>
        <v/>
      </c>
      <c r="D492" s="380" t="str">
        <f t="shared" si="55"/>
        <v/>
      </c>
      <c r="J492" s="149" t="str">
        <f>IF(L492=0,"",COUNTA(L$482:$L492)+COUNT($F$482:$F$487))</f>
        <v/>
      </c>
      <c r="K492" s="373">
        <f t="shared" si="52"/>
        <v>0</v>
      </c>
      <c r="L492" s="375">
        <f>NAV!J413</f>
        <v>0</v>
      </c>
      <c r="M492" s="376">
        <f>NAV!N413</f>
        <v>0</v>
      </c>
      <c r="N492" s="376">
        <f>NAV!T413</f>
        <v>0</v>
      </c>
      <c r="O492" s="377">
        <f>IF(N492="장부가액 준용","장부가액 준용",IF(N492="취득원가 준용","취득원가 준용",NAV!R413))</f>
        <v>0</v>
      </c>
      <c r="P492" s="377">
        <f>NAV!W413</f>
        <v>0</v>
      </c>
      <c r="Q492" s="377">
        <f>NAV!S413</f>
        <v>0</v>
      </c>
      <c r="R492" s="737" t="str">
        <f>MID(NAV!U413,FIND("(",NAV!U413)+1,FIND(")", NAV!U413)-FIND("(",NAV!U413)-1)</f>
        <v>KRW</v>
      </c>
    </row>
    <row r="493" spans="1:18" ht="12.75" hidden="1" customHeight="1" outlineLevel="1" thickBot="1">
      <c r="A493" s="149">
        <f t="shared" si="56"/>
        <v>8</v>
      </c>
      <c r="B493" s="381" t="str">
        <f t="shared" si="53"/>
        <v/>
      </c>
      <c r="C493" s="380" t="str">
        <f t="shared" si="54"/>
        <v/>
      </c>
      <c r="D493" s="380" t="str">
        <f t="shared" si="55"/>
        <v/>
      </c>
    </row>
    <row r="494" spans="1:18" ht="12.75" hidden="1" customHeight="1" outlineLevel="1" thickBot="1">
      <c r="A494" s="149">
        <f t="shared" si="56"/>
        <v>9</v>
      </c>
      <c r="B494" s="381" t="str">
        <f>IFERROR(IF(F490=A494,VLOOKUP(A494,$F$481:$I$492,2,0),VLOOKUP(A494,$J$481:$Q$492,3,0)&amp;" "&amp;VLOOKUP(A494,$J$481:$Q$492,4,0)),"")</f>
        <v/>
      </c>
      <c r="C494" s="380" t="str">
        <f t="shared" si="54"/>
        <v/>
      </c>
      <c r="D494" s="380" t="str">
        <f t="shared" si="55"/>
        <v/>
      </c>
    </row>
    <row r="495" spans="1:18" ht="12.75" hidden="1" customHeight="1" outlineLevel="1" thickBot="1">
      <c r="A495" s="149">
        <f t="shared" si="56"/>
        <v>10</v>
      </c>
      <c r="B495" s="381" t="str">
        <f t="shared" si="53"/>
        <v/>
      </c>
      <c r="C495" s="380" t="str">
        <f t="shared" si="54"/>
        <v/>
      </c>
      <c r="D495" s="380" t="str">
        <f t="shared" si="55"/>
        <v/>
      </c>
    </row>
    <row r="496" spans="1:18" ht="12.75" hidden="1" customHeight="1" outlineLevel="1" thickBot="1">
      <c r="A496" s="149">
        <f t="shared" si="56"/>
        <v>11</v>
      </c>
      <c r="B496" s="381" t="str">
        <f t="shared" si="53"/>
        <v/>
      </c>
      <c r="C496" s="380" t="str">
        <f t="shared" si="54"/>
        <v/>
      </c>
      <c r="D496" s="380" t="str">
        <f t="shared" si="55"/>
        <v/>
      </c>
    </row>
    <row r="497" spans="1:6" ht="12.75" hidden="1" customHeight="1" outlineLevel="1" thickBot="1">
      <c r="A497" s="149">
        <f t="shared" si="56"/>
        <v>12</v>
      </c>
      <c r="B497" s="381" t="str">
        <f t="shared" si="53"/>
        <v/>
      </c>
      <c r="C497" s="380" t="str">
        <f t="shared" si="54"/>
        <v/>
      </c>
      <c r="D497" s="380" t="str">
        <f t="shared" si="55"/>
        <v/>
      </c>
    </row>
    <row r="498" spans="1:6" ht="12.75" hidden="1" customHeight="1" outlineLevel="1" thickBot="1">
      <c r="A498" s="149">
        <f t="shared" si="56"/>
        <v>13</v>
      </c>
      <c r="B498" s="381" t="str">
        <f t="shared" si="53"/>
        <v/>
      </c>
      <c r="C498" s="380" t="str">
        <f t="shared" si="54"/>
        <v/>
      </c>
      <c r="D498" s="380" t="str">
        <f t="shared" si="55"/>
        <v/>
      </c>
    </row>
    <row r="499" spans="1:6" ht="12.75" hidden="1" customHeight="1" outlineLevel="1" thickBot="1">
      <c r="A499" s="149">
        <f t="shared" si="56"/>
        <v>14</v>
      </c>
      <c r="B499" s="381" t="str">
        <f t="shared" si="53"/>
        <v/>
      </c>
      <c r="C499" s="380" t="str">
        <f t="shared" si="54"/>
        <v/>
      </c>
      <c r="D499" s="380" t="str">
        <f t="shared" si="55"/>
        <v/>
      </c>
    </row>
    <row r="500" spans="1:6" ht="12.75" hidden="1" customHeight="1" outlineLevel="1" thickBot="1">
      <c r="A500" s="149">
        <f t="shared" si="56"/>
        <v>15</v>
      </c>
      <c r="B500" s="381" t="str">
        <f t="shared" si="53"/>
        <v/>
      </c>
      <c r="C500" s="380" t="str">
        <f t="shared" si="54"/>
        <v/>
      </c>
      <c r="D500" s="380" t="str">
        <f t="shared" si="55"/>
        <v/>
      </c>
    </row>
    <row r="501" spans="1:6" ht="12.75" hidden="1" customHeight="1" outlineLevel="1" thickBot="1">
      <c r="A501" s="149">
        <f t="shared" si="56"/>
        <v>16</v>
      </c>
      <c r="B501" s="381" t="str">
        <f t="shared" si="53"/>
        <v/>
      </c>
      <c r="C501" s="380" t="str">
        <f t="shared" si="54"/>
        <v/>
      </c>
      <c r="D501" s="380" t="str">
        <f t="shared" si="55"/>
        <v/>
      </c>
    </row>
    <row r="502" spans="1:6" ht="12.75" hidden="1" customHeight="1" outlineLevel="1" thickBot="1">
      <c r="A502" s="149">
        <f t="shared" si="56"/>
        <v>17</v>
      </c>
      <c r="B502" s="381" t="str">
        <f t="shared" si="53"/>
        <v/>
      </c>
      <c r="C502" s="380" t="str">
        <f t="shared" si="54"/>
        <v/>
      </c>
      <c r="D502" s="380" t="str">
        <f t="shared" si="55"/>
        <v/>
      </c>
    </row>
    <row r="503" spans="1:6" ht="12.75" collapsed="1" thickBot="1">
      <c r="B503" s="382" t="s">
        <v>2</v>
      </c>
      <c r="C503" s="372">
        <f>SUM(C482,C485)</f>
        <v>0</v>
      </c>
      <c r="D503" s="383">
        <f>SUM(D482,D485)</f>
        <v>0</v>
      </c>
    </row>
    <row r="504" spans="1:6" ht="12.75" thickBot="1">
      <c r="B504" s="382" t="s">
        <v>30</v>
      </c>
      <c r="C504" s="819">
        <f>NAV!E408</f>
        <v>0</v>
      </c>
      <c r="D504" s="820"/>
    </row>
    <row r="505" spans="1:6" ht="12.75" thickBot="1">
      <c r="B505" s="382" t="s">
        <v>31</v>
      </c>
      <c r="C505" s="819">
        <f>D503-C504</f>
        <v>0</v>
      </c>
      <c r="D505" s="820"/>
    </row>
    <row r="506" spans="1:6" ht="12.75" thickBot="1">
      <c r="B506" s="382" t="s">
        <v>745</v>
      </c>
      <c r="C506" s="819">
        <f>NAV!E413</f>
        <v>0</v>
      </c>
      <c r="D506" s="820"/>
      <c r="F506" s="217"/>
    </row>
    <row r="507" spans="1:6" ht="12.75" thickBot="1">
      <c r="B507" s="382" t="s">
        <v>965</v>
      </c>
      <c r="C507" s="819">
        <f>NAV!E414</f>
        <v>0</v>
      </c>
      <c r="D507" s="820"/>
    </row>
    <row r="508" spans="1:6" ht="12.75" thickBot="1">
      <c r="B508" s="382" t="s">
        <v>744</v>
      </c>
      <c r="C508" s="819">
        <f>NAV!E415</f>
        <v>0</v>
      </c>
      <c r="D508" s="820"/>
    </row>
    <row r="509" spans="1:6" ht="12.75" thickBot="1">
      <c r="B509" s="382" t="str">
        <f>NAV!C416</f>
        <v>보유지분율(%)</v>
      </c>
      <c r="C509" s="823">
        <f>NAV!D416</f>
        <v>0</v>
      </c>
      <c r="D509" s="824"/>
    </row>
    <row r="510" spans="1:6" ht="12.75" thickBot="1">
      <c r="B510" s="382" t="s">
        <v>746</v>
      </c>
      <c r="C510" s="825">
        <f>NAV!E416</f>
        <v>0</v>
      </c>
      <c r="D510" s="826"/>
    </row>
    <row r="516" spans="1:18">
      <c r="A516" s="149">
        <f>A478+1</f>
        <v>7</v>
      </c>
      <c r="B516" s="399" t="str">
        <f>NAV!B427</f>
        <v>SPC없음</v>
      </c>
      <c r="G516" s="399" t="str">
        <f>B516</f>
        <v>SPC없음</v>
      </c>
    </row>
    <row r="517" spans="1:18">
      <c r="B517" s="399" t="str">
        <f>NAV!C428</f>
        <v>SPC없음</v>
      </c>
      <c r="G517" s="399" t="str">
        <f>B517</f>
        <v>SPC없음</v>
      </c>
    </row>
    <row r="518" spans="1:18" ht="12.75" thickBot="1">
      <c r="B518" s="215" t="s">
        <v>750</v>
      </c>
      <c r="C518" s="216"/>
      <c r="D518" s="216"/>
      <c r="E518" s="216"/>
      <c r="F518" s="216"/>
      <c r="G518" s="215" t="s">
        <v>751</v>
      </c>
      <c r="H518" s="216"/>
      <c r="I518" s="216"/>
      <c r="K518" s="215" t="s">
        <v>752</v>
      </c>
    </row>
    <row r="519" spans="1:18" ht="12.75" thickBot="1">
      <c r="B519" s="366" t="s">
        <v>27</v>
      </c>
      <c r="C519" s="367" t="s">
        <v>28</v>
      </c>
      <c r="D519" s="367" t="s">
        <v>29</v>
      </c>
      <c r="F519" s="368" t="s">
        <v>3461</v>
      </c>
      <c r="G519" s="353" t="str">
        <f>$G$74</f>
        <v>SPC명</v>
      </c>
      <c r="H519" s="369" t="s">
        <v>3200</v>
      </c>
      <c r="I519" s="369" t="s">
        <v>753</v>
      </c>
      <c r="J519" s="368" t="s">
        <v>3461</v>
      </c>
      <c r="K519" s="353" t="s">
        <v>3440</v>
      </c>
      <c r="L519" s="353" t="str">
        <f>$L$74</f>
        <v>투자자산명</v>
      </c>
      <c r="M519" s="358" t="s">
        <v>754</v>
      </c>
      <c r="N519" s="358" t="s">
        <v>47</v>
      </c>
      <c r="O519" s="369" t="s">
        <v>749</v>
      </c>
      <c r="P519" s="400" t="s">
        <v>3460</v>
      </c>
      <c r="Q519" s="370" t="s">
        <v>3463</v>
      </c>
      <c r="R519" s="370" t="s">
        <v>6833</v>
      </c>
    </row>
    <row r="520" spans="1:18" ht="12.75" thickBot="1">
      <c r="B520" s="371" t="s">
        <v>3441</v>
      </c>
      <c r="C520" s="372">
        <f>SUM(C521:C522)</f>
        <v>0</v>
      </c>
      <c r="D520" s="372">
        <f>SUM(D521:D522)</f>
        <v>0</v>
      </c>
      <c r="F520" s="149" t="str">
        <f>IF(G520=0,"",COUNTA(G$520:$G520))</f>
        <v/>
      </c>
      <c r="G520" s="373">
        <f>IF(NAV!L433="SPC 없음",0,NAV!L433)</f>
        <v>0</v>
      </c>
      <c r="H520" s="374">
        <f>NAV!W433</f>
        <v>0</v>
      </c>
      <c r="I520" s="374" t="str">
        <f>NAV!S433</f>
        <v>SPC 없음</v>
      </c>
      <c r="J520" s="149" t="str">
        <f>IF(L520=0,"",COUNTA(L$520:$L520)+COUNT($F$520:$F$525))</f>
        <v/>
      </c>
      <c r="K520" s="373">
        <f>IF($B517="SPC없음",0,$B517)</f>
        <v>0</v>
      </c>
      <c r="L520" s="375">
        <f>NAV!J441</f>
        <v>0</v>
      </c>
      <c r="M520" s="376">
        <f>NAV!N441</f>
        <v>0</v>
      </c>
      <c r="N520" s="376">
        <f>NAV!T441</f>
        <v>0</v>
      </c>
      <c r="O520" s="377">
        <f>IF(N520="장부가액 준용","장부가액 준용",IF(N520="취득원가 준용","취득원가 준용",NAV!R441))</f>
        <v>0</v>
      </c>
      <c r="P520" s="377">
        <f>NAV!W441</f>
        <v>0</v>
      </c>
      <c r="Q520" s="377">
        <f>NAV!S441</f>
        <v>0</v>
      </c>
      <c r="R520" s="737" t="str">
        <f>MID(NAV!U441,FIND("(",NAV!U441)+1,FIND(")", NAV!U441)-FIND("(",NAV!U441)-1)</f>
        <v>KRW</v>
      </c>
    </row>
    <row r="521" spans="1:18" ht="12.75" thickBot="1">
      <c r="B521" s="379" t="s">
        <v>3481</v>
      </c>
      <c r="C521" s="380">
        <f>NAV!D434</f>
        <v>0</v>
      </c>
      <c r="D521" s="380">
        <f>NAV!E434</f>
        <v>0</v>
      </c>
      <c r="F521" s="149" t="str">
        <f>IF(G521=0,"",COUNTA(G$520:$G521))</f>
        <v/>
      </c>
      <c r="G521" s="373">
        <f>IF(NAV!L434="SPC 없음",0,NAV!L434)</f>
        <v>0</v>
      </c>
      <c r="H521" s="374">
        <f>NAV!W434</f>
        <v>0</v>
      </c>
      <c r="I521" s="374" t="str">
        <f>NAV!S434</f>
        <v>SPC 없음</v>
      </c>
      <c r="J521" s="149" t="str">
        <f>IF(L521=0,"",COUNTA(L$520:$L521)+COUNT($F$520:$F$525))</f>
        <v/>
      </c>
      <c r="K521" s="373">
        <f t="shared" ref="K521:K530" si="57">K520</f>
        <v>0</v>
      </c>
      <c r="L521" s="375">
        <f>NAV!J442</f>
        <v>0</v>
      </c>
      <c r="M521" s="376">
        <f>NAV!N442</f>
        <v>0</v>
      </c>
      <c r="N521" s="376">
        <f>NAV!T442</f>
        <v>0</v>
      </c>
      <c r="O521" s="377">
        <f>IF(N521="장부가액 준용","장부가액 준용",IF(N521="취득원가 준용","취득원가 준용",NAV!R442))</f>
        <v>0</v>
      </c>
      <c r="P521" s="377">
        <f>NAV!W442</f>
        <v>0</v>
      </c>
      <c r="Q521" s="377">
        <f>NAV!S442</f>
        <v>0</v>
      </c>
      <c r="R521" s="737" t="str">
        <f>MID(NAV!U442,FIND("(",NAV!U442)+1,FIND(")", NAV!U442)-FIND("(",NAV!U442)-1)</f>
        <v>KRW</v>
      </c>
    </row>
    <row r="522" spans="1:18" ht="12.75" thickBot="1">
      <c r="B522" s="379" t="s">
        <v>156</v>
      </c>
      <c r="C522" s="380">
        <f>NAV!D435</f>
        <v>0</v>
      </c>
      <c r="D522" s="380">
        <f>NAV!E435</f>
        <v>0</v>
      </c>
      <c r="F522" s="149" t="str">
        <f>IF(G522=0,"",COUNTA(G$520:$G522))</f>
        <v/>
      </c>
      <c r="G522" s="373">
        <f>IF(NAV!L435="SPC 없음",0,NAV!L435)</f>
        <v>0</v>
      </c>
      <c r="H522" s="374">
        <f>NAV!W435</f>
        <v>0</v>
      </c>
      <c r="I522" s="374" t="str">
        <f>NAV!S435</f>
        <v>SPC 없음</v>
      </c>
      <c r="J522" s="149" t="str">
        <f>IF(L522=0,"",COUNTA(L$520:$L522)+COUNT($F$520:$F$525))</f>
        <v/>
      </c>
      <c r="K522" s="373">
        <f t="shared" si="57"/>
        <v>0</v>
      </c>
      <c r="L522" s="375">
        <f>NAV!J443</f>
        <v>0</v>
      </c>
      <c r="M522" s="376">
        <f>NAV!N443</f>
        <v>0</v>
      </c>
      <c r="N522" s="376">
        <f>NAV!T443</f>
        <v>0</v>
      </c>
      <c r="O522" s="377">
        <f>IF(N522="장부가액 준용","장부가액 준용",IF(N522="취득원가 준용","취득원가 준용",NAV!R443))</f>
        <v>0</v>
      </c>
      <c r="P522" s="377">
        <f>NAV!W443</f>
        <v>0</v>
      </c>
      <c r="Q522" s="377">
        <f>NAV!S443</f>
        <v>0</v>
      </c>
      <c r="R522" s="737" t="str">
        <f>MID(NAV!U443,FIND("(",NAV!U443)+1,FIND(")", NAV!U443)-FIND("(",NAV!U443)-1)</f>
        <v>KRW</v>
      </c>
    </row>
    <row r="523" spans="1:18" ht="12.75" thickBot="1">
      <c r="B523" s="371" t="s">
        <v>3442</v>
      </c>
      <c r="C523" s="372">
        <f>NAV!D436</f>
        <v>0</v>
      </c>
      <c r="D523" s="372">
        <f>NAV!E436</f>
        <v>0</v>
      </c>
      <c r="F523" s="149" t="str">
        <f>IF(G523=0,"",COUNTA(G$520:$G523))</f>
        <v/>
      </c>
      <c r="G523" s="373">
        <f>IF(NAV!L436="SPC 없음",0,NAV!L436)</f>
        <v>0</v>
      </c>
      <c r="H523" s="374">
        <f>NAV!W436</f>
        <v>0</v>
      </c>
      <c r="I523" s="374" t="str">
        <f>NAV!S436</f>
        <v>SPC 없음</v>
      </c>
      <c r="J523" s="149" t="str">
        <f>IF(L523=0,"",COUNTA(L$520:$L523)+COUNT($F$520:$F$525))</f>
        <v/>
      </c>
      <c r="K523" s="373">
        <f t="shared" si="57"/>
        <v>0</v>
      </c>
      <c r="L523" s="375">
        <f>NAV!J444</f>
        <v>0</v>
      </c>
      <c r="M523" s="376">
        <f>NAV!N444</f>
        <v>0</v>
      </c>
      <c r="N523" s="376">
        <f>NAV!T444</f>
        <v>0</v>
      </c>
      <c r="O523" s="377">
        <f>IF(N523="장부가액 준용","장부가액 준용",IF(N523="취득원가 준용","취득원가 준용",NAV!R444))</f>
        <v>0</v>
      </c>
      <c r="P523" s="377">
        <f>NAV!W444</f>
        <v>0</v>
      </c>
      <c r="Q523" s="377">
        <f>NAV!S444</f>
        <v>0</v>
      </c>
      <c r="R523" s="737" t="str">
        <f>MID(NAV!U444,FIND("(",NAV!U444)+1,FIND(")", NAV!U444)-FIND("(",NAV!U444)-1)</f>
        <v>KRW</v>
      </c>
    </row>
    <row r="524" spans="1:18" ht="12.75" thickBot="1">
      <c r="A524" s="149">
        <v>1</v>
      </c>
      <c r="B524" s="381" t="str">
        <f>IFERROR(IF(F520=A524,VLOOKUP(A524,$F$519:$I$530,2,0),VLOOKUP(A524,$J$519:$Q$530,3,0)&amp;" "&amp;VLOOKUP(A524,$J$519:$Q$530,4,0)),"")</f>
        <v/>
      </c>
      <c r="C524" s="380" t="str">
        <f>IFERROR(IF(F520=A524,VLOOKUP(A524,$F$519:$I$530,3,0),VLOOKUP(A524,$J$519:$Q$530,7,0)),"")</f>
        <v/>
      </c>
      <c r="D524" s="380" t="str">
        <f>IFERROR(IF(F520=A524,VLOOKUP(A524,$F$519:$I$530,4,0),VLOOKUP(A524,$J$519:$Q$530,8,0)),"")</f>
        <v/>
      </c>
      <c r="F524" s="149" t="str">
        <f>IF(G524=0,"",COUNTA(G$520:$G524))</f>
        <v/>
      </c>
      <c r="G524" s="373">
        <f>IF(NAV!L437="SPC 없음",0,NAV!L437)</f>
        <v>0</v>
      </c>
      <c r="H524" s="374">
        <f>NAV!W437</f>
        <v>0</v>
      </c>
      <c r="I524" s="374" t="str">
        <f>NAV!S437</f>
        <v>SPC 없음</v>
      </c>
      <c r="J524" s="149" t="str">
        <f>IF(L524=0,"",COUNTA(L$520:$L524)+COUNT($F$520:$F$525))</f>
        <v/>
      </c>
      <c r="K524" s="373">
        <f t="shared" si="57"/>
        <v>0</v>
      </c>
      <c r="L524" s="375">
        <f>NAV!J445</f>
        <v>0</v>
      </c>
      <c r="M524" s="376">
        <f>NAV!N445</f>
        <v>0</v>
      </c>
      <c r="N524" s="376">
        <f>NAV!T445</f>
        <v>0</v>
      </c>
      <c r="O524" s="377">
        <f>IF(N524="장부가액 준용","장부가액 준용",IF(N524="취득원가 준용","취득원가 준용",NAV!R445))</f>
        <v>0</v>
      </c>
      <c r="P524" s="377">
        <f>NAV!W445</f>
        <v>0</v>
      </c>
      <c r="Q524" s="377">
        <f>NAV!S445</f>
        <v>0</v>
      </c>
      <c r="R524" s="737" t="str">
        <f>MID(NAV!U445,FIND("(",NAV!U445)+1,FIND(")", NAV!U445)-FIND("(",NAV!U445)-1)</f>
        <v>KRW</v>
      </c>
    </row>
    <row r="525" spans="1:18" ht="12.75" thickBot="1">
      <c r="A525" s="149">
        <f>A524+1</f>
        <v>2</v>
      </c>
      <c r="B525" s="381" t="str">
        <f t="shared" ref="B525:B540" si="58">IFERROR(IF(F521=A525,VLOOKUP(A525,$F$519:$I$530,2,0),VLOOKUP(A525,$J$519:$Q$530,3,0)&amp;" "&amp;VLOOKUP(A525,$J$519:$Q$530,4,0)),"")</f>
        <v/>
      </c>
      <c r="C525" s="380" t="str">
        <f t="shared" ref="C525:C540" si="59">IFERROR(IF(F521=A525,VLOOKUP(A525,$F$519:$I$530,3,0),VLOOKUP(A525,$J$519:$Q$530,7,0)),"")</f>
        <v/>
      </c>
      <c r="D525" s="380" t="str">
        <f t="shared" ref="D525:D540" si="60">IFERROR(IF(F521=A525,VLOOKUP(A525,$F$519:$I$530,4,0),VLOOKUP(A525,$J$519:$Q$530,8,0)),"")</f>
        <v/>
      </c>
      <c r="F525" s="149" t="str">
        <f>IF(G525=0,"",COUNTA(G$520:$G525))</f>
        <v/>
      </c>
      <c r="G525" s="373">
        <f>IF(NAV!L438="SPC 없음",0,NAV!L438)</f>
        <v>0</v>
      </c>
      <c r="H525" s="374">
        <f>NAV!W438</f>
        <v>0</v>
      </c>
      <c r="I525" s="374" t="str">
        <f>NAV!S438</f>
        <v>SPC 없음</v>
      </c>
      <c r="J525" s="149" t="str">
        <f>IF(L525=0,"",COUNTA(L$520:$L525)+COUNT($F$520:$F$525))</f>
        <v/>
      </c>
      <c r="K525" s="373">
        <f t="shared" si="57"/>
        <v>0</v>
      </c>
      <c r="L525" s="375">
        <f>NAV!J446</f>
        <v>0</v>
      </c>
      <c r="M525" s="376">
        <f>NAV!N446</f>
        <v>0</v>
      </c>
      <c r="N525" s="376">
        <f>NAV!T446</f>
        <v>0</v>
      </c>
      <c r="O525" s="377">
        <f>IF(N525="장부가액 준용","장부가액 준용",IF(N525="취득원가 준용","취득원가 준용",NAV!R446))</f>
        <v>0</v>
      </c>
      <c r="P525" s="377">
        <f>NAV!W446</f>
        <v>0</v>
      </c>
      <c r="Q525" s="377">
        <f>NAV!S446</f>
        <v>0</v>
      </c>
      <c r="R525" s="737" t="str">
        <f>MID(NAV!U446,FIND("(",NAV!U446)+1,FIND(")", NAV!U446)-FIND("(",NAV!U446)-1)</f>
        <v>KRW</v>
      </c>
    </row>
    <row r="526" spans="1:18" ht="12.75" thickBot="1">
      <c r="A526" s="149">
        <f t="shared" ref="A526:A540" si="61">A525+1</f>
        <v>3</v>
      </c>
      <c r="B526" s="381" t="str">
        <f t="shared" si="58"/>
        <v/>
      </c>
      <c r="C526" s="380" t="str">
        <f t="shared" si="59"/>
        <v/>
      </c>
      <c r="D526" s="380" t="str">
        <f t="shared" si="60"/>
        <v/>
      </c>
      <c r="J526" s="149" t="str">
        <f>IF(L526=0,"",COUNTA(L$520:$L526)+COUNT($F$520:$F$525))</f>
        <v/>
      </c>
      <c r="K526" s="373">
        <f t="shared" si="57"/>
        <v>0</v>
      </c>
      <c r="L526" s="375">
        <f>NAV!J447</f>
        <v>0</v>
      </c>
      <c r="M526" s="376">
        <f>NAV!N447</f>
        <v>0</v>
      </c>
      <c r="N526" s="376">
        <f>NAV!T447</f>
        <v>0</v>
      </c>
      <c r="O526" s="377">
        <f>IF(N526="장부가액 준용","장부가액 준용",IF(N526="취득원가 준용","취득원가 준용",NAV!R447))</f>
        <v>0</v>
      </c>
      <c r="P526" s="377">
        <f>NAV!W447</f>
        <v>0</v>
      </c>
      <c r="Q526" s="377">
        <f>NAV!S447</f>
        <v>0</v>
      </c>
      <c r="R526" s="737" t="str">
        <f>MID(NAV!U447,FIND("(",NAV!U447)+1,FIND(")", NAV!U447)-FIND("(",NAV!U447)-1)</f>
        <v>KRW</v>
      </c>
    </row>
    <row r="527" spans="1:18" ht="12.75" thickBot="1">
      <c r="A527" s="149">
        <f t="shared" si="61"/>
        <v>4</v>
      </c>
      <c r="B527" s="381" t="str">
        <f t="shared" si="58"/>
        <v/>
      </c>
      <c r="C527" s="380" t="str">
        <f t="shared" si="59"/>
        <v/>
      </c>
      <c r="D527" s="380" t="str">
        <f t="shared" si="60"/>
        <v/>
      </c>
      <c r="J527" s="149" t="str">
        <f>IF(L527=0,"",COUNTA(L$520:$L527)+COUNT($F$520:$F$525))</f>
        <v/>
      </c>
      <c r="K527" s="373">
        <f t="shared" si="57"/>
        <v>0</v>
      </c>
      <c r="L527" s="375">
        <f>NAV!J448</f>
        <v>0</v>
      </c>
      <c r="M527" s="376">
        <f>NAV!N448</f>
        <v>0</v>
      </c>
      <c r="N527" s="376">
        <f>NAV!T448</f>
        <v>0</v>
      </c>
      <c r="O527" s="377">
        <f>IF(N527="장부가액 준용","장부가액 준용",IF(N527="취득원가 준용","취득원가 준용",NAV!R448))</f>
        <v>0</v>
      </c>
      <c r="P527" s="377">
        <f>NAV!W448</f>
        <v>0</v>
      </c>
      <c r="Q527" s="377">
        <f>NAV!S448</f>
        <v>0</v>
      </c>
      <c r="R527" s="737" t="str">
        <f>MID(NAV!U448,FIND("(",NAV!U448)+1,FIND(")", NAV!U448)-FIND("(",NAV!U448)-1)</f>
        <v>KRW</v>
      </c>
    </row>
    <row r="528" spans="1:18" ht="12.75" thickBot="1">
      <c r="A528" s="149">
        <f t="shared" si="61"/>
        <v>5</v>
      </c>
      <c r="B528" s="381" t="str">
        <f t="shared" si="58"/>
        <v/>
      </c>
      <c r="C528" s="380" t="str">
        <f t="shared" si="59"/>
        <v/>
      </c>
      <c r="D528" s="380" t="str">
        <f t="shared" si="60"/>
        <v/>
      </c>
      <c r="J528" s="149" t="str">
        <f>IF(L528=0,"",COUNTA(L$520:$L528)+COUNT($F$520:$F$525))</f>
        <v/>
      </c>
      <c r="K528" s="373">
        <f t="shared" si="57"/>
        <v>0</v>
      </c>
      <c r="L528" s="375">
        <f>NAV!J449</f>
        <v>0</v>
      </c>
      <c r="M528" s="376">
        <f>NAV!N449</f>
        <v>0</v>
      </c>
      <c r="N528" s="376">
        <f>NAV!T449</f>
        <v>0</v>
      </c>
      <c r="O528" s="377">
        <f>IF(N528="장부가액 준용","장부가액 준용",IF(N528="취득원가 준용","취득원가 준용",NAV!R449))</f>
        <v>0</v>
      </c>
      <c r="P528" s="377">
        <f>NAV!W449</f>
        <v>0</v>
      </c>
      <c r="Q528" s="377">
        <f>NAV!S449</f>
        <v>0</v>
      </c>
      <c r="R528" s="737" t="str">
        <f>MID(NAV!U449,FIND("(",NAV!U449)+1,FIND(")", NAV!U449)-FIND("(",NAV!U449)-1)</f>
        <v>KRW</v>
      </c>
    </row>
    <row r="529" spans="1:18" ht="12.75" thickBot="1">
      <c r="A529" s="149">
        <f t="shared" si="61"/>
        <v>6</v>
      </c>
      <c r="B529" s="381" t="str">
        <f t="shared" si="58"/>
        <v/>
      </c>
      <c r="C529" s="380" t="str">
        <f t="shared" si="59"/>
        <v/>
      </c>
      <c r="D529" s="380" t="str">
        <f t="shared" si="60"/>
        <v/>
      </c>
      <c r="J529" s="149" t="str">
        <f>IF(L529=0,"",COUNTA(L$520:$L529)+COUNT($F$520:$F$525))</f>
        <v/>
      </c>
      <c r="K529" s="373">
        <f t="shared" si="57"/>
        <v>0</v>
      </c>
      <c r="L529" s="375">
        <f>NAV!J450</f>
        <v>0</v>
      </c>
      <c r="M529" s="376">
        <f>NAV!N450</f>
        <v>0</v>
      </c>
      <c r="N529" s="376">
        <f>NAV!T450</f>
        <v>0</v>
      </c>
      <c r="O529" s="377">
        <f>IF(N529="장부가액 준용","장부가액 준용",IF(N529="취득원가 준용","취득원가 준용",NAV!R450))</f>
        <v>0</v>
      </c>
      <c r="P529" s="377">
        <f>NAV!W450</f>
        <v>0</v>
      </c>
      <c r="Q529" s="377">
        <f>NAV!S450</f>
        <v>0</v>
      </c>
      <c r="R529" s="737" t="str">
        <f>MID(NAV!U450,FIND("(",NAV!U450)+1,FIND(")", NAV!U450)-FIND("(",NAV!U450)-1)</f>
        <v>KRW</v>
      </c>
    </row>
    <row r="530" spans="1:18" ht="12.75" thickBot="1">
      <c r="A530" s="149">
        <f t="shared" si="61"/>
        <v>7</v>
      </c>
      <c r="B530" s="381" t="str">
        <f t="shared" si="58"/>
        <v/>
      </c>
      <c r="C530" s="380" t="str">
        <f t="shared" si="59"/>
        <v/>
      </c>
      <c r="D530" s="380" t="str">
        <f t="shared" si="60"/>
        <v/>
      </c>
      <c r="J530" s="149" t="str">
        <f>IF(L530=0,"",COUNTA(L$520:$L530)+COUNT($F$520:$F$525))</f>
        <v/>
      </c>
      <c r="K530" s="373">
        <f t="shared" si="57"/>
        <v>0</v>
      </c>
      <c r="L530" s="375">
        <f>NAV!J451</f>
        <v>0</v>
      </c>
      <c r="M530" s="376">
        <f>NAV!N451</f>
        <v>0</v>
      </c>
      <c r="N530" s="376">
        <f>NAV!T451</f>
        <v>0</v>
      </c>
      <c r="O530" s="377">
        <f>IF(N530="장부가액 준용","장부가액 준용",IF(N530="취득원가 준용","취득원가 준용",NAV!R451))</f>
        <v>0</v>
      </c>
      <c r="P530" s="377">
        <f>NAV!W451</f>
        <v>0</v>
      </c>
      <c r="Q530" s="377">
        <f>NAV!S451</f>
        <v>0</v>
      </c>
      <c r="R530" s="737" t="str">
        <f>MID(NAV!U451,FIND("(",NAV!U451)+1,FIND(")", NAV!U451)-FIND("(",NAV!U451)-1)</f>
        <v>KRW</v>
      </c>
    </row>
    <row r="531" spans="1:18" ht="12.75" hidden="1" customHeight="1" outlineLevel="1" thickBot="1">
      <c r="A531" s="149">
        <f t="shared" si="61"/>
        <v>8</v>
      </c>
      <c r="B531" s="381" t="str">
        <f t="shared" si="58"/>
        <v/>
      </c>
      <c r="C531" s="380" t="str">
        <f t="shared" si="59"/>
        <v/>
      </c>
      <c r="D531" s="380" t="str">
        <f t="shared" si="60"/>
        <v/>
      </c>
    </row>
    <row r="532" spans="1:18" ht="12.75" hidden="1" customHeight="1" outlineLevel="1" thickBot="1">
      <c r="A532" s="149">
        <f t="shared" si="61"/>
        <v>9</v>
      </c>
      <c r="B532" s="381" t="str">
        <f t="shared" si="58"/>
        <v/>
      </c>
      <c r="C532" s="380" t="str">
        <f t="shared" si="59"/>
        <v/>
      </c>
      <c r="D532" s="380" t="str">
        <f t="shared" si="60"/>
        <v/>
      </c>
    </row>
    <row r="533" spans="1:18" ht="12.75" hidden="1" customHeight="1" outlineLevel="1" thickBot="1">
      <c r="A533" s="149">
        <f t="shared" si="61"/>
        <v>10</v>
      </c>
      <c r="B533" s="381" t="str">
        <f t="shared" si="58"/>
        <v/>
      </c>
      <c r="C533" s="380" t="str">
        <f t="shared" si="59"/>
        <v/>
      </c>
      <c r="D533" s="380" t="str">
        <f t="shared" si="60"/>
        <v/>
      </c>
    </row>
    <row r="534" spans="1:18" ht="12.75" hidden="1" customHeight="1" outlineLevel="1" thickBot="1">
      <c r="A534" s="149">
        <f t="shared" si="61"/>
        <v>11</v>
      </c>
      <c r="B534" s="381" t="str">
        <f t="shared" si="58"/>
        <v/>
      </c>
      <c r="C534" s="380" t="str">
        <f t="shared" si="59"/>
        <v/>
      </c>
      <c r="D534" s="380" t="str">
        <f t="shared" si="60"/>
        <v/>
      </c>
    </row>
    <row r="535" spans="1:18" ht="12.75" hidden="1" customHeight="1" outlineLevel="1" thickBot="1">
      <c r="A535" s="149">
        <f t="shared" si="61"/>
        <v>12</v>
      </c>
      <c r="B535" s="381" t="str">
        <f t="shared" si="58"/>
        <v/>
      </c>
      <c r="C535" s="380" t="str">
        <f t="shared" si="59"/>
        <v/>
      </c>
      <c r="D535" s="380" t="str">
        <f t="shared" si="60"/>
        <v/>
      </c>
    </row>
    <row r="536" spans="1:18" ht="12.75" hidden="1" customHeight="1" outlineLevel="1" thickBot="1">
      <c r="A536" s="149">
        <f t="shared" si="61"/>
        <v>13</v>
      </c>
      <c r="B536" s="381" t="str">
        <f t="shared" si="58"/>
        <v/>
      </c>
      <c r="C536" s="380" t="str">
        <f t="shared" si="59"/>
        <v/>
      </c>
      <c r="D536" s="380" t="str">
        <f t="shared" si="60"/>
        <v/>
      </c>
    </row>
    <row r="537" spans="1:18" ht="12.75" hidden="1" customHeight="1" outlineLevel="1" thickBot="1">
      <c r="A537" s="149">
        <f t="shared" si="61"/>
        <v>14</v>
      </c>
      <c r="B537" s="381" t="str">
        <f t="shared" si="58"/>
        <v/>
      </c>
      <c r="C537" s="380" t="str">
        <f t="shared" si="59"/>
        <v/>
      </c>
      <c r="D537" s="380" t="str">
        <f t="shared" si="60"/>
        <v/>
      </c>
    </row>
    <row r="538" spans="1:18" ht="12.75" hidden="1" customHeight="1" outlineLevel="1" thickBot="1">
      <c r="A538" s="149">
        <f t="shared" si="61"/>
        <v>15</v>
      </c>
      <c r="B538" s="381" t="str">
        <f t="shared" si="58"/>
        <v/>
      </c>
      <c r="C538" s="380" t="str">
        <f t="shared" si="59"/>
        <v/>
      </c>
      <c r="D538" s="380" t="str">
        <f t="shared" si="60"/>
        <v/>
      </c>
    </row>
    <row r="539" spans="1:18" ht="12.75" hidden="1" customHeight="1" outlineLevel="1" thickBot="1">
      <c r="A539" s="149">
        <f t="shared" si="61"/>
        <v>16</v>
      </c>
      <c r="B539" s="381" t="str">
        <f t="shared" si="58"/>
        <v/>
      </c>
      <c r="C539" s="380" t="str">
        <f t="shared" si="59"/>
        <v/>
      </c>
      <c r="D539" s="380" t="str">
        <f t="shared" si="60"/>
        <v/>
      </c>
    </row>
    <row r="540" spans="1:18" ht="12.75" hidden="1" customHeight="1" outlineLevel="1" thickBot="1">
      <c r="A540" s="149">
        <f t="shared" si="61"/>
        <v>17</v>
      </c>
      <c r="B540" s="381" t="str">
        <f t="shared" si="58"/>
        <v/>
      </c>
      <c r="C540" s="380" t="str">
        <f t="shared" si="59"/>
        <v/>
      </c>
      <c r="D540" s="380" t="str">
        <f t="shared" si="60"/>
        <v/>
      </c>
    </row>
    <row r="541" spans="1:18" ht="12.75" collapsed="1" thickBot="1">
      <c r="B541" s="382" t="s">
        <v>2</v>
      </c>
      <c r="C541" s="372">
        <f>SUM(C520,C523)</f>
        <v>0</v>
      </c>
      <c r="D541" s="383">
        <f>SUM(D520,D523)</f>
        <v>0</v>
      </c>
    </row>
    <row r="542" spans="1:18" ht="12.75" thickBot="1">
      <c r="B542" s="382" t="s">
        <v>30</v>
      </c>
      <c r="C542" s="819">
        <f>NAV!E446</f>
        <v>0</v>
      </c>
      <c r="D542" s="820"/>
    </row>
    <row r="543" spans="1:18" ht="12.75" thickBot="1">
      <c r="B543" s="382" t="s">
        <v>31</v>
      </c>
      <c r="C543" s="819">
        <f>D541-C542</f>
        <v>0</v>
      </c>
      <c r="D543" s="820"/>
    </row>
    <row r="544" spans="1:18" ht="12.75" thickBot="1">
      <c r="B544" s="382" t="s">
        <v>3482</v>
      </c>
      <c r="C544" s="819">
        <f>NAV!E451</f>
        <v>0</v>
      </c>
      <c r="D544" s="820"/>
      <c r="F544" s="217"/>
    </row>
    <row r="545" spans="1:18" ht="12.75" thickBot="1">
      <c r="B545" s="382" t="s">
        <v>3483</v>
      </c>
      <c r="C545" s="819">
        <f>NAV!E452</f>
        <v>0</v>
      </c>
      <c r="D545" s="820"/>
    </row>
    <row r="546" spans="1:18" ht="12.75" thickBot="1">
      <c r="B546" s="382" t="s">
        <v>744</v>
      </c>
      <c r="C546" s="819">
        <f>NAV!E453</f>
        <v>0</v>
      </c>
      <c r="D546" s="820"/>
    </row>
    <row r="547" spans="1:18" ht="12.75" thickBot="1">
      <c r="B547" s="382" t="str">
        <f>NAV!C454</f>
        <v>보유지분율(%)</v>
      </c>
      <c r="C547" s="823">
        <f>NAV!D454</f>
        <v>0</v>
      </c>
      <c r="D547" s="824"/>
    </row>
    <row r="548" spans="1:18" ht="12.75" thickBot="1">
      <c r="B548" s="382" t="s">
        <v>3484</v>
      </c>
      <c r="C548" s="825">
        <f>NAV!E454</f>
        <v>0</v>
      </c>
      <c r="D548" s="826"/>
    </row>
    <row r="554" spans="1:18">
      <c r="A554" s="149">
        <f>A516+1</f>
        <v>8</v>
      </c>
      <c r="B554" s="399" t="str">
        <f>NAV!B465</f>
        <v>SPC없음</v>
      </c>
      <c r="G554" s="399" t="str">
        <f>B554</f>
        <v>SPC없음</v>
      </c>
    </row>
    <row r="555" spans="1:18">
      <c r="B555" s="399" t="str">
        <f>NAV!C466</f>
        <v>SPC없음</v>
      </c>
      <c r="G555" s="399" t="str">
        <f>B555</f>
        <v>SPC없음</v>
      </c>
    </row>
    <row r="556" spans="1:18" ht="12.75" thickBot="1">
      <c r="B556" s="215" t="s">
        <v>750</v>
      </c>
      <c r="C556" s="216"/>
      <c r="D556" s="216"/>
      <c r="E556" s="216"/>
      <c r="F556" s="216"/>
      <c r="G556" s="215" t="s">
        <v>751</v>
      </c>
      <c r="H556" s="216"/>
      <c r="I556" s="216"/>
      <c r="K556" s="215" t="s">
        <v>752</v>
      </c>
    </row>
    <row r="557" spans="1:18" ht="12.75" thickBot="1">
      <c r="B557" s="366" t="s">
        <v>27</v>
      </c>
      <c r="C557" s="367" t="s">
        <v>28</v>
      </c>
      <c r="D557" s="367" t="s">
        <v>29</v>
      </c>
      <c r="F557" s="368" t="s">
        <v>3461</v>
      </c>
      <c r="G557" s="353" t="str">
        <f>$G$74</f>
        <v>SPC명</v>
      </c>
      <c r="H557" s="369" t="s">
        <v>3200</v>
      </c>
      <c r="I557" s="369" t="s">
        <v>753</v>
      </c>
      <c r="J557" s="368" t="s">
        <v>3461</v>
      </c>
      <c r="K557" s="353" t="s">
        <v>3440</v>
      </c>
      <c r="L557" s="353" t="str">
        <f>$L$74</f>
        <v>투자자산명</v>
      </c>
      <c r="M557" s="358" t="s">
        <v>754</v>
      </c>
      <c r="N557" s="358" t="s">
        <v>47</v>
      </c>
      <c r="O557" s="369" t="s">
        <v>749</v>
      </c>
      <c r="P557" s="400" t="s">
        <v>3460</v>
      </c>
      <c r="Q557" s="370" t="s">
        <v>3463</v>
      </c>
      <c r="R557" s="370" t="s">
        <v>6833</v>
      </c>
    </row>
    <row r="558" spans="1:18" ht="12.75" thickBot="1">
      <c r="B558" s="371" t="s">
        <v>3441</v>
      </c>
      <c r="C558" s="372">
        <f>SUM(C559:C560)</f>
        <v>0</v>
      </c>
      <c r="D558" s="372">
        <f>SUM(D559:D560)</f>
        <v>0</v>
      </c>
      <c r="F558" s="149" t="str">
        <f>IF(G558=0,"",COUNTA(G$558:$G558))</f>
        <v/>
      </c>
      <c r="G558" s="373">
        <f>IF(NAV!L471="SPC 없음",0,NAV!L471)</f>
        <v>0</v>
      </c>
      <c r="H558" s="374">
        <f>NAV!W471</f>
        <v>0</v>
      </c>
      <c r="I558" s="374" t="str">
        <f>NAV!S471</f>
        <v>SPC 없음</v>
      </c>
      <c r="J558" s="149" t="str">
        <f>IF(L558=0,"",COUNTA(L$558:$L558)+COUNT($F$558:$F$563))</f>
        <v/>
      </c>
      <c r="K558" s="373">
        <f>IF($B555="SPC없음",0,$B555)</f>
        <v>0</v>
      </c>
      <c r="L558" s="375">
        <f>NAV!J479</f>
        <v>0</v>
      </c>
      <c r="M558" s="376">
        <f>NAV!N479</f>
        <v>0</v>
      </c>
      <c r="N558" s="376">
        <f>NAV!T479</f>
        <v>0</v>
      </c>
      <c r="O558" s="377">
        <f>IF(N558="장부가액 준용","장부가액 준용",IF(N558="취득원가 준용","취득원가 준용",NAV!R479))</f>
        <v>0</v>
      </c>
      <c r="P558" s="377">
        <f>NAV!W479</f>
        <v>0</v>
      </c>
      <c r="Q558" s="377">
        <f>NAV!S479</f>
        <v>0</v>
      </c>
      <c r="R558" s="737" t="str">
        <f>MID(NAV!U479,FIND("(",NAV!U479)+1,FIND(")", NAV!U479)-FIND("(",NAV!U479)-1)</f>
        <v>KRW</v>
      </c>
    </row>
    <row r="559" spans="1:18" ht="12.75" thickBot="1">
      <c r="B559" s="379" t="s">
        <v>3485</v>
      </c>
      <c r="C559" s="380">
        <f>NAV!D472</f>
        <v>0</v>
      </c>
      <c r="D559" s="380">
        <f>NAV!E472</f>
        <v>0</v>
      </c>
      <c r="F559" s="149" t="str">
        <f>IF(G559=0,"",COUNTA(G$558:$G559))</f>
        <v/>
      </c>
      <c r="G559" s="373">
        <f>IF(NAV!L472="SPC 없음",0,NAV!L472)</f>
        <v>0</v>
      </c>
      <c r="H559" s="374">
        <f>NAV!W472</f>
        <v>0</v>
      </c>
      <c r="I559" s="374" t="str">
        <f>NAV!S472</f>
        <v>SPC 없음</v>
      </c>
      <c r="J559" s="149" t="str">
        <f>IF(L559=0,"",COUNTA(L$558:$L559)+COUNT($F$558:$F$563))</f>
        <v/>
      </c>
      <c r="K559" s="373">
        <f t="shared" ref="K559:K568" si="62">K558</f>
        <v>0</v>
      </c>
      <c r="L559" s="375">
        <f>NAV!J480</f>
        <v>0</v>
      </c>
      <c r="M559" s="376">
        <f>NAV!N480</f>
        <v>0</v>
      </c>
      <c r="N559" s="376">
        <f>NAV!T480</f>
        <v>0</v>
      </c>
      <c r="O559" s="377">
        <f>IF(N559="장부가액 준용","장부가액 준용",IF(N559="취득원가 준용","취득원가 준용",NAV!R480))</f>
        <v>0</v>
      </c>
      <c r="P559" s="377">
        <f>NAV!W480</f>
        <v>0</v>
      </c>
      <c r="Q559" s="377">
        <f>NAV!S480</f>
        <v>0</v>
      </c>
      <c r="R559" s="737" t="str">
        <f>MID(NAV!U480,FIND("(",NAV!U480)+1,FIND(")", NAV!U480)-FIND("(",NAV!U480)-1)</f>
        <v>KRW</v>
      </c>
    </row>
    <row r="560" spans="1:18" ht="12.75" thickBot="1">
      <c r="B560" s="379" t="s">
        <v>156</v>
      </c>
      <c r="C560" s="380">
        <f>NAV!D473</f>
        <v>0</v>
      </c>
      <c r="D560" s="380">
        <f>NAV!E473</f>
        <v>0</v>
      </c>
      <c r="F560" s="149" t="str">
        <f>IF(G560=0,"",COUNTA(G$558:$G560))</f>
        <v/>
      </c>
      <c r="G560" s="373">
        <f>IF(NAV!L473="SPC 없음",0,NAV!L473)</f>
        <v>0</v>
      </c>
      <c r="H560" s="374">
        <f>NAV!W473</f>
        <v>0</v>
      </c>
      <c r="I560" s="374" t="str">
        <f>NAV!S473</f>
        <v>SPC 없음</v>
      </c>
      <c r="J560" s="149" t="str">
        <f>IF(L560=0,"",COUNTA(L$558:$L560)+COUNT($F$558:$F$563))</f>
        <v/>
      </c>
      <c r="K560" s="373">
        <f t="shared" si="62"/>
        <v>0</v>
      </c>
      <c r="L560" s="375">
        <f>NAV!J481</f>
        <v>0</v>
      </c>
      <c r="M560" s="376">
        <f>NAV!N481</f>
        <v>0</v>
      </c>
      <c r="N560" s="376">
        <f>NAV!T481</f>
        <v>0</v>
      </c>
      <c r="O560" s="377">
        <f>IF(N560="장부가액 준용","장부가액 준용",IF(N560="취득원가 준용","취득원가 준용",NAV!R481))</f>
        <v>0</v>
      </c>
      <c r="P560" s="377">
        <f>NAV!W481</f>
        <v>0</v>
      </c>
      <c r="Q560" s="377">
        <f>NAV!S481</f>
        <v>0</v>
      </c>
      <c r="R560" s="737" t="str">
        <f>MID(NAV!U481,FIND("(",NAV!U481)+1,FIND(")", NAV!U481)-FIND("(",NAV!U481)-1)</f>
        <v>KRW</v>
      </c>
    </row>
    <row r="561" spans="1:18" ht="12.75" thickBot="1">
      <c r="B561" s="371" t="s">
        <v>3442</v>
      </c>
      <c r="C561" s="372">
        <f>NAV!D474</f>
        <v>0</v>
      </c>
      <c r="D561" s="372">
        <f>NAV!E474</f>
        <v>0</v>
      </c>
      <c r="F561" s="149" t="str">
        <f>IF(G561=0,"",COUNTA(G$558:$G561))</f>
        <v/>
      </c>
      <c r="G561" s="373">
        <f>IF(NAV!L474="SPC 없음",0,NAV!L474)</f>
        <v>0</v>
      </c>
      <c r="H561" s="374">
        <f>NAV!W474</f>
        <v>0</v>
      </c>
      <c r="I561" s="374" t="str">
        <f>NAV!S474</f>
        <v>SPC 없음</v>
      </c>
      <c r="J561" s="149" t="str">
        <f>IF(L561=0,"",COUNTA(L$558:$L561)+COUNT($F$558:$F$563))</f>
        <v/>
      </c>
      <c r="K561" s="373">
        <f t="shared" si="62"/>
        <v>0</v>
      </c>
      <c r="L561" s="375">
        <f>NAV!J482</f>
        <v>0</v>
      </c>
      <c r="M561" s="376">
        <f>NAV!N482</f>
        <v>0</v>
      </c>
      <c r="N561" s="376">
        <f>NAV!T482</f>
        <v>0</v>
      </c>
      <c r="O561" s="377">
        <f>IF(N561="장부가액 준용","장부가액 준용",IF(N561="취득원가 준용","취득원가 준용",NAV!R482))</f>
        <v>0</v>
      </c>
      <c r="P561" s="377">
        <f>NAV!W482</f>
        <v>0</v>
      </c>
      <c r="Q561" s="377">
        <f>NAV!S482</f>
        <v>0</v>
      </c>
      <c r="R561" s="737" t="str">
        <f>MID(NAV!U482,FIND("(",NAV!U482)+1,FIND(")", NAV!U482)-FIND("(",NAV!U482)-1)</f>
        <v>KRW</v>
      </c>
    </row>
    <row r="562" spans="1:18" ht="12.75" thickBot="1">
      <c r="A562" s="149">
        <v>1</v>
      </c>
      <c r="B562" s="381" t="str">
        <f>IFERROR(IF(F558=A562,VLOOKUP(A562,$F$557:$I$568,2,0),VLOOKUP(A562,$J$557:$Q$568,3,0)&amp;" "&amp;VLOOKUP(A562,$J$557:$Q$568,4,0)),"")</f>
        <v/>
      </c>
      <c r="C562" s="380" t="str">
        <f>IFERROR(IF(F558=A562,VLOOKUP(A562,$F$557:$I$568,3,0),VLOOKUP(A562,$J$557:$Q$568,7,0)),"")</f>
        <v/>
      </c>
      <c r="D562" s="380" t="str">
        <f>IFERROR(IF(F558=A562,VLOOKUP(A562,$F$557:$I$568,4,0),VLOOKUP(A562,$J$557:$Q$568,8,0)),"")</f>
        <v/>
      </c>
      <c r="F562" s="149" t="str">
        <f>IF(G562=0,"",COUNTA(G$558:$G562))</f>
        <v/>
      </c>
      <c r="G562" s="373">
        <f>IF(NAV!L475="SPC 없음",0,NAV!L475)</f>
        <v>0</v>
      </c>
      <c r="H562" s="374">
        <f>NAV!W475</f>
        <v>0</v>
      </c>
      <c r="I562" s="374" t="str">
        <f>NAV!S475</f>
        <v>SPC 없음</v>
      </c>
      <c r="J562" s="149" t="str">
        <f>IF(L562=0,"",COUNTA(L$558:$L562)+COUNT($F$558:$F$563))</f>
        <v/>
      </c>
      <c r="K562" s="373">
        <f t="shared" si="62"/>
        <v>0</v>
      </c>
      <c r="L562" s="375">
        <f>NAV!J483</f>
        <v>0</v>
      </c>
      <c r="M562" s="376">
        <f>NAV!N483</f>
        <v>0</v>
      </c>
      <c r="N562" s="376">
        <f>NAV!T483</f>
        <v>0</v>
      </c>
      <c r="O562" s="377">
        <f>IF(N562="장부가액 준용","장부가액 준용",IF(N562="취득원가 준용","취득원가 준용",NAV!R483))</f>
        <v>0</v>
      </c>
      <c r="P562" s="377">
        <f>NAV!W483</f>
        <v>0</v>
      </c>
      <c r="Q562" s="377">
        <f>NAV!S483</f>
        <v>0</v>
      </c>
      <c r="R562" s="737" t="str">
        <f>MID(NAV!U483,FIND("(",NAV!U483)+1,FIND(")", NAV!U483)-FIND("(",NAV!U483)-1)</f>
        <v>KRW</v>
      </c>
    </row>
    <row r="563" spans="1:18" ht="12.75" thickBot="1">
      <c r="A563" s="149">
        <f>A562+1</f>
        <v>2</v>
      </c>
      <c r="B563" s="381" t="str">
        <f t="shared" ref="B563:B578" si="63">IFERROR(IF(F559=A563,VLOOKUP(A563,$F$557:$I$568,2,0),VLOOKUP(A563,$J$557:$Q$568,3,0)&amp;" "&amp;VLOOKUP(A563,$J$557:$Q$568,4,0)),"")</f>
        <v/>
      </c>
      <c r="C563" s="380" t="str">
        <f t="shared" ref="C563:C578" si="64">IFERROR(IF(F559=A563,VLOOKUP(A563,$F$557:$I$568,3,0),VLOOKUP(A563,$J$557:$Q$568,7,0)),"")</f>
        <v/>
      </c>
      <c r="D563" s="380" t="str">
        <f t="shared" ref="D563:D578" si="65">IFERROR(IF(F559=A563,VLOOKUP(A563,$F$557:$I$568,4,0),VLOOKUP(A563,$J$557:$Q$568,8,0)),"")</f>
        <v/>
      </c>
      <c r="F563" s="149" t="str">
        <f>IF(G563=0,"",COUNTA(G$558:$G563))</f>
        <v/>
      </c>
      <c r="G563" s="373">
        <f>IF(NAV!L476="SPC 없음",0,NAV!L476)</f>
        <v>0</v>
      </c>
      <c r="H563" s="374">
        <f>NAV!W476</f>
        <v>0</v>
      </c>
      <c r="I563" s="374" t="str">
        <f>NAV!S476</f>
        <v>SPC 없음</v>
      </c>
      <c r="J563" s="149" t="str">
        <f>IF(L563=0,"",COUNTA(L$558:$L563)+COUNT($F$558:$F$563))</f>
        <v/>
      </c>
      <c r="K563" s="373">
        <f t="shared" si="62"/>
        <v>0</v>
      </c>
      <c r="L563" s="375">
        <f>NAV!J484</f>
        <v>0</v>
      </c>
      <c r="M563" s="376">
        <f>NAV!N484</f>
        <v>0</v>
      </c>
      <c r="N563" s="376">
        <f>NAV!T484</f>
        <v>0</v>
      </c>
      <c r="O563" s="377">
        <f>IF(N563="장부가액 준용","장부가액 준용",IF(N563="취득원가 준용","취득원가 준용",NAV!R484))</f>
        <v>0</v>
      </c>
      <c r="P563" s="377">
        <f>NAV!W484</f>
        <v>0</v>
      </c>
      <c r="Q563" s="377">
        <f>NAV!S484</f>
        <v>0</v>
      </c>
      <c r="R563" s="737" t="str">
        <f>MID(NAV!U484,FIND("(",NAV!U484)+1,FIND(")", NAV!U484)-FIND("(",NAV!U484)-1)</f>
        <v>KRW</v>
      </c>
    </row>
    <row r="564" spans="1:18" ht="12.75" thickBot="1">
      <c r="A564" s="149">
        <f t="shared" ref="A564:A578" si="66">A563+1</f>
        <v>3</v>
      </c>
      <c r="B564" s="381" t="str">
        <f t="shared" si="63"/>
        <v/>
      </c>
      <c r="C564" s="380" t="str">
        <f t="shared" si="64"/>
        <v/>
      </c>
      <c r="D564" s="380" t="str">
        <f t="shared" si="65"/>
        <v/>
      </c>
      <c r="J564" s="149" t="str">
        <f>IF(L564=0,"",COUNTA(L$558:$L564)+COUNT($F$558:$F$563))</f>
        <v/>
      </c>
      <c r="K564" s="373">
        <f t="shared" si="62"/>
        <v>0</v>
      </c>
      <c r="L564" s="375">
        <f>NAV!J485</f>
        <v>0</v>
      </c>
      <c r="M564" s="376">
        <f>NAV!N485</f>
        <v>0</v>
      </c>
      <c r="N564" s="376">
        <f>NAV!T485</f>
        <v>0</v>
      </c>
      <c r="O564" s="377">
        <f>IF(N564="장부가액 준용","장부가액 준용",IF(N564="취득원가 준용","취득원가 준용",NAV!R485))</f>
        <v>0</v>
      </c>
      <c r="P564" s="377">
        <f>NAV!W485</f>
        <v>0</v>
      </c>
      <c r="Q564" s="377">
        <f>NAV!S485</f>
        <v>0</v>
      </c>
      <c r="R564" s="737" t="str">
        <f>MID(NAV!U485,FIND("(",NAV!U485)+1,FIND(")", NAV!U485)-FIND("(",NAV!U485)-1)</f>
        <v>KRW</v>
      </c>
    </row>
    <row r="565" spans="1:18" ht="12.75" thickBot="1">
      <c r="A565" s="149">
        <f t="shared" si="66"/>
        <v>4</v>
      </c>
      <c r="B565" s="381" t="str">
        <f t="shared" si="63"/>
        <v/>
      </c>
      <c r="C565" s="380" t="str">
        <f t="shared" si="64"/>
        <v/>
      </c>
      <c r="D565" s="380" t="str">
        <f t="shared" si="65"/>
        <v/>
      </c>
      <c r="J565" s="149" t="str">
        <f>IF(L565=0,"",COUNTA(L$558:$L565)+COUNT($F$558:$F$563))</f>
        <v/>
      </c>
      <c r="K565" s="373">
        <f t="shared" si="62"/>
        <v>0</v>
      </c>
      <c r="L565" s="375">
        <f>NAV!J486</f>
        <v>0</v>
      </c>
      <c r="M565" s="376">
        <f>NAV!N486</f>
        <v>0</v>
      </c>
      <c r="N565" s="376">
        <f>NAV!T486</f>
        <v>0</v>
      </c>
      <c r="O565" s="377">
        <f>IF(N565="장부가액 준용","장부가액 준용",IF(N565="취득원가 준용","취득원가 준용",NAV!R486))</f>
        <v>0</v>
      </c>
      <c r="P565" s="377">
        <f>NAV!W486</f>
        <v>0</v>
      </c>
      <c r="Q565" s="377">
        <f>NAV!S486</f>
        <v>0</v>
      </c>
      <c r="R565" s="737" t="str">
        <f>MID(NAV!U486,FIND("(",NAV!U486)+1,FIND(")", NAV!U486)-FIND("(",NAV!U486)-1)</f>
        <v>KRW</v>
      </c>
    </row>
    <row r="566" spans="1:18" ht="12.75" thickBot="1">
      <c r="A566" s="149">
        <f t="shared" si="66"/>
        <v>5</v>
      </c>
      <c r="B566" s="381" t="str">
        <f t="shared" si="63"/>
        <v/>
      </c>
      <c r="C566" s="380" t="str">
        <f t="shared" si="64"/>
        <v/>
      </c>
      <c r="D566" s="380" t="str">
        <f t="shared" si="65"/>
        <v/>
      </c>
      <c r="J566" s="149" t="str">
        <f>IF(L566=0,"",COUNTA(L$558:$L566)+COUNT($F$558:$F$563))</f>
        <v/>
      </c>
      <c r="K566" s="373">
        <f t="shared" si="62"/>
        <v>0</v>
      </c>
      <c r="L566" s="375">
        <f>NAV!J487</f>
        <v>0</v>
      </c>
      <c r="M566" s="376">
        <f>NAV!N487</f>
        <v>0</v>
      </c>
      <c r="N566" s="376">
        <f>NAV!T487</f>
        <v>0</v>
      </c>
      <c r="O566" s="377">
        <f>IF(N566="장부가액 준용","장부가액 준용",IF(N566="취득원가 준용","취득원가 준용",NAV!R487))</f>
        <v>0</v>
      </c>
      <c r="P566" s="377">
        <f>NAV!W487</f>
        <v>0</v>
      </c>
      <c r="Q566" s="377">
        <f>NAV!S487</f>
        <v>0</v>
      </c>
      <c r="R566" s="737" t="str">
        <f>MID(NAV!U487,FIND("(",NAV!U487)+1,FIND(")", NAV!U487)-FIND("(",NAV!U487)-1)</f>
        <v>KRW</v>
      </c>
    </row>
    <row r="567" spans="1:18" ht="12.75" thickBot="1">
      <c r="A567" s="149">
        <f t="shared" si="66"/>
        <v>6</v>
      </c>
      <c r="B567" s="381" t="str">
        <f t="shared" si="63"/>
        <v/>
      </c>
      <c r="C567" s="380" t="str">
        <f t="shared" si="64"/>
        <v/>
      </c>
      <c r="D567" s="380" t="str">
        <f t="shared" si="65"/>
        <v/>
      </c>
      <c r="J567" s="149" t="str">
        <f>IF(L567=0,"",COUNTA(L$558:$L567)+COUNT($F$558:$F$563))</f>
        <v/>
      </c>
      <c r="K567" s="373">
        <f t="shared" si="62"/>
        <v>0</v>
      </c>
      <c r="L567" s="375">
        <f>NAV!J488</f>
        <v>0</v>
      </c>
      <c r="M567" s="376">
        <f>NAV!N488</f>
        <v>0</v>
      </c>
      <c r="N567" s="376">
        <f>NAV!T488</f>
        <v>0</v>
      </c>
      <c r="O567" s="377">
        <f>IF(N567="장부가액 준용","장부가액 준용",IF(N567="취득원가 준용","취득원가 준용",NAV!R488))</f>
        <v>0</v>
      </c>
      <c r="P567" s="377">
        <f>NAV!W488</f>
        <v>0</v>
      </c>
      <c r="Q567" s="377">
        <f>NAV!S488</f>
        <v>0</v>
      </c>
      <c r="R567" s="737" t="str">
        <f>MID(NAV!U488,FIND("(",NAV!U488)+1,FIND(")", NAV!U488)-FIND("(",NAV!U488)-1)</f>
        <v>KRW</v>
      </c>
    </row>
    <row r="568" spans="1:18" ht="12.75" thickBot="1">
      <c r="A568" s="149">
        <f t="shared" si="66"/>
        <v>7</v>
      </c>
      <c r="B568" s="381" t="str">
        <f t="shared" si="63"/>
        <v/>
      </c>
      <c r="C568" s="380" t="str">
        <f t="shared" si="64"/>
        <v/>
      </c>
      <c r="D568" s="380" t="str">
        <f t="shared" si="65"/>
        <v/>
      </c>
      <c r="J568" s="149" t="str">
        <f>IF(L568=0,"",COUNTA(L$558:$L568)+COUNT($F$558:$F$563))</f>
        <v/>
      </c>
      <c r="K568" s="373">
        <f t="shared" si="62"/>
        <v>0</v>
      </c>
      <c r="L568" s="375">
        <f>NAV!J489</f>
        <v>0</v>
      </c>
      <c r="M568" s="376">
        <f>NAV!N489</f>
        <v>0</v>
      </c>
      <c r="N568" s="376">
        <f>NAV!T489</f>
        <v>0</v>
      </c>
      <c r="O568" s="377">
        <f>IF(N568="장부가액 준용","장부가액 준용",IF(N568="취득원가 준용","취득원가 준용",NAV!R489))</f>
        <v>0</v>
      </c>
      <c r="P568" s="377">
        <f>NAV!W489</f>
        <v>0</v>
      </c>
      <c r="Q568" s="377">
        <f>NAV!S489</f>
        <v>0</v>
      </c>
      <c r="R568" s="737" t="str">
        <f>MID(NAV!U489,FIND("(",NAV!U489)+1,FIND(")", NAV!U489)-FIND("(",NAV!U489)-1)</f>
        <v>KRW</v>
      </c>
    </row>
    <row r="569" spans="1:18" ht="12.75" hidden="1" customHeight="1" outlineLevel="1" thickBot="1">
      <c r="A569" s="149">
        <f t="shared" si="66"/>
        <v>8</v>
      </c>
      <c r="B569" s="381" t="str">
        <f t="shared" si="63"/>
        <v/>
      </c>
      <c r="C569" s="380" t="str">
        <f t="shared" si="64"/>
        <v/>
      </c>
      <c r="D569" s="380" t="str">
        <f t="shared" si="65"/>
        <v/>
      </c>
    </row>
    <row r="570" spans="1:18" ht="12.75" hidden="1" customHeight="1" outlineLevel="1" thickBot="1">
      <c r="A570" s="149">
        <f t="shared" si="66"/>
        <v>9</v>
      </c>
      <c r="B570" s="381" t="str">
        <f t="shared" si="63"/>
        <v/>
      </c>
      <c r="C570" s="380" t="str">
        <f t="shared" si="64"/>
        <v/>
      </c>
      <c r="D570" s="380" t="str">
        <f t="shared" si="65"/>
        <v/>
      </c>
    </row>
    <row r="571" spans="1:18" ht="12.75" hidden="1" customHeight="1" outlineLevel="1" thickBot="1">
      <c r="A571" s="149">
        <f t="shared" si="66"/>
        <v>10</v>
      </c>
      <c r="B571" s="381" t="str">
        <f t="shared" si="63"/>
        <v/>
      </c>
      <c r="C571" s="380" t="str">
        <f t="shared" si="64"/>
        <v/>
      </c>
      <c r="D571" s="380" t="str">
        <f t="shared" si="65"/>
        <v/>
      </c>
    </row>
    <row r="572" spans="1:18" ht="12.75" hidden="1" customHeight="1" outlineLevel="1" thickBot="1">
      <c r="A572" s="149">
        <f t="shared" si="66"/>
        <v>11</v>
      </c>
      <c r="B572" s="381" t="str">
        <f t="shared" si="63"/>
        <v/>
      </c>
      <c r="C572" s="380" t="str">
        <f t="shared" si="64"/>
        <v/>
      </c>
      <c r="D572" s="380" t="str">
        <f t="shared" si="65"/>
        <v/>
      </c>
    </row>
    <row r="573" spans="1:18" ht="12.75" hidden="1" customHeight="1" outlineLevel="1" thickBot="1">
      <c r="A573" s="149">
        <f t="shared" si="66"/>
        <v>12</v>
      </c>
      <c r="B573" s="381" t="str">
        <f t="shared" si="63"/>
        <v/>
      </c>
      <c r="C573" s="380" t="str">
        <f t="shared" si="64"/>
        <v/>
      </c>
      <c r="D573" s="380" t="str">
        <f t="shared" si="65"/>
        <v/>
      </c>
    </row>
    <row r="574" spans="1:18" ht="12.75" hidden="1" customHeight="1" outlineLevel="1" thickBot="1">
      <c r="A574" s="149">
        <f t="shared" si="66"/>
        <v>13</v>
      </c>
      <c r="B574" s="381" t="str">
        <f t="shared" si="63"/>
        <v/>
      </c>
      <c r="C574" s="380" t="str">
        <f t="shared" si="64"/>
        <v/>
      </c>
      <c r="D574" s="380" t="str">
        <f t="shared" si="65"/>
        <v/>
      </c>
    </row>
    <row r="575" spans="1:18" ht="12.75" hidden="1" customHeight="1" outlineLevel="1" thickBot="1">
      <c r="A575" s="149">
        <f t="shared" si="66"/>
        <v>14</v>
      </c>
      <c r="B575" s="381" t="str">
        <f t="shared" si="63"/>
        <v/>
      </c>
      <c r="C575" s="380" t="str">
        <f t="shared" si="64"/>
        <v/>
      </c>
      <c r="D575" s="380" t="str">
        <f t="shared" si="65"/>
        <v/>
      </c>
    </row>
    <row r="576" spans="1:18" ht="12.75" hidden="1" customHeight="1" outlineLevel="1" thickBot="1">
      <c r="A576" s="149">
        <f t="shared" si="66"/>
        <v>15</v>
      </c>
      <c r="B576" s="381" t="str">
        <f t="shared" si="63"/>
        <v/>
      </c>
      <c r="C576" s="380" t="str">
        <f t="shared" si="64"/>
        <v/>
      </c>
      <c r="D576" s="380" t="str">
        <f t="shared" si="65"/>
        <v/>
      </c>
    </row>
    <row r="577" spans="1:7" ht="12.75" hidden="1" customHeight="1" outlineLevel="1" thickBot="1">
      <c r="A577" s="149">
        <f t="shared" si="66"/>
        <v>16</v>
      </c>
      <c r="B577" s="381" t="str">
        <f t="shared" si="63"/>
        <v/>
      </c>
      <c r="C577" s="380" t="str">
        <f t="shared" si="64"/>
        <v/>
      </c>
      <c r="D577" s="380" t="str">
        <f t="shared" si="65"/>
        <v/>
      </c>
    </row>
    <row r="578" spans="1:7" ht="12.75" hidden="1" customHeight="1" outlineLevel="1" thickBot="1">
      <c r="A578" s="149">
        <f t="shared" si="66"/>
        <v>17</v>
      </c>
      <c r="B578" s="381" t="str">
        <f t="shared" si="63"/>
        <v/>
      </c>
      <c r="C578" s="380" t="str">
        <f t="shared" si="64"/>
        <v/>
      </c>
      <c r="D578" s="380" t="str">
        <f t="shared" si="65"/>
        <v/>
      </c>
    </row>
    <row r="579" spans="1:7" ht="12.75" collapsed="1" thickBot="1">
      <c r="B579" s="382" t="s">
        <v>2</v>
      </c>
      <c r="C579" s="372">
        <f>SUM(C558,C561)</f>
        <v>0</v>
      </c>
      <c r="D579" s="383">
        <f>SUM(D558,D561)</f>
        <v>0</v>
      </c>
    </row>
    <row r="580" spans="1:7" ht="12.75" thickBot="1">
      <c r="B580" s="382" t="s">
        <v>30</v>
      </c>
      <c r="C580" s="819">
        <f>NAV!E484</f>
        <v>0</v>
      </c>
      <c r="D580" s="820"/>
    </row>
    <row r="581" spans="1:7" ht="12.75" thickBot="1">
      <c r="B581" s="382" t="s">
        <v>31</v>
      </c>
      <c r="C581" s="819">
        <f>D579-C580</f>
        <v>0</v>
      </c>
      <c r="D581" s="820"/>
    </row>
    <row r="582" spans="1:7" ht="12.75" thickBot="1">
      <c r="B582" s="382" t="s">
        <v>3486</v>
      </c>
      <c r="C582" s="819">
        <f>NAV!E489</f>
        <v>0</v>
      </c>
      <c r="D582" s="820"/>
      <c r="F582" s="217"/>
    </row>
    <row r="583" spans="1:7" ht="12.75" thickBot="1">
      <c r="B583" s="382" t="s">
        <v>3487</v>
      </c>
      <c r="C583" s="819">
        <f>NAV!E490</f>
        <v>0</v>
      </c>
      <c r="D583" s="820"/>
    </row>
    <row r="584" spans="1:7" ht="12.75" thickBot="1">
      <c r="B584" s="382" t="s">
        <v>744</v>
      </c>
      <c r="C584" s="819">
        <f>NAV!E491</f>
        <v>0</v>
      </c>
      <c r="D584" s="820"/>
    </row>
    <row r="585" spans="1:7" ht="12.75" thickBot="1">
      <c r="B585" s="382" t="str">
        <f>NAV!C492</f>
        <v>보유지분율(%)</v>
      </c>
      <c r="C585" s="823">
        <f>NAV!D492</f>
        <v>0</v>
      </c>
      <c r="D585" s="824"/>
    </row>
    <row r="586" spans="1:7" ht="12.75" thickBot="1">
      <c r="B586" s="382" t="s">
        <v>3488</v>
      </c>
      <c r="C586" s="825">
        <f>NAV!E492</f>
        <v>0</v>
      </c>
      <c r="D586" s="826"/>
    </row>
    <row r="592" spans="1:7">
      <c r="A592" s="149">
        <f>A554+1</f>
        <v>9</v>
      </c>
      <c r="B592" s="399" t="str">
        <f>NAV!B503</f>
        <v>SPC없음</v>
      </c>
      <c r="G592" s="399" t="str">
        <f>B592</f>
        <v>SPC없음</v>
      </c>
    </row>
    <row r="593" spans="1:18">
      <c r="B593" s="399" t="str">
        <f>NAV!C504</f>
        <v>SPC없음</v>
      </c>
      <c r="G593" s="399" t="str">
        <f>B593</f>
        <v>SPC없음</v>
      </c>
    </row>
    <row r="594" spans="1:18" ht="12.75" thickBot="1">
      <c r="B594" s="215" t="s">
        <v>750</v>
      </c>
      <c r="C594" s="216"/>
      <c r="D594" s="216"/>
      <c r="E594" s="216"/>
      <c r="F594" s="216"/>
      <c r="G594" s="215" t="s">
        <v>751</v>
      </c>
      <c r="H594" s="216"/>
      <c r="I594" s="216"/>
      <c r="K594" s="215" t="s">
        <v>752</v>
      </c>
    </row>
    <row r="595" spans="1:18" ht="12.75" thickBot="1">
      <c r="B595" s="366" t="s">
        <v>27</v>
      </c>
      <c r="C595" s="367" t="s">
        <v>28</v>
      </c>
      <c r="D595" s="367" t="s">
        <v>29</v>
      </c>
      <c r="F595" s="368" t="s">
        <v>3461</v>
      </c>
      <c r="G595" s="353" t="str">
        <f>$G$74</f>
        <v>SPC명</v>
      </c>
      <c r="H595" s="369" t="s">
        <v>3200</v>
      </c>
      <c r="I595" s="369" t="s">
        <v>753</v>
      </c>
      <c r="J595" s="368" t="s">
        <v>3461</v>
      </c>
      <c r="K595" s="353" t="s">
        <v>3440</v>
      </c>
      <c r="L595" s="353" t="str">
        <f>$L$74</f>
        <v>투자자산명</v>
      </c>
      <c r="M595" s="358" t="s">
        <v>754</v>
      </c>
      <c r="N595" s="358" t="s">
        <v>47</v>
      </c>
      <c r="O595" s="369" t="s">
        <v>749</v>
      </c>
      <c r="P595" s="400" t="s">
        <v>3460</v>
      </c>
      <c r="Q595" s="370" t="s">
        <v>3463</v>
      </c>
      <c r="R595" s="370" t="s">
        <v>6833</v>
      </c>
    </row>
    <row r="596" spans="1:18" ht="12.75" thickBot="1">
      <c r="B596" s="371" t="s">
        <v>3441</v>
      </c>
      <c r="C596" s="372">
        <f>SUM(C597:C598)</f>
        <v>0</v>
      </c>
      <c r="D596" s="372">
        <f>SUM(D597:D598)</f>
        <v>0</v>
      </c>
      <c r="F596" s="149" t="str">
        <f>IF(G596=0,"",COUNTA(G$596:$G596))</f>
        <v/>
      </c>
      <c r="G596" s="373">
        <f>IF(NAV!L509="SPC 없음",0,NAV!L509)</f>
        <v>0</v>
      </c>
      <c r="H596" s="374">
        <f>NAV!W509</f>
        <v>0</v>
      </c>
      <c r="I596" s="374" t="str">
        <f>NAV!S509</f>
        <v>SPC 없음</v>
      </c>
      <c r="J596" s="149" t="str">
        <f>IF(L596=0,"",COUNTA(L$596:$L596)+COUNT($F$596:$F$601))</f>
        <v/>
      </c>
      <c r="K596" s="373">
        <f>IF($B593="SPC없음",0,$B593)</f>
        <v>0</v>
      </c>
      <c r="L596" s="375">
        <f>NAV!J517</f>
        <v>0</v>
      </c>
      <c r="M596" s="376">
        <f>NAV!N517</f>
        <v>0</v>
      </c>
      <c r="N596" s="376">
        <f>NAV!T517</f>
        <v>0</v>
      </c>
      <c r="O596" s="377">
        <f>IF(N596="장부가액 준용","장부가액 준용",IF(N596="취득원가 준용","취득원가 준용",NAV!R517))</f>
        <v>0</v>
      </c>
      <c r="P596" s="377">
        <f>NAV!W517</f>
        <v>0</v>
      </c>
      <c r="Q596" s="377">
        <f>NAV!S517</f>
        <v>0</v>
      </c>
      <c r="R596" s="737" t="str">
        <f>MID(NAV!U517,FIND("(",NAV!U517)+1,FIND(")", NAV!U517)-FIND("(",NAV!U517)-1)</f>
        <v>KRW</v>
      </c>
    </row>
    <row r="597" spans="1:18" ht="12.75" thickBot="1">
      <c r="B597" s="379" t="s">
        <v>3443</v>
      </c>
      <c r="C597" s="380">
        <f>NAV!D510</f>
        <v>0</v>
      </c>
      <c r="D597" s="380">
        <f>NAV!E510</f>
        <v>0</v>
      </c>
      <c r="F597" s="149" t="str">
        <f>IF(G597=0,"",COUNTA(G$596:$G597))</f>
        <v/>
      </c>
      <c r="G597" s="373">
        <f>IF(NAV!L510="SPC 없음",0,NAV!L510)</f>
        <v>0</v>
      </c>
      <c r="H597" s="374">
        <f>NAV!W510</f>
        <v>0</v>
      </c>
      <c r="I597" s="374" t="str">
        <f>NAV!S510</f>
        <v>SPC 없음</v>
      </c>
      <c r="J597" s="149" t="str">
        <f>IF(L597=0,"",COUNTA(L$596:$L597)+COUNT($F$596:$F$601))</f>
        <v/>
      </c>
      <c r="K597" s="373">
        <f t="shared" ref="K597:K606" si="67">K596</f>
        <v>0</v>
      </c>
      <c r="L597" s="375">
        <f>NAV!J518</f>
        <v>0</v>
      </c>
      <c r="M597" s="376">
        <f>NAV!N518</f>
        <v>0</v>
      </c>
      <c r="N597" s="376">
        <f>NAV!T518</f>
        <v>0</v>
      </c>
      <c r="O597" s="377">
        <f>IF(N597="장부가액 준용","장부가액 준용",IF(N597="취득원가 준용","취득원가 준용",NAV!R518))</f>
        <v>0</v>
      </c>
      <c r="P597" s="377">
        <f>NAV!W518</f>
        <v>0</v>
      </c>
      <c r="Q597" s="377">
        <f>NAV!S518</f>
        <v>0</v>
      </c>
      <c r="R597" s="737" t="str">
        <f>MID(NAV!U518,FIND("(",NAV!U518)+1,FIND(")", NAV!U518)-FIND("(",NAV!U518)-1)</f>
        <v>KRW</v>
      </c>
    </row>
    <row r="598" spans="1:18" ht="12.75" thickBot="1">
      <c r="B598" s="379" t="s">
        <v>156</v>
      </c>
      <c r="C598" s="380">
        <f>NAV!D511</f>
        <v>0</v>
      </c>
      <c r="D598" s="380">
        <f>NAV!E511</f>
        <v>0</v>
      </c>
      <c r="F598" s="149" t="str">
        <f>IF(G598=0,"",COUNTA(G$596:$G598))</f>
        <v/>
      </c>
      <c r="G598" s="373">
        <f>IF(NAV!L511="SPC 없음",0,NAV!L511)</f>
        <v>0</v>
      </c>
      <c r="H598" s="374">
        <f>NAV!W511</f>
        <v>0</v>
      </c>
      <c r="I598" s="374" t="str">
        <f>NAV!S511</f>
        <v>SPC 없음</v>
      </c>
      <c r="J598" s="149" t="str">
        <f>IF(L598=0,"",COUNTA(L$596:$L598)+COUNT($F$596:$F$601))</f>
        <v/>
      </c>
      <c r="K598" s="373">
        <f t="shared" si="67"/>
        <v>0</v>
      </c>
      <c r="L598" s="375">
        <f>NAV!J519</f>
        <v>0</v>
      </c>
      <c r="M598" s="376">
        <f>NAV!N519</f>
        <v>0</v>
      </c>
      <c r="N598" s="376">
        <f>NAV!T519</f>
        <v>0</v>
      </c>
      <c r="O598" s="377">
        <f>IF(N598="장부가액 준용","장부가액 준용",IF(N598="취득원가 준용","취득원가 준용",NAV!R519))</f>
        <v>0</v>
      </c>
      <c r="P598" s="377">
        <f>NAV!W519</f>
        <v>0</v>
      </c>
      <c r="Q598" s="377">
        <f>NAV!S519</f>
        <v>0</v>
      </c>
      <c r="R598" s="737" t="str">
        <f>MID(NAV!U519,FIND("(",NAV!U519)+1,FIND(")", NAV!U519)-FIND("(",NAV!U519)-1)</f>
        <v>KRW</v>
      </c>
    </row>
    <row r="599" spans="1:18" ht="12.75" thickBot="1">
      <c r="B599" s="371" t="s">
        <v>3442</v>
      </c>
      <c r="C599" s="372">
        <f>NAV!D512</f>
        <v>0</v>
      </c>
      <c r="D599" s="372">
        <f>NAV!E512</f>
        <v>0</v>
      </c>
      <c r="F599" s="149" t="str">
        <f>IF(G599=0,"",COUNTA(G$596:$G599))</f>
        <v/>
      </c>
      <c r="G599" s="373">
        <f>IF(NAV!L512="SPC 없음",0,NAV!L512)</f>
        <v>0</v>
      </c>
      <c r="H599" s="374">
        <f>NAV!W512</f>
        <v>0</v>
      </c>
      <c r="I599" s="374" t="str">
        <f>NAV!S512</f>
        <v>SPC 없음</v>
      </c>
      <c r="J599" s="149" t="str">
        <f>IF(L599=0,"",COUNTA(L$596:$L599)+COUNT($F$596:$F$601))</f>
        <v/>
      </c>
      <c r="K599" s="373">
        <f t="shared" si="67"/>
        <v>0</v>
      </c>
      <c r="L599" s="375">
        <f>NAV!J520</f>
        <v>0</v>
      </c>
      <c r="M599" s="376">
        <f>NAV!N520</f>
        <v>0</v>
      </c>
      <c r="N599" s="376">
        <f>NAV!T520</f>
        <v>0</v>
      </c>
      <c r="O599" s="377">
        <f>IF(N599="장부가액 준용","장부가액 준용",IF(N599="취득원가 준용","취득원가 준용",NAV!R520))</f>
        <v>0</v>
      </c>
      <c r="P599" s="377">
        <f>NAV!W520</f>
        <v>0</v>
      </c>
      <c r="Q599" s="377">
        <f>NAV!S520</f>
        <v>0</v>
      </c>
      <c r="R599" s="737" t="str">
        <f>MID(NAV!U520,FIND("(",NAV!U520)+1,FIND(")", NAV!U520)-FIND("(",NAV!U520)-1)</f>
        <v>KRW</v>
      </c>
    </row>
    <row r="600" spans="1:18" ht="12.75" thickBot="1">
      <c r="A600" s="149">
        <v>1</v>
      </c>
      <c r="B600" s="381" t="str">
        <f>IFERROR(IF(F596=A600,VLOOKUP(A600,$F$595:$I$606,2,0),VLOOKUP(A600,$J$595:$Q$606,3,0)&amp;" "&amp;VLOOKUP(A600,$J$595:$Q$606,4,0)),"")</f>
        <v/>
      </c>
      <c r="C600" s="380" t="str">
        <f>IFERROR(IF(F596=A600,VLOOKUP(A600,$F$595:$I$606,3,0),VLOOKUP(A600,$J$595:$Q$606,7,0)),"")</f>
        <v/>
      </c>
      <c r="D600" s="380" t="str">
        <f>IFERROR(IF(F596=A600,VLOOKUP(A600,$F$595:$I$606,4,0),VLOOKUP(A600,$J$595:$Q$606,8,0)),"")</f>
        <v/>
      </c>
      <c r="F600" s="149" t="str">
        <f>IF(G600=0,"",COUNTA(G$596:$G600))</f>
        <v/>
      </c>
      <c r="G600" s="373">
        <f>IF(NAV!L513="SPC 없음",0,NAV!L513)</f>
        <v>0</v>
      </c>
      <c r="H600" s="374">
        <f>NAV!W513</f>
        <v>0</v>
      </c>
      <c r="I600" s="374" t="str">
        <f>NAV!S513</f>
        <v>SPC 없음</v>
      </c>
      <c r="J600" s="149" t="str">
        <f>IF(L600=0,"",COUNTA(L$596:$L600)+COUNT($F$596:$F$601))</f>
        <v/>
      </c>
      <c r="K600" s="373">
        <f t="shared" si="67"/>
        <v>0</v>
      </c>
      <c r="L600" s="375">
        <f>NAV!J521</f>
        <v>0</v>
      </c>
      <c r="M600" s="376">
        <f>NAV!N521</f>
        <v>0</v>
      </c>
      <c r="N600" s="376">
        <f>NAV!T521</f>
        <v>0</v>
      </c>
      <c r="O600" s="377">
        <f>IF(N600="장부가액 준용","장부가액 준용",IF(N600="취득원가 준용","취득원가 준용",NAV!R521))</f>
        <v>0</v>
      </c>
      <c r="P600" s="377">
        <f>NAV!W521</f>
        <v>0</v>
      </c>
      <c r="Q600" s="377">
        <f>NAV!S521</f>
        <v>0</v>
      </c>
      <c r="R600" s="737" t="str">
        <f>MID(NAV!U521,FIND("(",NAV!U521)+1,FIND(")", NAV!U521)-FIND("(",NAV!U521)-1)</f>
        <v>KRW</v>
      </c>
    </row>
    <row r="601" spans="1:18" ht="12.75" thickBot="1">
      <c r="A601" s="149">
        <f>A600+1</f>
        <v>2</v>
      </c>
      <c r="B601" s="381" t="str">
        <f t="shared" ref="B601:B616" si="68">IFERROR(IF(F597=A601,VLOOKUP(A601,$F$595:$I$606,2,0),VLOOKUP(A601,$J$595:$Q$606,3,0)&amp;" "&amp;VLOOKUP(A601,$J$595:$Q$606,4,0)),"")</f>
        <v/>
      </c>
      <c r="C601" s="380" t="str">
        <f t="shared" ref="C601:C616" si="69">IFERROR(IF(F597=A601,VLOOKUP(A601,$F$595:$I$606,3,0),VLOOKUP(A601,$J$595:$Q$606,7,0)),"")</f>
        <v/>
      </c>
      <c r="D601" s="380" t="str">
        <f t="shared" ref="D601:D616" si="70">IFERROR(IF(F597=A601,VLOOKUP(A601,$F$595:$I$606,4,0),VLOOKUP(A601,$J$595:$Q$606,8,0)),"")</f>
        <v/>
      </c>
      <c r="F601" s="149" t="str">
        <f>IF(G601=0,"",COUNTA(G$596:$G601))</f>
        <v/>
      </c>
      <c r="G601" s="373">
        <f>IF(NAV!L514="SPC 없음",0,NAV!L514)</f>
        <v>0</v>
      </c>
      <c r="H601" s="374">
        <f>NAV!W514</f>
        <v>0</v>
      </c>
      <c r="I601" s="374" t="str">
        <f>NAV!S514</f>
        <v>SPC 없음</v>
      </c>
      <c r="J601" s="149" t="str">
        <f>IF(L601=0,"",COUNTA(L$596:$L601)+COUNT($F$596:$F$601))</f>
        <v/>
      </c>
      <c r="K601" s="373">
        <f t="shared" si="67"/>
        <v>0</v>
      </c>
      <c r="L601" s="375">
        <f>NAV!J522</f>
        <v>0</v>
      </c>
      <c r="M601" s="376">
        <f>NAV!N522</f>
        <v>0</v>
      </c>
      <c r="N601" s="376">
        <f>NAV!T522</f>
        <v>0</v>
      </c>
      <c r="O601" s="377">
        <f>IF(N601="장부가액 준용","장부가액 준용",IF(N601="취득원가 준용","취득원가 준용",NAV!R522))</f>
        <v>0</v>
      </c>
      <c r="P601" s="377">
        <f>NAV!W522</f>
        <v>0</v>
      </c>
      <c r="Q601" s="377">
        <f>NAV!S522</f>
        <v>0</v>
      </c>
      <c r="R601" s="737" t="str">
        <f>MID(NAV!U522,FIND("(",NAV!U522)+1,FIND(")", NAV!U522)-FIND("(",NAV!U522)-1)</f>
        <v>KRW</v>
      </c>
    </row>
    <row r="602" spans="1:18" ht="12.75" thickBot="1">
      <c r="A602" s="149">
        <f t="shared" ref="A602:A616" si="71">A601+1</f>
        <v>3</v>
      </c>
      <c r="B602" s="381" t="str">
        <f t="shared" si="68"/>
        <v/>
      </c>
      <c r="C602" s="380" t="str">
        <f t="shared" si="69"/>
        <v/>
      </c>
      <c r="D602" s="380" t="str">
        <f t="shared" si="70"/>
        <v/>
      </c>
      <c r="J602" s="149" t="str">
        <f>IF(L602=0,"",COUNTA(L$596:$L602)+COUNT($F$596:$F$601))</f>
        <v/>
      </c>
      <c r="K602" s="373">
        <f t="shared" si="67"/>
        <v>0</v>
      </c>
      <c r="L602" s="375">
        <f>NAV!J523</f>
        <v>0</v>
      </c>
      <c r="M602" s="376">
        <f>NAV!N523</f>
        <v>0</v>
      </c>
      <c r="N602" s="376">
        <f>NAV!T523</f>
        <v>0</v>
      </c>
      <c r="O602" s="377">
        <f>IF(N602="장부가액 준용","장부가액 준용",IF(N602="취득원가 준용","취득원가 준용",NAV!R523))</f>
        <v>0</v>
      </c>
      <c r="P602" s="377">
        <f>NAV!W523</f>
        <v>0</v>
      </c>
      <c r="Q602" s="377">
        <f>NAV!S523</f>
        <v>0</v>
      </c>
      <c r="R602" s="737" t="str">
        <f>MID(NAV!U523,FIND("(",NAV!U523)+1,FIND(")", NAV!U523)-FIND("(",NAV!U523)-1)</f>
        <v>KRW</v>
      </c>
    </row>
    <row r="603" spans="1:18" ht="12.75" thickBot="1">
      <c r="A603" s="149">
        <f t="shared" si="71"/>
        <v>4</v>
      </c>
      <c r="B603" s="381" t="str">
        <f t="shared" si="68"/>
        <v/>
      </c>
      <c r="C603" s="380" t="str">
        <f t="shared" si="69"/>
        <v/>
      </c>
      <c r="D603" s="380" t="str">
        <f t="shared" si="70"/>
        <v/>
      </c>
      <c r="J603" s="149" t="str">
        <f>IF(L603=0,"",COUNTA(L$596:$L603)+COUNT($F$596:$F$601))</f>
        <v/>
      </c>
      <c r="K603" s="373">
        <f t="shared" si="67"/>
        <v>0</v>
      </c>
      <c r="L603" s="375">
        <f>NAV!J524</f>
        <v>0</v>
      </c>
      <c r="M603" s="376">
        <f>NAV!N524</f>
        <v>0</v>
      </c>
      <c r="N603" s="376">
        <f>NAV!T524</f>
        <v>0</v>
      </c>
      <c r="O603" s="377">
        <f>IF(N603="장부가액 준용","장부가액 준용",IF(N603="취득원가 준용","취득원가 준용",NAV!R524))</f>
        <v>0</v>
      </c>
      <c r="P603" s="377">
        <f>NAV!W524</f>
        <v>0</v>
      </c>
      <c r="Q603" s="377">
        <f>NAV!S524</f>
        <v>0</v>
      </c>
      <c r="R603" s="737" t="str">
        <f>MID(NAV!U524,FIND("(",NAV!U524)+1,FIND(")", NAV!U524)-FIND("(",NAV!U524)-1)</f>
        <v>KRW</v>
      </c>
    </row>
    <row r="604" spans="1:18" ht="12.75" thickBot="1">
      <c r="A604" s="149">
        <f t="shared" si="71"/>
        <v>5</v>
      </c>
      <c r="B604" s="381" t="str">
        <f t="shared" si="68"/>
        <v/>
      </c>
      <c r="C604" s="380" t="str">
        <f t="shared" si="69"/>
        <v/>
      </c>
      <c r="D604" s="380" t="str">
        <f t="shared" si="70"/>
        <v/>
      </c>
      <c r="J604" s="149" t="str">
        <f>IF(L604=0,"",COUNTA(L$596:$L604)+COUNT($F$596:$F$601))</f>
        <v/>
      </c>
      <c r="K604" s="373">
        <f t="shared" si="67"/>
        <v>0</v>
      </c>
      <c r="L604" s="375">
        <f>NAV!J525</f>
        <v>0</v>
      </c>
      <c r="M604" s="376">
        <f>NAV!N525</f>
        <v>0</v>
      </c>
      <c r="N604" s="376">
        <f>NAV!T525</f>
        <v>0</v>
      </c>
      <c r="O604" s="377">
        <f>IF(N604="장부가액 준용","장부가액 준용",IF(N604="취득원가 준용","취득원가 준용",NAV!R525))</f>
        <v>0</v>
      </c>
      <c r="P604" s="377">
        <f>NAV!W525</f>
        <v>0</v>
      </c>
      <c r="Q604" s="377">
        <f>NAV!S525</f>
        <v>0</v>
      </c>
      <c r="R604" s="737" t="str">
        <f>MID(NAV!U525,FIND("(",NAV!U525)+1,FIND(")", NAV!U525)-FIND("(",NAV!U525)-1)</f>
        <v>KRW</v>
      </c>
    </row>
    <row r="605" spans="1:18" ht="12.75" thickBot="1">
      <c r="A605" s="149">
        <f t="shared" si="71"/>
        <v>6</v>
      </c>
      <c r="B605" s="381" t="str">
        <f t="shared" si="68"/>
        <v/>
      </c>
      <c r="C605" s="380" t="str">
        <f t="shared" si="69"/>
        <v/>
      </c>
      <c r="D605" s="380" t="str">
        <f t="shared" si="70"/>
        <v/>
      </c>
      <c r="J605" s="149" t="str">
        <f>IF(L605=0,"",COUNTA(L$596:$L605)+COUNT($F$596:$F$601))</f>
        <v/>
      </c>
      <c r="K605" s="373">
        <f t="shared" si="67"/>
        <v>0</v>
      </c>
      <c r="L605" s="375">
        <f>NAV!J526</f>
        <v>0</v>
      </c>
      <c r="M605" s="376">
        <f>NAV!N526</f>
        <v>0</v>
      </c>
      <c r="N605" s="376">
        <f>NAV!T526</f>
        <v>0</v>
      </c>
      <c r="O605" s="377">
        <f>IF(N605="장부가액 준용","장부가액 준용",IF(N605="취득원가 준용","취득원가 준용",NAV!R526))</f>
        <v>0</v>
      </c>
      <c r="P605" s="377">
        <f>NAV!W526</f>
        <v>0</v>
      </c>
      <c r="Q605" s="377">
        <f>NAV!S526</f>
        <v>0</v>
      </c>
      <c r="R605" s="737" t="str">
        <f>MID(NAV!U526,FIND("(",NAV!U526)+1,FIND(")", NAV!U526)-FIND("(",NAV!U526)-1)</f>
        <v>KRW</v>
      </c>
    </row>
    <row r="606" spans="1:18" ht="12.75" thickBot="1">
      <c r="A606" s="149">
        <f t="shared" si="71"/>
        <v>7</v>
      </c>
      <c r="B606" s="381" t="str">
        <f t="shared" si="68"/>
        <v/>
      </c>
      <c r="C606" s="380" t="str">
        <f t="shared" si="69"/>
        <v/>
      </c>
      <c r="D606" s="380" t="str">
        <f t="shared" si="70"/>
        <v/>
      </c>
      <c r="J606" s="149" t="str">
        <f>IF(L606=0,"",COUNTA(L$596:$L606)+COUNT($F$596:$F$601))</f>
        <v/>
      </c>
      <c r="K606" s="373">
        <f t="shared" si="67"/>
        <v>0</v>
      </c>
      <c r="L606" s="375">
        <f>NAV!J527</f>
        <v>0</v>
      </c>
      <c r="M606" s="376">
        <f>NAV!N527</f>
        <v>0</v>
      </c>
      <c r="N606" s="376">
        <f>NAV!T527</f>
        <v>0</v>
      </c>
      <c r="O606" s="377">
        <f>IF(N606="장부가액 준용","장부가액 준용",IF(N606="취득원가 준용","취득원가 준용",NAV!R527))</f>
        <v>0</v>
      </c>
      <c r="P606" s="377">
        <f>NAV!W527</f>
        <v>0</v>
      </c>
      <c r="Q606" s="377">
        <f>NAV!S527</f>
        <v>0</v>
      </c>
      <c r="R606" s="737" t="str">
        <f>MID(NAV!U527,FIND("(",NAV!U527)+1,FIND(")", NAV!U527)-FIND("(",NAV!U527)-1)</f>
        <v>KRW</v>
      </c>
    </row>
    <row r="607" spans="1:18" ht="12.75" hidden="1" customHeight="1" outlineLevel="1" thickBot="1">
      <c r="A607" s="149">
        <f t="shared" si="71"/>
        <v>8</v>
      </c>
      <c r="B607" s="381" t="str">
        <f t="shared" si="68"/>
        <v/>
      </c>
      <c r="C607" s="380" t="str">
        <f t="shared" si="69"/>
        <v/>
      </c>
      <c r="D607" s="380" t="str">
        <f t="shared" si="70"/>
        <v/>
      </c>
    </row>
    <row r="608" spans="1:18" ht="12.75" hidden="1" customHeight="1" outlineLevel="1" thickBot="1">
      <c r="A608" s="149">
        <f t="shared" si="71"/>
        <v>9</v>
      </c>
      <c r="B608" s="381" t="str">
        <f t="shared" si="68"/>
        <v/>
      </c>
      <c r="C608" s="380" t="str">
        <f t="shared" si="69"/>
        <v/>
      </c>
      <c r="D608" s="380" t="str">
        <f t="shared" si="70"/>
        <v/>
      </c>
    </row>
    <row r="609" spans="1:6" ht="12.75" hidden="1" customHeight="1" outlineLevel="1" thickBot="1">
      <c r="A609" s="149">
        <f t="shared" si="71"/>
        <v>10</v>
      </c>
      <c r="B609" s="381" t="str">
        <f t="shared" si="68"/>
        <v/>
      </c>
      <c r="C609" s="380" t="str">
        <f t="shared" si="69"/>
        <v/>
      </c>
      <c r="D609" s="380" t="str">
        <f t="shared" si="70"/>
        <v/>
      </c>
    </row>
    <row r="610" spans="1:6" ht="12.75" hidden="1" customHeight="1" outlineLevel="1" thickBot="1">
      <c r="A610" s="149">
        <f t="shared" si="71"/>
        <v>11</v>
      </c>
      <c r="B610" s="381" t="str">
        <f t="shared" si="68"/>
        <v/>
      </c>
      <c r="C610" s="380" t="str">
        <f t="shared" si="69"/>
        <v/>
      </c>
      <c r="D610" s="380" t="str">
        <f t="shared" si="70"/>
        <v/>
      </c>
    </row>
    <row r="611" spans="1:6" ht="12.75" hidden="1" customHeight="1" outlineLevel="1" thickBot="1">
      <c r="A611" s="149">
        <f t="shared" si="71"/>
        <v>12</v>
      </c>
      <c r="B611" s="381" t="str">
        <f t="shared" si="68"/>
        <v/>
      </c>
      <c r="C611" s="380" t="str">
        <f t="shared" si="69"/>
        <v/>
      </c>
      <c r="D611" s="380" t="str">
        <f t="shared" si="70"/>
        <v/>
      </c>
    </row>
    <row r="612" spans="1:6" ht="12.75" hidden="1" customHeight="1" outlineLevel="1" thickBot="1">
      <c r="A612" s="149">
        <f t="shared" si="71"/>
        <v>13</v>
      </c>
      <c r="B612" s="381" t="str">
        <f t="shared" si="68"/>
        <v/>
      </c>
      <c r="C612" s="380" t="str">
        <f t="shared" si="69"/>
        <v/>
      </c>
      <c r="D612" s="380" t="str">
        <f t="shared" si="70"/>
        <v/>
      </c>
    </row>
    <row r="613" spans="1:6" ht="12.75" hidden="1" customHeight="1" outlineLevel="1" thickBot="1">
      <c r="A613" s="149">
        <f t="shared" si="71"/>
        <v>14</v>
      </c>
      <c r="B613" s="381" t="str">
        <f t="shared" si="68"/>
        <v/>
      </c>
      <c r="C613" s="380" t="str">
        <f t="shared" si="69"/>
        <v/>
      </c>
      <c r="D613" s="380" t="str">
        <f t="shared" si="70"/>
        <v/>
      </c>
    </row>
    <row r="614" spans="1:6" ht="12.75" hidden="1" customHeight="1" outlineLevel="1" thickBot="1">
      <c r="A614" s="149">
        <f t="shared" si="71"/>
        <v>15</v>
      </c>
      <c r="B614" s="381" t="str">
        <f t="shared" si="68"/>
        <v/>
      </c>
      <c r="C614" s="380" t="str">
        <f t="shared" si="69"/>
        <v/>
      </c>
      <c r="D614" s="380" t="str">
        <f t="shared" si="70"/>
        <v/>
      </c>
    </row>
    <row r="615" spans="1:6" ht="12.75" hidden="1" customHeight="1" outlineLevel="1" thickBot="1">
      <c r="A615" s="149">
        <f t="shared" si="71"/>
        <v>16</v>
      </c>
      <c r="B615" s="381" t="str">
        <f t="shared" si="68"/>
        <v/>
      </c>
      <c r="C615" s="380" t="str">
        <f t="shared" si="69"/>
        <v/>
      </c>
      <c r="D615" s="380" t="str">
        <f t="shared" si="70"/>
        <v/>
      </c>
    </row>
    <row r="616" spans="1:6" ht="12.75" hidden="1" customHeight="1" outlineLevel="1" thickBot="1">
      <c r="A616" s="149">
        <f t="shared" si="71"/>
        <v>17</v>
      </c>
      <c r="B616" s="381" t="str">
        <f t="shared" si="68"/>
        <v/>
      </c>
      <c r="C616" s="380" t="str">
        <f t="shared" si="69"/>
        <v/>
      </c>
      <c r="D616" s="380" t="str">
        <f t="shared" si="70"/>
        <v/>
      </c>
    </row>
    <row r="617" spans="1:6" ht="12.75" collapsed="1" thickBot="1">
      <c r="B617" s="382" t="s">
        <v>2</v>
      </c>
      <c r="C617" s="372">
        <f>SUM(C596,C599)</f>
        <v>0</v>
      </c>
      <c r="D617" s="383">
        <f>SUM(D596,D599)</f>
        <v>0</v>
      </c>
    </row>
    <row r="618" spans="1:6" ht="12.75" thickBot="1">
      <c r="B618" s="382" t="s">
        <v>30</v>
      </c>
      <c r="C618" s="819">
        <f>NAV!E522</f>
        <v>0</v>
      </c>
      <c r="D618" s="820"/>
    </row>
    <row r="619" spans="1:6" ht="12.75" thickBot="1">
      <c r="B619" s="382" t="s">
        <v>31</v>
      </c>
      <c r="C619" s="819">
        <f>D617-C618</f>
        <v>0</v>
      </c>
      <c r="D619" s="820"/>
    </row>
    <row r="620" spans="1:6" ht="12.75" thickBot="1">
      <c r="B620" s="382" t="s">
        <v>745</v>
      </c>
      <c r="C620" s="819">
        <f>NAV!E527</f>
        <v>0</v>
      </c>
      <c r="D620" s="820"/>
      <c r="F620" s="217"/>
    </row>
    <row r="621" spans="1:6" ht="12.75" thickBot="1">
      <c r="B621" s="382" t="s">
        <v>965</v>
      </c>
      <c r="C621" s="819">
        <f>NAV!E528</f>
        <v>0</v>
      </c>
      <c r="D621" s="820"/>
    </row>
    <row r="622" spans="1:6" ht="12.75" thickBot="1">
      <c r="B622" s="382" t="s">
        <v>744</v>
      </c>
      <c r="C622" s="819">
        <f>NAV!E529</f>
        <v>0</v>
      </c>
      <c r="D622" s="820"/>
    </row>
    <row r="623" spans="1:6" ht="12.75" thickBot="1">
      <c r="B623" s="382" t="str">
        <f>NAV!C530</f>
        <v>보유지분율(%)</v>
      </c>
      <c r="C623" s="823">
        <f>NAV!D530</f>
        <v>0</v>
      </c>
      <c r="D623" s="824"/>
    </row>
    <row r="624" spans="1:6" ht="12.75" thickBot="1">
      <c r="B624" s="382" t="s">
        <v>746</v>
      </c>
      <c r="C624" s="825">
        <f>NAV!E530</f>
        <v>0</v>
      </c>
      <c r="D624" s="826"/>
    </row>
    <row r="630" spans="1:18">
      <c r="A630" s="149">
        <f>A592+1</f>
        <v>10</v>
      </c>
      <c r="B630" s="399" t="str">
        <f>NAV!B541</f>
        <v>SPC없음</v>
      </c>
      <c r="G630" s="399" t="str">
        <f>B630</f>
        <v>SPC없음</v>
      </c>
    </row>
    <row r="631" spans="1:18">
      <c r="B631" s="399" t="str">
        <f>NAV!C542</f>
        <v>SPC없음</v>
      </c>
      <c r="G631" s="399" t="str">
        <f>B631</f>
        <v>SPC없음</v>
      </c>
    </row>
    <row r="632" spans="1:18" ht="12.75" thickBot="1">
      <c r="B632" s="215" t="s">
        <v>750</v>
      </c>
      <c r="C632" s="216"/>
      <c r="D632" s="216"/>
      <c r="E632" s="216"/>
      <c r="F632" s="216"/>
      <c r="G632" s="215" t="s">
        <v>751</v>
      </c>
      <c r="H632" s="216"/>
      <c r="I632" s="216"/>
      <c r="K632" s="215" t="s">
        <v>752</v>
      </c>
    </row>
    <row r="633" spans="1:18" ht="12.75" thickBot="1">
      <c r="B633" s="366" t="s">
        <v>27</v>
      </c>
      <c r="C633" s="367" t="s">
        <v>28</v>
      </c>
      <c r="D633" s="367" t="s">
        <v>29</v>
      </c>
      <c r="F633" s="368" t="s">
        <v>3461</v>
      </c>
      <c r="G633" s="353" t="str">
        <f>$G$74</f>
        <v>SPC명</v>
      </c>
      <c r="H633" s="369" t="s">
        <v>3200</v>
      </c>
      <c r="I633" s="369" t="s">
        <v>753</v>
      </c>
      <c r="J633" s="368" t="s">
        <v>3461</v>
      </c>
      <c r="K633" s="353" t="s">
        <v>3440</v>
      </c>
      <c r="L633" s="353" t="str">
        <f>$L$74</f>
        <v>투자자산명</v>
      </c>
      <c r="M633" s="358" t="s">
        <v>754</v>
      </c>
      <c r="N633" s="358" t="s">
        <v>47</v>
      </c>
      <c r="O633" s="369" t="s">
        <v>749</v>
      </c>
      <c r="P633" s="400" t="s">
        <v>3460</v>
      </c>
      <c r="Q633" s="370" t="s">
        <v>3463</v>
      </c>
      <c r="R633" s="370" t="s">
        <v>6833</v>
      </c>
    </row>
    <row r="634" spans="1:18" ht="12.75" thickBot="1">
      <c r="B634" s="371" t="s">
        <v>3441</v>
      </c>
      <c r="C634" s="372">
        <f>SUM(C635:C636)</f>
        <v>0</v>
      </c>
      <c r="D634" s="372">
        <f>SUM(D635:D636)</f>
        <v>0</v>
      </c>
      <c r="F634" s="149" t="str">
        <f>IF(G634=0,"",COUNTA(G$634:$G634))</f>
        <v/>
      </c>
      <c r="G634" s="373">
        <f>IF(NAV!L547="SPC 없음",0,NAV!L547)</f>
        <v>0</v>
      </c>
      <c r="H634" s="374">
        <f>NAV!W547</f>
        <v>0</v>
      </c>
      <c r="I634" s="374" t="str">
        <f>NAV!S547</f>
        <v>SPC 없음</v>
      </c>
      <c r="J634" s="149" t="str">
        <f>IF(L634=0,"",COUNTA(L$634:$L634)+COUNT($F$634:$F$639))</f>
        <v/>
      </c>
      <c r="K634" s="373">
        <f>IF($B631="SPC없음",0,$B631)</f>
        <v>0</v>
      </c>
      <c r="L634" s="375">
        <f>NAV!J555</f>
        <v>0</v>
      </c>
      <c r="M634" s="376">
        <f>NAV!N555</f>
        <v>0</v>
      </c>
      <c r="N634" s="376">
        <f>NAV!T555</f>
        <v>0</v>
      </c>
      <c r="O634" s="377">
        <f>IF(N634="장부가액 준용","장부가액 준용",IF(N634="취득원가 준용","취득원가 준용",NAV!R555))</f>
        <v>0</v>
      </c>
      <c r="P634" s="377">
        <f>NAV!W555</f>
        <v>0</v>
      </c>
      <c r="Q634" s="377">
        <f>NAV!S555</f>
        <v>0</v>
      </c>
      <c r="R634" s="737" t="str">
        <f>MID(NAV!U555,FIND("(",NAV!U555)+1,FIND(")", NAV!U555)-FIND("(",NAV!U555)-1)</f>
        <v>KRW</v>
      </c>
    </row>
    <row r="635" spans="1:18" ht="12.75" thickBot="1">
      <c r="B635" s="379" t="s">
        <v>3443</v>
      </c>
      <c r="C635" s="380">
        <f>NAV!D548</f>
        <v>0</v>
      </c>
      <c r="D635" s="380">
        <f>NAV!E548</f>
        <v>0</v>
      </c>
      <c r="F635" s="149" t="str">
        <f>IF(G635=0,"",COUNTA(G$634:$G635))</f>
        <v/>
      </c>
      <c r="G635" s="373">
        <f>IF(NAV!L548="SPC 없음",0,NAV!L548)</f>
        <v>0</v>
      </c>
      <c r="H635" s="374">
        <f>NAV!W548</f>
        <v>0</v>
      </c>
      <c r="I635" s="374" t="str">
        <f>NAV!S548</f>
        <v>SPC 없음</v>
      </c>
      <c r="J635" s="149" t="str">
        <f>IF(L635=0,"",COUNTA(L$634:$L635)+COUNT($F$634:$F$639))</f>
        <v/>
      </c>
      <c r="K635" s="373">
        <f t="shared" ref="K635:K644" si="72">K634</f>
        <v>0</v>
      </c>
      <c r="L635" s="375">
        <f>NAV!J556</f>
        <v>0</v>
      </c>
      <c r="M635" s="376">
        <f>NAV!N556</f>
        <v>0</v>
      </c>
      <c r="N635" s="376">
        <f>NAV!T556</f>
        <v>0</v>
      </c>
      <c r="O635" s="377">
        <f>IF(N635="장부가액 준용","장부가액 준용",IF(N635="취득원가 준용","취득원가 준용",NAV!R556))</f>
        <v>0</v>
      </c>
      <c r="P635" s="377">
        <f>NAV!W556</f>
        <v>0</v>
      </c>
      <c r="Q635" s="377">
        <f>NAV!S556</f>
        <v>0</v>
      </c>
      <c r="R635" s="737" t="str">
        <f>MID(NAV!U556,FIND("(",NAV!U556)+1,FIND(")", NAV!U556)-FIND("(",NAV!U556)-1)</f>
        <v>KRW</v>
      </c>
    </row>
    <row r="636" spans="1:18" ht="12.75" thickBot="1">
      <c r="B636" s="379" t="s">
        <v>156</v>
      </c>
      <c r="C636" s="380">
        <f>NAV!D549</f>
        <v>0</v>
      </c>
      <c r="D636" s="380">
        <f>NAV!E549</f>
        <v>0</v>
      </c>
      <c r="F636" s="149" t="str">
        <f>IF(G636=0,"",COUNTA(G$634:$G636))</f>
        <v/>
      </c>
      <c r="G636" s="373">
        <f>IF(NAV!L549="SPC 없음",0,NAV!L549)</f>
        <v>0</v>
      </c>
      <c r="H636" s="374">
        <f>NAV!W549</f>
        <v>0</v>
      </c>
      <c r="I636" s="374" t="str">
        <f>NAV!S549</f>
        <v>SPC 없음</v>
      </c>
      <c r="J636" s="149" t="str">
        <f>IF(L636=0,"",COUNTA(L$634:$L636)+COUNT($F$634:$F$639))</f>
        <v/>
      </c>
      <c r="K636" s="373">
        <f t="shared" si="72"/>
        <v>0</v>
      </c>
      <c r="L636" s="375">
        <f>NAV!J557</f>
        <v>0</v>
      </c>
      <c r="M636" s="376">
        <f>NAV!N557</f>
        <v>0</v>
      </c>
      <c r="N636" s="376">
        <f>NAV!T557</f>
        <v>0</v>
      </c>
      <c r="O636" s="377">
        <f>IF(N636="장부가액 준용","장부가액 준용",IF(N636="취득원가 준용","취득원가 준용",NAV!R557))</f>
        <v>0</v>
      </c>
      <c r="P636" s="377">
        <f>NAV!W557</f>
        <v>0</v>
      </c>
      <c r="Q636" s="377">
        <f>NAV!S557</f>
        <v>0</v>
      </c>
      <c r="R636" s="737" t="str">
        <f>MID(NAV!U557,FIND("(",NAV!U557)+1,FIND(")", NAV!U557)-FIND("(",NAV!U557)-1)</f>
        <v>KRW</v>
      </c>
    </row>
    <row r="637" spans="1:18" ht="12.75" thickBot="1">
      <c r="B637" s="371" t="s">
        <v>3442</v>
      </c>
      <c r="C637" s="372">
        <f>NAV!D550</f>
        <v>0</v>
      </c>
      <c r="D637" s="372">
        <f>NAV!E550</f>
        <v>0</v>
      </c>
      <c r="F637" s="149" t="str">
        <f>IF(G637=0,"",COUNTA(G$634:$G637))</f>
        <v/>
      </c>
      <c r="G637" s="373">
        <f>IF(NAV!L550="SPC 없음",0,NAV!L550)</f>
        <v>0</v>
      </c>
      <c r="H637" s="374">
        <f>NAV!W550</f>
        <v>0</v>
      </c>
      <c r="I637" s="374" t="str">
        <f>NAV!S550</f>
        <v>SPC 없음</v>
      </c>
      <c r="J637" s="149" t="str">
        <f>IF(L637=0,"",COUNTA(L$634:$L637)+COUNT($F$634:$F$639))</f>
        <v/>
      </c>
      <c r="K637" s="373">
        <f t="shared" si="72"/>
        <v>0</v>
      </c>
      <c r="L637" s="375">
        <f>NAV!J558</f>
        <v>0</v>
      </c>
      <c r="M637" s="376">
        <f>NAV!N558</f>
        <v>0</v>
      </c>
      <c r="N637" s="376">
        <f>NAV!T558</f>
        <v>0</v>
      </c>
      <c r="O637" s="377">
        <f>IF(N637="장부가액 준용","장부가액 준용",IF(N637="취득원가 준용","취득원가 준용",NAV!R558))</f>
        <v>0</v>
      </c>
      <c r="P637" s="377">
        <f>NAV!W558</f>
        <v>0</v>
      </c>
      <c r="Q637" s="377">
        <f>NAV!S558</f>
        <v>0</v>
      </c>
      <c r="R637" s="737" t="str">
        <f>MID(NAV!U558,FIND("(",NAV!U558)+1,FIND(")", NAV!U558)-FIND("(",NAV!U558)-1)</f>
        <v>KRW</v>
      </c>
    </row>
    <row r="638" spans="1:18" ht="12.75" thickBot="1">
      <c r="A638" s="149">
        <v>1</v>
      </c>
      <c r="B638" s="381" t="str">
        <f>IFERROR(IF(F634=A638,VLOOKUP(A638,$F$633:$I$644,2,0),VLOOKUP(A638,$J$633:$Q$644,3,0)&amp;" "&amp;VLOOKUP(A638,$J$633:$Q$644,4,0)),"")</f>
        <v/>
      </c>
      <c r="C638" s="380" t="str">
        <f>IFERROR(IF(F634=A638,VLOOKUP(A638,$F$633:$I$644,3,0),VLOOKUP(A638,$J$633:$Q$644,7,0)),"")</f>
        <v/>
      </c>
      <c r="D638" s="380" t="str">
        <f>IFERROR(IF(F634=A638,VLOOKUP(A638,$F$633:$I$644,4,0),VLOOKUP(A638,$J$633:$Q$644,8,0)),"")</f>
        <v/>
      </c>
      <c r="F638" s="149" t="str">
        <f>IF(G638=0,"",COUNTA(G$634:$G638))</f>
        <v/>
      </c>
      <c r="G638" s="373">
        <f>IF(NAV!L551="SPC 없음",0,NAV!L551)</f>
        <v>0</v>
      </c>
      <c r="H638" s="374">
        <f>NAV!W551</f>
        <v>0</v>
      </c>
      <c r="I638" s="374" t="str">
        <f>NAV!S551</f>
        <v>SPC 없음</v>
      </c>
      <c r="J638" s="149" t="str">
        <f>IF(L638=0,"",COUNTA(L$634:$L638)+COUNT($F$634:$F$639))</f>
        <v/>
      </c>
      <c r="K638" s="373">
        <f t="shared" si="72"/>
        <v>0</v>
      </c>
      <c r="L638" s="375">
        <f>NAV!J559</f>
        <v>0</v>
      </c>
      <c r="M638" s="376">
        <f>NAV!N559</f>
        <v>0</v>
      </c>
      <c r="N638" s="376">
        <f>NAV!T559</f>
        <v>0</v>
      </c>
      <c r="O638" s="377">
        <f>IF(N638="장부가액 준용","장부가액 준용",IF(N638="취득원가 준용","취득원가 준용",NAV!R559))</f>
        <v>0</v>
      </c>
      <c r="P638" s="377">
        <f>NAV!W559</f>
        <v>0</v>
      </c>
      <c r="Q638" s="377">
        <f>NAV!S559</f>
        <v>0</v>
      </c>
      <c r="R638" s="737" t="str">
        <f>MID(NAV!U559,FIND("(",NAV!U559)+1,FIND(")", NAV!U559)-FIND("(",NAV!U559)-1)</f>
        <v>KRW</v>
      </c>
    </row>
    <row r="639" spans="1:18" ht="12.75" thickBot="1">
      <c r="A639" s="149">
        <f>A638+1</f>
        <v>2</v>
      </c>
      <c r="B639" s="381" t="str">
        <f t="shared" ref="B639:B654" si="73">IFERROR(IF(F635=A639,VLOOKUP(A639,$F$633:$I$644,2,0),VLOOKUP(A639,$J$633:$Q$644,3,0)&amp;" "&amp;VLOOKUP(A639,$J$633:$Q$644,4,0)),"")</f>
        <v/>
      </c>
      <c r="C639" s="380" t="str">
        <f t="shared" ref="C639:C654" si="74">IFERROR(IF(F635=A639,VLOOKUP(A639,$F$633:$I$644,3,0),VLOOKUP(A639,$J$633:$Q$644,7,0)),"")</f>
        <v/>
      </c>
      <c r="D639" s="380" t="str">
        <f t="shared" ref="D639:D654" si="75">IFERROR(IF(F635=A639,VLOOKUP(A639,$F$633:$I$644,4,0),VLOOKUP(A639,$J$633:$Q$644,8,0)),"")</f>
        <v/>
      </c>
      <c r="F639" s="149" t="str">
        <f>IF(G639=0,"",COUNTA(G$634:$G639))</f>
        <v/>
      </c>
      <c r="G639" s="373">
        <f>IF(NAV!L552="SPC 없음",0,NAV!L552)</f>
        <v>0</v>
      </c>
      <c r="H639" s="374">
        <f>NAV!W552</f>
        <v>0</v>
      </c>
      <c r="I639" s="374" t="str">
        <f>NAV!S552</f>
        <v>SPC 없음</v>
      </c>
      <c r="J639" s="149" t="str">
        <f>IF(L639=0,"",COUNTA(L$634:$L639)+COUNT($F$634:$F$639))</f>
        <v/>
      </c>
      <c r="K639" s="373">
        <f t="shared" si="72"/>
        <v>0</v>
      </c>
      <c r="L639" s="375">
        <f>NAV!J560</f>
        <v>0</v>
      </c>
      <c r="M639" s="376">
        <f>NAV!N560</f>
        <v>0</v>
      </c>
      <c r="N639" s="376">
        <f>NAV!T560</f>
        <v>0</v>
      </c>
      <c r="O639" s="377">
        <f>IF(N639="장부가액 준용","장부가액 준용",IF(N639="취득원가 준용","취득원가 준용",NAV!R560))</f>
        <v>0</v>
      </c>
      <c r="P639" s="377">
        <f>NAV!W560</f>
        <v>0</v>
      </c>
      <c r="Q639" s="377">
        <f>NAV!S560</f>
        <v>0</v>
      </c>
      <c r="R639" s="737" t="str">
        <f>MID(NAV!U560,FIND("(",NAV!U560)+1,FIND(")", NAV!U560)-FIND("(",NAV!U560)-1)</f>
        <v>KRW</v>
      </c>
    </row>
    <row r="640" spans="1:18" ht="12.75" thickBot="1">
      <c r="A640" s="149">
        <f t="shared" ref="A640:A654" si="76">A639+1</f>
        <v>3</v>
      </c>
      <c r="B640" s="381" t="str">
        <f t="shared" si="73"/>
        <v/>
      </c>
      <c r="C640" s="380" t="str">
        <f t="shared" si="74"/>
        <v/>
      </c>
      <c r="D640" s="380" t="str">
        <f t="shared" si="75"/>
        <v/>
      </c>
      <c r="J640" s="149" t="str">
        <f>IF(L640=0,"",COUNTA(L$634:$L640)+COUNT($F$634:$F$639))</f>
        <v/>
      </c>
      <c r="K640" s="373">
        <f t="shared" si="72"/>
        <v>0</v>
      </c>
      <c r="L640" s="375">
        <f>NAV!J561</f>
        <v>0</v>
      </c>
      <c r="M640" s="376">
        <f>NAV!N561</f>
        <v>0</v>
      </c>
      <c r="N640" s="376">
        <f>NAV!T561</f>
        <v>0</v>
      </c>
      <c r="O640" s="377">
        <f>IF(N640="장부가액 준용","장부가액 준용",IF(N640="취득원가 준용","취득원가 준용",NAV!R561))</f>
        <v>0</v>
      </c>
      <c r="P640" s="377">
        <f>NAV!W561</f>
        <v>0</v>
      </c>
      <c r="Q640" s="377">
        <f>NAV!S561</f>
        <v>0</v>
      </c>
      <c r="R640" s="737" t="str">
        <f>MID(NAV!U561,FIND("(",NAV!U561)+1,FIND(")", NAV!U561)-FIND("(",NAV!U561)-1)</f>
        <v>KRW</v>
      </c>
    </row>
    <row r="641" spans="1:18" ht="12.75" thickBot="1">
      <c r="A641" s="149">
        <f t="shared" si="76"/>
        <v>4</v>
      </c>
      <c r="B641" s="381" t="str">
        <f t="shared" si="73"/>
        <v/>
      </c>
      <c r="C641" s="380" t="str">
        <f t="shared" si="74"/>
        <v/>
      </c>
      <c r="D641" s="380" t="str">
        <f t="shared" si="75"/>
        <v/>
      </c>
      <c r="J641" s="149" t="str">
        <f>IF(L641=0,"",COUNTA(L$634:$L641)+COUNT($F$634:$F$639))</f>
        <v/>
      </c>
      <c r="K641" s="373">
        <f t="shared" si="72"/>
        <v>0</v>
      </c>
      <c r="L641" s="375">
        <f>NAV!J562</f>
        <v>0</v>
      </c>
      <c r="M641" s="376">
        <f>NAV!N562</f>
        <v>0</v>
      </c>
      <c r="N641" s="376">
        <f>NAV!T562</f>
        <v>0</v>
      </c>
      <c r="O641" s="377">
        <f>IF(N641="장부가액 준용","장부가액 준용",IF(N641="취득원가 준용","취득원가 준용",NAV!R562))</f>
        <v>0</v>
      </c>
      <c r="P641" s="377">
        <f>NAV!W562</f>
        <v>0</v>
      </c>
      <c r="Q641" s="377">
        <f>NAV!S562</f>
        <v>0</v>
      </c>
      <c r="R641" s="737" t="str">
        <f>MID(NAV!U562,FIND("(",NAV!U562)+1,FIND(")", NAV!U562)-FIND("(",NAV!U562)-1)</f>
        <v>KRW</v>
      </c>
    </row>
    <row r="642" spans="1:18" ht="12.75" thickBot="1">
      <c r="A642" s="149">
        <f t="shared" si="76"/>
        <v>5</v>
      </c>
      <c r="B642" s="381" t="str">
        <f t="shared" si="73"/>
        <v/>
      </c>
      <c r="C642" s="380" t="str">
        <f t="shared" si="74"/>
        <v/>
      </c>
      <c r="D642" s="380" t="str">
        <f t="shared" si="75"/>
        <v/>
      </c>
      <c r="J642" s="149" t="str">
        <f>IF(L642=0,"",COUNTA(L$634:$L642)+COUNT($F$634:$F$639))</f>
        <v/>
      </c>
      <c r="K642" s="373">
        <f t="shared" si="72"/>
        <v>0</v>
      </c>
      <c r="L642" s="375">
        <f>NAV!J563</f>
        <v>0</v>
      </c>
      <c r="M642" s="376">
        <f>NAV!N563</f>
        <v>0</v>
      </c>
      <c r="N642" s="376">
        <f>NAV!T563</f>
        <v>0</v>
      </c>
      <c r="O642" s="377">
        <f>IF(N642="장부가액 준용","장부가액 준용",IF(N642="취득원가 준용","취득원가 준용",NAV!R563))</f>
        <v>0</v>
      </c>
      <c r="P642" s="377">
        <f>NAV!W563</f>
        <v>0</v>
      </c>
      <c r="Q642" s="377">
        <f>NAV!S563</f>
        <v>0</v>
      </c>
      <c r="R642" s="737" t="str">
        <f>MID(NAV!U563,FIND("(",NAV!U563)+1,FIND(")", NAV!U563)-FIND("(",NAV!U563)-1)</f>
        <v>KRW</v>
      </c>
    </row>
    <row r="643" spans="1:18" ht="12.75" thickBot="1">
      <c r="A643" s="149">
        <f t="shared" si="76"/>
        <v>6</v>
      </c>
      <c r="B643" s="381" t="str">
        <f t="shared" si="73"/>
        <v/>
      </c>
      <c r="C643" s="380" t="str">
        <f t="shared" si="74"/>
        <v/>
      </c>
      <c r="D643" s="380" t="str">
        <f t="shared" si="75"/>
        <v/>
      </c>
      <c r="J643" s="149" t="str">
        <f>IF(L643=0,"",COUNTA(L$634:$L643)+COUNT($F$634:$F$639))</f>
        <v/>
      </c>
      <c r="K643" s="373">
        <f t="shared" si="72"/>
        <v>0</v>
      </c>
      <c r="L643" s="375">
        <f>NAV!J564</f>
        <v>0</v>
      </c>
      <c r="M643" s="376">
        <f>NAV!N564</f>
        <v>0</v>
      </c>
      <c r="N643" s="376">
        <f>NAV!T564</f>
        <v>0</v>
      </c>
      <c r="O643" s="377">
        <f>IF(N643="장부가액 준용","장부가액 준용",IF(N643="취득원가 준용","취득원가 준용",NAV!R564))</f>
        <v>0</v>
      </c>
      <c r="P643" s="377">
        <f>NAV!W564</f>
        <v>0</v>
      </c>
      <c r="Q643" s="377">
        <f>NAV!S564</f>
        <v>0</v>
      </c>
      <c r="R643" s="737" t="str">
        <f>MID(NAV!U564,FIND("(",NAV!U564)+1,FIND(")", NAV!U564)-FIND("(",NAV!U564)-1)</f>
        <v>KRW</v>
      </c>
    </row>
    <row r="644" spans="1:18" ht="12.75" thickBot="1">
      <c r="A644" s="149">
        <f t="shared" si="76"/>
        <v>7</v>
      </c>
      <c r="B644" s="381" t="str">
        <f t="shared" si="73"/>
        <v/>
      </c>
      <c r="C644" s="380" t="str">
        <f t="shared" si="74"/>
        <v/>
      </c>
      <c r="D644" s="380" t="str">
        <f t="shared" si="75"/>
        <v/>
      </c>
      <c r="J644" s="149" t="str">
        <f>IF(L644=0,"",COUNTA(L$634:$L644)+COUNT($F$634:$F$639))</f>
        <v/>
      </c>
      <c r="K644" s="373">
        <f t="shared" si="72"/>
        <v>0</v>
      </c>
      <c r="L644" s="375">
        <f>NAV!J565</f>
        <v>0</v>
      </c>
      <c r="M644" s="376">
        <f>NAV!N565</f>
        <v>0</v>
      </c>
      <c r="N644" s="376">
        <f>NAV!T565</f>
        <v>0</v>
      </c>
      <c r="O644" s="377">
        <f>IF(N644="장부가액 준용","장부가액 준용",IF(N644="취득원가 준용","취득원가 준용",NAV!R565))</f>
        <v>0</v>
      </c>
      <c r="P644" s="377">
        <f>NAV!W565</f>
        <v>0</v>
      </c>
      <c r="Q644" s="377">
        <f>NAV!S565</f>
        <v>0</v>
      </c>
      <c r="R644" s="737" t="str">
        <f>MID(NAV!U565,FIND("(",NAV!U565)+1,FIND(")", NAV!U565)-FIND("(",NAV!U565)-1)</f>
        <v>KRW</v>
      </c>
    </row>
    <row r="645" spans="1:18" ht="12.75" hidden="1" customHeight="1" outlineLevel="1" thickBot="1">
      <c r="A645" s="149">
        <f t="shared" si="76"/>
        <v>8</v>
      </c>
      <c r="B645" s="381" t="str">
        <f t="shared" si="73"/>
        <v/>
      </c>
      <c r="C645" s="380" t="str">
        <f t="shared" si="74"/>
        <v/>
      </c>
      <c r="D645" s="380" t="str">
        <f t="shared" si="75"/>
        <v/>
      </c>
    </row>
    <row r="646" spans="1:18" ht="12.75" hidden="1" customHeight="1" outlineLevel="1" thickBot="1">
      <c r="A646" s="149">
        <f t="shared" si="76"/>
        <v>9</v>
      </c>
      <c r="B646" s="381" t="str">
        <f t="shared" si="73"/>
        <v/>
      </c>
      <c r="C646" s="380" t="str">
        <f t="shared" si="74"/>
        <v/>
      </c>
      <c r="D646" s="380" t="str">
        <f t="shared" si="75"/>
        <v/>
      </c>
    </row>
    <row r="647" spans="1:18" ht="12.75" hidden="1" customHeight="1" outlineLevel="1" thickBot="1">
      <c r="A647" s="149">
        <f t="shared" si="76"/>
        <v>10</v>
      </c>
      <c r="B647" s="381" t="str">
        <f t="shared" si="73"/>
        <v/>
      </c>
      <c r="C647" s="380" t="str">
        <f t="shared" si="74"/>
        <v/>
      </c>
      <c r="D647" s="380" t="str">
        <f t="shared" si="75"/>
        <v/>
      </c>
    </row>
    <row r="648" spans="1:18" ht="12.75" hidden="1" customHeight="1" outlineLevel="1" thickBot="1">
      <c r="A648" s="149">
        <f t="shared" si="76"/>
        <v>11</v>
      </c>
      <c r="B648" s="381" t="str">
        <f t="shared" si="73"/>
        <v/>
      </c>
      <c r="C648" s="380" t="str">
        <f t="shared" si="74"/>
        <v/>
      </c>
      <c r="D648" s="380" t="str">
        <f t="shared" si="75"/>
        <v/>
      </c>
    </row>
    <row r="649" spans="1:18" ht="12.75" hidden="1" customHeight="1" outlineLevel="1" thickBot="1">
      <c r="A649" s="149">
        <f t="shared" si="76"/>
        <v>12</v>
      </c>
      <c r="B649" s="381" t="str">
        <f t="shared" si="73"/>
        <v/>
      </c>
      <c r="C649" s="380" t="str">
        <f t="shared" si="74"/>
        <v/>
      </c>
      <c r="D649" s="380" t="str">
        <f t="shared" si="75"/>
        <v/>
      </c>
    </row>
    <row r="650" spans="1:18" ht="12.75" hidden="1" customHeight="1" outlineLevel="1" thickBot="1">
      <c r="A650" s="149">
        <f t="shared" si="76"/>
        <v>13</v>
      </c>
      <c r="B650" s="381" t="str">
        <f t="shared" si="73"/>
        <v/>
      </c>
      <c r="C650" s="380" t="str">
        <f t="shared" si="74"/>
        <v/>
      </c>
      <c r="D650" s="380" t="str">
        <f t="shared" si="75"/>
        <v/>
      </c>
    </row>
    <row r="651" spans="1:18" ht="12.75" hidden="1" customHeight="1" outlineLevel="1" thickBot="1">
      <c r="A651" s="149">
        <f t="shared" si="76"/>
        <v>14</v>
      </c>
      <c r="B651" s="381" t="str">
        <f t="shared" si="73"/>
        <v/>
      </c>
      <c r="C651" s="380" t="str">
        <f t="shared" si="74"/>
        <v/>
      </c>
      <c r="D651" s="380" t="str">
        <f t="shared" si="75"/>
        <v/>
      </c>
    </row>
    <row r="652" spans="1:18" ht="12.75" hidden="1" customHeight="1" outlineLevel="1" thickBot="1">
      <c r="A652" s="149">
        <f t="shared" si="76"/>
        <v>15</v>
      </c>
      <c r="B652" s="381" t="str">
        <f t="shared" si="73"/>
        <v/>
      </c>
      <c r="C652" s="380" t="str">
        <f t="shared" si="74"/>
        <v/>
      </c>
      <c r="D652" s="380" t="str">
        <f t="shared" si="75"/>
        <v/>
      </c>
    </row>
    <row r="653" spans="1:18" ht="12.75" hidden="1" customHeight="1" outlineLevel="1" thickBot="1">
      <c r="A653" s="149">
        <f t="shared" si="76"/>
        <v>16</v>
      </c>
      <c r="B653" s="381" t="str">
        <f t="shared" si="73"/>
        <v/>
      </c>
      <c r="C653" s="380" t="str">
        <f t="shared" si="74"/>
        <v/>
      </c>
      <c r="D653" s="380" t="str">
        <f t="shared" si="75"/>
        <v/>
      </c>
    </row>
    <row r="654" spans="1:18" ht="12.75" hidden="1" customHeight="1" outlineLevel="1" thickBot="1">
      <c r="A654" s="149">
        <f t="shared" si="76"/>
        <v>17</v>
      </c>
      <c r="B654" s="381" t="str">
        <f t="shared" si="73"/>
        <v/>
      </c>
      <c r="C654" s="380" t="str">
        <f t="shared" si="74"/>
        <v/>
      </c>
      <c r="D654" s="380" t="str">
        <f t="shared" si="75"/>
        <v/>
      </c>
    </row>
    <row r="655" spans="1:18" ht="12.75" collapsed="1" thickBot="1">
      <c r="B655" s="382" t="s">
        <v>2</v>
      </c>
      <c r="C655" s="372">
        <f>SUM(C634,C637)</f>
        <v>0</v>
      </c>
      <c r="D655" s="383">
        <f>SUM(D634,D637)</f>
        <v>0</v>
      </c>
    </row>
    <row r="656" spans="1:18" ht="12.75" thickBot="1">
      <c r="B656" s="382" t="s">
        <v>30</v>
      </c>
      <c r="C656" s="819">
        <f>NAV!E560</f>
        <v>0</v>
      </c>
      <c r="D656" s="820"/>
    </row>
    <row r="657" spans="1:18" ht="12.75" thickBot="1">
      <c r="B657" s="382" t="s">
        <v>31</v>
      </c>
      <c r="C657" s="819">
        <f>D655-C656</f>
        <v>0</v>
      </c>
      <c r="D657" s="820"/>
    </row>
    <row r="658" spans="1:18" ht="12.75" thickBot="1">
      <c r="B658" s="382" t="s">
        <v>745</v>
      </c>
      <c r="C658" s="819">
        <f>NAV!E565</f>
        <v>0</v>
      </c>
      <c r="D658" s="820"/>
      <c r="F658" s="217"/>
    </row>
    <row r="659" spans="1:18" ht="12.75" thickBot="1">
      <c r="B659" s="382" t="s">
        <v>965</v>
      </c>
      <c r="C659" s="819">
        <f>NAV!E566</f>
        <v>0</v>
      </c>
      <c r="D659" s="820"/>
    </row>
    <row r="660" spans="1:18" ht="12.75" thickBot="1">
      <c r="B660" s="382" t="s">
        <v>744</v>
      </c>
      <c r="C660" s="819">
        <f>NAV!E567</f>
        <v>0</v>
      </c>
      <c r="D660" s="820"/>
    </row>
    <row r="661" spans="1:18" ht="12.75" thickBot="1">
      <c r="B661" s="382" t="str">
        <f>NAV!C568</f>
        <v>보유지분율(%)</v>
      </c>
      <c r="C661" s="823">
        <f>NAV!D568</f>
        <v>0</v>
      </c>
      <c r="D661" s="824"/>
    </row>
    <row r="662" spans="1:18" ht="12.75" thickBot="1">
      <c r="B662" s="382" t="s">
        <v>746</v>
      </c>
      <c r="C662" s="825">
        <f>NAV!E568</f>
        <v>0</v>
      </c>
      <c r="D662" s="826"/>
    </row>
    <row r="668" spans="1:18">
      <c r="A668" s="149">
        <f>A630+1</f>
        <v>11</v>
      </c>
      <c r="B668" s="399" t="str">
        <f>NAV!B579</f>
        <v>SPC없음</v>
      </c>
      <c r="G668" s="399" t="str">
        <f>B668</f>
        <v>SPC없음</v>
      </c>
    </row>
    <row r="669" spans="1:18">
      <c r="B669" s="399" t="str">
        <f>NAV!C580</f>
        <v>SPC없음</v>
      </c>
      <c r="G669" s="399" t="str">
        <f>B669</f>
        <v>SPC없음</v>
      </c>
    </row>
    <row r="670" spans="1:18" ht="12.75" thickBot="1">
      <c r="B670" s="215" t="s">
        <v>750</v>
      </c>
      <c r="C670" s="216"/>
      <c r="D670" s="216"/>
      <c r="E670" s="216"/>
      <c r="F670" s="216"/>
      <c r="G670" s="215" t="s">
        <v>751</v>
      </c>
      <c r="H670" s="216"/>
      <c r="I670" s="216"/>
      <c r="K670" s="215" t="s">
        <v>752</v>
      </c>
    </row>
    <row r="671" spans="1:18" ht="12.75" thickBot="1">
      <c r="B671" s="366" t="s">
        <v>27</v>
      </c>
      <c r="C671" s="367" t="s">
        <v>28</v>
      </c>
      <c r="D671" s="367" t="s">
        <v>29</v>
      </c>
      <c r="F671" s="368" t="s">
        <v>3461</v>
      </c>
      <c r="G671" s="353" t="str">
        <f>$G$74</f>
        <v>SPC명</v>
      </c>
      <c r="H671" s="369" t="s">
        <v>3199</v>
      </c>
      <c r="I671" s="369" t="s">
        <v>753</v>
      </c>
      <c r="J671" s="368" t="s">
        <v>3461</v>
      </c>
      <c r="K671" s="353" t="s">
        <v>3440</v>
      </c>
      <c r="L671" s="353" t="str">
        <f>$L$74</f>
        <v>투자자산명</v>
      </c>
      <c r="M671" s="358" t="s">
        <v>754</v>
      </c>
      <c r="N671" s="358" t="s">
        <v>47</v>
      </c>
      <c r="O671" s="369" t="s">
        <v>749</v>
      </c>
      <c r="P671" s="400" t="s">
        <v>3460</v>
      </c>
      <c r="Q671" s="370" t="s">
        <v>3463</v>
      </c>
      <c r="R671" s="370" t="s">
        <v>6833</v>
      </c>
    </row>
    <row r="672" spans="1:18" ht="12.75" thickBot="1">
      <c r="B672" s="371" t="s">
        <v>3441</v>
      </c>
      <c r="C672" s="372">
        <f>SUM(C673:C674)</f>
        <v>0</v>
      </c>
      <c r="D672" s="372">
        <f>SUM(D673:D674)</f>
        <v>0</v>
      </c>
      <c r="F672" s="149" t="str">
        <f>IF(G672=0,"",COUNTA(G$672:$G672))</f>
        <v/>
      </c>
      <c r="G672" s="373">
        <f>IF(NAV!L585="SPC 없음",0,NAV!L585)</f>
        <v>0</v>
      </c>
      <c r="H672" s="374">
        <f>NAV!W585</f>
        <v>0</v>
      </c>
      <c r="I672" s="374" t="str">
        <f>NAV!S585</f>
        <v>SPC 없음</v>
      </c>
      <c r="J672" s="149" t="str">
        <f>IF(L672=0,"",COUNTA(L$672:$L672)+COUNT($F$672:$F$677))</f>
        <v/>
      </c>
      <c r="K672" s="373">
        <f>IF($B669="SPC없음",0,$B669)</f>
        <v>0</v>
      </c>
      <c r="L672" s="375">
        <f>NAV!J593</f>
        <v>0</v>
      </c>
      <c r="M672" s="376">
        <f>NAV!N593</f>
        <v>0</v>
      </c>
      <c r="N672" s="376">
        <f>NAV!T593</f>
        <v>0</v>
      </c>
      <c r="O672" s="377">
        <f>IF(N672="장부가액 준용","장부가액 준용",IF(N672="취득원가 준용","취득원가 준용",NAV!R593))</f>
        <v>0</v>
      </c>
      <c r="P672" s="377">
        <f>NAV!W593</f>
        <v>0</v>
      </c>
      <c r="Q672" s="377">
        <f>NAV!S593</f>
        <v>0</v>
      </c>
      <c r="R672" s="737" t="str">
        <f>MID(NAV!U593,FIND("(",NAV!U593)+1,FIND(")", NAV!U593)-FIND("(",NAV!U593)-1)</f>
        <v>KRW</v>
      </c>
    </row>
    <row r="673" spans="1:18" ht="12.75" thickBot="1">
      <c r="B673" s="379" t="s">
        <v>3443</v>
      </c>
      <c r="C673" s="380">
        <f>NAV!D586</f>
        <v>0</v>
      </c>
      <c r="D673" s="380">
        <f>NAV!E586</f>
        <v>0</v>
      </c>
      <c r="F673" s="149" t="str">
        <f>IF(G673=0,"",COUNTA(G$672:$G673))</f>
        <v/>
      </c>
      <c r="G673" s="373">
        <f>IF(NAV!L586="SPC 없음",0,NAV!L586)</f>
        <v>0</v>
      </c>
      <c r="H673" s="374">
        <f>NAV!W586</f>
        <v>0</v>
      </c>
      <c r="I673" s="374" t="str">
        <f>NAV!S586</f>
        <v>SPC 없음</v>
      </c>
      <c r="J673" s="149" t="str">
        <f>IF(L673=0,"",COUNTA(L$672:$L673)+COUNT($F$672:$F$677))</f>
        <v/>
      </c>
      <c r="K673" s="373">
        <f t="shared" ref="K673:K682" si="77">K672</f>
        <v>0</v>
      </c>
      <c r="L673" s="375">
        <f>NAV!J594</f>
        <v>0</v>
      </c>
      <c r="M673" s="376">
        <f>NAV!N594</f>
        <v>0</v>
      </c>
      <c r="N673" s="376">
        <f>NAV!T594</f>
        <v>0</v>
      </c>
      <c r="O673" s="377">
        <f>IF(N673="장부가액 준용","장부가액 준용",IF(N673="취득원가 준용","취득원가 준용",NAV!R594))</f>
        <v>0</v>
      </c>
      <c r="P673" s="377">
        <f>NAV!W594</f>
        <v>0</v>
      </c>
      <c r="Q673" s="377">
        <f>NAV!S594</f>
        <v>0</v>
      </c>
      <c r="R673" s="737" t="str">
        <f>MID(NAV!U594,FIND("(",NAV!U594)+1,FIND(")", NAV!U594)-FIND("(",NAV!U594)-1)</f>
        <v>KRW</v>
      </c>
    </row>
    <row r="674" spans="1:18" ht="12.75" thickBot="1">
      <c r="B674" s="379" t="s">
        <v>156</v>
      </c>
      <c r="C674" s="380">
        <f>NAV!D587</f>
        <v>0</v>
      </c>
      <c r="D674" s="380">
        <f>NAV!E587</f>
        <v>0</v>
      </c>
      <c r="F674" s="149" t="str">
        <f>IF(G674=0,"",COUNTA(G$672:$G674))</f>
        <v/>
      </c>
      <c r="G674" s="373">
        <f>IF(NAV!L587="SPC 없음",0,NAV!L587)</f>
        <v>0</v>
      </c>
      <c r="H674" s="374">
        <f>NAV!W587</f>
        <v>0</v>
      </c>
      <c r="I674" s="374" t="str">
        <f>NAV!S587</f>
        <v>SPC 없음</v>
      </c>
      <c r="J674" s="149" t="str">
        <f>IF(L674=0,"",COUNTA(L$672:$L674)+COUNT($F$672:$F$677))</f>
        <v/>
      </c>
      <c r="K674" s="373">
        <f t="shared" si="77"/>
        <v>0</v>
      </c>
      <c r="L674" s="375">
        <f>NAV!J595</f>
        <v>0</v>
      </c>
      <c r="M674" s="376">
        <f>NAV!N595</f>
        <v>0</v>
      </c>
      <c r="N674" s="376">
        <f>NAV!T595</f>
        <v>0</v>
      </c>
      <c r="O674" s="377">
        <f>IF(N674="장부가액 준용","장부가액 준용",IF(N674="취득원가 준용","취득원가 준용",NAV!R595))</f>
        <v>0</v>
      </c>
      <c r="P674" s="377">
        <f>NAV!W595</f>
        <v>0</v>
      </c>
      <c r="Q674" s="377">
        <f>NAV!S595</f>
        <v>0</v>
      </c>
      <c r="R674" s="737" t="str">
        <f>MID(NAV!U595,FIND("(",NAV!U595)+1,FIND(")", NAV!U595)-FIND("(",NAV!U595)-1)</f>
        <v>KRW</v>
      </c>
    </row>
    <row r="675" spans="1:18" ht="12.75" thickBot="1">
      <c r="B675" s="371" t="s">
        <v>3442</v>
      </c>
      <c r="C675" s="372">
        <f>NAV!D588</f>
        <v>0</v>
      </c>
      <c r="D675" s="372">
        <f>NAV!E588</f>
        <v>0</v>
      </c>
      <c r="F675" s="149" t="str">
        <f>IF(G675=0,"",COUNTA(G$672:$G675))</f>
        <v/>
      </c>
      <c r="G675" s="373">
        <f>IF(NAV!L588="SPC 없음",0,NAV!L588)</f>
        <v>0</v>
      </c>
      <c r="H675" s="374">
        <f>NAV!W588</f>
        <v>0</v>
      </c>
      <c r="I675" s="374" t="str">
        <f>NAV!S588</f>
        <v>SPC 없음</v>
      </c>
      <c r="J675" s="149" t="str">
        <f>IF(L675=0,"",COUNTA(L$672:$L675)+COUNT($F$672:$F$677))</f>
        <v/>
      </c>
      <c r="K675" s="373">
        <f t="shared" si="77"/>
        <v>0</v>
      </c>
      <c r="L675" s="375">
        <f>NAV!J596</f>
        <v>0</v>
      </c>
      <c r="M675" s="376">
        <f>NAV!N596</f>
        <v>0</v>
      </c>
      <c r="N675" s="376">
        <f>NAV!T596</f>
        <v>0</v>
      </c>
      <c r="O675" s="377">
        <f>IF(N675="장부가액 준용","장부가액 준용",IF(N675="취득원가 준용","취득원가 준용",NAV!R596))</f>
        <v>0</v>
      </c>
      <c r="P675" s="377">
        <f>NAV!W596</f>
        <v>0</v>
      </c>
      <c r="Q675" s="377">
        <f>NAV!S596</f>
        <v>0</v>
      </c>
      <c r="R675" s="737" t="str">
        <f>MID(NAV!U596,FIND("(",NAV!U596)+1,FIND(")", NAV!U596)-FIND("(",NAV!U596)-1)</f>
        <v>KRW</v>
      </c>
    </row>
    <row r="676" spans="1:18" ht="12.75" thickBot="1">
      <c r="A676" s="149">
        <v>1</v>
      </c>
      <c r="B676" s="381" t="str">
        <f>IFERROR(IF(F672=A676,VLOOKUP(A676,$F$671:$I$682,2,0),VLOOKUP(A676,$J$671:$Q$682,3,0)&amp;" "&amp;VLOOKUP(A676,$J$671:$Q$682,4,0)),"")</f>
        <v/>
      </c>
      <c r="C676" s="380" t="str">
        <f>IFERROR(IF(F672=A676,VLOOKUP(A676,$F$671:$I$682,3,0),VLOOKUP(A676,$J$671:$Q$682,7,0)),"")</f>
        <v/>
      </c>
      <c r="D676" s="380" t="str">
        <f>IFERROR(IF(F672=A676,VLOOKUP(A676,$F$671:$I$682,4,0),VLOOKUP(A676,$J$671:$Q$682,8,0)),"")</f>
        <v/>
      </c>
      <c r="F676" s="149" t="str">
        <f>IF(G676=0,"",COUNTA(G$672:$G676))</f>
        <v/>
      </c>
      <c r="G676" s="373">
        <f>IF(NAV!L589="SPC 없음",0,NAV!L589)</f>
        <v>0</v>
      </c>
      <c r="H676" s="374">
        <f>NAV!W589</f>
        <v>0</v>
      </c>
      <c r="I676" s="374" t="str">
        <f>NAV!S589</f>
        <v>SPC 없음</v>
      </c>
      <c r="J676" s="149" t="str">
        <f>IF(L676=0,"",COUNTA(L$672:$L676)+COUNT($F$672:$F$677))</f>
        <v/>
      </c>
      <c r="K676" s="373">
        <f t="shared" si="77"/>
        <v>0</v>
      </c>
      <c r="L676" s="375">
        <f>NAV!J597</f>
        <v>0</v>
      </c>
      <c r="M676" s="376">
        <f>NAV!N597</f>
        <v>0</v>
      </c>
      <c r="N676" s="376">
        <f>NAV!T597</f>
        <v>0</v>
      </c>
      <c r="O676" s="377">
        <f>IF(N676="장부가액 준용","장부가액 준용",IF(N676="취득원가 준용","취득원가 준용",NAV!R597))</f>
        <v>0</v>
      </c>
      <c r="P676" s="377">
        <f>NAV!W597</f>
        <v>0</v>
      </c>
      <c r="Q676" s="377">
        <f>NAV!S597</f>
        <v>0</v>
      </c>
      <c r="R676" s="737" t="str">
        <f>MID(NAV!U597,FIND("(",NAV!U597)+1,FIND(")", NAV!U597)-FIND("(",NAV!U597)-1)</f>
        <v>KRW</v>
      </c>
    </row>
    <row r="677" spans="1:18" ht="12.75" thickBot="1">
      <c r="A677" s="149">
        <f>A676+1</f>
        <v>2</v>
      </c>
      <c r="B677" s="381" t="str">
        <f t="shared" ref="B677:B692" si="78">IFERROR(IF(F673=A677,VLOOKUP(A677,$F$671:$I$682,2,0),VLOOKUP(A677,$J$671:$Q$682,3,0)&amp;" "&amp;VLOOKUP(A677,$J$671:$Q$682,4,0)),"")</f>
        <v/>
      </c>
      <c r="C677" s="380" t="str">
        <f t="shared" ref="C677:C692" si="79">IFERROR(IF(F673=A677,VLOOKUP(A677,$F$671:$I$682,3,0),VLOOKUP(A677,$J$671:$Q$682,7,0)),"")</f>
        <v/>
      </c>
      <c r="D677" s="380" t="str">
        <f t="shared" ref="D677:D692" si="80">IFERROR(IF(F673=A677,VLOOKUP(A677,$F$671:$I$682,4,0),VLOOKUP(A677,$J$671:$Q$682,8,0)),"")</f>
        <v/>
      </c>
      <c r="F677" s="149" t="str">
        <f>IF(G677=0,"",COUNTA(G$672:$G677))</f>
        <v/>
      </c>
      <c r="G677" s="373">
        <f>IF(NAV!L590="SPC 없음",0,NAV!L590)</f>
        <v>0</v>
      </c>
      <c r="H677" s="374">
        <f>NAV!W590</f>
        <v>0</v>
      </c>
      <c r="I677" s="374" t="str">
        <f>NAV!S590</f>
        <v>SPC 없음</v>
      </c>
      <c r="J677" s="149" t="str">
        <f>IF(L677=0,"",COUNTA(L$672:$L677)+COUNT($F$672:$F$677))</f>
        <v/>
      </c>
      <c r="K677" s="373">
        <f t="shared" si="77"/>
        <v>0</v>
      </c>
      <c r="L677" s="375">
        <f>NAV!J598</f>
        <v>0</v>
      </c>
      <c r="M677" s="376">
        <f>NAV!N598</f>
        <v>0</v>
      </c>
      <c r="N677" s="376">
        <f>NAV!T598</f>
        <v>0</v>
      </c>
      <c r="O677" s="377">
        <f>IF(N677="장부가액 준용","장부가액 준용",IF(N677="취득원가 준용","취득원가 준용",NAV!R598))</f>
        <v>0</v>
      </c>
      <c r="P677" s="377">
        <f>NAV!W598</f>
        <v>0</v>
      </c>
      <c r="Q677" s="377">
        <f>NAV!S598</f>
        <v>0</v>
      </c>
      <c r="R677" s="737" t="str">
        <f>MID(NAV!U598,FIND("(",NAV!U598)+1,FIND(")", NAV!U598)-FIND("(",NAV!U598)-1)</f>
        <v>KRW</v>
      </c>
    </row>
    <row r="678" spans="1:18" ht="12.75" thickBot="1">
      <c r="A678" s="149">
        <f t="shared" ref="A678:A692" si="81">A677+1</f>
        <v>3</v>
      </c>
      <c r="B678" s="381" t="str">
        <f t="shared" si="78"/>
        <v/>
      </c>
      <c r="C678" s="380" t="str">
        <f t="shared" si="79"/>
        <v/>
      </c>
      <c r="D678" s="380" t="str">
        <f t="shared" si="80"/>
        <v/>
      </c>
      <c r="J678" s="149" t="str">
        <f>IF(L678=0,"",COUNTA(L$672:$L678)+COUNT($F$672:$F$677))</f>
        <v/>
      </c>
      <c r="K678" s="373">
        <f t="shared" si="77"/>
        <v>0</v>
      </c>
      <c r="L678" s="375">
        <f>NAV!J599</f>
        <v>0</v>
      </c>
      <c r="M678" s="376">
        <f>NAV!N599</f>
        <v>0</v>
      </c>
      <c r="N678" s="376">
        <f>NAV!T599</f>
        <v>0</v>
      </c>
      <c r="O678" s="377">
        <f>IF(N678="장부가액 준용","장부가액 준용",IF(N678="취득원가 준용","취득원가 준용",NAV!R599))</f>
        <v>0</v>
      </c>
      <c r="P678" s="377">
        <f>NAV!W599</f>
        <v>0</v>
      </c>
      <c r="Q678" s="377">
        <f>NAV!S599</f>
        <v>0</v>
      </c>
      <c r="R678" s="737" t="str">
        <f>MID(NAV!U599,FIND("(",NAV!U599)+1,FIND(")", NAV!U599)-FIND("(",NAV!U599)-1)</f>
        <v>KRW</v>
      </c>
    </row>
    <row r="679" spans="1:18" ht="12.75" thickBot="1">
      <c r="A679" s="149">
        <f t="shared" si="81"/>
        <v>4</v>
      </c>
      <c r="B679" s="381" t="str">
        <f t="shared" si="78"/>
        <v/>
      </c>
      <c r="C679" s="380" t="str">
        <f t="shared" si="79"/>
        <v/>
      </c>
      <c r="D679" s="380" t="str">
        <f t="shared" si="80"/>
        <v/>
      </c>
      <c r="J679" s="149" t="str">
        <f>IF(L679=0,"",COUNTA(L$672:$L679)+COUNT($F$672:$F$677))</f>
        <v/>
      </c>
      <c r="K679" s="373">
        <f t="shared" si="77"/>
        <v>0</v>
      </c>
      <c r="L679" s="375">
        <f>NAV!J600</f>
        <v>0</v>
      </c>
      <c r="M679" s="376">
        <f>NAV!N600</f>
        <v>0</v>
      </c>
      <c r="N679" s="376">
        <f>NAV!T600</f>
        <v>0</v>
      </c>
      <c r="O679" s="377">
        <f>IF(N679="장부가액 준용","장부가액 준용",IF(N679="취득원가 준용","취득원가 준용",NAV!R600))</f>
        <v>0</v>
      </c>
      <c r="P679" s="377">
        <f>NAV!W600</f>
        <v>0</v>
      </c>
      <c r="Q679" s="377">
        <f>NAV!S600</f>
        <v>0</v>
      </c>
      <c r="R679" s="737" t="str">
        <f>MID(NAV!U600,FIND("(",NAV!U600)+1,FIND(")", NAV!U600)-FIND("(",NAV!U600)-1)</f>
        <v>KRW</v>
      </c>
    </row>
    <row r="680" spans="1:18" ht="12.75" thickBot="1">
      <c r="A680" s="149">
        <f t="shared" si="81"/>
        <v>5</v>
      </c>
      <c r="B680" s="381" t="str">
        <f t="shared" si="78"/>
        <v/>
      </c>
      <c r="C680" s="380" t="str">
        <f t="shared" si="79"/>
        <v/>
      </c>
      <c r="D680" s="380" t="str">
        <f t="shared" si="80"/>
        <v/>
      </c>
      <c r="J680" s="149" t="str">
        <f>IF(L680=0,"",COUNTA(L$672:$L680)+COUNT($F$672:$F$677))</f>
        <v/>
      </c>
      <c r="K680" s="373">
        <f t="shared" si="77"/>
        <v>0</v>
      </c>
      <c r="L680" s="375">
        <f>NAV!J601</f>
        <v>0</v>
      </c>
      <c r="M680" s="376">
        <f>NAV!N601</f>
        <v>0</v>
      </c>
      <c r="N680" s="376">
        <f>NAV!T601</f>
        <v>0</v>
      </c>
      <c r="O680" s="377">
        <f>IF(N680="장부가액 준용","장부가액 준용",IF(N680="취득원가 준용","취득원가 준용",NAV!R601))</f>
        <v>0</v>
      </c>
      <c r="P680" s="377">
        <f>NAV!W601</f>
        <v>0</v>
      </c>
      <c r="Q680" s="377">
        <f>NAV!S601</f>
        <v>0</v>
      </c>
      <c r="R680" s="737" t="str">
        <f>MID(NAV!U601,FIND("(",NAV!U601)+1,FIND(")", NAV!U601)-FIND("(",NAV!U601)-1)</f>
        <v>KRW</v>
      </c>
    </row>
    <row r="681" spans="1:18" ht="12.75" thickBot="1">
      <c r="A681" s="149">
        <f t="shared" si="81"/>
        <v>6</v>
      </c>
      <c r="B681" s="381" t="str">
        <f t="shared" si="78"/>
        <v/>
      </c>
      <c r="C681" s="380" t="str">
        <f t="shared" si="79"/>
        <v/>
      </c>
      <c r="D681" s="380" t="str">
        <f t="shared" si="80"/>
        <v/>
      </c>
      <c r="J681" s="149" t="str">
        <f>IF(L681=0,"",COUNTA(L$672:$L681)+COUNT($F$672:$F$677))</f>
        <v/>
      </c>
      <c r="K681" s="373">
        <f t="shared" si="77"/>
        <v>0</v>
      </c>
      <c r="L681" s="375">
        <f>NAV!J602</f>
        <v>0</v>
      </c>
      <c r="M681" s="376">
        <f>NAV!N602</f>
        <v>0</v>
      </c>
      <c r="N681" s="376">
        <f>NAV!T602</f>
        <v>0</v>
      </c>
      <c r="O681" s="377">
        <f>IF(N681="장부가액 준용","장부가액 준용",IF(N681="취득원가 준용","취득원가 준용",NAV!R602))</f>
        <v>0</v>
      </c>
      <c r="P681" s="377">
        <f>NAV!W602</f>
        <v>0</v>
      </c>
      <c r="Q681" s="377">
        <f>NAV!S602</f>
        <v>0</v>
      </c>
      <c r="R681" s="737" t="str">
        <f>MID(NAV!U602,FIND("(",NAV!U602)+1,FIND(")", NAV!U602)-FIND("(",NAV!U602)-1)</f>
        <v>KRW</v>
      </c>
    </row>
    <row r="682" spans="1:18" ht="12.75" thickBot="1">
      <c r="A682" s="149">
        <f t="shared" si="81"/>
        <v>7</v>
      </c>
      <c r="B682" s="381" t="str">
        <f t="shared" si="78"/>
        <v/>
      </c>
      <c r="C682" s="380" t="str">
        <f t="shared" si="79"/>
        <v/>
      </c>
      <c r="D682" s="380" t="str">
        <f t="shared" si="80"/>
        <v/>
      </c>
      <c r="J682" s="149" t="str">
        <f>IF(L682=0,"",COUNTA(L$672:$L682)+COUNT($F$672:$F$677))</f>
        <v/>
      </c>
      <c r="K682" s="373">
        <f t="shared" si="77"/>
        <v>0</v>
      </c>
      <c r="L682" s="375">
        <f>NAV!J603</f>
        <v>0</v>
      </c>
      <c r="M682" s="376">
        <f>NAV!N603</f>
        <v>0</v>
      </c>
      <c r="N682" s="376">
        <f>NAV!T603</f>
        <v>0</v>
      </c>
      <c r="O682" s="377">
        <f>IF(N682="장부가액 준용","장부가액 준용",IF(N682="취득원가 준용","취득원가 준용",NAV!R603))</f>
        <v>0</v>
      </c>
      <c r="P682" s="377">
        <f>NAV!W603</f>
        <v>0</v>
      </c>
      <c r="Q682" s="377">
        <f>NAV!S603</f>
        <v>0</v>
      </c>
      <c r="R682" s="737" t="str">
        <f>MID(NAV!U603,FIND("(",NAV!U603)+1,FIND(")", NAV!U603)-FIND("(",NAV!U603)-1)</f>
        <v>KRW</v>
      </c>
    </row>
    <row r="683" spans="1:18" ht="12.75" hidden="1" customHeight="1" outlineLevel="1" thickBot="1">
      <c r="A683" s="149">
        <f t="shared" si="81"/>
        <v>8</v>
      </c>
      <c r="B683" s="381" t="str">
        <f t="shared" si="78"/>
        <v/>
      </c>
      <c r="C683" s="380" t="str">
        <f t="shared" si="79"/>
        <v/>
      </c>
      <c r="D683" s="380" t="str">
        <f t="shared" si="80"/>
        <v/>
      </c>
    </row>
    <row r="684" spans="1:18" ht="12.75" hidden="1" customHeight="1" outlineLevel="1" thickBot="1">
      <c r="A684" s="149">
        <f t="shared" si="81"/>
        <v>9</v>
      </c>
      <c r="B684" s="381" t="str">
        <f t="shared" si="78"/>
        <v/>
      </c>
      <c r="C684" s="380" t="str">
        <f t="shared" si="79"/>
        <v/>
      </c>
      <c r="D684" s="380" t="str">
        <f t="shared" si="80"/>
        <v/>
      </c>
    </row>
    <row r="685" spans="1:18" ht="12.75" hidden="1" customHeight="1" outlineLevel="1" thickBot="1">
      <c r="A685" s="149">
        <f t="shared" si="81"/>
        <v>10</v>
      </c>
      <c r="B685" s="381" t="str">
        <f t="shared" si="78"/>
        <v/>
      </c>
      <c r="C685" s="380" t="str">
        <f t="shared" si="79"/>
        <v/>
      </c>
      <c r="D685" s="380" t="str">
        <f t="shared" si="80"/>
        <v/>
      </c>
    </row>
    <row r="686" spans="1:18" ht="12.75" hidden="1" customHeight="1" outlineLevel="1" thickBot="1">
      <c r="A686" s="149">
        <f t="shared" si="81"/>
        <v>11</v>
      </c>
      <c r="B686" s="381" t="str">
        <f t="shared" si="78"/>
        <v/>
      </c>
      <c r="C686" s="380" t="str">
        <f t="shared" si="79"/>
        <v/>
      </c>
      <c r="D686" s="380" t="str">
        <f t="shared" si="80"/>
        <v/>
      </c>
    </row>
    <row r="687" spans="1:18" ht="12.75" hidden="1" customHeight="1" outlineLevel="1" thickBot="1">
      <c r="A687" s="149">
        <f t="shared" si="81"/>
        <v>12</v>
      </c>
      <c r="B687" s="381" t="str">
        <f t="shared" si="78"/>
        <v/>
      </c>
      <c r="C687" s="380" t="str">
        <f t="shared" si="79"/>
        <v/>
      </c>
      <c r="D687" s="380" t="str">
        <f t="shared" si="80"/>
        <v/>
      </c>
    </row>
    <row r="688" spans="1:18" ht="12.75" hidden="1" customHeight="1" outlineLevel="1" thickBot="1">
      <c r="A688" s="149">
        <f t="shared" si="81"/>
        <v>13</v>
      </c>
      <c r="B688" s="381" t="str">
        <f t="shared" si="78"/>
        <v/>
      </c>
      <c r="C688" s="380" t="str">
        <f t="shared" si="79"/>
        <v/>
      </c>
      <c r="D688" s="380" t="str">
        <f t="shared" si="80"/>
        <v/>
      </c>
    </row>
    <row r="689" spans="1:6" ht="12.75" hidden="1" customHeight="1" outlineLevel="1" thickBot="1">
      <c r="A689" s="149">
        <f t="shared" si="81"/>
        <v>14</v>
      </c>
      <c r="B689" s="381" t="str">
        <f t="shared" si="78"/>
        <v/>
      </c>
      <c r="C689" s="380" t="str">
        <f t="shared" si="79"/>
        <v/>
      </c>
      <c r="D689" s="380" t="str">
        <f t="shared" si="80"/>
        <v/>
      </c>
    </row>
    <row r="690" spans="1:6" ht="12.75" hidden="1" customHeight="1" outlineLevel="1" thickBot="1">
      <c r="A690" s="149">
        <f t="shared" si="81"/>
        <v>15</v>
      </c>
      <c r="B690" s="381" t="str">
        <f t="shared" si="78"/>
        <v/>
      </c>
      <c r="C690" s="380" t="str">
        <f t="shared" si="79"/>
        <v/>
      </c>
      <c r="D690" s="380" t="str">
        <f t="shared" si="80"/>
        <v/>
      </c>
    </row>
    <row r="691" spans="1:6" ht="12.75" hidden="1" customHeight="1" outlineLevel="1" thickBot="1">
      <c r="A691" s="149">
        <f t="shared" si="81"/>
        <v>16</v>
      </c>
      <c r="B691" s="381" t="str">
        <f t="shared" si="78"/>
        <v/>
      </c>
      <c r="C691" s="380" t="str">
        <f t="shared" si="79"/>
        <v/>
      </c>
      <c r="D691" s="380" t="str">
        <f t="shared" si="80"/>
        <v/>
      </c>
    </row>
    <row r="692" spans="1:6" ht="12.75" hidden="1" customHeight="1" outlineLevel="1" thickBot="1">
      <c r="A692" s="149">
        <f t="shared" si="81"/>
        <v>17</v>
      </c>
      <c r="B692" s="381" t="str">
        <f t="shared" si="78"/>
        <v/>
      </c>
      <c r="C692" s="380" t="str">
        <f t="shared" si="79"/>
        <v/>
      </c>
      <c r="D692" s="380" t="str">
        <f t="shared" si="80"/>
        <v/>
      </c>
    </row>
    <row r="693" spans="1:6" ht="12.75" collapsed="1" thickBot="1">
      <c r="B693" s="382" t="s">
        <v>2</v>
      </c>
      <c r="C693" s="372">
        <f>SUM(C672,C675)</f>
        <v>0</v>
      </c>
      <c r="D693" s="383">
        <f>SUM(D672,D675)</f>
        <v>0</v>
      </c>
    </row>
    <row r="694" spans="1:6" ht="12.75" thickBot="1">
      <c r="B694" s="382" t="s">
        <v>30</v>
      </c>
      <c r="C694" s="819">
        <f>NAV!E598</f>
        <v>0</v>
      </c>
      <c r="D694" s="820"/>
    </row>
    <row r="695" spans="1:6" ht="12.75" thickBot="1">
      <c r="B695" s="382" t="s">
        <v>31</v>
      </c>
      <c r="C695" s="819">
        <f>D693-C694</f>
        <v>0</v>
      </c>
      <c r="D695" s="820"/>
    </row>
    <row r="696" spans="1:6" ht="12.75" thickBot="1">
      <c r="B696" s="382" t="s">
        <v>745</v>
      </c>
      <c r="C696" s="819">
        <f>NAV!E603</f>
        <v>0</v>
      </c>
      <c r="D696" s="820"/>
      <c r="F696" s="217"/>
    </row>
    <row r="697" spans="1:6" ht="12.75" thickBot="1">
      <c r="B697" s="382" t="s">
        <v>965</v>
      </c>
      <c r="C697" s="819">
        <f>NAV!E604</f>
        <v>0</v>
      </c>
      <c r="D697" s="820"/>
    </row>
    <row r="698" spans="1:6" ht="12.75" thickBot="1">
      <c r="B698" s="382" t="s">
        <v>744</v>
      </c>
      <c r="C698" s="819">
        <f>NAV!E605</f>
        <v>0</v>
      </c>
      <c r="D698" s="820"/>
    </row>
    <row r="699" spans="1:6" ht="12.75" thickBot="1">
      <c r="B699" s="382" t="str">
        <f>NAV!C606</f>
        <v>보유지분율(%)</v>
      </c>
      <c r="C699" s="823">
        <f>NAV!D606</f>
        <v>0</v>
      </c>
      <c r="D699" s="824"/>
    </row>
    <row r="700" spans="1:6" ht="12.75" thickBot="1">
      <c r="B700" s="382" t="s">
        <v>746</v>
      </c>
      <c r="C700" s="825">
        <f>NAV!E606</f>
        <v>0</v>
      </c>
      <c r="D700" s="826"/>
    </row>
    <row r="706" spans="1:18">
      <c r="A706" s="149">
        <f>A668+1</f>
        <v>12</v>
      </c>
      <c r="B706" s="399" t="str">
        <f>NAV!B617</f>
        <v>SPC없음</v>
      </c>
      <c r="G706" s="399" t="str">
        <f>B706</f>
        <v>SPC없음</v>
      </c>
    </row>
    <row r="707" spans="1:18">
      <c r="B707" s="399" t="str">
        <f>NAV!C618</f>
        <v>SPC없음</v>
      </c>
      <c r="G707" s="399" t="str">
        <f>B707</f>
        <v>SPC없음</v>
      </c>
    </row>
    <row r="708" spans="1:18" ht="12.75" thickBot="1">
      <c r="B708" s="215" t="s">
        <v>750</v>
      </c>
      <c r="C708" s="216"/>
      <c r="D708" s="216"/>
      <c r="E708" s="216"/>
      <c r="F708" s="216"/>
      <c r="G708" s="215" t="s">
        <v>751</v>
      </c>
      <c r="H708" s="216"/>
      <c r="I708" s="216"/>
      <c r="K708" s="215" t="s">
        <v>752</v>
      </c>
    </row>
    <row r="709" spans="1:18" ht="12.75" thickBot="1">
      <c r="B709" s="366" t="s">
        <v>27</v>
      </c>
      <c r="C709" s="367" t="s">
        <v>28</v>
      </c>
      <c r="D709" s="367" t="s">
        <v>29</v>
      </c>
      <c r="F709" s="368" t="s">
        <v>3461</v>
      </c>
      <c r="G709" s="353" t="str">
        <f>$G$74</f>
        <v>SPC명</v>
      </c>
      <c r="H709" s="369" t="s">
        <v>3200</v>
      </c>
      <c r="I709" s="369" t="s">
        <v>753</v>
      </c>
      <c r="J709" s="368" t="s">
        <v>3461</v>
      </c>
      <c r="K709" s="353" t="s">
        <v>3440</v>
      </c>
      <c r="L709" s="353" t="str">
        <f>$L$74</f>
        <v>투자자산명</v>
      </c>
      <c r="M709" s="358" t="s">
        <v>754</v>
      </c>
      <c r="N709" s="358" t="s">
        <v>47</v>
      </c>
      <c r="O709" s="369" t="s">
        <v>749</v>
      </c>
      <c r="P709" s="400" t="s">
        <v>3460</v>
      </c>
      <c r="Q709" s="370" t="s">
        <v>3463</v>
      </c>
      <c r="R709" s="370" t="s">
        <v>6833</v>
      </c>
    </row>
    <row r="710" spans="1:18" ht="12.75" thickBot="1">
      <c r="B710" s="371" t="s">
        <v>3441</v>
      </c>
      <c r="C710" s="372">
        <f>SUM(C711:C712)</f>
        <v>0</v>
      </c>
      <c r="D710" s="372">
        <f>SUM(D711:D712)</f>
        <v>0</v>
      </c>
      <c r="F710" s="149" t="str">
        <f>IF(G710=0,"",COUNTA(G$710:$G710))</f>
        <v/>
      </c>
      <c r="G710" s="373">
        <f>IF(NAV!L623="SPC 없음",0,NAV!L623)</f>
        <v>0</v>
      </c>
      <c r="H710" s="374">
        <f>NAV!W623</f>
        <v>0</v>
      </c>
      <c r="I710" s="374" t="str">
        <f>NAV!S623</f>
        <v>SPC 없음</v>
      </c>
      <c r="J710" s="149" t="str">
        <f>IF(L710=0,"",COUNTA(L$710:$L710)+COUNT($F$710:$F$715))</f>
        <v/>
      </c>
      <c r="K710" s="373">
        <f>IF($B707="SPC없음",0,$B707)</f>
        <v>0</v>
      </c>
      <c r="L710" s="375">
        <f>NAV!J631</f>
        <v>0</v>
      </c>
      <c r="M710" s="376">
        <f>NAV!N631</f>
        <v>0</v>
      </c>
      <c r="N710" s="376">
        <f>NAV!T631</f>
        <v>0</v>
      </c>
      <c r="O710" s="377">
        <f>IF(N710="장부가액 준용","장부가액 준용",IF(N710="취득원가 준용","취득원가 준용",NAV!R631))</f>
        <v>0</v>
      </c>
      <c r="P710" s="377">
        <f>NAV!W631</f>
        <v>0</v>
      </c>
      <c r="Q710" s="377">
        <f>NAV!S631</f>
        <v>0</v>
      </c>
      <c r="R710" s="737" t="str">
        <f>MID(NAV!U631,FIND("(",NAV!U631)+1,FIND(")", NAV!U631)-FIND("(",NAV!U631)-1)</f>
        <v>KRW</v>
      </c>
    </row>
    <row r="711" spans="1:18" ht="12.75" thickBot="1">
      <c r="B711" s="379" t="s">
        <v>3485</v>
      </c>
      <c r="C711" s="380">
        <f>NAV!D624</f>
        <v>0</v>
      </c>
      <c r="D711" s="380">
        <f>NAV!E624</f>
        <v>0</v>
      </c>
      <c r="F711" s="149" t="str">
        <f>IF(G711=0,"",COUNTA(G$710:$G711))</f>
        <v/>
      </c>
      <c r="G711" s="373">
        <f>IF(NAV!L624="SPC 없음",0,NAV!L624)</f>
        <v>0</v>
      </c>
      <c r="H711" s="374">
        <f>NAV!W624</f>
        <v>0</v>
      </c>
      <c r="I711" s="374" t="str">
        <f>NAV!S624</f>
        <v>SPC 없음</v>
      </c>
      <c r="J711" s="149" t="str">
        <f>IF(L711=0,"",COUNTA(L$710:$L711)+COUNT($F$710:$F$715))</f>
        <v/>
      </c>
      <c r="K711" s="373">
        <f t="shared" ref="K711:K720" si="82">K710</f>
        <v>0</v>
      </c>
      <c r="L711" s="375">
        <f>NAV!J632</f>
        <v>0</v>
      </c>
      <c r="M711" s="376">
        <f>NAV!N632</f>
        <v>0</v>
      </c>
      <c r="N711" s="376">
        <f>NAV!T632</f>
        <v>0</v>
      </c>
      <c r="O711" s="377">
        <f>IF(N711="장부가액 준용","장부가액 준용",IF(N711="취득원가 준용","취득원가 준용",NAV!R632))</f>
        <v>0</v>
      </c>
      <c r="P711" s="377">
        <f>NAV!W632</f>
        <v>0</v>
      </c>
      <c r="Q711" s="377">
        <f>NAV!S632</f>
        <v>0</v>
      </c>
      <c r="R711" s="737" t="str">
        <f>MID(NAV!U632,FIND("(",NAV!U632)+1,FIND(")", NAV!U632)-FIND("(",NAV!U632)-1)</f>
        <v>KRW</v>
      </c>
    </row>
    <row r="712" spans="1:18" ht="12.75" thickBot="1">
      <c r="B712" s="379" t="s">
        <v>156</v>
      </c>
      <c r="C712" s="380">
        <f>NAV!D625</f>
        <v>0</v>
      </c>
      <c r="D712" s="380">
        <f>NAV!E625</f>
        <v>0</v>
      </c>
      <c r="F712" s="149" t="str">
        <f>IF(G712=0,"",COUNTA(G$710:$G712))</f>
        <v/>
      </c>
      <c r="G712" s="373">
        <f>IF(NAV!L625="SPC 없음",0,NAV!L625)</f>
        <v>0</v>
      </c>
      <c r="H712" s="374">
        <f>NAV!W625</f>
        <v>0</v>
      </c>
      <c r="I712" s="374" t="str">
        <f>NAV!S625</f>
        <v>SPC 없음</v>
      </c>
      <c r="J712" s="149" t="str">
        <f>IF(L712=0,"",COUNTA(L$710:$L712)+COUNT($F$710:$F$715))</f>
        <v/>
      </c>
      <c r="K712" s="373">
        <f t="shared" si="82"/>
        <v>0</v>
      </c>
      <c r="L712" s="375">
        <f>NAV!J633</f>
        <v>0</v>
      </c>
      <c r="M712" s="376">
        <f>NAV!N633</f>
        <v>0</v>
      </c>
      <c r="N712" s="376">
        <f>NAV!T633</f>
        <v>0</v>
      </c>
      <c r="O712" s="377">
        <f>IF(N712="장부가액 준용","장부가액 준용",IF(N712="취득원가 준용","취득원가 준용",NAV!R633))</f>
        <v>0</v>
      </c>
      <c r="P712" s="377">
        <f>NAV!W633</f>
        <v>0</v>
      </c>
      <c r="Q712" s="377">
        <f>NAV!S633</f>
        <v>0</v>
      </c>
      <c r="R712" s="737" t="str">
        <f>MID(NAV!U633,FIND("(",NAV!U633)+1,FIND(")", NAV!U633)-FIND("(",NAV!U633)-1)</f>
        <v>KRW</v>
      </c>
    </row>
    <row r="713" spans="1:18" ht="12.75" thickBot="1">
      <c r="B713" s="371" t="s">
        <v>3442</v>
      </c>
      <c r="C713" s="372">
        <f>NAV!D626</f>
        <v>0</v>
      </c>
      <c r="D713" s="372">
        <f>NAV!E626</f>
        <v>0</v>
      </c>
      <c r="F713" s="149" t="str">
        <f>IF(G713=0,"",COUNTA(G$710:$G713))</f>
        <v/>
      </c>
      <c r="G713" s="373">
        <f>IF(NAV!L626="SPC 없음",0,NAV!L626)</f>
        <v>0</v>
      </c>
      <c r="H713" s="374">
        <f>NAV!W626</f>
        <v>0</v>
      </c>
      <c r="I713" s="374" t="str">
        <f>NAV!S626</f>
        <v>SPC 없음</v>
      </c>
      <c r="J713" s="149" t="str">
        <f>IF(L713=0,"",COUNTA(L$710:$L713)+COUNT($F$710:$F$715))</f>
        <v/>
      </c>
      <c r="K713" s="373">
        <f t="shared" si="82"/>
        <v>0</v>
      </c>
      <c r="L713" s="375">
        <f>NAV!J634</f>
        <v>0</v>
      </c>
      <c r="M713" s="376">
        <f>NAV!N634</f>
        <v>0</v>
      </c>
      <c r="N713" s="376">
        <f>NAV!T634</f>
        <v>0</v>
      </c>
      <c r="O713" s="377">
        <f>IF(N713="장부가액 준용","장부가액 준용",IF(N713="취득원가 준용","취득원가 준용",NAV!R634))</f>
        <v>0</v>
      </c>
      <c r="P713" s="377">
        <f>NAV!W634</f>
        <v>0</v>
      </c>
      <c r="Q713" s="377">
        <f>NAV!S634</f>
        <v>0</v>
      </c>
      <c r="R713" s="737" t="str">
        <f>MID(NAV!U634,FIND("(",NAV!U634)+1,FIND(")", NAV!U634)-FIND("(",NAV!U634)-1)</f>
        <v>KRW</v>
      </c>
    </row>
    <row r="714" spans="1:18" ht="12.75" thickBot="1">
      <c r="A714" s="149">
        <v>1</v>
      </c>
      <c r="B714" s="381" t="str">
        <f>IFERROR(IF(F710=A714,VLOOKUP(A714,$F$709:$I$720,2,0),VLOOKUP(A714,$J$709:$Q$720,3,0)&amp;" "&amp;VLOOKUP(A714,$J$709:$Q$720,4,0)),"")</f>
        <v/>
      </c>
      <c r="C714" s="380" t="str">
        <f>IFERROR(IF(F710=A714,VLOOKUP(A714,$F$709:$I$720,3,0),VLOOKUP(A714,$J$709:$Q$720,7,0)),"")</f>
        <v/>
      </c>
      <c r="D714" s="380" t="str">
        <f>IFERROR(IF(F710=A714,VLOOKUP(A714,$F$709:$I$720,4,0),VLOOKUP(A714,$J$709:$Q$720,8,0)),"")</f>
        <v/>
      </c>
      <c r="F714" s="149" t="str">
        <f>IF(G714=0,"",COUNTA(G$710:$G714))</f>
        <v/>
      </c>
      <c r="G714" s="373">
        <f>IF(NAV!L627="SPC 없음",0,NAV!L627)</f>
        <v>0</v>
      </c>
      <c r="H714" s="374">
        <f>NAV!W627</f>
        <v>0</v>
      </c>
      <c r="I714" s="374" t="str">
        <f>NAV!S627</f>
        <v>SPC 없음</v>
      </c>
      <c r="J714" s="149" t="str">
        <f>IF(L714=0,"",COUNTA(L$710:$L714)+COUNT($F$710:$F$715))</f>
        <v/>
      </c>
      <c r="K714" s="373">
        <f t="shared" si="82"/>
        <v>0</v>
      </c>
      <c r="L714" s="375">
        <f>NAV!J635</f>
        <v>0</v>
      </c>
      <c r="M714" s="376">
        <f>NAV!N635</f>
        <v>0</v>
      </c>
      <c r="N714" s="376">
        <f>NAV!T635</f>
        <v>0</v>
      </c>
      <c r="O714" s="377">
        <f>IF(N714="장부가액 준용","장부가액 준용",IF(N714="취득원가 준용","취득원가 준용",NAV!R635))</f>
        <v>0</v>
      </c>
      <c r="P714" s="377">
        <f>NAV!W635</f>
        <v>0</v>
      </c>
      <c r="Q714" s="377">
        <f>NAV!S635</f>
        <v>0</v>
      </c>
      <c r="R714" s="737" t="str">
        <f>MID(NAV!U635,FIND("(",NAV!U635)+1,FIND(")", NAV!U635)-FIND("(",NAV!U635)-1)</f>
        <v>KRW</v>
      </c>
    </row>
    <row r="715" spans="1:18" ht="12.75" thickBot="1">
      <c r="A715" s="149">
        <f>A714+1</f>
        <v>2</v>
      </c>
      <c r="B715" s="381" t="str">
        <f t="shared" ref="B715:B730" si="83">IFERROR(IF(F711=A715,VLOOKUP(A715,$F$709:$I$720,2,0),VLOOKUP(A715,$J$709:$Q$720,3,0)&amp;" "&amp;VLOOKUP(A715,$J$709:$Q$720,4,0)),"")</f>
        <v/>
      </c>
      <c r="C715" s="380" t="str">
        <f t="shared" ref="C715:C730" si="84">IFERROR(IF(F711=A715,VLOOKUP(A715,$F$709:$I$720,3,0),VLOOKUP(A715,$J$709:$Q$720,7,0)),"")</f>
        <v/>
      </c>
      <c r="D715" s="380" t="str">
        <f t="shared" ref="D715:D730" si="85">IFERROR(IF(F711=A715,VLOOKUP(A715,$F$709:$I$720,4,0),VLOOKUP(A715,$J$709:$Q$720,8,0)),"")</f>
        <v/>
      </c>
      <c r="F715" s="149" t="str">
        <f>IF(G715=0,"",COUNTA(G$710:$G715))</f>
        <v/>
      </c>
      <c r="G715" s="373">
        <f>IF(NAV!L628="SPC 없음",0,NAV!L628)</f>
        <v>0</v>
      </c>
      <c r="H715" s="374">
        <f>NAV!W628</f>
        <v>0</v>
      </c>
      <c r="I715" s="374" t="str">
        <f>NAV!S628</f>
        <v>SPC 없음</v>
      </c>
      <c r="J715" s="149" t="str">
        <f>IF(L715=0,"",COUNTA(L$710:$L715)+COUNT($F$710:$F$715))</f>
        <v/>
      </c>
      <c r="K715" s="373">
        <f t="shared" si="82"/>
        <v>0</v>
      </c>
      <c r="L715" s="375">
        <f>NAV!J636</f>
        <v>0</v>
      </c>
      <c r="M715" s="376">
        <f>NAV!N636</f>
        <v>0</v>
      </c>
      <c r="N715" s="376">
        <f>NAV!T636</f>
        <v>0</v>
      </c>
      <c r="O715" s="377">
        <f>IF(N715="장부가액 준용","장부가액 준용",IF(N715="취득원가 준용","취득원가 준용",NAV!R636))</f>
        <v>0</v>
      </c>
      <c r="P715" s="377">
        <f>NAV!W636</f>
        <v>0</v>
      </c>
      <c r="Q715" s="377">
        <f>NAV!S636</f>
        <v>0</v>
      </c>
      <c r="R715" s="737" t="str">
        <f>MID(NAV!U636,FIND("(",NAV!U636)+1,FIND(")", NAV!U636)-FIND("(",NAV!U636)-1)</f>
        <v>KRW</v>
      </c>
    </row>
    <row r="716" spans="1:18" ht="12.75" thickBot="1">
      <c r="A716" s="149">
        <f t="shared" ref="A716:A730" si="86">A715+1</f>
        <v>3</v>
      </c>
      <c r="B716" s="381" t="str">
        <f t="shared" si="83"/>
        <v/>
      </c>
      <c r="C716" s="380" t="str">
        <f t="shared" si="84"/>
        <v/>
      </c>
      <c r="D716" s="380" t="str">
        <f t="shared" si="85"/>
        <v/>
      </c>
      <c r="J716" s="149" t="str">
        <f>IF(L716=0,"",COUNTA(L$710:$L716)+COUNT($F$710:$F$715))</f>
        <v/>
      </c>
      <c r="K716" s="373">
        <f t="shared" si="82"/>
        <v>0</v>
      </c>
      <c r="L716" s="375">
        <f>NAV!J637</f>
        <v>0</v>
      </c>
      <c r="M716" s="376">
        <f>NAV!N637</f>
        <v>0</v>
      </c>
      <c r="N716" s="376">
        <f>NAV!T637</f>
        <v>0</v>
      </c>
      <c r="O716" s="377">
        <f>IF(N716="장부가액 준용","장부가액 준용",IF(N716="취득원가 준용","취득원가 준용",NAV!R637))</f>
        <v>0</v>
      </c>
      <c r="P716" s="377">
        <f>NAV!W637</f>
        <v>0</v>
      </c>
      <c r="Q716" s="377">
        <f>NAV!S637</f>
        <v>0</v>
      </c>
      <c r="R716" s="737" t="str">
        <f>MID(NAV!U637,FIND("(",NAV!U637)+1,FIND(")", NAV!U637)-FIND("(",NAV!U637)-1)</f>
        <v>KRW</v>
      </c>
    </row>
    <row r="717" spans="1:18" ht="12.75" thickBot="1">
      <c r="A717" s="149">
        <f t="shared" si="86"/>
        <v>4</v>
      </c>
      <c r="B717" s="381" t="str">
        <f t="shared" si="83"/>
        <v/>
      </c>
      <c r="C717" s="380" t="str">
        <f t="shared" si="84"/>
        <v/>
      </c>
      <c r="D717" s="380" t="str">
        <f t="shared" si="85"/>
        <v/>
      </c>
      <c r="J717" s="149" t="str">
        <f>IF(L717=0,"",COUNTA(L$710:$L717)+COUNT($F$710:$F$715))</f>
        <v/>
      </c>
      <c r="K717" s="373">
        <f t="shared" si="82"/>
        <v>0</v>
      </c>
      <c r="L717" s="375">
        <f>NAV!J638</f>
        <v>0</v>
      </c>
      <c r="M717" s="376">
        <f>NAV!N638</f>
        <v>0</v>
      </c>
      <c r="N717" s="376">
        <f>NAV!T638</f>
        <v>0</v>
      </c>
      <c r="O717" s="377">
        <f>IF(N717="장부가액 준용","장부가액 준용",IF(N717="취득원가 준용","취득원가 준용",NAV!R638))</f>
        <v>0</v>
      </c>
      <c r="P717" s="377">
        <f>NAV!W638</f>
        <v>0</v>
      </c>
      <c r="Q717" s="377">
        <f>NAV!S638</f>
        <v>0</v>
      </c>
      <c r="R717" s="737" t="str">
        <f>MID(NAV!U638,FIND("(",NAV!U638)+1,FIND(")", NAV!U638)-FIND("(",NAV!U638)-1)</f>
        <v>KRW</v>
      </c>
    </row>
    <row r="718" spans="1:18" ht="12.75" thickBot="1">
      <c r="A718" s="149">
        <f t="shared" si="86"/>
        <v>5</v>
      </c>
      <c r="B718" s="381" t="str">
        <f t="shared" si="83"/>
        <v/>
      </c>
      <c r="C718" s="380" t="str">
        <f t="shared" si="84"/>
        <v/>
      </c>
      <c r="D718" s="380" t="str">
        <f t="shared" si="85"/>
        <v/>
      </c>
      <c r="J718" s="149" t="str">
        <f>IF(L718=0,"",COUNTA(L$710:$L718)+COUNT($F$710:$F$715))</f>
        <v/>
      </c>
      <c r="K718" s="373">
        <f t="shared" si="82"/>
        <v>0</v>
      </c>
      <c r="L718" s="375">
        <f>NAV!J639</f>
        <v>0</v>
      </c>
      <c r="M718" s="376">
        <f>NAV!N639</f>
        <v>0</v>
      </c>
      <c r="N718" s="376">
        <f>NAV!T639</f>
        <v>0</v>
      </c>
      <c r="O718" s="377">
        <f>IF(N718="장부가액 준용","장부가액 준용",IF(N718="취득원가 준용","취득원가 준용",NAV!R639))</f>
        <v>0</v>
      </c>
      <c r="P718" s="377">
        <f>NAV!W639</f>
        <v>0</v>
      </c>
      <c r="Q718" s="377">
        <f>NAV!S639</f>
        <v>0</v>
      </c>
      <c r="R718" s="737" t="str">
        <f>MID(NAV!U639,FIND("(",NAV!U639)+1,FIND(")", NAV!U639)-FIND("(",NAV!U639)-1)</f>
        <v>KRW</v>
      </c>
    </row>
    <row r="719" spans="1:18" ht="12.75" thickBot="1">
      <c r="A719" s="149">
        <f t="shared" si="86"/>
        <v>6</v>
      </c>
      <c r="B719" s="381" t="str">
        <f t="shared" si="83"/>
        <v/>
      </c>
      <c r="C719" s="380" t="str">
        <f t="shared" si="84"/>
        <v/>
      </c>
      <c r="D719" s="380" t="str">
        <f t="shared" si="85"/>
        <v/>
      </c>
      <c r="J719" s="149" t="str">
        <f>IF(L719=0,"",COUNTA(L$710:$L719)+COUNT($F$710:$F$715))</f>
        <v/>
      </c>
      <c r="K719" s="373">
        <f t="shared" si="82"/>
        <v>0</v>
      </c>
      <c r="L719" s="375">
        <f>NAV!J640</f>
        <v>0</v>
      </c>
      <c r="M719" s="376">
        <f>NAV!N640</f>
        <v>0</v>
      </c>
      <c r="N719" s="376">
        <f>NAV!T640</f>
        <v>0</v>
      </c>
      <c r="O719" s="377">
        <f>IF(N719="장부가액 준용","장부가액 준용",IF(N719="취득원가 준용","취득원가 준용",NAV!R640))</f>
        <v>0</v>
      </c>
      <c r="P719" s="377">
        <f>NAV!W640</f>
        <v>0</v>
      </c>
      <c r="Q719" s="377">
        <f>NAV!S640</f>
        <v>0</v>
      </c>
      <c r="R719" s="737" t="str">
        <f>MID(NAV!U640,FIND("(",NAV!U640)+1,FIND(")", NAV!U640)-FIND("(",NAV!U640)-1)</f>
        <v>KRW</v>
      </c>
    </row>
    <row r="720" spans="1:18" ht="12.75" thickBot="1">
      <c r="A720" s="149">
        <f t="shared" si="86"/>
        <v>7</v>
      </c>
      <c r="B720" s="381" t="str">
        <f t="shared" si="83"/>
        <v/>
      </c>
      <c r="C720" s="380" t="str">
        <f t="shared" si="84"/>
        <v/>
      </c>
      <c r="D720" s="380" t="str">
        <f t="shared" si="85"/>
        <v/>
      </c>
      <c r="J720" s="149" t="str">
        <f>IF(L720=0,"",COUNTA(L$710:$L720)+COUNT($F$710:$F$715))</f>
        <v/>
      </c>
      <c r="K720" s="373">
        <f t="shared" si="82"/>
        <v>0</v>
      </c>
      <c r="L720" s="375">
        <f>NAV!J641</f>
        <v>0</v>
      </c>
      <c r="M720" s="376">
        <f>NAV!N641</f>
        <v>0</v>
      </c>
      <c r="N720" s="376">
        <f>NAV!T641</f>
        <v>0</v>
      </c>
      <c r="O720" s="377">
        <f>IF(N720="장부가액 준용","장부가액 준용",IF(N720="취득원가 준용","취득원가 준용",NAV!R641))</f>
        <v>0</v>
      </c>
      <c r="P720" s="377">
        <f>NAV!W641</f>
        <v>0</v>
      </c>
      <c r="Q720" s="377">
        <f>NAV!S641</f>
        <v>0</v>
      </c>
      <c r="R720" s="737" t="str">
        <f>MID(NAV!U641,FIND("(",NAV!U641)+1,FIND(")", NAV!U641)-FIND("(",NAV!U641)-1)</f>
        <v>KRW</v>
      </c>
    </row>
    <row r="721" spans="1:6" ht="12.75" hidden="1" customHeight="1" outlineLevel="1" thickBot="1">
      <c r="A721" s="149">
        <f t="shared" si="86"/>
        <v>8</v>
      </c>
      <c r="B721" s="381" t="str">
        <f t="shared" si="83"/>
        <v/>
      </c>
      <c r="C721" s="380" t="str">
        <f t="shared" si="84"/>
        <v/>
      </c>
      <c r="D721" s="380" t="str">
        <f t="shared" si="85"/>
        <v/>
      </c>
    </row>
    <row r="722" spans="1:6" ht="12.75" hidden="1" customHeight="1" outlineLevel="1" thickBot="1">
      <c r="A722" s="149">
        <f t="shared" si="86"/>
        <v>9</v>
      </c>
      <c r="B722" s="381" t="str">
        <f t="shared" si="83"/>
        <v/>
      </c>
      <c r="C722" s="380" t="str">
        <f t="shared" si="84"/>
        <v/>
      </c>
      <c r="D722" s="380" t="str">
        <f t="shared" si="85"/>
        <v/>
      </c>
    </row>
    <row r="723" spans="1:6" ht="12.75" hidden="1" customHeight="1" outlineLevel="1" thickBot="1">
      <c r="A723" s="149">
        <f t="shared" si="86"/>
        <v>10</v>
      </c>
      <c r="B723" s="381" t="str">
        <f t="shared" si="83"/>
        <v/>
      </c>
      <c r="C723" s="380" t="str">
        <f t="shared" si="84"/>
        <v/>
      </c>
      <c r="D723" s="380" t="str">
        <f t="shared" si="85"/>
        <v/>
      </c>
    </row>
    <row r="724" spans="1:6" ht="12.75" hidden="1" customHeight="1" outlineLevel="1" thickBot="1">
      <c r="A724" s="149">
        <f t="shared" si="86"/>
        <v>11</v>
      </c>
      <c r="B724" s="381" t="str">
        <f t="shared" si="83"/>
        <v/>
      </c>
      <c r="C724" s="380" t="str">
        <f t="shared" si="84"/>
        <v/>
      </c>
      <c r="D724" s="380" t="str">
        <f t="shared" si="85"/>
        <v/>
      </c>
    </row>
    <row r="725" spans="1:6" ht="12.75" hidden="1" customHeight="1" outlineLevel="1" thickBot="1">
      <c r="A725" s="149">
        <f t="shared" si="86"/>
        <v>12</v>
      </c>
      <c r="B725" s="381" t="str">
        <f t="shared" si="83"/>
        <v/>
      </c>
      <c r="C725" s="380" t="str">
        <f t="shared" si="84"/>
        <v/>
      </c>
      <c r="D725" s="380" t="str">
        <f t="shared" si="85"/>
        <v/>
      </c>
    </row>
    <row r="726" spans="1:6" ht="12.75" hidden="1" customHeight="1" outlineLevel="1" thickBot="1">
      <c r="A726" s="149">
        <f t="shared" si="86"/>
        <v>13</v>
      </c>
      <c r="B726" s="381" t="str">
        <f t="shared" si="83"/>
        <v/>
      </c>
      <c r="C726" s="380" t="str">
        <f t="shared" si="84"/>
        <v/>
      </c>
      <c r="D726" s="380" t="str">
        <f t="shared" si="85"/>
        <v/>
      </c>
    </row>
    <row r="727" spans="1:6" ht="12.75" hidden="1" customHeight="1" outlineLevel="1" thickBot="1">
      <c r="A727" s="149">
        <f t="shared" si="86"/>
        <v>14</v>
      </c>
      <c r="B727" s="381" t="str">
        <f t="shared" si="83"/>
        <v/>
      </c>
      <c r="C727" s="380" t="str">
        <f t="shared" si="84"/>
        <v/>
      </c>
      <c r="D727" s="380" t="str">
        <f t="shared" si="85"/>
        <v/>
      </c>
    </row>
    <row r="728" spans="1:6" ht="12.75" hidden="1" customHeight="1" outlineLevel="1" thickBot="1">
      <c r="A728" s="149">
        <f t="shared" si="86"/>
        <v>15</v>
      </c>
      <c r="B728" s="381" t="str">
        <f t="shared" si="83"/>
        <v/>
      </c>
      <c r="C728" s="380" t="str">
        <f t="shared" si="84"/>
        <v/>
      </c>
      <c r="D728" s="380" t="str">
        <f t="shared" si="85"/>
        <v/>
      </c>
    </row>
    <row r="729" spans="1:6" ht="12.75" hidden="1" customHeight="1" outlineLevel="1" thickBot="1">
      <c r="A729" s="149">
        <f t="shared" si="86"/>
        <v>16</v>
      </c>
      <c r="B729" s="381" t="str">
        <f t="shared" si="83"/>
        <v/>
      </c>
      <c r="C729" s="380" t="str">
        <f t="shared" si="84"/>
        <v/>
      </c>
      <c r="D729" s="380" t="str">
        <f t="shared" si="85"/>
        <v/>
      </c>
    </row>
    <row r="730" spans="1:6" ht="12.75" hidden="1" customHeight="1" outlineLevel="1" thickBot="1">
      <c r="A730" s="149">
        <f t="shared" si="86"/>
        <v>17</v>
      </c>
      <c r="B730" s="381" t="str">
        <f t="shared" si="83"/>
        <v/>
      </c>
      <c r="C730" s="380" t="str">
        <f t="shared" si="84"/>
        <v/>
      </c>
      <c r="D730" s="380" t="str">
        <f t="shared" si="85"/>
        <v/>
      </c>
    </row>
    <row r="731" spans="1:6" ht="12.75" collapsed="1" thickBot="1">
      <c r="B731" s="382" t="s">
        <v>2</v>
      </c>
      <c r="C731" s="372">
        <f>SUM(C710,C713)</f>
        <v>0</v>
      </c>
      <c r="D731" s="383">
        <f>SUM(D710,D713)</f>
        <v>0</v>
      </c>
    </row>
    <row r="732" spans="1:6" ht="12.75" thickBot="1">
      <c r="B732" s="382" t="s">
        <v>30</v>
      </c>
      <c r="C732" s="819">
        <f>NAV!E636</f>
        <v>0</v>
      </c>
      <c r="D732" s="820"/>
    </row>
    <row r="733" spans="1:6" ht="12.75" thickBot="1">
      <c r="B733" s="382" t="s">
        <v>31</v>
      </c>
      <c r="C733" s="819">
        <f>D731-C732</f>
        <v>0</v>
      </c>
      <c r="D733" s="820"/>
    </row>
    <row r="734" spans="1:6" ht="12.75" thickBot="1">
      <c r="B734" s="382" t="s">
        <v>3486</v>
      </c>
      <c r="C734" s="819">
        <f>NAV!E641</f>
        <v>0</v>
      </c>
      <c r="D734" s="820"/>
      <c r="F734" s="217"/>
    </row>
    <row r="735" spans="1:6" ht="12.75" thickBot="1">
      <c r="B735" s="382" t="s">
        <v>965</v>
      </c>
      <c r="C735" s="819">
        <f>NAV!E642</f>
        <v>0</v>
      </c>
      <c r="D735" s="820"/>
    </row>
    <row r="736" spans="1:6" ht="12.75" thickBot="1">
      <c r="B736" s="382" t="s">
        <v>744</v>
      </c>
      <c r="C736" s="819">
        <f>NAV!E643</f>
        <v>0</v>
      </c>
      <c r="D736" s="820"/>
    </row>
    <row r="737" spans="1:18" ht="12.75" thickBot="1">
      <c r="B737" s="382" t="str">
        <f>NAV!C644</f>
        <v>보유지분율(%)</v>
      </c>
      <c r="C737" s="823">
        <f>NAV!D644</f>
        <v>0</v>
      </c>
      <c r="D737" s="824"/>
    </row>
    <row r="738" spans="1:18" ht="12.75" thickBot="1">
      <c r="B738" s="382" t="s">
        <v>3488</v>
      </c>
      <c r="C738" s="825">
        <f>NAV!E644</f>
        <v>0</v>
      </c>
      <c r="D738" s="826"/>
    </row>
    <row r="744" spans="1:18">
      <c r="A744" s="149">
        <f>A706+1</f>
        <v>13</v>
      </c>
      <c r="B744" s="399" t="str">
        <f>NAV!B655</f>
        <v>SPC없음</v>
      </c>
      <c r="G744" s="399" t="str">
        <f>B744</f>
        <v>SPC없음</v>
      </c>
    </row>
    <row r="745" spans="1:18">
      <c r="B745" s="399" t="str">
        <f>NAV!C656</f>
        <v>SPC없음</v>
      </c>
      <c r="G745" s="399" t="str">
        <f>B745</f>
        <v>SPC없음</v>
      </c>
    </row>
    <row r="746" spans="1:18" ht="12.75" thickBot="1">
      <c r="B746" s="215" t="s">
        <v>750</v>
      </c>
      <c r="C746" s="216"/>
      <c r="D746" s="216"/>
      <c r="E746" s="216"/>
      <c r="F746" s="216"/>
      <c r="G746" s="215" t="s">
        <v>751</v>
      </c>
      <c r="H746" s="216"/>
      <c r="I746" s="216"/>
      <c r="K746" s="215" t="s">
        <v>752</v>
      </c>
    </row>
    <row r="747" spans="1:18" ht="12.75" thickBot="1">
      <c r="B747" s="366" t="s">
        <v>27</v>
      </c>
      <c r="C747" s="367" t="s">
        <v>28</v>
      </c>
      <c r="D747" s="367" t="s">
        <v>29</v>
      </c>
      <c r="F747" s="368" t="s">
        <v>3461</v>
      </c>
      <c r="G747" s="353" t="str">
        <f>$G$74</f>
        <v>SPC명</v>
      </c>
      <c r="H747" s="369" t="s">
        <v>3200</v>
      </c>
      <c r="I747" s="369" t="s">
        <v>753</v>
      </c>
      <c r="J747" s="368" t="s">
        <v>3461</v>
      </c>
      <c r="K747" s="353" t="s">
        <v>3440</v>
      </c>
      <c r="L747" s="353" t="str">
        <f>$L$74</f>
        <v>투자자산명</v>
      </c>
      <c r="M747" s="358" t="s">
        <v>754</v>
      </c>
      <c r="N747" s="358" t="s">
        <v>47</v>
      </c>
      <c r="O747" s="369" t="s">
        <v>749</v>
      </c>
      <c r="P747" s="400" t="s">
        <v>3460</v>
      </c>
      <c r="Q747" s="370" t="s">
        <v>3463</v>
      </c>
      <c r="R747" s="370" t="s">
        <v>6834</v>
      </c>
    </row>
    <row r="748" spans="1:18" ht="12.75" thickBot="1">
      <c r="B748" s="371" t="s">
        <v>3441</v>
      </c>
      <c r="C748" s="372">
        <f>SUM(C749:C750)</f>
        <v>0</v>
      </c>
      <c r="D748" s="372">
        <f>SUM(D749:D750)</f>
        <v>0</v>
      </c>
      <c r="F748" s="149" t="str">
        <f>IF(G748=0,"",COUNTA(G$748:$G748))</f>
        <v/>
      </c>
      <c r="G748" s="373">
        <f>IF(NAV!L661="SPC 없음",0,NAV!L661)</f>
        <v>0</v>
      </c>
      <c r="H748" s="374">
        <f>NAV!W661</f>
        <v>0</v>
      </c>
      <c r="I748" s="374" t="str">
        <f>NAV!S661</f>
        <v>SPC 없음</v>
      </c>
      <c r="J748" s="149" t="str">
        <f>IF(L748=0,"",COUNTA(L$748:$L748)+COUNT($F$748:$F$753))</f>
        <v/>
      </c>
      <c r="K748" s="373">
        <f>IF($B745="SPC없음",0,$B745)</f>
        <v>0</v>
      </c>
      <c r="L748" s="375">
        <f>NAV!J669</f>
        <v>0</v>
      </c>
      <c r="M748" s="376">
        <f>NAV!N669</f>
        <v>0</v>
      </c>
      <c r="N748" s="376">
        <f>NAV!T669</f>
        <v>0</v>
      </c>
      <c r="O748" s="377">
        <f>IF(N748="장부가액 준용","장부가액 준용",IF(N748="취득원가 준용","취득원가 준용",NAV!R669))</f>
        <v>0</v>
      </c>
      <c r="P748" s="377">
        <f>NAV!W669</f>
        <v>0</v>
      </c>
      <c r="Q748" s="377">
        <f>NAV!S669</f>
        <v>0</v>
      </c>
      <c r="R748" s="737" t="str">
        <f>MID(NAV!U669,FIND("(",NAV!U669)+1,FIND(")", NAV!U669)-FIND("(",NAV!U669)-1)</f>
        <v>KRW</v>
      </c>
    </row>
    <row r="749" spans="1:18" ht="12.75" thickBot="1">
      <c r="B749" s="379" t="s">
        <v>3443</v>
      </c>
      <c r="C749" s="380">
        <f>NAV!D662</f>
        <v>0</v>
      </c>
      <c r="D749" s="380">
        <f>NAV!E662</f>
        <v>0</v>
      </c>
      <c r="F749" s="149" t="str">
        <f>IF(G749=0,"",COUNTA(G$748:$G749))</f>
        <v/>
      </c>
      <c r="G749" s="373">
        <f>IF(NAV!L662="SPC 없음",0,NAV!L662)</f>
        <v>0</v>
      </c>
      <c r="H749" s="374">
        <f>NAV!W662</f>
        <v>0</v>
      </c>
      <c r="I749" s="374" t="str">
        <f>NAV!S662</f>
        <v>SPC 없음</v>
      </c>
      <c r="J749" s="149" t="str">
        <f>IF(L749=0,"",COUNTA(L$748:$L749)+COUNT($F$748:$F$753))</f>
        <v/>
      </c>
      <c r="K749" s="373">
        <f t="shared" ref="K749:K758" si="87">K748</f>
        <v>0</v>
      </c>
      <c r="L749" s="375">
        <f>NAV!J670</f>
        <v>0</v>
      </c>
      <c r="M749" s="376">
        <f>NAV!N670</f>
        <v>0</v>
      </c>
      <c r="N749" s="376">
        <f>NAV!T670</f>
        <v>0</v>
      </c>
      <c r="O749" s="377">
        <f>IF(N749="장부가액 준용","장부가액 준용",IF(N749="취득원가 준용","취득원가 준용",NAV!R670))</f>
        <v>0</v>
      </c>
      <c r="P749" s="377">
        <f>NAV!W670</f>
        <v>0</v>
      </c>
      <c r="Q749" s="377">
        <f>NAV!S670</f>
        <v>0</v>
      </c>
      <c r="R749" s="737" t="str">
        <f>MID(NAV!U670,FIND("(",NAV!U670)+1,FIND(")", NAV!U670)-FIND("(",NAV!U670)-1)</f>
        <v>KRW</v>
      </c>
    </row>
    <row r="750" spans="1:18" ht="12.75" thickBot="1">
      <c r="B750" s="379" t="s">
        <v>156</v>
      </c>
      <c r="C750" s="380">
        <f>NAV!D663</f>
        <v>0</v>
      </c>
      <c r="D750" s="380">
        <f>NAV!E663</f>
        <v>0</v>
      </c>
      <c r="F750" s="149" t="str">
        <f>IF(G750=0,"",COUNTA(G$748:$G750))</f>
        <v/>
      </c>
      <c r="G750" s="373">
        <f>IF(NAV!L663="SPC 없음",0,NAV!L663)</f>
        <v>0</v>
      </c>
      <c r="H750" s="374">
        <f>NAV!W663</f>
        <v>0</v>
      </c>
      <c r="I750" s="374" t="str">
        <f>NAV!S663</f>
        <v>SPC 없음</v>
      </c>
      <c r="J750" s="149" t="str">
        <f>IF(L750=0,"",COUNTA(L$748:$L750)+COUNT($F$748:$F$753))</f>
        <v/>
      </c>
      <c r="K750" s="373">
        <f t="shared" si="87"/>
        <v>0</v>
      </c>
      <c r="L750" s="375">
        <f>NAV!J671</f>
        <v>0</v>
      </c>
      <c r="M750" s="376">
        <f>NAV!N671</f>
        <v>0</v>
      </c>
      <c r="N750" s="376">
        <f>NAV!T671</f>
        <v>0</v>
      </c>
      <c r="O750" s="377">
        <f>IF(N750="장부가액 준용","장부가액 준용",IF(N750="취득원가 준용","취득원가 준용",NAV!R671))</f>
        <v>0</v>
      </c>
      <c r="P750" s="377">
        <f>NAV!W671</f>
        <v>0</v>
      </c>
      <c r="Q750" s="377">
        <f>NAV!S671</f>
        <v>0</v>
      </c>
      <c r="R750" s="737" t="str">
        <f>MID(NAV!U671,FIND("(",NAV!U671)+1,FIND(")", NAV!U671)-FIND("(",NAV!U671)-1)</f>
        <v>KRW</v>
      </c>
    </row>
    <row r="751" spans="1:18" ht="12.75" thickBot="1">
      <c r="B751" s="371" t="s">
        <v>3442</v>
      </c>
      <c r="C751" s="372">
        <f>NAV!D664</f>
        <v>0</v>
      </c>
      <c r="D751" s="372">
        <f>NAV!E664</f>
        <v>0</v>
      </c>
      <c r="F751" s="149" t="str">
        <f>IF(G751=0,"",COUNTA(G$748:$G751))</f>
        <v/>
      </c>
      <c r="G751" s="373">
        <f>IF(NAV!L664="SPC 없음",0,NAV!L664)</f>
        <v>0</v>
      </c>
      <c r="H751" s="374">
        <f>NAV!W664</f>
        <v>0</v>
      </c>
      <c r="I751" s="374" t="str">
        <f>NAV!S664</f>
        <v>SPC 없음</v>
      </c>
      <c r="J751" s="149" t="str">
        <f>IF(L751=0,"",COUNTA(L$748:$L751)+COUNT($F$748:$F$753))</f>
        <v/>
      </c>
      <c r="K751" s="373">
        <f t="shared" si="87"/>
        <v>0</v>
      </c>
      <c r="L751" s="375">
        <f>NAV!J672</f>
        <v>0</v>
      </c>
      <c r="M751" s="376">
        <f>NAV!N672</f>
        <v>0</v>
      </c>
      <c r="N751" s="376">
        <f>NAV!T672</f>
        <v>0</v>
      </c>
      <c r="O751" s="377">
        <f>IF(N751="장부가액 준용","장부가액 준용",IF(N751="취득원가 준용","취득원가 준용",NAV!R672))</f>
        <v>0</v>
      </c>
      <c r="P751" s="377">
        <f>NAV!W672</f>
        <v>0</v>
      </c>
      <c r="Q751" s="377">
        <f>NAV!S672</f>
        <v>0</v>
      </c>
      <c r="R751" s="737" t="str">
        <f>MID(NAV!U672,FIND("(",NAV!U672)+1,FIND(")", NAV!U672)-FIND("(",NAV!U672)-1)</f>
        <v>KRW</v>
      </c>
    </row>
    <row r="752" spans="1:18" ht="12.75" thickBot="1">
      <c r="A752" s="149">
        <v>1</v>
      </c>
      <c r="B752" s="381" t="str">
        <f>IFERROR(IF(F748=A752,VLOOKUP(A752,$F$747:$I$758,2,0),VLOOKUP(A752,$J$747:$Q$758,3,0)&amp;" "&amp;VLOOKUP(A752,$J$747:$Q$758,4,0)),"")</f>
        <v/>
      </c>
      <c r="C752" s="380" t="str">
        <f>IFERROR(IF(F748=A752,VLOOKUP(A752,$F$747:$I$758,3,0),VLOOKUP(A752,$J$747:$Q$758,7,0)),"")</f>
        <v/>
      </c>
      <c r="D752" s="380" t="str">
        <f>IFERROR(IF(F748=A752,VLOOKUP(A752,$F$747:$I$758,4,0),VLOOKUP(A752,$J$747:$Q$758,8,0)),"")</f>
        <v/>
      </c>
      <c r="F752" s="149" t="str">
        <f>IF(G752=0,"",COUNTA(G$748:$G752))</f>
        <v/>
      </c>
      <c r="G752" s="373">
        <f>IF(NAV!L665="SPC 없음",0,NAV!L665)</f>
        <v>0</v>
      </c>
      <c r="H752" s="374">
        <f>NAV!W665</f>
        <v>0</v>
      </c>
      <c r="I752" s="374" t="str">
        <f>NAV!S665</f>
        <v>SPC 없음</v>
      </c>
      <c r="J752" s="149" t="str">
        <f>IF(L752=0,"",COUNTA(L$748:$L752)+COUNT($F$748:$F$753))</f>
        <v/>
      </c>
      <c r="K752" s="373">
        <f t="shared" si="87"/>
        <v>0</v>
      </c>
      <c r="L752" s="375">
        <f>NAV!J673</f>
        <v>0</v>
      </c>
      <c r="M752" s="376">
        <f>NAV!N673</f>
        <v>0</v>
      </c>
      <c r="N752" s="376">
        <f>NAV!T673</f>
        <v>0</v>
      </c>
      <c r="O752" s="377">
        <f>IF(N752="장부가액 준용","장부가액 준용",IF(N752="취득원가 준용","취득원가 준용",NAV!R673))</f>
        <v>0</v>
      </c>
      <c r="P752" s="377">
        <f>NAV!W673</f>
        <v>0</v>
      </c>
      <c r="Q752" s="377">
        <f>NAV!S673</f>
        <v>0</v>
      </c>
      <c r="R752" s="737" t="str">
        <f>MID(NAV!U673,FIND("(",NAV!U673)+1,FIND(")", NAV!U673)-FIND("(",NAV!U673)-1)</f>
        <v>KRW</v>
      </c>
    </row>
    <row r="753" spans="1:18" ht="12.75" thickBot="1">
      <c r="A753" s="149">
        <f>A752+1</f>
        <v>2</v>
      </c>
      <c r="B753" s="381" t="str">
        <f t="shared" ref="B753:B768" si="88">IFERROR(IF(F749=A753,VLOOKUP(A753,$F$747:$I$758,2,0),VLOOKUP(A753,$J$747:$Q$758,3,0)&amp;" "&amp;VLOOKUP(A753,$J$747:$Q$758,4,0)),"")</f>
        <v/>
      </c>
      <c r="C753" s="380" t="str">
        <f t="shared" ref="C753:C768" si="89">IFERROR(IF(F749=A753,VLOOKUP(A753,$F$747:$I$758,3,0),VLOOKUP(A753,$J$747:$Q$758,7,0)),"")</f>
        <v/>
      </c>
      <c r="D753" s="380" t="str">
        <f t="shared" ref="D753:D768" si="90">IFERROR(IF(F749=A753,VLOOKUP(A753,$F$747:$I$758,4,0),VLOOKUP(A753,$J$747:$Q$758,8,0)),"")</f>
        <v/>
      </c>
      <c r="F753" s="149" t="str">
        <f>IF(G753=0,"",COUNTA(G$748:$G753))</f>
        <v/>
      </c>
      <c r="G753" s="373">
        <f>IF(NAV!L666="SPC 없음",0,NAV!L666)</f>
        <v>0</v>
      </c>
      <c r="H753" s="374">
        <f>NAV!W666</f>
        <v>0</v>
      </c>
      <c r="I753" s="374" t="str">
        <f>NAV!S666</f>
        <v>SPC 없음</v>
      </c>
      <c r="J753" s="149" t="str">
        <f>IF(L753=0,"",COUNTA(L$748:$L753)+COUNT($F$748:$F$753))</f>
        <v/>
      </c>
      <c r="K753" s="373">
        <f t="shared" si="87"/>
        <v>0</v>
      </c>
      <c r="L753" s="375">
        <f>NAV!J674</f>
        <v>0</v>
      </c>
      <c r="M753" s="376">
        <f>NAV!N674</f>
        <v>0</v>
      </c>
      <c r="N753" s="376">
        <f>NAV!T674</f>
        <v>0</v>
      </c>
      <c r="O753" s="377">
        <f>IF(N753="장부가액 준용","장부가액 준용",IF(N753="취득원가 준용","취득원가 준용",NAV!R674))</f>
        <v>0</v>
      </c>
      <c r="P753" s="377">
        <f>NAV!W674</f>
        <v>0</v>
      </c>
      <c r="Q753" s="377">
        <f>NAV!S674</f>
        <v>0</v>
      </c>
      <c r="R753" s="737" t="str">
        <f>MID(NAV!U674,FIND("(",NAV!U674)+1,FIND(")", NAV!U674)-FIND("(",NAV!U674)-1)</f>
        <v>KRW</v>
      </c>
    </row>
    <row r="754" spans="1:18" ht="12.75" thickBot="1">
      <c r="A754" s="149">
        <f t="shared" ref="A754:A768" si="91">A753+1</f>
        <v>3</v>
      </c>
      <c r="B754" s="381" t="str">
        <f t="shared" si="88"/>
        <v/>
      </c>
      <c r="C754" s="380" t="str">
        <f t="shared" si="89"/>
        <v/>
      </c>
      <c r="D754" s="380" t="str">
        <f t="shared" si="90"/>
        <v/>
      </c>
      <c r="J754" s="149" t="str">
        <f>IF(L754=0,"",COUNTA(L$748:$L754)+COUNT($F$748:$F$753))</f>
        <v/>
      </c>
      <c r="K754" s="373">
        <f t="shared" si="87"/>
        <v>0</v>
      </c>
      <c r="L754" s="375">
        <f>NAV!J675</f>
        <v>0</v>
      </c>
      <c r="M754" s="376">
        <f>NAV!N675</f>
        <v>0</v>
      </c>
      <c r="N754" s="376">
        <f>NAV!T675</f>
        <v>0</v>
      </c>
      <c r="O754" s="377">
        <f>IF(N754="장부가액 준용","장부가액 준용",IF(N754="취득원가 준용","취득원가 준용",NAV!R675))</f>
        <v>0</v>
      </c>
      <c r="P754" s="377">
        <f>NAV!W675</f>
        <v>0</v>
      </c>
      <c r="Q754" s="377">
        <f>NAV!S675</f>
        <v>0</v>
      </c>
      <c r="R754" s="737" t="str">
        <f>MID(NAV!U675,FIND("(",NAV!U675)+1,FIND(")", NAV!U675)-FIND("(",NAV!U675)-1)</f>
        <v>KRW</v>
      </c>
    </row>
    <row r="755" spans="1:18" ht="12.75" thickBot="1">
      <c r="A755" s="149">
        <f t="shared" si="91"/>
        <v>4</v>
      </c>
      <c r="B755" s="381" t="str">
        <f t="shared" si="88"/>
        <v/>
      </c>
      <c r="C755" s="380" t="str">
        <f t="shared" si="89"/>
        <v/>
      </c>
      <c r="D755" s="380" t="str">
        <f t="shared" si="90"/>
        <v/>
      </c>
      <c r="J755" s="149" t="str">
        <f>IF(L755=0,"",COUNTA(L$748:$L755)+COUNT($F$748:$F$753))</f>
        <v/>
      </c>
      <c r="K755" s="373">
        <f t="shared" si="87"/>
        <v>0</v>
      </c>
      <c r="L755" s="375">
        <f>NAV!J676</f>
        <v>0</v>
      </c>
      <c r="M755" s="376">
        <f>NAV!N676</f>
        <v>0</v>
      </c>
      <c r="N755" s="376">
        <f>NAV!T676</f>
        <v>0</v>
      </c>
      <c r="O755" s="377">
        <f>IF(N755="장부가액 준용","장부가액 준용",IF(N755="취득원가 준용","취득원가 준용",NAV!R676))</f>
        <v>0</v>
      </c>
      <c r="P755" s="377">
        <f>NAV!W676</f>
        <v>0</v>
      </c>
      <c r="Q755" s="377">
        <f>NAV!S676</f>
        <v>0</v>
      </c>
      <c r="R755" s="737" t="str">
        <f>MID(NAV!U676,FIND("(",NAV!U676)+1,FIND(")", NAV!U676)-FIND("(",NAV!U676)-1)</f>
        <v>KRW</v>
      </c>
    </row>
    <row r="756" spans="1:18" ht="12.75" thickBot="1">
      <c r="A756" s="149">
        <f t="shared" si="91"/>
        <v>5</v>
      </c>
      <c r="B756" s="381" t="str">
        <f t="shared" si="88"/>
        <v/>
      </c>
      <c r="C756" s="380" t="str">
        <f t="shared" si="89"/>
        <v/>
      </c>
      <c r="D756" s="380" t="str">
        <f t="shared" si="90"/>
        <v/>
      </c>
      <c r="J756" s="149" t="str">
        <f>IF(L756=0,"",COUNTA(L$748:$L756)+COUNT($F$748:$F$753))</f>
        <v/>
      </c>
      <c r="K756" s="373">
        <f t="shared" si="87"/>
        <v>0</v>
      </c>
      <c r="L756" s="375">
        <f>NAV!J677</f>
        <v>0</v>
      </c>
      <c r="M756" s="376">
        <f>NAV!N677</f>
        <v>0</v>
      </c>
      <c r="N756" s="376">
        <f>NAV!T677</f>
        <v>0</v>
      </c>
      <c r="O756" s="377">
        <f>IF(N756="장부가액 준용","장부가액 준용",IF(N756="취득원가 준용","취득원가 준용",NAV!R677))</f>
        <v>0</v>
      </c>
      <c r="P756" s="377">
        <f>NAV!W677</f>
        <v>0</v>
      </c>
      <c r="Q756" s="377">
        <f>NAV!S677</f>
        <v>0</v>
      </c>
      <c r="R756" s="737" t="str">
        <f>MID(NAV!U677,FIND("(",NAV!U677)+1,FIND(")", NAV!U677)-FIND("(",NAV!U677)-1)</f>
        <v>KRW</v>
      </c>
    </row>
    <row r="757" spans="1:18" ht="12.75" thickBot="1">
      <c r="A757" s="149">
        <f t="shared" si="91"/>
        <v>6</v>
      </c>
      <c r="B757" s="381" t="str">
        <f t="shared" si="88"/>
        <v/>
      </c>
      <c r="C757" s="380" t="str">
        <f t="shared" si="89"/>
        <v/>
      </c>
      <c r="D757" s="380" t="str">
        <f t="shared" si="90"/>
        <v/>
      </c>
      <c r="J757" s="149" t="str">
        <f>IF(L757=0,"",COUNTA(L$748:$L757)+COUNT($F$748:$F$753))</f>
        <v/>
      </c>
      <c r="K757" s="373">
        <f t="shared" si="87"/>
        <v>0</v>
      </c>
      <c r="L757" s="375">
        <f>NAV!J678</f>
        <v>0</v>
      </c>
      <c r="M757" s="376">
        <f>NAV!N678</f>
        <v>0</v>
      </c>
      <c r="N757" s="376">
        <f>NAV!T678</f>
        <v>0</v>
      </c>
      <c r="O757" s="377">
        <f>IF(N757="장부가액 준용","장부가액 준용",IF(N757="취득원가 준용","취득원가 준용",NAV!R678))</f>
        <v>0</v>
      </c>
      <c r="P757" s="377">
        <f>NAV!W678</f>
        <v>0</v>
      </c>
      <c r="Q757" s="377">
        <f>NAV!S678</f>
        <v>0</v>
      </c>
      <c r="R757" s="737" t="str">
        <f>MID(NAV!U678,FIND("(",NAV!U678)+1,FIND(")", NAV!U678)-FIND("(",NAV!U678)-1)</f>
        <v>KRW</v>
      </c>
    </row>
    <row r="758" spans="1:18" ht="12.75" thickBot="1">
      <c r="A758" s="149">
        <f t="shared" si="91"/>
        <v>7</v>
      </c>
      <c r="B758" s="381" t="str">
        <f t="shared" si="88"/>
        <v/>
      </c>
      <c r="C758" s="380" t="str">
        <f t="shared" si="89"/>
        <v/>
      </c>
      <c r="D758" s="380" t="str">
        <f t="shared" si="90"/>
        <v/>
      </c>
      <c r="J758" s="149" t="str">
        <f>IF(L758=0,"",COUNTA(L$748:$L758)+COUNT($F$748:$F$753))</f>
        <v/>
      </c>
      <c r="K758" s="373">
        <f t="shared" si="87"/>
        <v>0</v>
      </c>
      <c r="L758" s="375">
        <f>NAV!J679</f>
        <v>0</v>
      </c>
      <c r="M758" s="376">
        <f>NAV!N679</f>
        <v>0</v>
      </c>
      <c r="N758" s="376">
        <f>NAV!T679</f>
        <v>0</v>
      </c>
      <c r="O758" s="377">
        <f>IF(N758="장부가액 준용","장부가액 준용",IF(N758="취득원가 준용","취득원가 준용",NAV!R679))</f>
        <v>0</v>
      </c>
      <c r="P758" s="377">
        <f>NAV!W679</f>
        <v>0</v>
      </c>
      <c r="Q758" s="377">
        <f>NAV!S679</f>
        <v>0</v>
      </c>
      <c r="R758" s="737" t="str">
        <f>MID(NAV!U679,FIND("(",NAV!U679)+1,FIND(")", NAV!U679)-FIND("(",NAV!U679)-1)</f>
        <v>KRW</v>
      </c>
    </row>
    <row r="759" spans="1:18" ht="12.75" hidden="1" customHeight="1" outlineLevel="1" thickBot="1">
      <c r="A759" s="149">
        <f t="shared" si="91"/>
        <v>8</v>
      </c>
      <c r="B759" s="381" t="str">
        <f t="shared" si="88"/>
        <v/>
      </c>
      <c r="C759" s="380" t="str">
        <f t="shared" si="89"/>
        <v/>
      </c>
      <c r="D759" s="380" t="str">
        <f t="shared" si="90"/>
        <v/>
      </c>
    </row>
    <row r="760" spans="1:18" ht="12.75" hidden="1" customHeight="1" outlineLevel="1" thickBot="1">
      <c r="A760" s="149">
        <f t="shared" si="91"/>
        <v>9</v>
      </c>
      <c r="B760" s="381" t="str">
        <f t="shared" si="88"/>
        <v/>
      </c>
      <c r="C760" s="380" t="str">
        <f t="shared" si="89"/>
        <v/>
      </c>
      <c r="D760" s="380" t="str">
        <f t="shared" si="90"/>
        <v/>
      </c>
    </row>
    <row r="761" spans="1:18" ht="12.75" hidden="1" customHeight="1" outlineLevel="1" thickBot="1">
      <c r="A761" s="149">
        <f t="shared" si="91"/>
        <v>10</v>
      </c>
      <c r="B761" s="381" t="str">
        <f t="shared" si="88"/>
        <v/>
      </c>
      <c r="C761" s="380" t="str">
        <f t="shared" si="89"/>
        <v/>
      </c>
      <c r="D761" s="380" t="str">
        <f t="shared" si="90"/>
        <v/>
      </c>
    </row>
    <row r="762" spans="1:18" ht="12.75" hidden="1" customHeight="1" outlineLevel="1" thickBot="1">
      <c r="A762" s="149">
        <f t="shared" si="91"/>
        <v>11</v>
      </c>
      <c r="B762" s="381" t="str">
        <f t="shared" si="88"/>
        <v/>
      </c>
      <c r="C762" s="380" t="str">
        <f t="shared" si="89"/>
        <v/>
      </c>
      <c r="D762" s="380" t="str">
        <f t="shared" si="90"/>
        <v/>
      </c>
    </row>
    <row r="763" spans="1:18" ht="12.75" hidden="1" customHeight="1" outlineLevel="1" thickBot="1">
      <c r="A763" s="149">
        <f t="shared" si="91"/>
        <v>12</v>
      </c>
      <c r="B763" s="381" t="str">
        <f t="shared" si="88"/>
        <v/>
      </c>
      <c r="C763" s="380" t="str">
        <f t="shared" si="89"/>
        <v/>
      </c>
      <c r="D763" s="380" t="str">
        <f t="shared" si="90"/>
        <v/>
      </c>
    </row>
    <row r="764" spans="1:18" ht="12.75" hidden="1" customHeight="1" outlineLevel="1" thickBot="1">
      <c r="A764" s="149">
        <f t="shared" si="91"/>
        <v>13</v>
      </c>
      <c r="B764" s="381" t="str">
        <f t="shared" si="88"/>
        <v/>
      </c>
      <c r="C764" s="380" t="str">
        <f t="shared" si="89"/>
        <v/>
      </c>
      <c r="D764" s="380" t="str">
        <f t="shared" si="90"/>
        <v/>
      </c>
    </row>
    <row r="765" spans="1:18" ht="12.75" hidden="1" customHeight="1" outlineLevel="1" thickBot="1">
      <c r="A765" s="149">
        <f t="shared" si="91"/>
        <v>14</v>
      </c>
      <c r="B765" s="381" t="str">
        <f t="shared" si="88"/>
        <v/>
      </c>
      <c r="C765" s="380" t="str">
        <f t="shared" si="89"/>
        <v/>
      </c>
      <c r="D765" s="380" t="str">
        <f t="shared" si="90"/>
        <v/>
      </c>
    </row>
    <row r="766" spans="1:18" ht="12.75" hidden="1" customHeight="1" outlineLevel="1" thickBot="1">
      <c r="A766" s="149">
        <f t="shared" si="91"/>
        <v>15</v>
      </c>
      <c r="B766" s="381" t="str">
        <f t="shared" si="88"/>
        <v/>
      </c>
      <c r="C766" s="380" t="str">
        <f t="shared" si="89"/>
        <v/>
      </c>
      <c r="D766" s="380" t="str">
        <f t="shared" si="90"/>
        <v/>
      </c>
    </row>
    <row r="767" spans="1:18" ht="12.75" hidden="1" customHeight="1" outlineLevel="1" thickBot="1">
      <c r="A767" s="149">
        <f t="shared" si="91"/>
        <v>16</v>
      </c>
      <c r="B767" s="381" t="str">
        <f t="shared" si="88"/>
        <v/>
      </c>
      <c r="C767" s="380" t="str">
        <f t="shared" si="89"/>
        <v/>
      </c>
      <c r="D767" s="380" t="str">
        <f t="shared" si="90"/>
        <v/>
      </c>
    </row>
    <row r="768" spans="1:18" ht="12.75" hidden="1" customHeight="1" outlineLevel="1" thickBot="1">
      <c r="A768" s="149">
        <f t="shared" si="91"/>
        <v>17</v>
      </c>
      <c r="B768" s="381" t="str">
        <f t="shared" si="88"/>
        <v/>
      </c>
      <c r="C768" s="380" t="str">
        <f t="shared" si="89"/>
        <v/>
      </c>
      <c r="D768" s="380" t="str">
        <f t="shared" si="90"/>
        <v/>
      </c>
    </row>
    <row r="769" spans="1:11" ht="12.75" collapsed="1" thickBot="1">
      <c r="B769" s="382" t="s">
        <v>2</v>
      </c>
      <c r="C769" s="372">
        <f>SUM(C748,C751)</f>
        <v>0</v>
      </c>
      <c r="D769" s="383">
        <f>SUM(D748,D751)</f>
        <v>0</v>
      </c>
    </row>
    <row r="770" spans="1:11" ht="12.75" thickBot="1">
      <c r="B770" s="382" t="s">
        <v>30</v>
      </c>
      <c r="C770" s="819">
        <f>NAV!E674</f>
        <v>0</v>
      </c>
      <c r="D770" s="820"/>
    </row>
    <row r="771" spans="1:11" ht="12.75" thickBot="1">
      <c r="B771" s="382" t="s">
        <v>31</v>
      </c>
      <c r="C771" s="819">
        <f>D769-C770</f>
        <v>0</v>
      </c>
      <c r="D771" s="820"/>
    </row>
    <row r="772" spans="1:11" ht="12.75" thickBot="1">
      <c r="B772" s="382" t="s">
        <v>745</v>
      </c>
      <c r="C772" s="819">
        <f>NAV!E679</f>
        <v>0</v>
      </c>
      <c r="D772" s="820"/>
      <c r="F772" s="217"/>
    </row>
    <row r="773" spans="1:11" ht="12.75" thickBot="1">
      <c r="B773" s="382" t="s">
        <v>965</v>
      </c>
      <c r="C773" s="819">
        <f>NAV!E680</f>
        <v>0</v>
      </c>
      <c r="D773" s="820"/>
    </row>
    <row r="774" spans="1:11" ht="12.75" thickBot="1">
      <c r="B774" s="382" t="s">
        <v>744</v>
      </c>
      <c r="C774" s="819">
        <f>NAV!E681</f>
        <v>0</v>
      </c>
      <c r="D774" s="820"/>
    </row>
    <row r="775" spans="1:11" ht="12.75" thickBot="1">
      <c r="B775" s="382" t="str">
        <f>NAV!C682</f>
        <v>보유지분율(%)</v>
      </c>
      <c r="C775" s="823">
        <f>NAV!D682</f>
        <v>0</v>
      </c>
      <c r="D775" s="824"/>
    </row>
    <row r="776" spans="1:11" ht="12.75" thickBot="1">
      <c r="B776" s="382" t="s">
        <v>746</v>
      </c>
      <c r="C776" s="825">
        <f>NAV!E682</f>
        <v>0</v>
      </c>
      <c r="D776" s="826"/>
    </row>
    <row r="782" spans="1:11">
      <c r="A782" s="149">
        <f>A744+1</f>
        <v>14</v>
      </c>
      <c r="B782" s="399" t="str">
        <f>NAV!B693</f>
        <v>SPC없음</v>
      </c>
      <c r="G782" s="399" t="str">
        <f>B782</f>
        <v>SPC없음</v>
      </c>
    </row>
    <row r="783" spans="1:11">
      <c r="B783" s="399" t="str">
        <f>NAV!C694</f>
        <v>SPC없음</v>
      </c>
      <c r="G783" s="399" t="str">
        <f>B783</f>
        <v>SPC없음</v>
      </c>
    </row>
    <row r="784" spans="1:11" ht="12.75" thickBot="1">
      <c r="B784" s="215" t="s">
        <v>750</v>
      </c>
      <c r="C784" s="216"/>
      <c r="D784" s="216"/>
      <c r="E784" s="216"/>
      <c r="F784" s="216"/>
      <c r="G784" s="215" t="s">
        <v>751</v>
      </c>
      <c r="H784" s="216"/>
      <c r="I784" s="216"/>
      <c r="K784" s="215" t="s">
        <v>752</v>
      </c>
    </row>
    <row r="785" spans="1:18" ht="12.75" thickBot="1">
      <c r="B785" s="366" t="s">
        <v>27</v>
      </c>
      <c r="C785" s="367" t="s">
        <v>28</v>
      </c>
      <c r="D785" s="367" t="s">
        <v>29</v>
      </c>
      <c r="F785" s="368" t="s">
        <v>3461</v>
      </c>
      <c r="G785" s="353" t="str">
        <f>$G$74</f>
        <v>SPC명</v>
      </c>
      <c r="H785" s="369" t="s">
        <v>3200</v>
      </c>
      <c r="I785" s="369" t="s">
        <v>753</v>
      </c>
      <c r="J785" s="368" t="s">
        <v>3461</v>
      </c>
      <c r="K785" s="353" t="s">
        <v>3440</v>
      </c>
      <c r="L785" s="353" t="str">
        <f>$L$74</f>
        <v>투자자산명</v>
      </c>
      <c r="M785" s="358" t="s">
        <v>754</v>
      </c>
      <c r="N785" s="358" t="s">
        <v>47</v>
      </c>
      <c r="O785" s="369" t="s">
        <v>749</v>
      </c>
      <c r="P785" s="400" t="s">
        <v>3460</v>
      </c>
      <c r="Q785" s="370" t="s">
        <v>3463</v>
      </c>
      <c r="R785" s="370" t="s">
        <v>6833</v>
      </c>
    </row>
    <row r="786" spans="1:18" ht="12.75" thickBot="1">
      <c r="B786" s="371" t="s">
        <v>3441</v>
      </c>
      <c r="C786" s="372">
        <f>SUM(C787:C788)</f>
        <v>0</v>
      </c>
      <c r="D786" s="372">
        <f>SUM(D787:D788)</f>
        <v>0</v>
      </c>
      <c r="F786" s="149" t="str">
        <f>IF(G786=0,"",COUNTA(G$786:$G786))</f>
        <v/>
      </c>
      <c r="G786" s="373">
        <f>IF(NAV!L699="SPC 없음",0,NAV!L699)</f>
        <v>0</v>
      </c>
      <c r="H786" s="374">
        <f>NAV!W699</f>
        <v>0</v>
      </c>
      <c r="I786" s="374" t="str">
        <f>NAV!S699</f>
        <v>SPC 없음</v>
      </c>
      <c r="J786" s="149" t="str">
        <f>IF(L786=0,"",COUNTA(L$786:$L786)+COUNT($F$786:$F$791))</f>
        <v/>
      </c>
      <c r="K786" s="373">
        <f>IF($B783="SPC없음",0,$B783)</f>
        <v>0</v>
      </c>
      <c r="L786" s="375">
        <f>NAV!J707</f>
        <v>0</v>
      </c>
      <c r="M786" s="376">
        <f>NAV!N707</f>
        <v>0</v>
      </c>
      <c r="N786" s="376">
        <f>NAV!T707</f>
        <v>0</v>
      </c>
      <c r="O786" s="377">
        <f>IF(N786="장부가액 준용","장부가액 준용",IF(N786="취득원가 준용","취득원가 준용",NAV!R707))</f>
        <v>0</v>
      </c>
      <c r="P786" s="377">
        <f>NAV!W707</f>
        <v>0</v>
      </c>
      <c r="Q786" s="377">
        <f>NAV!S707</f>
        <v>0</v>
      </c>
      <c r="R786" s="737" t="str">
        <f>MID(NAV!U707,FIND("(",NAV!U707)+1,FIND(")", NAV!U707)-FIND("(",NAV!U707)-1)</f>
        <v>KRW</v>
      </c>
    </row>
    <row r="787" spans="1:18" ht="12.75" thickBot="1">
      <c r="B787" s="379" t="s">
        <v>3485</v>
      </c>
      <c r="C787" s="380">
        <f>NAV!D700</f>
        <v>0</v>
      </c>
      <c r="D787" s="380">
        <f>NAV!E700</f>
        <v>0</v>
      </c>
      <c r="F787" s="149" t="str">
        <f>IF(G787=0,"",COUNTA(G$786:$G787))</f>
        <v/>
      </c>
      <c r="G787" s="373">
        <f>IF(NAV!L700="SPC 없음",0,NAV!L700)</f>
        <v>0</v>
      </c>
      <c r="H787" s="374">
        <f>NAV!W700</f>
        <v>0</v>
      </c>
      <c r="I787" s="374" t="str">
        <f>NAV!S700</f>
        <v>SPC 없음</v>
      </c>
      <c r="J787" s="149" t="str">
        <f>IF(L787=0,"",COUNTA(L$786:$L787)+COUNT($F$786:$F$791))</f>
        <v/>
      </c>
      <c r="K787" s="373">
        <f t="shared" ref="K787:K796" si="92">K786</f>
        <v>0</v>
      </c>
      <c r="L787" s="375">
        <f>NAV!J708</f>
        <v>0</v>
      </c>
      <c r="M787" s="376">
        <f>NAV!N708</f>
        <v>0</v>
      </c>
      <c r="N787" s="376">
        <f>NAV!T708</f>
        <v>0</v>
      </c>
      <c r="O787" s="377">
        <f>IF(N787="장부가액 준용","장부가액 준용",IF(N787="취득원가 준용","취득원가 준용",NAV!R708))</f>
        <v>0</v>
      </c>
      <c r="P787" s="377">
        <f>NAV!W708</f>
        <v>0</v>
      </c>
      <c r="Q787" s="377">
        <f>NAV!S708</f>
        <v>0</v>
      </c>
      <c r="R787" s="737" t="str">
        <f>MID(NAV!U708,FIND("(",NAV!U708)+1,FIND(")", NAV!U708)-FIND("(",NAV!U708)-1)</f>
        <v>KRW</v>
      </c>
    </row>
    <row r="788" spans="1:18" ht="12.75" thickBot="1">
      <c r="B788" s="379" t="s">
        <v>156</v>
      </c>
      <c r="C788" s="380">
        <f>NAV!D701</f>
        <v>0</v>
      </c>
      <c r="D788" s="380">
        <f>NAV!E701</f>
        <v>0</v>
      </c>
      <c r="F788" s="149" t="str">
        <f>IF(G788=0,"",COUNTA(G$786:$G788))</f>
        <v/>
      </c>
      <c r="G788" s="373">
        <f>IF(NAV!L701="SPC 없음",0,NAV!L701)</f>
        <v>0</v>
      </c>
      <c r="H788" s="374">
        <f>NAV!W701</f>
        <v>0</v>
      </c>
      <c r="I788" s="374" t="str">
        <f>NAV!S701</f>
        <v>SPC 없음</v>
      </c>
      <c r="J788" s="149" t="str">
        <f>IF(L788=0,"",COUNTA(L$786:$L788)+COUNT($F$786:$F$791))</f>
        <v/>
      </c>
      <c r="K788" s="373">
        <f t="shared" si="92"/>
        <v>0</v>
      </c>
      <c r="L788" s="375">
        <f>NAV!J709</f>
        <v>0</v>
      </c>
      <c r="M788" s="376">
        <f>NAV!N709</f>
        <v>0</v>
      </c>
      <c r="N788" s="376">
        <f>NAV!T709</f>
        <v>0</v>
      </c>
      <c r="O788" s="377">
        <f>IF(N788="장부가액 준용","장부가액 준용",IF(N788="취득원가 준용","취득원가 준용",NAV!R709))</f>
        <v>0</v>
      </c>
      <c r="P788" s="377">
        <f>NAV!W709</f>
        <v>0</v>
      </c>
      <c r="Q788" s="377">
        <f>NAV!S709</f>
        <v>0</v>
      </c>
      <c r="R788" s="737" t="str">
        <f>MID(NAV!U709,FIND("(",NAV!U709)+1,FIND(")", NAV!U709)-FIND("(",NAV!U709)-1)</f>
        <v>KRW</v>
      </c>
    </row>
    <row r="789" spans="1:18" ht="12.75" thickBot="1">
      <c r="B789" s="371" t="s">
        <v>3442</v>
      </c>
      <c r="C789" s="372">
        <f>NAV!D702</f>
        <v>0</v>
      </c>
      <c r="D789" s="372">
        <f>NAV!E702</f>
        <v>0</v>
      </c>
      <c r="F789" s="149" t="str">
        <f>IF(G789=0,"",COUNTA(G$786:$G789))</f>
        <v/>
      </c>
      <c r="G789" s="373">
        <f>IF(NAV!L702="SPC 없음",0,NAV!L702)</f>
        <v>0</v>
      </c>
      <c r="H789" s="374">
        <f>NAV!W702</f>
        <v>0</v>
      </c>
      <c r="I789" s="374" t="str">
        <f>NAV!S702</f>
        <v>SPC 없음</v>
      </c>
      <c r="J789" s="149" t="str">
        <f>IF(L789=0,"",COUNTA(L$786:$L789)+COUNT($F$786:$F$791))</f>
        <v/>
      </c>
      <c r="K789" s="373">
        <f t="shared" si="92"/>
        <v>0</v>
      </c>
      <c r="L789" s="375">
        <f>NAV!J710</f>
        <v>0</v>
      </c>
      <c r="M789" s="376">
        <f>NAV!N710</f>
        <v>0</v>
      </c>
      <c r="N789" s="376">
        <f>NAV!T710</f>
        <v>0</v>
      </c>
      <c r="O789" s="377">
        <f>IF(N789="장부가액 준용","장부가액 준용",IF(N789="취득원가 준용","취득원가 준용",NAV!R710))</f>
        <v>0</v>
      </c>
      <c r="P789" s="377">
        <f>NAV!W710</f>
        <v>0</v>
      </c>
      <c r="Q789" s="377">
        <f>NAV!S710</f>
        <v>0</v>
      </c>
      <c r="R789" s="737" t="str">
        <f>MID(NAV!U710,FIND("(",NAV!U710)+1,FIND(")", NAV!U710)-FIND("(",NAV!U710)-1)</f>
        <v>KRW</v>
      </c>
    </row>
    <row r="790" spans="1:18" ht="12.75" thickBot="1">
      <c r="A790" s="149">
        <v>1</v>
      </c>
      <c r="B790" s="381" t="str">
        <f>IFERROR(IF(F786=A790,VLOOKUP(A790,$F$785:$I$796,2,0),VLOOKUP(A790,$J$785:$Q$796,3,0)&amp;" "&amp;VLOOKUP(A790,$J$785:$Q$796,4,0)),"")</f>
        <v/>
      </c>
      <c r="C790" s="380" t="str">
        <f>IFERROR(IF(F786=A790,VLOOKUP(A790,$F$785:$I$796,3,0),VLOOKUP(A790,$J$785:$Q$796,7,0)),"")</f>
        <v/>
      </c>
      <c r="D790" s="380" t="str">
        <f>IFERROR(IF(F786=A790,VLOOKUP(A790,$F$785:$I$796,4,0),VLOOKUP(A790,$J$785:$Q$796,8,0)),"")</f>
        <v/>
      </c>
      <c r="F790" s="149" t="str">
        <f>IF(G790=0,"",COUNTA(G$786:$G790))</f>
        <v/>
      </c>
      <c r="G790" s="373">
        <f>IF(NAV!L703="SPC 없음",0,NAV!L703)</f>
        <v>0</v>
      </c>
      <c r="H790" s="374">
        <f>NAV!W703</f>
        <v>0</v>
      </c>
      <c r="I790" s="374" t="str">
        <f>NAV!S703</f>
        <v>SPC 없음</v>
      </c>
      <c r="J790" s="149" t="str">
        <f>IF(L790=0,"",COUNTA(L$786:$L790)+COUNT($F$786:$F$791))</f>
        <v/>
      </c>
      <c r="K790" s="373">
        <f t="shared" si="92"/>
        <v>0</v>
      </c>
      <c r="L790" s="375">
        <f>NAV!J711</f>
        <v>0</v>
      </c>
      <c r="M790" s="376">
        <f>NAV!N711</f>
        <v>0</v>
      </c>
      <c r="N790" s="376">
        <f>NAV!T711</f>
        <v>0</v>
      </c>
      <c r="O790" s="377">
        <f>IF(N790="장부가액 준용","장부가액 준용",IF(N790="취득원가 준용","취득원가 준용",NAV!R711))</f>
        <v>0</v>
      </c>
      <c r="P790" s="377">
        <f>NAV!W711</f>
        <v>0</v>
      </c>
      <c r="Q790" s="377">
        <f>NAV!S711</f>
        <v>0</v>
      </c>
      <c r="R790" s="737" t="str">
        <f>MID(NAV!U711,FIND("(",NAV!U711)+1,FIND(")", NAV!U711)-FIND("(",NAV!U711)-1)</f>
        <v>KRW</v>
      </c>
    </row>
    <row r="791" spans="1:18" ht="12.75" thickBot="1">
      <c r="A791" s="149">
        <f>A790+1</f>
        <v>2</v>
      </c>
      <c r="B791" s="381" t="str">
        <f t="shared" ref="B791:B806" si="93">IFERROR(IF(F787=A791,VLOOKUP(A791,$F$785:$I$796,2,0),VLOOKUP(A791,$J$785:$Q$796,3,0)&amp;" "&amp;VLOOKUP(A791,$J$785:$Q$796,4,0)),"")</f>
        <v/>
      </c>
      <c r="C791" s="380" t="str">
        <f t="shared" ref="C791:C806" si="94">IFERROR(IF(F787=A791,VLOOKUP(A791,$F$785:$I$796,3,0),VLOOKUP(A791,$J$785:$Q$796,7,0)),"")</f>
        <v/>
      </c>
      <c r="D791" s="380" t="str">
        <f t="shared" ref="D791:D806" si="95">IFERROR(IF(F787=A791,VLOOKUP(A791,$F$785:$I$796,4,0),VLOOKUP(A791,$J$785:$Q$796,8,0)),"")</f>
        <v/>
      </c>
      <c r="F791" s="149" t="str">
        <f>IF(G791=0,"",COUNTA(G$786:$G791))</f>
        <v/>
      </c>
      <c r="G791" s="373">
        <f>IF(NAV!L704="SPC 없음",0,NAV!L704)</f>
        <v>0</v>
      </c>
      <c r="H791" s="374">
        <f>NAV!W704</f>
        <v>0</v>
      </c>
      <c r="I791" s="374" t="str">
        <f>NAV!S704</f>
        <v>SPC 없음</v>
      </c>
      <c r="J791" s="149" t="str">
        <f>IF(L791=0,"",COUNTA(L$786:$L791)+COUNT($F$786:$F$791))</f>
        <v/>
      </c>
      <c r="K791" s="373">
        <f t="shared" si="92"/>
        <v>0</v>
      </c>
      <c r="L791" s="375">
        <f>NAV!J712</f>
        <v>0</v>
      </c>
      <c r="M791" s="376">
        <f>NAV!N712</f>
        <v>0</v>
      </c>
      <c r="N791" s="376">
        <f>NAV!T712</f>
        <v>0</v>
      </c>
      <c r="O791" s="377">
        <f>IF(N791="장부가액 준용","장부가액 준용",IF(N791="취득원가 준용","취득원가 준용",NAV!R712))</f>
        <v>0</v>
      </c>
      <c r="P791" s="377">
        <f>NAV!W712</f>
        <v>0</v>
      </c>
      <c r="Q791" s="377">
        <f>NAV!S712</f>
        <v>0</v>
      </c>
      <c r="R791" s="737" t="str">
        <f>MID(NAV!U712,FIND("(",NAV!U712)+1,FIND(")", NAV!U712)-FIND("(",NAV!U712)-1)</f>
        <v>KRW</v>
      </c>
    </row>
    <row r="792" spans="1:18" ht="12.75" thickBot="1">
      <c r="A792" s="149">
        <f t="shared" ref="A792:A806" si="96">A791+1</f>
        <v>3</v>
      </c>
      <c r="B792" s="381" t="str">
        <f t="shared" si="93"/>
        <v/>
      </c>
      <c r="C792" s="380" t="str">
        <f t="shared" si="94"/>
        <v/>
      </c>
      <c r="D792" s="380" t="str">
        <f t="shared" si="95"/>
        <v/>
      </c>
      <c r="J792" s="149" t="str">
        <f>IF(L792=0,"",COUNTA(L$786:$L792)+COUNT($F$786:$F$791))</f>
        <v/>
      </c>
      <c r="K792" s="373">
        <f t="shared" si="92"/>
        <v>0</v>
      </c>
      <c r="L792" s="375">
        <f>NAV!J713</f>
        <v>0</v>
      </c>
      <c r="M792" s="376">
        <f>NAV!N713</f>
        <v>0</v>
      </c>
      <c r="N792" s="376">
        <f>NAV!T713</f>
        <v>0</v>
      </c>
      <c r="O792" s="377">
        <f>IF(N792="장부가액 준용","장부가액 준용",IF(N792="취득원가 준용","취득원가 준용",NAV!R713))</f>
        <v>0</v>
      </c>
      <c r="P792" s="377">
        <f>NAV!W713</f>
        <v>0</v>
      </c>
      <c r="Q792" s="377">
        <f>NAV!S713</f>
        <v>0</v>
      </c>
      <c r="R792" s="737" t="str">
        <f>MID(NAV!U713,FIND("(",NAV!U713)+1,FIND(")", NAV!U713)-FIND("(",NAV!U713)-1)</f>
        <v>KRW</v>
      </c>
    </row>
    <row r="793" spans="1:18" ht="12.75" thickBot="1">
      <c r="A793" s="149">
        <f t="shared" si="96"/>
        <v>4</v>
      </c>
      <c r="B793" s="381" t="str">
        <f t="shared" si="93"/>
        <v/>
      </c>
      <c r="C793" s="380" t="str">
        <f t="shared" si="94"/>
        <v/>
      </c>
      <c r="D793" s="380" t="str">
        <f t="shared" si="95"/>
        <v/>
      </c>
      <c r="J793" s="149" t="str">
        <f>IF(L793=0,"",COUNTA(L$786:$L793)+COUNT($F$786:$F$791))</f>
        <v/>
      </c>
      <c r="K793" s="373">
        <f t="shared" si="92"/>
        <v>0</v>
      </c>
      <c r="L793" s="375">
        <f>NAV!J714</f>
        <v>0</v>
      </c>
      <c r="M793" s="376">
        <f>NAV!N714</f>
        <v>0</v>
      </c>
      <c r="N793" s="376">
        <f>NAV!T714</f>
        <v>0</v>
      </c>
      <c r="O793" s="377">
        <f>IF(N793="장부가액 준용","장부가액 준용",IF(N793="취득원가 준용","취득원가 준용",NAV!R714))</f>
        <v>0</v>
      </c>
      <c r="P793" s="377">
        <f>NAV!W714</f>
        <v>0</v>
      </c>
      <c r="Q793" s="377">
        <f>NAV!S714</f>
        <v>0</v>
      </c>
      <c r="R793" s="737" t="str">
        <f>MID(NAV!U714,FIND("(",NAV!U714)+1,FIND(")", NAV!U714)-FIND("(",NAV!U714)-1)</f>
        <v>KRW</v>
      </c>
    </row>
    <row r="794" spans="1:18" ht="12.75" thickBot="1">
      <c r="A794" s="149">
        <f t="shared" si="96"/>
        <v>5</v>
      </c>
      <c r="B794" s="381" t="str">
        <f t="shared" si="93"/>
        <v/>
      </c>
      <c r="C794" s="380" t="str">
        <f t="shared" si="94"/>
        <v/>
      </c>
      <c r="D794" s="380" t="str">
        <f t="shared" si="95"/>
        <v/>
      </c>
      <c r="J794" s="149" t="str">
        <f>IF(L794=0,"",COUNTA(L$786:$L794)+COUNT($F$786:$F$791))</f>
        <v/>
      </c>
      <c r="K794" s="373">
        <f t="shared" si="92"/>
        <v>0</v>
      </c>
      <c r="L794" s="375">
        <f>NAV!J715</f>
        <v>0</v>
      </c>
      <c r="M794" s="376">
        <f>NAV!N715</f>
        <v>0</v>
      </c>
      <c r="N794" s="376">
        <f>NAV!T715</f>
        <v>0</v>
      </c>
      <c r="O794" s="377">
        <f>IF(N794="장부가액 준용","장부가액 준용",IF(N794="취득원가 준용","취득원가 준용",NAV!R715))</f>
        <v>0</v>
      </c>
      <c r="P794" s="377">
        <f>NAV!W715</f>
        <v>0</v>
      </c>
      <c r="Q794" s="377">
        <f>NAV!S715</f>
        <v>0</v>
      </c>
      <c r="R794" s="737" t="str">
        <f>MID(NAV!U715,FIND("(",NAV!U715)+1,FIND(")", NAV!U715)-FIND("(",NAV!U715)-1)</f>
        <v>KRW</v>
      </c>
    </row>
    <row r="795" spans="1:18" ht="12.75" thickBot="1">
      <c r="A795" s="149">
        <f t="shared" si="96"/>
        <v>6</v>
      </c>
      <c r="B795" s="381" t="str">
        <f t="shared" si="93"/>
        <v/>
      </c>
      <c r="C795" s="380" t="str">
        <f t="shared" si="94"/>
        <v/>
      </c>
      <c r="D795" s="380" t="str">
        <f t="shared" si="95"/>
        <v/>
      </c>
      <c r="J795" s="149" t="str">
        <f>IF(L795=0,"",COUNTA(L$786:$L795)+COUNT($F$786:$F$791))</f>
        <v/>
      </c>
      <c r="K795" s="373">
        <f t="shared" si="92"/>
        <v>0</v>
      </c>
      <c r="L795" s="375">
        <f>NAV!J716</f>
        <v>0</v>
      </c>
      <c r="M795" s="376">
        <f>NAV!N716</f>
        <v>0</v>
      </c>
      <c r="N795" s="376">
        <f>NAV!T716</f>
        <v>0</v>
      </c>
      <c r="O795" s="377">
        <f>IF(N795="장부가액 준용","장부가액 준용",IF(N795="취득원가 준용","취득원가 준용",NAV!R716))</f>
        <v>0</v>
      </c>
      <c r="P795" s="377">
        <f>NAV!W716</f>
        <v>0</v>
      </c>
      <c r="Q795" s="377">
        <f>NAV!S716</f>
        <v>0</v>
      </c>
      <c r="R795" s="737" t="str">
        <f>MID(NAV!U716,FIND("(",NAV!U716)+1,FIND(")", NAV!U716)-FIND("(",NAV!U716)-1)</f>
        <v>KRW</v>
      </c>
    </row>
    <row r="796" spans="1:18" ht="12.75" thickBot="1">
      <c r="A796" s="149">
        <f t="shared" si="96"/>
        <v>7</v>
      </c>
      <c r="B796" s="381" t="str">
        <f t="shared" si="93"/>
        <v/>
      </c>
      <c r="C796" s="380" t="str">
        <f t="shared" si="94"/>
        <v/>
      </c>
      <c r="D796" s="380" t="str">
        <f t="shared" si="95"/>
        <v/>
      </c>
      <c r="J796" s="149" t="str">
        <f>IF(L796=0,"",COUNTA(L$786:$L796)+COUNT($F$786:$F$791))</f>
        <v/>
      </c>
      <c r="K796" s="373">
        <f t="shared" si="92"/>
        <v>0</v>
      </c>
      <c r="L796" s="375">
        <f>NAV!J717</f>
        <v>0</v>
      </c>
      <c r="M796" s="376">
        <f>NAV!N717</f>
        <v>0</v>
      </c>
      <c r="N796" s="376">
        <f>NAV!T717</f>
        <v>0</v>
      </c>
      <c r="O796" s="377">
        <f>IF(N796="장부가액 준용","장부가액 준용",IF(N796="취득원가 준용","취득원가 준용",NAV!R717))</f>
        <v>0</v>
      </c>
      <c r="P796" s="377">
        <f>NAV!W717</f>
        <v>0</v>
      </c>
      <c r="Q796" s="377">
        <f>NAV!S717</f>
        <v>0</v>
      </c>
      <c r="R796" s="737" t="str">
        <f>MID(NAV!U717,FIND("(",NAV!U717)+1,FIND(")", NAV!U717)-FIND("(",NAV!U717)-1)</f>
        <v>KRW</v>
      </c>
    </row>
    <row r="797" spans="1:18" ht="12.75" hidden="1" customHeight="1" outlineLevel="1" thickBot="1">
      <c r="A797" s="149">
        <f t="shared" si="96"/>
        <v>8</v>
      </c>
      <c r="B797" s="381" t="str">
        <f t="shared" si="93"/>
        <v/>
      </c>
      <c r="C797" s="380" t="str">
        <f t="shared" si="94"/>
        <v/>
      </c>
      <c r="D797" s="380" t="str">
        <f t="shared" si="95"/>
        <v/>
      </c>
    </row>
    <row r="798" spans="1:18" ht="12.75" hidden="1" customHeight="1" outlineLevel="1" thickBot="1">
      <c r="A798" s="149">
        <f t="shared" si="96"/>
        <v>9</v>
      </c>
      <c r="B798" s="381" t="str">
        <f t="shared" si="93"/>
        <v/>
      </c>
      <c r="C798" s="380" t="str">
        <f t="shared" si="94"/>
        <v/>
      </c>
      <c r="D798" s="380" t="str">
        <f t="shared" si="95"/>
        <v/>
      </c>
    </row>
    <row r="799" spans="1:18" ht="12.75" hidden="1" customHeight="1" outlineLevel="1" thickBot="1">
      <c r="A799" s="149">
        <f t="shared" si="96"/>
        <v>10</v>
      </c>
      <c r="B799" s="381" t="str">
        <f t="shared" si="93"/>
        <v/>
      </c>
      <c r="C799" s="380" t="str">
        <f t="shared" si="94"/>
        <v/>
      </c>
      <c r="D799" s="380" t="str">
        <f t="shared" si="95"/>
        <v/>
      </c>
    </row>
    <row r="800" spans="1:18" ht="12.75" hidden="1" customHeight="1" outlineLevel="1" thickBot="1">
      <c r="A800" s="149">
        <f t="shared" si="96"/>
        <v>11</v>
      </c>
      <c r="B800" s="381" t="str">
        <f t="shared" si="93"/>
        <v/>
      </c>
      <c r="C800" s="380" t="str">
        <f t="shared" si="94"/>
        <v/>
      </c>
      <c r="D800" s="380" t="str">
        <f t="shared" si="95"/>
        <v/>
      </c>
    </row>
    <row r="801" spans="1:6" ht="12.75" hidden="1" customHeight="1" outlineLevel="1" thickBot="1">
      <c r="A801" s="149">
        <f t="shared" si="96"/>
        <v>12</v>
      </c>
      <c r="B801" s="381" t="str">
        <f t="shared" si="93"/>
        <v/>
      </c>
      <c r="C801" s="380" t="str">
        <f t="shared" si="94"/>
        <v/>
      </c>
      <c r="D801" s="380" t="str">
        <f t="shared" si="95"/>
        <v/>
      </c>
    </row>
    <row r="802" spans="1:6" ht="12.75" hidden="1" customHeight="1" outlineLevel="1" thickBot="1">
      <c r="A802" s="149">
        <f t="shared" si="96"/>
        <v>13</v>
      </c>
      <c r="B802" s="381" t="str">
        <f t="shared" si="93"/>
        <v/>
      </c>
      <c r="C802" s="380" t="str">
        <f t="shared" si="94"/>
        <v/>
      </c>
      <c r="D802" s="380" t="str">
        <f t="shared" si="95"/>
        <v/>
      </c>
    </row>
    <row r="803" spans="1:6" ht="12.75" hidden="1" customHeight="1" outlineLevel="1" thickBot="1">
      <c r="A803" s="149">
        <f t="shared" si="96"/>
        <v>14</v>
      </c>
      <c r="B803" s="381" t="str">
        <f t="shared" si="93"/>
        <v/>
      </c>
      <c r="C803" s="380" t="str">
        <f t="shared" si="94"/>
        <v/>
      </c>
      <c r="D803" s="380" t="str">
        <f t="shared" si="95"/>
        <v/>
      </c>
    </row>
    <row r="804" spans="1:6" ht="12.75" hidden="1" customHeight="1" outlineLevel="1" thickBot="1">
      <c r="A804" s="149">
        <f t="shared" si="96"/>
        <v>15</v>
      </c>
      <c r="B804" s="381" t="str">
        <f t="shared" si="93"/>
        <v/>
      </c>
      <c r="C804" s="380" t="str">
        <f t="shared" si="94"/>
        <v/>
      </c>
      <c r="D804" s="380" t="str">
        <f t="shared" si="95"/>
        <v/>
      </c>
    </row>
    <row r="805" spans="1:6" ht="12.75" hidden="1" customHeight="1" outlineLevel="1" thickBot="1">
      <c r="A805" s="149">
        <f t="shared" si="96"/>
        <v>16</v>
      </c>
      <c r="B805" s="381" t="str">
        <f t="shared" si="93"/>
        <v/>
      </c>
      <c r="C805" s="380" t="str">
        <f t="shared" si="94"/>
        <v/>
      </c>
      <c r="D805" s="380" t="str">
        <f t="shared" si="95"/>
        <v/>
      </c>
    </row>
    <row r="806" spans="1:6" ht="12.75" hidden="1" customHeight="1" outlineLevel="1" thickBot="1">
      <c r="A806" s="149">
        <f t="shared" si="96"/>
        <v>17</v>
      </c>
      <c r="B806" s="381" t="str">
        <f t="shared" si="93"/>
        <v/>
      </c>
      <c r="C806" s="380" t="str">
        <f t="shared" si="94"/>
        <v/>
      </c>
      <c r="D806" s="380" t="str">
        <f t="shared" si="95"/>
        <v/>
      </c>
    </row>
    <row r="807" spans="1:6" ht="12.75" collapsed="1" thickBot="1">
      <c r="B807" s="382" t="s">
        <v>2</v>
      </c>
      <c r="C807" s="372">
        <f>SUM(C786,C789)</f>
        <v>0</v>
      </c>
      <c r="D807" s="383">
        <f>SUM(D786,D789)</f>
        <v>0</v>
      </c>
    </row>
    <row r="808" spans="1:6" ht="12.75" thickBot="1">
      <c r="B808" s="382" t="s">
        <v>30</v>
      </c>
      <c r="C808" s="819">
        <f>NAV!E712</f>
        <v>0</v>
      </c>
      <c r="D808" s="820"/>
    </row>
    <row r="809" spans="1:6" ht="12.75" thickBot="1">
      <c r="B809" s="382" t="s">
        <v>31</v>
      </c>
      <c r="C809" s="819">
        <f>D807-C808</f>
        <v>0</v>
      </c>
      <c r="D809" s="820"/>
    </row>
    <row r="810" spans="1:6" ht="12.75" thickBot="1">
      <c r="B810" s="382" t="s">
        <v>3486</v>
      </c>
      <c r="C810" s="819">
        <f>NAV!E717</f>
        <v>0</v>
      </c>
      <c r="D810" s="820"/>
      <c r="F810" s="217"/>
    </row>
    <row r="811" spans="1:6" ht="12.75" thickBot="1">
      <c r="B811" s="382" t="s">
        <v>3487</v>
      </c>
      <c r="C811" s="819">
        <f>NAV!E718</f>
        <v>0</v>
      </c>
      <c r="D811" s="820"/>
    </row>
    <row r="812" spans="1:6" ht="12.75" thickBot="1">
      <c r="B812" s="382" t="s">
        <v>744</v>
      </c>
      <c r="C812" s="819">
        <f>NAV!E719</f>
        <v>0</v>
      </c>
      <c r="D812" s="820"/>
    </row>
    <row r="813" spans="1:6" ht="12.75" thickBot="1">
      <c r="B813" s="382" t="str">
        <f>NAV!C720</f>
        <v>보유지분율(%)</v>
      </c>
      <c r="C813" s="823">
        <f>NAV!D720</f>
        <v>0</v>
      </c>
      <c r="D813" s="824"/>
    </row>
    <row r="814" spans="1:6" ht="12.75" thickBot="1">
      <c r="B814" s="382" t="s">
        <v>746</v>
      </c>
      <c r="C814" s="825">
        <f>NAV!E720</f>
        <v>0</v>
      </c>
      <c r="D814" s="826"/>
    </row>
    <row r="820" spans="1:18">
      <c r="A820" s="149">
        <f>A782+1</f>
        <v>15</v>
      </c>
      <c r="B820" s="399" t="str">
        <f>NAV!B731</f>
        <v>SPC없음</v>
      </c>
      <c r="G820" s="399" t="str">
        <f>B820</f>
        <v>SPC없음</v>
      </c>
    </row>
    <row r="821" spans="1:18">
      <c r="B821" s="399" t="str">
        <f>NAV!C732</f>
        <v>SPC없음</v>
      </c>
      <c r="G821" s="399" t="str">
        <f>B821</f>
        <v>SPC없음</v>
      </c>
    </row>
    <row r="822" spans="1:18" ht="12.75" thickBot="1">
      <c r="B822" s="215" t="s">
        <v>750</v>
      </c>
      <c r="C822" s="216"/>
      <c r="D822" s="216"/>
      <c r="E822" s="216"/>
      <c r="F822" s="216"/>
      <c r="G822" s="215" t="s">
        <v>751</v>
      </c>
      <c r="H822" s="216"/>
      <c r="I822" s="216"/>
      <c r="K822" s="215" t="s">
        <v>752</v>
      </c>
    </row>
    <row r="823" spans="1:18" ht="12.75" thickBot="1">
      <c r="B823" s="366" t="s">
        <v>27</v>
      </c>
      <c r="C823" s="367" t="s">
        <v>28</v>
      </c>
      <c r="D823" s="367" t="s">
        <v>29</v>
      </c>
      <c r="F823" s="368" t="s">
        <v>3461</v>
      </c>
      <c r="G823" s="353" t="str">
        <f>$G$74</f>
        <v>SPC명</v>
      </c>
      <c r="H823" s="369" t="s">
        <v>3199</v>
      </c>
      <c r="I823" s="369" t="s">
        <v>753</v>
      </c>
      <c r="J823" s="368" t="s">
        <v>3461</v>
      </c>
      <c r="K823" s="353" t="s">
        <v>3440</v>
      </c>
      <c r="L823" s="353" t="str">
        <f>$L$74</f>
        <v>투자자산명</v>
      </c>
      <c r="M823" s="358" t="s">
        <v>754</v>
      </c>
      <c r="N823" s="358" t="s">
        <v>47</v>
      </c>
      <c r="O823" s="369" t="s">
        <v>749</v>
      </c>
      <c r="P823" s="400" t="s">
        <v>3460</v>
      </c>
      <c r="Q823" s="370" t="s">
        <v>3463</v>
      </c>
      <c r="R823" s="370" t="s">
        <v>6834</v>
      </c>
    </row>
    <row r="824" spans="1:18" ht="12.75" thickBot="1">
      <c r="B824" s="371" t="s">
        <v>3441</v>
      </c>
      <c r="C824" s="372">
        <f>SUM(C825:C826)</f>
        <v>0</v>
      </c>
      <c r="D824" s="372">
        <f>SUM(D825:D826)</f>
        <v>0</v>
      </c>
      <c r="F824" s="149" t="str">
        <f>IF(G824=0,"",COUNTA(G$824:$G824))</f>
        <v/>
      </c>
      <c r="G824" s="373">
        <f>IF(NAV!L737="SPC 없음",0,NAV!L737)</f>
        <v>0</v>
      </c>
      <c r="H824" s="374">
        <f>NAV!W737</f>
        <v>0</v>
      </c>
      <c r="I824" s="374" t="str">
        <f>NAV!S737</f>
        <v>SPC 없음</v>
      </c>
      <c r="J824" s="149" t="str">
        <f>IF(L824=0,"",COUNTA(L$824:$L824)+COUNT($F$824:$F$829))</f>
        <v/>
      </c>
      <c r="K824" s="373">
        <f>IF($B821="SPC없음",0,$B821)</f>
        <v>0</v>
      </c>
      <c r="L824" s="375">
        <f>NAV!J745</f>
        <v>0</v>
      </c>
      <c r="M824" s="376">
        <f>NAV!N745</f>
        <v>0</v>
      </c>
      <c r="N824" s="376">
        <f>NAV!T745</f>
        <v>0</v>
      </c>
      <c r="O824" s="377">
        <f>IF(N824="장부가액 준용","장부가액 준용",IF(N824="취득원가 준용","취득원가 준용",NAV!R745))</f>
        <v>0</v>
      </c>
      <c r="P824" s="377">
        <f>NAV!W745</f>
        <v>0</v>
      </c>
      <c r="Q824" s="377">
        <f>NAV!S745</f>
        <v>0</v>
      </c>
      <c r="R824" s="737" t="str">
        <f>MID(NAV!U745,FIND("(",NAV!U745)+1,FIND(")", NAV!U745)-FIND("(",NAV!U745)-1)</f>
        <v>KRW</v>
      </c>
    </row>
    <row r="825" spans="1:18" ht="12.75" thickBot="1">
      <c r="B825" s="379" t="s">
        <v>3485</v>
      </c>
      <c r="C825" s="380">
        <f>NAV!D738</f>
        <v>0</v>
      </c>
      <c r="D825" s="380">
        <f>NAV!E738</f>
        <v>0</v>
      </c>
      <c r="F825" s="149" t="str">
        <f>IF(G825=0,"",COUNTA(G$824:$G825))</f>
        <v/>
      </c>
      <c r="G825" s="373">
        <f>IF(NAV!L738="SPC 없음",0,NAV!L738)</f>
        <v>0</v>
      </c>
      <c r="H825" s="374">
        <f>NAV!W738</f>
        <v>0</v>
      </c>
      <c r="I825" s="374" t="str">
        <f>NAV!S738</f>
        <v>SPC 없음</v>
      </c>
      <c r="J825" s="149" t="str">
        <f>IF(L825=0,"",COUNTA(L$824:$L825)+COUNT($F$824:$F$829))</f>
        <v/>
      </c>
      <c r="K825" s="373">
        <f t="shared" ref="K825:K834" si="97">K824</f>
        <v>0</v>
      </c>
      <c r="L825" s="375">
        <f>NAV!J746</f>
        <v>0</v>
      </c>
      <c r="M825" s="376">
        <f>NAV!N746</f>
        <v>0</v>
      </c>
      <c r="N825" s="376">
        <f>NAV!T746</f>
        <v>0</v>
      </c>
      <c r="O825" s="377">
        <f>IF(N825="장부가액 준용","장부가액 준용",IF(N825="취득원가 준용","취득원가 준용",NAV!R746))</f>
        <v>0</v>
      </c>
      <c r="P825" s="377">
        <f>NAV!W746</f>
        <v>0</v>
      </c>
      <c r="Q825" s="377">
        <f>NAV!S746</f>
        <v>0</v>
      </c>
      <c r="R825" s="737" t="str">
        <f>MID(NAV!U746,FIND("(",NAV!U746)+1,FIND(")", NAV!U746)-FIND("(",NAV!U746)-1)</f>
        <v>KRW</v>
      </c>
    </row>
    <row r="826" spans="1:18" ht="12.75" thickBot="1">
      <c r="B826" s="379" t="s">
        <v>156</v>
      </c>
      <c r="C826" s="380">
        <f>NAV!D739</f>
        <v>0</v>
      </c>
      <c r="D826" s="380">
        <f>NAV!E739</f>
        <v>0</v>
      </c>
      <c r="F826" s="149" t="str">
        <f>IF(G826=0,"",COUNTA(G$824:$G826))</f>
        <v/>
      </c>
      <c r="G826" s="373">
        <f>IF(NAV!L739="SPC 없음",0,NAV!L739)</f>
        <v>0</v>
      </c>
      <c r="H826" s="374">
        <f>NAV!W739</f>
        <v>0</v>
      </c>
      <c r="I826" s="374" t="str">
        <f>NAV!S739</f>
        <v>SPC 없음</v>
      </c>
      <c r="J826" s="149" t="str">
        <f>IF(L826=0,"",COUNTA(L$824:$L826)+COUNT($F$824:$F$829))</f>
        <v/>
      </c>
      <c r="K826" s="373">
        <f t="shared" si="97"/>
        <v>0</v>
      </c>
      <c r="L826" s="375">
        <f>NAV!J747</f>
        <v>0</v>
      </c>
      <c r="M826" s="376">
        <f>NAV!N747</f>
        <v>0</v>
      </c>
      <c r="N826" s="376">
        <f>NAV!T747</f>
        <v>0</v>
      </c>
      <c r="O826" s="377">
        <f>IF(N826="장부가액 준용","장부가액 준용",IF(N826="취득원가 준용","취득원가 준용",NAV!R747))</f>
        <v>0</v>
      </c>
      <c r="P826" s="377">
        <f>NAV!W747</f>
        <v>0</v>
      </c>
      <c r="Q826" s="377">
        <f>NAV!S747</f>
        <v>0</v>
      </c>
      <c r="R826" s="737" t="str">
        <f>MID(NAV!U747,FIND("(",NAV!U747)+1,FIND(")", NAV!U747)-FIND("(",NAV!U747)-1)</f>
        <v>KRW</v>
      </c>
    </row>
    <row r="827" spans="1:18" ht="12.75" thickBot="1">
      <c r="B827" s="371" t="s">
        <v>3442</v>
      </c>
      <c r="C827" s="372">
        <f>NAV!D740</f>
        <v>0</v>
      </c>
      <c r="D827" s="372">
        <f>NAV!E740</f>
        <v>0</v>
      </c>
      <c r="F827" s="149" t="str">
        <f>IF(G827=0,"",COUNTA(G$824:$G827))</f>
        <v/>
      </c>
      <c r="G827" s="373">
        <f>IF(NAV!L740="SPC 없음",0,NAV!L740)</f>
        <v>0</v>
      </c>
      <c r="H827" s="374">
        <f>NAV!W740</f>
        <v>0</v>
      </c>
      <c r="I827" s="374" t="str">
        <f>NAV!S740</f>
        <v>SPC 없음</v>
      </c>
      <c r="J827" s="149" t="str">
        <f>IF(L827=0,"",COUNTA(L$824:$L827)+COUNT($F$824:$F$829))</f>
        <v/>
      </c>
      <c r="K827" s="373">
        <f t="shared" si="97"/>
        <v>0</v>
      </c>
      <c r="L827" s="375">
        <f>NAV!J748</f>
        <v>0</v>
      </c>
      <c r="M827" s="376">
        <f>NAV!N748</f>
        <v>0</v>
      </c>
      <c r="N827" s="376">
        <f>NAV!T748</f>
        <v>0</v>
      </c>
      <c r="O827" s="377">
        <f>IF(N827="장부가액 준용","장부가액 준용",IF(N827="취득원가 준용","취득원가 준용",NAV!R748))</f>
        <v>0</v>
      </c>
      <c r="P827" s="377">
        <f>NAV!W748</f>
        <v>0</v>
      </c>
      <c r="Q827" s="377">
        <f>NAV!S748</f>
        <v>0</v>
      </c>
      <c r="R827" s="737" t="str">
        <f>MID(NAV!U748,FIND("(",NAV!U748)+1,FIND(")", NAV!U748)-FIND("(",NAV!U748)-1)</f>
        <v>KRW</v>
      </c>
    </row>
    <row r="828" spans="1:18" ht="12.75" thickBot="1">
      <c r="A828" s="149">
        <v>1</v>
      </c>
      <c r="B828" s="381" t="str">
        <f>IFERROR(IF(F824=A828,VLOOKUP(A828,$F$823:$I$834,2,0),VLOOKUP(A828,$J$823:$Q$834,3,0)&amp;" "&amp;VLOOKUP(A828,$J$823:$Q$834,4,0)),"")</f>
        <v/>
      </c>
      <c r="C828" s="380" t="str">
        <f>IFERROR(IF(F824=A828,VLOOKUP(A828,$F$823:$I$834,3,0),VLOOKUP(A828,$J$823:$Q$834,7,0)),"")</f>
        <v/>
      </c>
      <c r="D828" s="380" t="str">
        <f>IFERROR(IF(F824=A828,VLOOKUP(A828,$F$823:$I$834,4,0),VLOOKUP(A828,$J$823:$Q$834,8,0)),"")</f>
        <v/>
      </c>
      <c r="F828" s="149" t="str">
        <f>IF(G828=0,"",COUNTA(G$824:$G828))</f>
        <v/>
      </c>
      <c r="G828" s="373">
        <f>IF(NAV!L741="SPC 없음",0,NAV!L741)</f>
        <v>0</v>
      </c>
      <c r="H828" s="374">
        <f>NAV!W741</f>
        <v>0</v>
      </c>
      <c r="I828" s="374" t="str">
        <f>NAV!S741</f>
        <v>SPC 없음</v>
      </c>
      <c r="J828" s="149" t="str">
        <f>IF(L828=0,"",COUNTA(L$824:$L828)+COUNT($F$824:$F$829))</f>
        <v/>
      </c>
      <c r="K828" s="373">
        <f t="shared" si="97"/>
        <v>0</v>
      </c>
      <c r="L828" s="375">
        <f>NAV!J749</f>
        <v>0</v>
      </c>
      <c r="M828" s="376">
        <f>NAV!N749</f>
        <v>0</v>
      </c>
      <c r="N828" s="376">
        <f>NAV!T749</f>
        <v>0</v>
      </c>
      <c r="O828" s="377">
        <f>IF(N828="장부가액 준용","장부가액 준용",IF(N828="취득원가 준용","취득원가 준용",NAV!R749))</f>
        <v>0</v>
      </c>
      <c r="P828" s="377">
        <f>NAV!W749</f>
        <v>0</v>
      </c>
      <c r="Q828" s="377">
        <f>NAV!S749</f>
        <v>0</v>
      </c>
      <c r="R828" s="737" t="str">
        <f>MID(NAV!U749,FIND("(",NAV!U749)+1,FIND(")", NAV!U749)-FIND("(",NAV!U749)-1)</f>
        <v>KRW</v>
      </c>
    </row>
    <row r="829" spans="1:18" ht="12.75" thickBot="1">
      <c r="A829" s="149">
        <f>A828+1</f>
        <v>2</v>
      </c>
      <c r="B829" s="381" t="str">
        <f t="shared" ref="B829:B844" si="98">IFERROR(IF(F825=A829,VLOOKUP(A829,$F$823:$I$834,2,0),VLOOKUP(A829,$J$823:$Q$834,3,0)&amp;" "&amp;VLOOKUP(A829,$J$823:$Q$834,4,0)),"")</f>
        <v/>
      </c>
      <c r="C829" s="380" t="str">
        <f t="shared" ref="C829:C844" si="99">IFERROR(IF(F825=A829,VLOOKUP(A829,$F$823:$I$834,3,0),VLOOKUP(A829,$J$823:$Q$834,7,0)),"")</f>
        <v/>
      </c>
      <c r="D829" s="380" t="str">
        <f t="shared" ref="D829:D844" si="100">IFERROR(IF(F825=A829,VLOOKUP(A829,$F$823:$I$834,4,0),VLOOKUP(A829,$J$823:$Q$834,8,0)),"")</f>
        <v/>
      </c>
      <c r="F829" s="149" t="str">
        <f>IF(G829=0,"",COUNTA(G$824:$G829))</f>
        <v/>
      </c>
      <c r="G829" s="373">
        <f>IF(NAV!L742="SPC 없음",0,NAV!L742)</f>
        <v>0</v>
      </c>
      <c r="H829" s="374">
        <f>NAV!W742</f>
        <v>0</v>
      </c>
      <c r="I829" s="374" t="str">
        <f>NAV!S742</f>
        <v>SPC 없음</v>
      </c>
      <c r="J829" s="149" t="str">
        <f>IF(L829=0,"",COUNTA(L$824:$L829)+COUNT($F$824:$F$829))</f>
        <v/>
      </c>
      <c r="K829" s="373">
        <f t="shared" si="97"/>
        <v>0</v>
      </c>
      <c r="L829" s="375">
        <f>NAV!J750</f>
        <v>0</v>
      </c>
      <c r="M829" s="376">
        <f>NAV!N750</f>
        <v>0</v>
      </c>
      <c r="N829" s="376">
        <f>NAV!T750</f>
        <v>0</v>
      </c>
      <c r="O829" s="377">
        <f>IF(N829="장부가액 준용","장부가액 준용",IF(N829="취득원가 준용","취득원가 준용",NAV!R750))</f>
        <v>0</v>
      </c>
      <c r="P829" s="377">
        <f>NAV!W750</f>
        <v>0</v>
      </c>
      <c r="Q829" s="377">
        <f>NAV!S750</f>
        <v>0</v>
      </c>
      <c r="R829" s="737" t="str">
        <f>MID(NAV!U750,FIND("(",NAV!U750)+1,FIND(")", NAV!U750)-FIND("(",NAV!U750)-1)</f>
        <v>KRW</v>
      </c>
    </row>
    <row r="830" spans="1:18" ht="12.75" thickBot="1">
      <c r="A830" s="149">
        <f t="shared" ref="A830:A844" si="101">A829+1</f>
        <v>3</v>
      </c>
      <c r="B830" s="381" t="str">
        <f t="shared" si="98"/>
        <v/>
      </c>
      <c r="C830" s="380" t="str">
        <f t="shared" si="99"/>
        <v/>
      </c>
      <c r="D830" s="380" t="str">
        <f t="shared" si="100"/>
        <v/>
      </c>
      <c r="J830" s="149" t="str">
        <f>IF(L830=0,"",COUNTA(L$824:$L830)+COUNT($F$824:$F$829))</f>
        <v/>
      </c>
      <c r="K830" s="373">
        <f t="shared" si="97"/>
        <v>0</v>
      </c>
      <c r="L830" s="375">
        <f>NAV!J751</f>
        <v>0</v>
      </c>
      <c r="M830" s="376">
        <f>NAV!N751</f>
        <v>0</v>
      </c>
      <c r="N830" s="376">
        <f>NAV!T751</f>
        <v>0</v>
      </c>
      <c r="O830" s="377">
        <f>IF(N830="장부가액 준용","장부가액 준용",IF(N830="취득원가 준용","취득원가 준용",NAV!R751))</f>
        <v>0</v>
      </c>
      <c r="P830" s="377">
        <f>NAV!W751</f>
        <v>0</v>
      </c>
      <c r="Q830" s="377">
        <f>NAV!S751</f>
        <v>0</v>
      </c>
      <c r="R830" s="737" t="str">
        <f>MID(NAV!U751,FIND("(",NAV!U751)+1,FIND(")", NAV!U751)-FIND("(",NAV!U751)-1)</f>
        <v>KRW</v>
      </c>
    </row>
    <row r="831" spans="1:18" ht="12.75" thickBot="1">
      <c r="A831" s="149">
        <f t="shared" si="101"/>
        <v>4</v>
      </c>
      <c r="B831" s="381" t="str">
        <f t="shared" si="98"/>
        <v/>
      </c>
      <c r="C831" s="380" t="str">
        <f t="shared" si="99"/>
        <v/>
      </c>
      <c r="D831" s="380" t="str">
        <f t="shared" si="100"/>
        <v/>
      </c>
      <c r="J831" s="149" t="str">
        <f>IF(L831=0,"",COUNTA(L$824:$L831)+COUNT($F$824:$F$829))</f>
        <v/>
      </c>
      <c r="K831" s="373">
        <f t="shared" si="97"/>
        <v>0</v>
      </c>
      <c r="L831" s="375">
        <f>NAV!J752</f>
        <v>0</v>
      </c>
      <c r="M831" s="376">
        <f>NAV!N752</f>
        <v>0</v>
      </c>
      <c r="N831" s="376">
        <f>NAV!T752</f>
        <v>0</v>
      </c>
      <c r="O831" s="377">
        <f>IF(N831="장부가액 준용","장부가액 준용",IF(N831="취득원가 준용","취득원가 준용",NAV!R752))</f>
        <v>0</v>
      </c>
      <c r="P831" s="377">
        <f>NAV!W752</f>
        <v>0</v>
      </c>
      <c r="Q831" s="377">
        <f>NAV!S752</f>
        <v>0</v>
      </c>
      <c r="R831" s="737" t="str">
        <f>MID(NAV!U752,FIND("(",NAV!U752)+1,FIND(")", NAV!U752)-FIND("(",NAV!U752)-1)</f>
        <v>KRW</v>
      </c>
    </row>
    <row r="832" spans="1:18" ht="12.75" thickBot="1">
      <c r="A832" s="149">
        <f t="shared" si="101"/>
        <v>5</v>
      </c>
      <c r="B832" s="381" t="str">
        <f t="shared" si="98"/>
        <v/>
      </c>
      <c r="C832" s="380" t="str">
        <f t="shared" si="99"/>
        <v/>
      </c>
      <c r="D832" s="380" t="str">
        <f t="shared" si="100"/>
        <v/>
      </c>
      <c r="J832" s="149" t="str">
        <f>IF(L832=0,"",COUNTA(L$824:$L832)+COUNT($F$824:$F$829))</f>
        <v/>
      </c>
      <c r="K832" s="373">
        <f t="shared" si="97"/>
        <v>0</v>
      </c>
      <c r="L832" s="375">
        <f>NAV!J753</f>
        <v>0</v>
      </c>
      <c r="M832" s="376">
        <f>NAV!N753</f>
        <v>0</v>
      </c>
      <c r="N832" s="376">
        <f>NAV!T753</f>
        <v>0</v>
      </c>
      <c r="O832" s="377">
        <f>IF(N832="장부가액 준용","장부가액 준용",IF(N832="취득원가 준용","취득원가 준용",NAV!R753))</f>
        <v>0</v>
      </c>
      <c r="P832" s="377">
        <f>NAV!W753</f>
        <v>0</v>
      </c>
      <c r="Q832" s="377">
        <f>NAV!S753</f>
        <v>0</v>
      </c>
      <c r="R832" s="737" t="str">
        <f>MID(NAV!U753,FIND("(",NAV!U753)+1,FIND(")", NAV!U753)-FIND("(",NAV!U753)-1)</f>
        <v>KRW</v>
      </c>
    </row>
    <row r="833" spans="1:18" ht="12.75" thickBot="1">
      <c r="A833" s="149">
        <f t="shared" si="101"/>
        <v>6</v>
      </c>
      <c r="B833" s="381" t="str">
        <f t="shared" si="98"/>
        <v/>
      </c>
      <c r="C833" s="380" t="str">
        <f t="shared" si="99"/>
        <v/>
      </c>
      <c r="D833" s="380" t="str">
        <f t="shared" si="100"/>
        <v/>
      </c>
      <c r="J833" s="149" t="str">
        <f>IF(L833=0,"",COUNTA(L$824:$L833)+COUNT($F$824:$F$829))</f>
        <v/>
      </c>
      <c r="K833" s="373">
        <f t="shared" si="97"/>
        <v>0</v>
      </c>
      <c r="L833" s="375">
        <f>NAV!J754</f>
        <v>0</v>
      </c>
      <c r="M833" s="376">
        <f>NAV!N754</f>
        <v>0</v>
      </c>
      <c r="N833" s="376">
        <f>NAV!T754</f>
        <v>0</v>
      </c>
      <c r="O833" s="377">
        <f>IF(N833="장부가액 준용","장부가액 준용",IF(N833="취득원가 준용","취득원가 준용",NAV!R754))</f>
        <v>0</v>
      </c>
      <c r="P833" s="377">
        <f>NAV!W754</f>
        <v>0</v>
      </c>
      <c r="Q833" s="377">
        <f>NAV!S754</f>
        <v>0</v>
      </c>
      <c r="R833" s="737" t="str">
        <f>MID(NAV!U754,FIND("(",NAV!U754)+1,FIND(")", NAV!U754)-FIND("(",NAV!U754)-1)</f>
        <v>KRW</v>
      </c>
    </row>
    <row r="834" spans="1:18" ht="12.75" thickBot="1">
      <c r="A834" s="149">
        <f t="shared" si="101"/>
        <v>7</v>
      </c>
      <c r="B834" s="381" t="str">
        <f t="shared" si="98"/>
        <v/>
      </c>
      <c r="C834" s="380" t="str">
        <f t="shared" si="99"/>
        <v/>
      </c>
      <c r="D834" s="380" t="str">
        <f t="shared" si="100"/>
        <v/>
      </c>
      <c r="J834" s="149" t="str">
        <f>IF(L834=0,"",COUNTA(L$824:$L834)+COUNT($F$824:$F$829))</f>
        <v/>
      </c>
      <c r="K834" s="373">
        <f t="shared" si="97"/>
        <v>0</v>
      </c>
      <c r="L834" s="375">
        <f>NAV!J755</f>
        <v>0</v>
      </c>
      <c r="M834" s="376">
        <f>NAV!N755</f>
        <v>0</v>
      </c>
      <c r="N834" s="376">
        <f>NAV!T755</f>
        <v>0</v>
      </c>
      <c r="O834" s="377">
        <f>IF(N834="장부가액 준용","장부가액 준용",IF(N834="취득원가 준용","취득원가 준용",NAV!R755))</f>
        <v>0</v>
      </c>
      <c r="P834" s="377">
        <f>NAV!W755</f>
        <v>0</v>
      </c>
      <c r="Q834" s="377">
        <f>NAV!S755</f>
        <v>0</v>
      </c>
      <c r="R834" s="737" t="str">
        <f>MID(NAV!U755,FIND("(",NAV!U755)+1,FIND(")", NAV!U755)-FIND("(",NAV!U755)-1)</f>
        <v>KRW</v>
      </c>
    </row>
    <row r="835" spans="1:18" ht="12.75" hidden="1" customHeight="1" outlineLevel="1" thickBot="1">
      <c r="A835" s="149">
        <f t="shared" si="101"/>
        <v>8</v>
      </c>
      <c r="B835" s="381" t="str">
        <f t="shared" si="98"/>
        <v/>
      </c>
      <c r="C835" s="380" t="str">
        <f t="shared" si="99"/>
        <v/>
      </c>
      <c r="D835" s="380" t="str">
        <f t="shared" si="100"/>
        <v/>
      </c>
    </row>
    <row r="836" spans="1:18" ht="12.75" hidden="1" customHeight="1" outlineLevel="1" thickBot="1">
      <c r="A836" s="149">
        <f t="shared" si="101"/>
        <v>9</v>
      </c>
      <c r="B836" s="381" t="str">
        <f t="shared" si="98"/>
        <v/>
      </c>
      <c r="C836" s="380" t="str">
        <f t="shared" si="99"/>
        <v/>
      </c>
      <c r="D836" s="380" t="str">
        <f t="shared" si="100"/>
        <v/>
      </c>
    </row>
    <row r="837" spans="1:18" ht="12.75" hidden="1" customHeight="1" outlineLevel="1" thickBot="1">
      <c r="A837" s="149">
        <f t="shared" si="101"/>
        <v>10</v>
      </c>
      <c r="B837" s="381" t="str">
        <f t="shared" si="98"/>
        <v/>
      </c>
      <c r="C837" s="380" t="str">
        <f t="shared" si="99"/>
        <v/>
      </c>
      <c r="D837" s="380" t="str">
        <f t="shared" si="100"/>
        <v/>
      </c>
    </row>
    <row r="838" spans="1:18" ht="12.75" hidden="1" customHeight="1" outlineLevel="1" thickBot="1">
      <c r="A838" s="149">
        <f t="shared" si="101"/>
        <v>11</v>
      </c>
      <c r="B838" s="381" t="str">
        <f t="shared" si="98"/>
        <v/>
      </c>
      <c r="C838" s="380" t="str">
        <f t="shared" si="99"/>
        <v/>
      </c>
      <c r="D838" s="380" t="str">
        <f t="shared" si="100"/>
        <v/>
      </c>
    </row>
    <row r="839" spans="1:18" ht="12.75" hidden="1" customHeight="1" outlineLevel="1" thickBot="1">
      <c r="A839" s="149">
        <f t="shared" si="101"/>
        <v>12</v>
      </c>
      <c r="B839" s="381" t="str">
        <f t="shared" si="98"/>
        <v/>
      </c>
      <c r="C839" s="380" t="str">
        <f t="shared" si="99"/>
        <v/>
      </c>
      <c r="D839" s="380" t="str">
        <f t="shared" si="100"/>
        <v/>
      </c>
    </row>
    <row r="840" spans="1:18" ht="12.75" hidden="1" customHeight="1" outlineLevel="1" thickBot="1">
      <c r="A840" s="149">
        <f t="shared" si="101"/>
        <v>13</v>
      </c>
      <c r="B840" s="381" t="str">
        <f t="shared" si="98"/>
        <v/>
      </c>
      <c r="C840" s="380" t="str">
        <f t="shared" si="99"/>
        <v/>
      </c>
      <c r="D840" s="380" t="str">
        <f t="shared" si="100"/>
        <v/>
      </c>
    </row>
    <row r="841" spans="1:18" ht="12.75" hidden="1" customHeight="1" outlineLevel="1" thickBot="1">
      <c r="A841" s="149">
        <f t="shared" si="101"/>
        <v>14</v>
      </c>
      <c r="B841" s="381" t="str">
        <f t="shared" si="98"/>
        <v/>
      </c>
      <c r="C841" s="380" t="str">
        <f t="shared" si="99"/>
        <v/>
      </c>
      <c r="D841" s="380" t="str">
        <f t="shared" si="100"/>
        <v/>
      </c>
    </row>
    <row r="842" spans="1:18" ht="12.75" hidden="1" customHeight="1" outlineLevel="1" thickBot="1">
      <c r="A842" s="149">
        <f t="shared" si="101"/>
        <v>15</v>
      </c>
      <c r="B842" s="381" t="str">
        <f t="shared" si="98"/>
        <v/>
      </c>
      <c r="C842" s="380" t="str">
        <f t="shared" si="99"/>
        <v/>
      </c>
      <c r="D842" s="380" t="str">
        <f t="shared" si="100"/>
        <v/>
      </c>
    </row>
    <row r="843" spans="1:18" ht="12.75" hidden="1" customHeight="1" outlineLevel="1" thickBot="1">
      <c r="A843" s="149">
        <f t="shared" si="101"/>
        <v>16</v>
      </c>
      <c r="B843" s="381" t="str">
        <f t="shared" si="98"/>
        <v/>
      </c>
      <c r="C843" s="380" t="str">
        <f t="shared" si="99"/>
        <v/>
      </c>
      <c r="D843" s="380" t="str">
        <f t="shared" si="100"/>
        <v/>
      </c>
    </row>
    <row r="844" spans="1:18" ht="12.75" hidden="1" customHeight="1" outlineLevel="1" thickBot="1">
      <c r="A844" s="149">
        <f t="shared" si="101"/>
        <v>17</v>
      </c>
      <c r="B844" s="381" t="str">
        <f t="shared" si="98"/>
        <v/>
      </c>
      <c r="C844" s="380" t="str">
        <f t="shared" si="99"/>
        <v/>
      </c>
      <c r="D844" s="380" t="str">
        <f t="shared" si="100"/>
        <v/>
      </c>
    </row>
    <row r="845" spans="1:18" ht="12.75" collapsed="1" thickBot="1">
      <c r="B845" s="382" t="s">
        <v>2</v>
      </c>
      <c r="C845" s="372">
        <f>SUM(C824,C827)</f>
        <v>0</v>
      </c>
      <c r="D845" s="383">
        <f>SUM(D824,D827)</f>
        <v>0</v>
      </c>
    </row>
    <row r="846" spans="1:18" ht="12.75" thickBot="1">
      <c r="B846" s="382" t="s">
        <v>30</v>
      </c>
      <c r="C846" s="819">
        <f>NAV!E750</f>
        <v>0</v>
      </c>
      <c r="D846" s="820"/>
    </row>
    <row r="847" spans="1:18" ht="12.75" thickBot="1">
      <c r="B847" s="382" t="s">
        <v>31</v>
      </c>
      <c r="C847" s="819">
        <f>D845-C846</f>
        <v>0</v>
      </c>
      <c r="D847" s="820"/>
    </row>
    <row r="848" spans="1:18" ht="12.75" thickBot="1">
      <c r="B848" s="382" t="s">
        <v>3486</v>
      </c>
      <c r="C848" s="819">
        <f>NAV!E755</f>
        <v>0</v>
      </c>
      <c r="D848" s="820"/>
      <c r="F848" s="217"/>
    </row>
    <row r="849" spans="1:18" ht="12.75" thickBot="1">
      <c r="B849" s="382" t="s">
        <v>965</v>
      </c>
      <c r="C849" s="819">
        <f>NAV!E756</f>
        <v>0</v>
      </c>
      <c r="D849" s="820"/>
    </row>
    <row r="850" spans="1:18" ht="12.75" thickBot="1">
      <c r="B850" s="382" t="s">
        <v>744</v>
      </c>
      <c r="C850" s="819">
        <f>NAV!E757</f>
        <v>0</v>
      </c>
      <c r="D850" s="820"/>
    </row>
    <row r="851" spans="1:18" ht="12.75" thickBot="1">
      <c r="B851" s="382" t="str">
        <f>NAV!C758</f>
        <v>보유지분율(%)</v>
      </c>
      <c r="C851" s="823">
        <f>NAV!D758</f>
        <v>0</v>
      </c>
      <c r="D851" s="824"/>
    </row>
    <row r="852" spans="1:18" ht="12.75" thickBot="1">
      <c r="B852" s="382" t="s">
        <v>3488</v>
      </c>
      <c r="C852" s="825">
        <f>NAV!E758</f>
        <v>0</v>
      </c>
      <c r="D852" s="826"/>
    </row>
    <row r="858" spans="1:18">
      <c r="A858" s="149">
        <f>A820+1</f>
        <v>16</v>
      </c>
      <c r="B858" s="399" t="str">
        <f>NAV!B769</f>
        <v>SPC없음</v>
      </c>
      <c r="G858" s="399" t="str">
        <f>B858</f>
        <v>SPC없음</v>
      </c>
    </row>
    <row r="859" spans="1:18">
      <c r="B859" s="399" t="str">
        <f>NAV!C770</f>
        <v>SPC없음</v>
      </c>
      <c r="G859" s="399" t="str">
        <f>B859</f>
        <v>SPC없음</v>
      </c>
    </row>
    <row r="860" spans="1:18" ht="12.75" thickBot="1">
      <c r="B860" s="215" t="s">
        <v>750</v>
      </c>
      <c r="C860" s="216"/>
      <c r="D860" s="216"/>
      <c r="E860" s="216"/>
      <c r="F860" s="216"/>
      <c r="G860" s="215" t="s">
        <v>751</v>
      </c>
      <c r="H860" s="216"/>
      <c r="I860" s="216"/>
      <c r="K860" s="215" t="s">
        <v>752</v>
      </c>
    </row>
    <row r="861" spans="1:18" ht="12.75" thickBot="1">
      <c r="B861" s="366" t="s">
        <v>27</v>
      </c>
      <c r="C861" s="367" t="s">
        <v>28</v>
      </c>
      <c r="D861" s="367" t="s">
        <v>29</v>
      </c>
      <c r="F861" s="368" t="s">
        <v>3461</v>
      </c>
      <c r="G861" s="353" t="str">
        <f>$G$74</f>
        <v>SPC명</v>
      </c>
      <c r="H861" s="369" t="s">
        <v>3200</v>
      </c>
      <c r="I861" s="369" t="s">
        <v>753</v>
      </c>
      <c r="J861" s="368" t="s">
        <v>3461</v>
      </c>
      <c r="K861" s="353" t="s">
        <v>3440</v>
      </c>
      <c r="L861" s="353" t="str">
        <f>$L$74</f>
        <v>투자자산명</v>
      </c>
      <c r="M861" s="358" t="s">
        <v>754</v>
      </c>
      <c r="N861" s="358" t="s">
        <v>47</v>
      </c>
      <c r="O861" s="369" t="s">
        <v>749</v>
      </c>
      <c r="P861" s="400" t="s">
        <v>3460</v>
      </c>
      <c r="Q861" s="370" t="s">
        <v>3463</v>
      </c>
      <c r="R861" s="370" t="s">
        <v>6833</v>
      </c>
    </row>
    <row r="862" spans="1:18" ht="12.75" thickBot="1">
      <c r="B862" s="371" t="s">
        <v>3441</v>
      </c>
      <c r="C862" s="372">
        <f>SUM(C863:C864)</f>
        <v>0</v>
      </c>
      <c r="D862" s="372">
        <f>SUM(D863:D864)</f>
        <v>0</v>
      </c>
      <c r="F862" s="149" t="str">
        <f>IF(G862=0,"",COUNTA(G$862:$G862))</f>
        <v/>
      </c>
      <c r="G862" s="373">
        <f>IF(NAV!L775="SPC 없음",0,NAV!L775)</f>
        <v>0</v>
      </c>
      <c r="H862" s="374">
        <f>NAV!W775</f>
        <v>0</v>
      </c>
      <c r="I862" s="374" t="str">
        <f>NAV!S775</f>
        <v>SPC 없음</v>
      </c>
      <c r="J862" s="149" t="str">
        <f>IF(L862=0,"",COUNTA(L$862:$L862)+COUNT($F$862:$F$867))</f>
        <v/>
      </c>
      <c r="K862" s="373">
        <f>IF($B859="SPC없음",0,$B859)</f>
        <v>0</v>
      </c>
      <c r="L862" s="375">
        <f>NAV!J783</f>
        <v>0</v>
      </c>
      <c r="M862" s="376">
        <f>NAV!N783</f>
        <v>0</v>
      </c>
      <c r="N862" s="376">
        <f>NAV!T783</f>
        <v>0</v>
      </c>
      <c r="O862" s="377">
        <f>IF(N862="장부가액 준용","장부가액 준용",IF(N862="취득원가 준용","취득원가 준용",NAV!R783))</f>
        <v>0</v>
      </c>
      <c r="P862" s="377">
        <f>NAV!W783</f>
        <v>0</v>
      </c>
      <c r="Q862" s="377">
        <f>NAV!S783</f>
        <v>0</v>
      </c>
      <c r="R862" s="737" t="str">
        <f>MID(NAV!U783,FIND("(",NAV!U783)+1,FIND(")", NAV!U783)-FIND("(",NAV!U783)-1)</f>
        <v>KRW</v>
      </c>
    </row>
    <row r="863" spans="1:18" ht="12.75" thickBot="1">
      <c r="B863" s="379" t="s">
        <v>3443</v>
      </c>
      <c r="C863" s="380">
        <f>NAV!D776</f>
        <v>0</v>
      </c>
      <c r="D863" s="380">
        <f>NAV!E776</f>
        <v>0</v>
      </c>
      <c r="F863" s="149" t="str">
        <f>IF(G863=0,"",COUNTA(G$862:$G863))</f>
        <v/>
      </c>
      <c r="G863" s="373">
        <f>IF(NAV!L776="SPC 없음",0,NAV!L776)</f>
        <v>0</v>
      </c>
      <c r="H863" s="374">
        <f>NAV!W776</f>
        <v>0</v>
      </c>
      <c r="I863" s="374" t="str">
        <f>NAV!S776</f>
        <v>SPC 없음</v>
      </c>
      <c r="J863" s="149" t="str">
        <f>IF(L863=0,"",COUNTA(L$862:$L863)+COUNT($F$862:$F$867))</f>
        <v/>
      </c>
      <c r="K863" s="373">
        <f t="shared" ref="K863:K872" si="102">K862</f>
        <v>0</v>
      </c>
      <c r="L863" s="375">
        <f>NAV!J784</f>
        <v>0</v>
      </c>
      <c r="M863" s="376">
        <f>NAV!N784</f>
        <v>0</v>
      </c>
      <c r="N863" s="376">
        <f>NAV!T784</f>
        <v>0</v>
      </c>
      <c r="O863" s="377">
        <f>IF(N863="장부가액 준용","장부가액 준용",IF(N863="취득원가 준용","취득원가 준용",NAV!R784))</f>
        <v>0</v>
      </c>
      <c r="P863" s="377">
        <f>NAV!W784</f>
        <v>0</v>
      </c>
      <c r="Q863" s="377">
        <f>NAV!S784</f>
        <v>0</v>
      </c>
      <c r="R863" s="737" t="str">
        <f>MID(NAV!U784,FIND("(",NAV!U784)+1,FIND(")", NAV!U784)-FIND("(",NAV!U784)-1)</f>
        <v>KRW</v>
      </c>
    </row>
    <row r="864" spans="1:18" ht="12.75" thickBot="1">
      <c r="B864" s="379" t="s">
        <v>156</v>
      </c>
      <c r="C864" s="380">
        <f>NAV!D777</f>
        <v>0</v>
      </c>
      <c r="D864" s="380">
        <f>NAV!E777</f>
        <v>0</v>
      </c>
      <c r="F864" s="149" t="str">
        <f>IF(G864=0,"",COUNTA(G$862:$G864))</f>
        <v/>
      </c>
      <c r="G864" s="373">
        <f>IF(NAV!L777="SPC 없음",0,NAV!L777)</f>
        <v>0</v>
      </c>
      <c r="H864" s="374">
        <f>NAV!W777</f>
        <v>0</v>
      </c>
      <c r="I864" s="374" t="str">
        <f>NAV!S777</f>
        <v>SPC 없음</v>
      </c>
      <c r="J864" s="149" t="str">
        <f>IF(L864=0,"",COUNTA(L$862:$L864)+COUNT($F$862:$F$867))</f>
        <v/>
      </c>
      <c r="K864" s="373">
        <f t="shared" si="102"/>
        <v>0</v>
      </c>
      <c r="L864" s="375">
        <f>NAV!J785</f>
        <v>0</v>
      </c>
      <c r="M864" s="376">
        <f>NAV!N785</f>
        <v>0</v>
      </c>
      <c r="N864" s="376">
        <f>NAV!T785</f>
        <v>0</v>
      </c>
      <c r="O864" s="377">
        <f>IF(N864="장부가액 준용","장부가액 준용",IF(N864="취득원가 준용","취득원가 준용",NAV!R785))</f>
        <v>0</v>
      </c>
      <c r="P864" s="377">
        <f>NAV!W785</f>
        <v>0</v>
      </c>
      <c r="Q864" s="377">
        <f>NAV!S785</f>
        <v>0</v>
      </c>
      <c r="R864" s="737" t="str">
        <f>MID(NAV!U785,FIND("(",NAV!U785)+1,FIND(")", NAV!U785)-FIND("(",NAV!U785)-1)</f>
        <v>KRW</v>
      </c>
    </row>
    <row r="865" spans="1:18" ht="12.75" thickBot="1">
      <c r="B865" s="371" t="s">
        <v>3442</v>
      </c>
      <c r="C865" s="372">
        <f>NAV!D778</f>
        <v>0</v>
      </c>
      <c r="D865" s="372">
        <f>NAV!E778</f>
        <v>0</v>
      </c>
      <c r="F865" s="149" t="str">
        <f>IF(G865=0,"",COUNTA(G$862:$G865))</f>
        <v/>
      </c>
      <c r="G865" s="373">
        <f>IF(NAV!L778="SPC 없음",0,NAV!L778)</f>
        <v>0</v>
      </c>
      <c r="H865" s="374">
        <f>NAV!W778</f>
        <v>0</v>
      </c>
      <c r="I865" s="374" t="str">
        <f>NAV!S778</f>
        <v>SPC 없음</v>
      </c>
      <c r="J865" s="149" t="str">
        <f>IF(L865=0,"",COUNTA(L$862:$L865)+COUNT($F$862:$F$867))</f>
        <v/>
      </c>
      <c r="K865" s="373">
        <f t="shared" si="102"/>
        <v>0</v>
      </c>
      <c r="L865" s="375">
        <f>NAV!J786</f>
        <v>0</v>
      </c>
      <c r="M865" s="376">
        <f>NAV!N786</f>
        <v>0</v>
      </c>
      <c r="N865" s="376">
        <f>NAV!T786</f>
        <v>0</v>
      </c>
      <c r="O865" s="377">
        <f>IF(N865="장부가액 준용","장부가액 준용",IF(N865="취득원가 준용","취득원가 준용",NAV!R786))</f>
        <v>0</v>
      </c>
      <c r="P865" s="377">
        <f>NAV!W786</f>
        <v>0</v>
      </c>
      <c r="Q865" s="377">
        <f>NAV!S786</f>
        <v>0</v>
      </c>
      <c r="R865" s="737" t="str">
        <f>MID(NAV!U786,FIND("(",NAV!U786)+1,FIND(")", NAV!U786)-FIND("(",NAV!U786)-1)</f>
        <v>KRW</v>
      </c>
    </row>
    <row r="866" spans="1:18" ht="12.75" thickBot="1">
      <c r="A866" s="149">
        <v>1</v>
      </c>
      <c r="B866" s="381" t="str">
        <f>IFERROR(IF(F862=A866,VLOOKUP(A866,$F$861:$I$872,2,0),VLOOKUP(A866,$J$861:$Q$872,3,0)&amp;" "&amp;VLOOKUP(A866,$J$861:$Q$872,4,0)),"")</f>
        <v/>
      </c>
      <c r="C866" s="380" t="str">
        <f>IFERROR(IF(F862=A866,VLOOKUP(A866,$F$861:$I$872,3,0),VLOOKUP(A866,$J$861:$Q$872,7,0)),"")</f>
        <v/>
      </c>
      <c r="D866" s="380" t="str">
        <f>IFERROR(IF(F862=A866,VLOOKUP(A866,$F$861:$I$872,4,0),VLOOKUP(A866,$J$861:$Q$872,8,0)),"")</f>
        <v/>
      </c>
      <c r="F866" s="149" t="str">
        <f>IF(G866=0,"",COUNTA(G$862:$G866))</f>
        <v/>
      </c>
      <c r="G866" s="373">
        <f>IF(NAV!L779="SPC 없음",0,NAV!L779)</f>
        <v>0</v>
      </c>
      <c r="H866" s="374">
        <f>NAV!W779</f>
        <v>0</v>
      </c>
      <c r="I866" s="374" t="str">
        <f>NAV!S779</f>
        <v>SPC 없음</v>
      </c>
      <c r="J866" s="149" t="str">
        <f>IF(L866=0,"",COUNTA(L$862:$L866)+COUNT($F$862:$F$867))</f>
        <v/>
      </c>
      <c r="K866" s="373">
        <f t="shared" si="102"/>
        <v>0</v>
      </c>
      <c r="L866" s="375">
        <f>NAV!J787</f>
        <v>0</v>
      </c>
      <c r="M866" s="376">
        <f>NAV!N787</f>
        <v>0</v>
      </c>
      <c r="N866" s="376">
        <f>NAV!T787</f>
        <v>0</v>
      </c>
      <c r="O866" s="377">
        <f>IF(N866="장부가액 준용","장부가액 준용",IF(N866="취득원가 준용","취득원가 준용",NAV!R787))</f>
        <v>0</v>
      </c>
      <c r="P866" s="377">
        <f>NAV!W787</f>
        <v>0</v>
      </c>
      <c r="Q866" s="377">
        <f>NAV!S787</f>
        <v>0</v>
      </c>
      <c r="R866" s="737" t="str">
        <f>MID(NAV!U787,FIND("(",NAV!U787)+1,FIND(")", NAV!U787)-FIND("(",NAV!U787)-1)</f>
        <v>KRW</v>
      </c>
    </row>
    <row r="867" spans="1:18" ht="12.75" thickBot="1">
      <c r="A867" s="149">
        <f>A866+1</f>
        <v>2</v>
      </c>
      <c r="B867" s="381" t="str">
        <f t="shared" ref="B867:B882" si="103">IFERROR(IF(F863=A867,VLOOKUP(A867,$F$861:$I$872,2,0),VLOOKUP(A867,$J$861:$Q$872,3,0)&amp;" "&amp;VLOOKUP(A867,$J$861:$Q$872,4,0)),"")</f>
        <v/>
      </c>
      <c r="C867" s="380" t="str">
        <f t="shared" ref="C867:C882" si="104">IFERROR(IF(F863=A867,VLOOKUP(A867,$F$861:$I$872,3,0),VLOOKUP(A867,$J$861:$Q$872,7,0)),"")</f>
        <v/>
      </c>
      <c r="D867" s="380" t="str">
        <f t="shared" ref="D867:D882" si="105">IFERROR(IF(F863=A867,VLOOKUP(A867,$F$861:$I$872,4,0),VLOOKUP(A867,$J$861:$Q$872,8,0)),"")</f>
        <v/>
      </c>
      <c r="F867" s="149" t="str">
        <f>IF(G867=0,"",COUNTA(G$862:$G867))</f>
        <v/>
      </c>
      <c r="G867" s="373">
        <f>IF(NAV!L780="SPC 없음",0,NAV!L780)</f>
        <v>0</v>
      </c>
      <c r="H867" s="374">
        <f>NAV!W780</f>
        <v>0</v>
      </c>
      <c r="I867" s="374" t="str">
        <f>NAV!S780</f>
        <v>SPC 없음</v>
      </c>
      <c r="J867" s="149" t="str">
        <f>IF(L867=0,"",COUNTA(L$862:$L867)+COUNT($F$862:$F$867))</f>
        <v/>
      </c>
      <c r="K867" s="373">
        <f t="shared" si="102"/>
        <v>0</v>
      </c>
      <c r="L867" s="375">
        <f>NAV!J788</f>
        <v>0</v>
      </c>
      <c r="M867" s="376">
        <f>NAV!N788</f>
        <v>0</v>
      </c>
      <c r="N867" s="376">
        <f>NAV!T788</f>
        <v>0</v>
      </c>
      <c r="O867" s="377">
        <f>IF(N867="장부가액 준용","장부가액 준용",IF(N867="취득원가 준용","취득원가 준용",NAV!R788))</f>
        <v>0</v>
      </c>
      <c r="P867" s="377">
        <f>NAV!W788</f>
        <v>0</v>
      </c>
      <c r="Q867" s="377">
        <f>NAV!S788</f>
        <v>0</v>
      </c>
      <c r="R867" s="737" t="str">
        <f>MID(NAV!U788,FIND("(",NAV!U788)+1,FIND(")", NAV!U788)-FIND("(",NAV!U788)-1)</f>
        <v>KRW</v>
      </c>
    </row>
    <row r="868" spans="1:18" ht="12.75" thickBot="1">
      <c r="A868" s="149">
        <f t="shared" ref="A868:A882" si="106">A867+1</f>
        <v>3</v>
      </c>
      <c r="B868" s="381" t="str">
        <f t="shared" si="103"/>
        <v/>
      </c>
      <c r="C868" s="380" t="str">
        <f t="shared" si="104"/>
        <v/>
      </c>
      <c r="D868" s="380" t="str">
        <f t="shared" si="105"/>
        <v/>
      </c>
      <c r="J868" s="149" t="str">
        <f>IF(L868=0,"",COUNTA(L$862:$L868)+COUNT($F$862:$F$867))</f>
        <v/>
      </c>
      <c r="K868" s="373">
        <f t="shared" si="102"/>
        <v>0</v>
      </c>
      <c r="L868" s="375">
        <f>NAV!J789</f>
        <v>0</v>
      </c>
      <c r="M868" s="376">
        <f>NAV!N789</f>
        <v>0</v>
      </c>
      <c r="N868" s="376">
        <f>NAV!T789</f>
        <v>0</v>
      </c>
      <c r="O868" s="377">
        <f>IF(N868="장부가액 준용","장부가액 준용",IF(N868="취득원가 준용","취득원가 준용",NAV!R789))</f>
        <v>0</v>
      </c>
      <c r="P868" s="377">
        <f>NAV!W789</f>
        <v>0</v>
      </c>
      <c r="Q868" s="377">
        <f>NAV!S789</f>
        <v>0</v>
      </c>
      <c r="R868" s="737" t="str">
        <f>MID(NAV!U789,FIND("(",NAV!U789)+1,FIND(")", NAV!U789)-FIND("(",NAV!U789)-1)</f>
        <v>KRW</v>
      </c>
    </row>
    <row r="869" spans="1:18" ht="12.75" thickBot="1">
      <c r="A869" s="149">
        <f t="shared" si="106"/>
        <v>4</v>
      </c>
      <c r="B869" s="381" t="str">
        <f t="shared" si="103"/>
        <v/>
      </c>
      <c r="C869" s="380" t="str">
        <f t="shared" si="104"/>
        <v/>
      </c>
      <c r="D869" s="380" t="str">
        <f t="shared" si="105"/>
        <v/>
      </c>
      <c r="J869" s="149" t="str">
        <f>IF(L869=0,"",COUNTA(L$862:$L869)+COUNT($F$862:$F$867))</f>
        <v/>
      </c>
      <c r="K869" s="373">
        <f t="shared" si="102"/>
        <v>0</v>
      </c>
      <c r="L869" s="375">
        <f>NAV!J790</f>
        <v>0</v>
      </c>
      <c r="M869" s="376">
        <f>NAV!N790</f>
        <v>0</v>
      </c>
      <c r="N869" s="376">
        <f>NAV!T790</f>
        <v>0</v>
      </c>
      <c r="O869" s="377">
        <f>IF(N869="장부가액 준용","장부가액 준용",IF(N869="취득원가 준용","취득원가 준용",NAV!R790))</f>
        <v>0</v>
      </c>
      <c r="P869" s="377">
        <f>NAV!W790</f>
        <v>0</v>
      </c>
      <c r="Q869" s="377">
        <f>NAV!S790</f>
        <v>0</v>
      </c>
      <c r="R869" s="737" t="str">
        <f>MID(NAV!U790,FIND("(",NAV!U790)+1,FIND(")", NAV!U790)-FIND("(",NAV!U790)-1)</f>
        <v>KRW</v>
      </c>
    </row>
    <row r="870" spans="1:18" ht="12.75" thickBot="1">
      <c r="A870" s="149">
        <f t="shared" si="106"/>
        <v>5</v>
      </c>
      <c r="B870" s="381" t="str">
        <f t="shared" si="103"/>
        <v/>
      </c>
      <c r="C870" s="380" t="str">
        <f t="shared" si="104"/>
        <v/>
      </c>
      <c r="D870" s="380" t="str">
        <f t="shared" si="105"/>
        <v/>
      </c>
      <c r="J870" s="149" t="str">
        <f>IF(L870=0,"",COUNTA(L$862:$L870)+COUNT($F$862:$F$867))</f>
        <v/>
      </c>
      <c r="K870" s="373">
        <f t="shared" si="102"/>
        <v>0</v>
      </c>
      <c r="L870" s="375">
        <f>NAV!J791</f>
        <v>0</v>
      </c>
      <c r="M870" s="376">
        <f>NAV!N791</f>
        <v>0</v>
      </c>
      <c r="N870" s="376">
        <f>NAV!T791</f>
        <v>0</v>
      </c>
      <c r="O870" s="377">
        <f>IF(N870="장부가액 준용","장부가액 준용",IF(N870="취득원가 준용","취득원가 준용",NAV!R791))</f>
        <v>0</v>
      </c>
      <c r="P870" s="377">
        <f>NAV!W791</f>
        <v>0</v>
      </c>
      <c r="Q870" s="377">
        <f>NAV!S791</f>
        <v>0</v>
      </c>
      <c r="R870" s="737" t="str">
        <f>MID(NAV!U791,FIND("(",NAV!U791)+1,FIND(")", NAV!U791)-FIND("(",NAV!U791)-1)</f>
        <v>KRW</v>
      </c>
    </row>
    <row r="871" spans="1:18" ht="12.75" thickBot="1">
      <c r="A871" s="149">
        <f t="shared" si="106"/>
        <v>6</v>
      </c>
      <c r="B871" s="381" t="str">
        <f t="shared" si="103"/>
        <v/>
      </c>
      <c r="C871" s="380" t="str">
        <f t="shared" si="104"/>
        <v/>
      </c>
      <c r="D871" s="380" t="str">
        <f t="shared" si="105"/>
        <v/>
      </c>
      <c r="J871" s="149" t="str">
        <f>IF(L871=0,"",COUNTA(L$862:$L871)+COUNT($F$862:$F$867))</f>
        <v/>
      </c>
      <c r="K871" s="373">
        <f t="shared" si="102"/>
        <v>0</v>
      </c>
      <c r="L871" s="375">
        <f>NAV!J792</f>
        <v>0</v>
      </c>
      <c r="M871" s="376">
        <f>NAV!N792</f>
        <v>0</v>
      </c>
      <c r="N871" s="376">
        <f>NAV!T792</f>
        <v>0</v>
      </c>
      <c r="O871" s="377">
        <f>IF(N871="장부가액 준용","장부가액 준용",IF(N871="취득원가 준용","취득원가 준용",NAV!R792))</f>
        <v>0</v>
      </c>
      <c r="P871" s="377">
        <f>NAV!W792</f>
        <v>0</v>
      </c>
      <c r="Q871" s="377">
        <f>NAV!S792</f>
        <v>0</v>
      </c>
      <c r="R871" s="737" t="str">
        <f>MID(NAV!U792,FIND("(",NAV!U792)+1,FIND(")", NAV!U792)-FIND("(",NAV!U792)-1)</f>
        <v>KRW</v>
      </c>
    </row>
    <row r="872" spans="1:18" ht="12.75" thickBot="1">
      <c r="A872" s="149">
        <f t="shared" si="106"/>
        <v>7</v>
      </c>
      <c r="B872" s="381" t="str">
        <f t="shared" si="103"/>
        <v/>
      </c>
      <c r="C872" s="380" t="str">
        <f t="shared" si="104"/>
        <v/>
      </c>
      <c r="D872" s="380" t="str">
        <f t="shared" si="105"/>
        <v/>
      </c>
      <c r="J872" s="149" t="str">
        <f>IF(L872=0,"",COUNTA(L$862:$L872)+COUNT($F$862:$F$867))</f>
        <v/>
      </c>
      <c r="K872" s="373">
        <f t="shared" si="102"/>
        <v>0</v>
      </c>
      <c r="L872" s="375">
        <f>NAV!J793</f>
        <v>0</v>
      </c>
      <c r="M872" s="376">
        <f>NAV!N793</f>
        <v>0</v>
      </c>
      <c r="N872" s="376">
        <f>NAV!T793</f>
        <v>0</v>
      </c>
      <c r="O872" s="377">
        <f>IF(N872="장부가액 준용","장부가액 준용",IF(N872="취득원가 준용","취득원가 준용",NAV!R793))</f>
        <v>0</v>
      </c>
      <c r="P872" s="377">
        <f>NAV!W793</f>
        <v>0</v>
      </c>
      <c r="Q872" s="377">
        <f>NAV!S793</f>
        <v>0</v>
      </c>
      <c r="R872" s="737" t="str">
        <f>MID(NAV!U793,FIND("(",NAV!U793)+1,FIND(")", NAV!U793)-FIND("(",NAV!U793)-1)</f>
        <v>KRW</v>
      </c>
    </row>
    <row r="873" spans="1:18" ht="12.75" hidden="1" customHeight="1" outlineLevel="1" thickBot="1">
      <c r="A873" s="149">
        <f t="shared" si="106"/>
        <v>8</v>
      </c>
      <c r="B873" s="381" t="str">
        <f t="shared" si="103"/>
        <v/>
      </c>
      <c r="C873" s="380" t="str">
        <f t="shared" si="104"/>
        <v/>
      </c>
      <c r="D873" s="380" t="str">
        <f t="shared" si="105"/>
        <v/>
      </c>
    </row>
    <row r="874" spans="1:18" ht="12.75" hidden="1" customHeight="1" outlineLevel="1" thickBot="1">
      <c r="A874" s="149">
        <f t="shared" si="106"/>
        <v>9</v>
      </c>
      <c r="B874" s="381" t="str">
        <f t="shared" si="103"/>
        <v/>
      </c>
      <c r="C874" s="380" t="str">
        <f t="shared" si="104"/>
        <v/>
      </c>
      <c r="D874" s="380" t="str">
        <f t="shared" si="105"/>
        <v/>
      </c>
    </row>
    <row r="875" spans="1:18" ht="12.75" hidden="1" customHeight="1" outlineLevel="1" thickBot="1">
      <c r="A875" s="149">
        <f t="shared" si="106"/>
        <v>10</v>
      </c>
      <c r="B875" s="381" t="str">
        <f t="shared" si="103"/>
        <v/>
      </c>
      <c r="C875" s="380" t="str">
        <f t="shared" si="104"/>
        <v/>
      </c>
      <c r="D875" s="380" t="str">
        <f t="shared" si="105"/>
        <v/>
      </c>
    </row>
    <row r="876" spans="1:18" ht="12.75" hidden="1" customHeight="1" outlineLevel="1" thickBot="1">
      <c r="A876" s="149">
        <f t="shared" si="106"/>
        <v>11</v>
      </c>
      <c r="B876" s="381" t="str">
        <f t="shared" si="103"/>
        <v/>
      </c>
      <c r="C876" s="380" t="str">
        <f t="shared" si="104"/>
        <v/>
      </c>
      <c r="D876" s="380" t="str">
        <f t="shared" si="105"/>
        <v/>
      </c>
    </row>
    <row r="877" spans="1:18" ht="12.75" hidden="1" customHeight="1" outlineLevel="1" thickBot="1">
      <c r="A877" s="149">
        <f t="shared" si="106"/>
        <v>12</v>
      </c>
      <c r="B877" s="381" t="str">
        <f t="shared" si="103"/>
        <v/>
      </c>
      <c r="C877" s="380" t="str">
        <f t="shared" si="104"/>
        <v/>
      </c>
      <c r="D877" s="380" t="str">
        <f t="shared" si="105"/>
        <v/>
      </c>
    </row>
    <row r="878" spans="1:18" ht="12.75" hidden="1" customHeight="1" outlineLevel="1" thickBot="1">
      <c r="A878" s="149">
        <f t="shared" si="106"/>
        <v>13</v>
      </c>
      <c r="B878" s="381" t="str">
        <f t="shared" si="103"/>
        <v/>
      </c>
      <c r="C878" s="380" t="str">
        <f t="shared" si="104"/>
        <v/>
      </c>
      <c r="D878" s="380" t="str">
        <f t="shared" si="105"/>
        <v/>
      </c>
    </row>
    <row r="879" spans="1:18" ht="12.75" hidden="1" customHeight="1" outlineLevel="1" thickBot="1">
      <c r="A879" s="149">
        <f t="shared" si="106"/>
        <v>14</v>
      </c>
      <c r="B879" s="381" t="str">
        <f t="shared" si="103"/>
        <v/>
      </c>
      <c r="C879" s="380" t="str">
        <f t="shared" si="104"/>
        <v/>
      </c>
      <c r="D879" s="380" t="str">
        <f t="shared" si="105"/>
        <v/>
      </c>
    </row>
    <row r="880" spans="1:18" ht="12.75" hidden="1" customHeight="1" outlineLevel="1" thickBot="1">
      <c r="A880" s="149">
        <f t="shared" si="106"/>
        <v>15</v>
      </c>
      <c r="B880" s="381" t="str">
        <f t="shared" si="103"/>
        <v/>
      </c>
      <c r="C880" s="380" t="str">
        <f t="shared" si="104"/>
        <v/>
      </c>
      <c r="D880" s="380" t="str">
        <f t="shared" si="105"/>
        <v/>
      </c>
    </row>
    <row r="881" spans="1:7" ht="12.75" hidden="1" customHeight="1" outlineLevel="1" thickBot="1">
      <c r="A881" s="149">
        <f t="shared" si="106"/>
        <v>16</v>
      </c>
      <c r="B881" s="381" t="str">
        <f t="shared" si="103"/>
        <v/>
      </c>
      <c r="C881" s="380" t="str">
        <f t="shared" si="104"/>
        <v/>
      </c>
      <c r="D881" s="380" t="str">
        <f t="shared" si="105"/>
        <v/>
      </c>
    </row>
    <row r="882" spans="1:7" ht="12.75" hidden="1" customHeight="1" outlineLevel="1" thickBot="1">
      <c r="A882" s="149">
        <f t="shared" si="106"/>
        <v>17</v>
      </c>
      <c r="B882" s="381" t="str">
        <f t="shared" si="103"/>
        <v/>
      </c>
      <c r="C882" s="380" t="str">
        <f t="shared" si="104"/>
        <v/>
      </c>
      <c r="D882" s="380" t="str">
        <f t="shared" si="105"/>
        <v/>
      </c>
    </row>
    <row r="883" spans="1:7" ht="12.75" collapsed="1" thickBot="1">
      <c r="B883" s="382" t="s">
        <v>2</v>
      </c>
      <c r="C883" s="372">
        <f>SUM(C862,C865)</f>
        <v>0</v>
      </c>
      <c r="D883" s="383">
        <f>SUM(D862,D865)</f>
        <v>0</v>
      </c>
    </row>
    <row r="884" spans="1:7" ht="12.75" thickBot="1">
      <c r="B884" s="382" t="s">
        <v>30</v>
      </c>
      <c r="C884" s="819">
        <f>NAV!E788</f>
        <v>0</v>
      </c>
      <c r="D884" s="820"/>
    </row>
    <row r="885" spans="1:7" ht="12.75" thickBot="1">
      <c r="B885" s="382" t="s">
        <v>31</v>
      </c>
      <c r="C885" s="819">
        <f>D883-C884</f>
        <v>0</v>
      </c>
      <c r="D885" s="820"/>
    </row>
    <row r="886" spans="1:7" ht="12.75" thickBot="1">
      <c r="B886" s="382" t="s">
        <v>745</v>
      </c>
      <c r="C886" s="819">
        <f>NAV!E793</f>
        <v>0</v>
      </c>
      <c r="D886" s="820"/>
      <c r="F886" s="217"/>
    </row>
    <row r="887" spans="1:7" ht="12.75" thickBot="1">
      <c r="B887" s="382" t="s">
        <v>965</v>
      </c>
      <c r="C887" s="819">
        <f>NAV!E794</f>
        <v>0</v>
      </c>
      <c r="D887" s="820"/>
    </row>
    <row r="888" spans="1:7" ht="12.75" thickBot="1">
      <c r="B888" s="382" t="s">
        <v>744</v>
      </c>
      <c r="C888" s="819">
        <f>NAV!E795</f>
        <v>0</v>
      </c>
      <c r="D888" s="820"/>
    </row>
    <row r="889" spans="1:7" ht="12.75" thickBot="1">
      <c r="B889" s="382" t="str">
        <f>NAV!C796</f>
        <v>보유지분율(%)</v>
      </c>
      <c r="C889" s="823">
        <f>NAV!D796</f>
        <v>0</v>
      </c>
      <c r="D889" s="824"/>
    </row>
    <row r="890" spans="1:7" ht="12.75" thickBot="1">
      <c r="B890" s="382" t="s">
        <v>746</v>
      </c>
      <c r="C890" s="825">
        <f>NAV!E796</f>
        <v>0</v>
      </c>
      <c r="D890" s="826"/>
    </row>
    <row r="896" spans="1:7">
      <c r="A896" s="149">
        <f>A858+1</f>
        <v>17</v>
      </c>
      <c r="B896" s="399" t="str">
        <f>NAV!B807</f>
        <v>SPC없음</v>
      </c>
      <c r="G896" s="399" t="str">
        <f>B896</f>
        <v>SPC없음</v>
      </c>
    </row>
    <row r="897" spans="1:18">
      <c r="B897" s="399" t="str">
        <f>NAV!C808</f>
        <v>SPC없음</v>
      </c>
      <c r="G897" s="399" t="str">
        <f>B897</f>
        <v>SPC없음</v>
      </c>
    </row>
    <row r="898" spans="1:18" ht="12.75" thickBot="1">
      <c r="B898" s="215" t="s">
        <v>750</v>
      </c>
      <c r="C898" s="216"/>
      <c r="D898" s="216"/>
      <c r="E898" s="216"/>
      <c r="F898" s="216"/>
      <c r="G898" s="215" t="s">
        <v>751</v>
      </c>
      <c r="H898" s="216"/>
      <c r="I898" s="216"/>
      <c r="K898" s="215" t="s">
        <v>752</v>
      </c>
    </row>
    <row r="899" spans="1:18" ht="12.75" thickBot="1">
      <c r="B899" s="366" t="s">
        <v>27</v>
      </c>
      <c r="C899" s="367" t="s">
        <v>28</v>
      </c>
      <c r="D899" s="367" t="s">
        <v>29</v>
      </c>
      <c r="F899" s="368" t="s">
        <v>3461</v>
      </c>
      <c r="G899" s="353" t="str">
        <f>$G$74</f>
        <v>SPC명</v>
      </c>
      <c r="H899" s="369" t="s">
        <v>3200</v>
      </c>
      <c r="I899" s="369" t="s">
        <v>753</v>
      </c>
      <c r="J899" s="368" t="s">
        <v>3461</v>
      </c>
      <c r="K899" s="353" t="s">
        <v>3440</v>
      </c>
      <c r="L899" s="353" t="str">
        <f>$L$74</f>
        <v>투자자산명</v>
      </c>
      <c r="M899" s="358" t="s">
        <v>754</v>
      </c>
      <c r="N899" s="358" t="s">
        <v>47</v>
      </c>
      <c r="O899" s="369" t="s">
        <v>749</v>
      </c>
      <c r="P899" s="400" t="s">
        <v>3460</v>
      </c>
      <c r="Q899" s="370" t="s">
        <v>3463</v>
      </c>
      <c r="R899" s="370" t="s">
        <v>6833</v>
      </c>
    </row>
    <row r="900" spans="1:18" ht="12.75" thickBot="1">
      <c r="B900" s="371" t="s">
        <v>3441</v>
      </c>
      <c r="C900" s="372">
        <f>SUM(C901:C902)</f>
        <v>0</v>
      </c>
      <c r="D900" s="372">
        <f>SUM(D901:D902)</f>
        <v>0</v>
      </c>
      <c r="F900" s="149" t="str">
        <f>IF(G900=0,"",COUNTA(G$900:$G900))</f>
        <v/>
      </c>
      <c r="G900" s="373">
        <f>IF(NAV!L813="SPC 없음",0,NAV!L813)</f>
        <v>0</v>
      </c>
      <c r="H900" s="374">
        <f>NAV!W813</f>
        <v>0</v>
      </c>
      <c r="I900" s="374" t="str">
        <f>NAV!S813</f>
        <v>SPC 없음</v>
      </c>
      <c r="J900" s="149" t="str">
        <f>IF(L900=0,"",COUNTA(L$900:$L900)+COUNT($F$900:$F$905))</f>
        <v/>
      </c>
      <c r="K900" s="373">
        <f>IF($B897="SPC없음",0,$B897)</f>
        <v>0</v>
      </c>
      <c r="L900" s="375">
        <f>NAV!J821</f>
        <v>0</v>
      </c>
      <c r="M900" s="376">
        <f>NAV!N821</f>
        <v>0</v>
      </c>
      <c r="N900" s="376">
        <f>NAV!T821</f>
        <v>0</v>
      </c>
      <c r="O900" s="377">
        <f>IF(N900="장부가액 준용","장부가액 준용",IF(N900="취득원가 준용","취득원가 준용",NAV!R821))</f>
        <v>0</v>
      </c>
      <c r="P900" s="377">
        <f>NAV!W821</f>
        <v>0</v>
      </c>
      <c r="Q900" s="377">
        <f>NAV!S821</f>
        <v>0</v>
      </c>
      <c r="R900" s="737" t="str">
        <f>MID(NAV!U821,FIND("(",NAV!U821)+1,FIND(")", NAV!U821)-FIND("(",NAV!U821)-1)</f>
        <v>KRW</v>
      </c>
    </row>
    <row r="901" spans="1:18" ht="12.75" thickBot="1">
      <c r="B901" s="379" t="s">
        <v>3443</v>
      </c>
      <c r="C901" s="380">
        <f>NAV!D814</f>
        <v>0</v>
      </c>
      <c r="D901" s="380">
        <f>NAV!E814</f>
        <v>0</v>
      </c>
      <c r="F901" s="149" t="str">
        <f>IF(G901=0,"",COUNTA(G$900:$G901))</f>
        <v/>
      </c>
      <c r="G901" s="373">
        <f>IF(NAV!L814="SPC 없음",0,NAV!L814)</f>
        <v>0</v>
      </c>
      <c r="H901" s="374">
        <f>NAV!W814</f>
        <v>0</v>
      </c>
      <c r="I901" s="374" t="str">
        <f>NAV!S814</f>
        <v>SPC 없음</v>
      </c>
      <c r="J901" s="149" t="str">
        <f>IF(L901=0,"",COUNTA(L$900:$L901)+COUNT($F$900:$F$905))</f>
        <v/>
      </c>
      <c r="K901" s="373">
        <f t="shared" ref="K901:K910" si="107">K900</f>
        <v>0</v>
      </c>
      <c r="L901" s="375">
        <f>NAV!J822</f>
        <v>0</v>
      </c>
      <c r="M901" s="376">
        <f>NAV!N822</f>
        <v>0</v>
      </c>
      <c r="N901" s="376">
        <f>NAV!T822</f>
        <v>0</v>
      </c>
      <c r="O901" s="377">
        <f>IF(N901="장부가액 준용","장부가액 준용",IF(N901="취득원가 준용","취득원가 준용",NAV!R822))</f>
        <v>0</v>
      </c>
      <c r="P901" s="377">
        <f>NAV!W822</f>
        <v>0</v>
      </c>
      <c r="Q901" s="377">
        <f>NAV!S822</f>
        <v>0</v>
      </c>
      <c r="R901" s="737" t="str">
        <f>MID(NAV!U822,FIND("(",NAV!U822)+1,FIND(")", NAV!U822)-FIND("(",NAV!U822)-1)</f>
        <v>KRW</v>
      </c>
    </row>
    <row r="902" spans="1:18" ht="12.75" thickBot="1">
      <c r="B902" s="379" t="s">
        <v>156</v>
      </c>
      <c r="C902" s="380">
        <f>NAV!D815</f>
        <v>0</v>
      </c>
      <c r="D902" s="380">
        <f>NAV!E815</f>
        <v>0</v>
      </c>
      <c r="F902" s="149" t="str">
        <f>IF(G902=0,"",COUNTA(G$900:$G902))</f>
        <v/>
      </c>
      <c r="G902" s="373">
        <f>IF(NAV!L815="SPC 없음",0,NAV!L815)</f>
        <v>0</v>
      </c>
      <c r="H902" s="374">
        <f>NAV!W815</f>
        <v>0</v>
      </c>
      <c r="I902" s="374" t="str">
        <f>NAV!S815</f>
        <v>SPC 없음</v>
      </c>
      <c r="J902" s="149" t="str">
        <f>IF(L902=0,"",COUNTA(L$900:$L902)+COUNT($F$900:$F$905))</f>
        <v/>
      </c>
      <c r="K902" s="373">
        <f t="shared" si="107"/>
        <v>0</v>
      </c>
      <c r="L902" s="375">
        <f>NAV!J823</f>
        <v>0</v>
      </c>
      <c r="M902" s="376">
        <f>NAV!N823</f>
        <v>0</v>
      </c>
      <c r="N902" s="376">
        <f>NAV!T823</f>
        <v>0</v>
      </c>
      <c r="O902" s="377">
        <f>IF(N902="장부가액 준용","장부가액 준용",IF(N902="취득원가 준용","취득원가 준용",NAV!R823))</f>
        <v>0</v>
      </c>
      <c r="P902" s="377">
        <f>NAV!W823</f>
        <v>0</v>
      </c>
      <c r="Q902" s="377">
        <f>NAV!S823</f>
        <v>0</v>
      </c>
      <c r="R902" s="737" t="str">
        <f>MID(NAV!U823,FIND("(",NAV!U823)+1,FIND(")", NAV!U823)-FIND("(",NAV!U823)-1)</f>
        <v>KRW</v>
      </c>
    </row>
    <row r="903" spans="1:18" ht="12.75" thickBot="1">
      <c r="B903" s="371" t="s">
        <v>3442</v>
      </c>
      <c r="C903" s="372">
        <f>NAV!D816</f>
        <v>0</v>
      </c>
      <c r="D903" s="372">
        <f>NAV!E816</f>
        <v>0</v>
      </c>
      <c r="F903" s="149" t="str">
        <f>IF(G903=0,"",COUNTA(G$900:$G903))</f>
        <v/>
      </c>
      <c r="G903" s="373">
        <f>IF(NAV!L816="SPC 없음",0,NAV!L816)</f>
        <v>0</v>
      </c>
      <c r="H903" s="374">
        <f>NAV!W816</f>
        <v>0</v>
      </c>
      <c r="I903" s="374" t="str">
        <f>NAV!S816</f>
        <v>SPC 없음</v>
      </c>
      <c r="J903" s="149" t="str">
        <f>IF(L903=0,"",COUNTA(L$900:$L903)+COUNT($F$900:$F$905))</f>
        <v/>
      </c>
      <c r="K903" s="373">
        <f t="shared" si="107"/>
        <v>0</v>
      </c>
      <c r="L903" s="375">
        <f>NAV!J824</f>
        <v>0</v>
      </c>
      <c r="M903" s="376">
        <f>NAV!N824</f>
        <v>0</v>
      </c>
      <c r="N903" s="376">
        <f>NAV!T824</f>
        <v>0</v>
      </c>
      <c r="O903" s="377">
        <f>IF(N903="장부가액 준용","장부가액 준용",IF(N903="취득원가 준용","취득원가 준용",NAV!R824))</f>
        <v>0</v>
      </c>
      <c r="P903" s="377">
        <f>NAV!W824</f>
        <v>0</v>
      </c>
      <c r="Q903" s="377">
        <f>NAV!S824</f>
        <v>0</v>
      </c>
      <c r="R903" s="737" t="str">
        <f>MID(NAV!U824,FIND("(",NAV!U824)+1,FIND(")", NAV!U824)-FIND("(",NAV!U824)-1)</f>
        <v>KRW</v>
      </c>
    </row>
    <row r="904" spans="1:18" ht="12.75" thickBot="1">
      <c r="A904" s="149">
        <v>1</v>
      </c>
      <c r="B904" s="381" t="str">
        <f>IFERROR(IF(F900=A904,VLOOKUP(A904,$F$899:$I$910,2,0),VLOOKUP(A904,$J$899:$Q$910,3,0)&amp;" "&amp;VLOOKUP(A904,$J$899:$Q$910,4,0)),"")</f>
        <v/>
      </c>
      <c r="C904" s="380" t="str">
        <f>IFERROR(IF(F900=A904,VLOOKUP(A904,$F$899:$I$910,3,0),VLOOKUP(A904,$J$899:$Q$910,7,0)),"")</f>
        <v/>
      </c>
      <c r="D904" s="380" t="str">
        <f>IFERROR(IF(F900=A904,VLOOKUP(A904,$F$899:$I$910,4,0),VLOOKUP(A904,$J$899:$Q$910,8,0)),"")</f>
        <v/>
      </c>
      <c r="F904" s="149" t="str">
        <f>IF(G904=0,"",COUNTA(G$900:$G904))</f>
        <v/>
      </c>
      <c r="G904" s="373">
        <f>IF(NAV!L817="SPC 없음",0,NAV!L817)</f>
        <v>0</v>
      </c>
      <c r="H904" s="374">
        <f>NAV!W817</f>
        <v>0</v>
      </c>
      <c r="I904" s="374" t="str">
        <f>NAV!S817</f>
        <v>SPC 없음</v>
      </c>
      <c r="J904" s="149" t="str">
        <f>IF(L904=0,"",COUNTA(L$900:$L904)+COUNT($F$900:$F$905))</f>
        <v/>
      </c>
      <c r="K904" s="373">
        <f t="shared" si="107"/>
        <v>0</v>
      </c>
      <c r="L904" s="375">
        <f>NAV!J825</f>
        <v>0</v>
      </c>
      <c r="M904" s="376">
        <f>NAV!N825</f>
        <v>0</v>
      </c>
      <c r="N904" s="376">
        <f>NAV!T825</f>
        <v>0</v>
      </c>
      <c r="O904" s="377">
        <f>IF(N904="장부가액 준용","장부가액 준용",IF(N904="취득원가 준용","취득원가 준용",NAV!R825))</f>
        <v>0</v>
      </c>
      <c r="P904" s="377">
        <f>NAV!W825</f>
        <v>0</v>
      </c>
      <c r="Q904" s="377">
        <f>NAV!S825</f>
        <v>0</v>
      </c>
      <c r="R904" s="737" t="str">
        <f>MID(NAV!U825,FIND("(",NAV!U825)+1,FIND(")", NAV!U825)-FIND("(",NAV!U825)-1)</f>
        <v>KRW</v>
      </c>
    </row>
    <row r="905" spans="1:18" ht="12.75" thickBot="1">
      <c r="A905" s="149">
        <f>A904+1</f>
        <v>2</v>
      </c>
      <c r="B905" s="381" t="str">
        <f t="shared" ref="B905:B920" si="108">IFERROR(IF(F901=A905,VLOOKUP(A905,$F$899:$I$910,2,0),VLOOKUP(A905,$J$899:$Q$910,3,0)&amp;" "&amp;VLOOKUP(A905,$J$899:$Q$910,4,0)),"")</f>
        <v/>
      </c>
      <c r="C905" s="380" t="str">
        <f t="shared" ref="C905:C920" si="109">IFERROR(IF(F901=A905,VLOOKUP(A905,$F$899:$I$910,3,0),VLOOKUP(A905,$J$899:$Q$910,7,0)),"")</f>
        <v/>
      </c>
      <c r="D905" s="380" t="str">
        <f t="shared" ref="D905:D920" si="110">IFERROR(IF(F901=A905,VLOOKUP(A905,$F$899:$I$910,4,0),VLOOKUP(A905,$J$899:$Q$910,8,0)),"")</f>
        <v/>
      </c>
      <c r="F905" s="149" t="str">
        <f>IF(G905=0,"",COUNTA(G$900:$G905))</f>
        <v/>
      </c>
      <c r="G905" s="373">
        <f>IF(NAV!L818="SPC 없음",0,NAV!L818)</f>
        <v>0</v>
      </c>
      <c r="H905" s="374">
        <f>NAV!W818</f>
        <v>0</v>
      </c>
      <c r="I905" s="374" t="str">
        <f>NAV!S818</f>
        <v>SPC 없음</v>
      </c>
      <c r="J905" s="149" t="str">
        <f>IF(L905=0,"",COUNTA(L$900:$L905)+COUNT($F$900:$F$905))</f>
        <v/>
      </c>
      <c r="K905" s="373">
        <f t="shared" si="107"/>
        <v>0</v>
      </c>
      <c r="L905" s="375">
        <f>NAV!J826</f>
        <v>0</v>
      </c>
      <c r="M905" s="376">
        <f>NAV!N826</f>
        <v>0</v>
      </c>
      <c r="N905" s="376">
        <f>NAV!T826</f>
        <v>0</v>
      </c>
      <c r="O905" s="377">
        <f>IF(N905="장부가액 준용","장부가액 준용",IF(N905="취득원가 준용","취득원가 준용",NAV!R826))</f>
        <v>0</v>
      </c>
      <c r="P905" s="377">
        <f>NAV!W826</f>
        <v>0</v>
      </c>
      <c r="Q905" s="377">
        <f>NAV!S826</f>
        <v>0</v>
      </c>
      <c r="R905" s="737" t="str">
        <f>MID(NAV!U826,FIND("(",NAV!U826)+1,FIND(")", NAV!U826)-FIND("(",NAV!U826)-1)</f>
        <v>KRW</v>
      </c>
    </row>
    <row r="906" spans="1:18" ht="12.75" thickBot="1">
      <c r="A906" s="149">
        <f t="shared" ref="A906:A920" si="111">A905+1</f>
        <v>3</v>
      </c>
      <c r="B906" s="381" t="str">
        <f t="shared" si="108"/>
        <v/>
      </c>
      <c r="C906" s="380" t="str">
        <f t="shared" si="109"/>
        <v/>
      </c>
      <c r="D906" s="380" t="str">
        <f t="shared" si="110"/>
        <v/>
      </c>
      <c r="J906" s="149" t="str">
        <f>IF(L906=0,"",COUNTA(L$900:$L906)+COUNT($F$900:$F$905))</f>
        <v/>
      </c>
      <c r="K906" s="373">
        <f t="shared" si="107"/>
        <v>0</v>
      </c>
      <c r="L906" s="375">
        <f>NAV!J827</f>
        <v>0</v>
      </c>
      <c r="M906" s="376">
        <f>NAV!N827</f>
        <v>0</v>
      </c>
      <c r="N906" s="376">
        <f>NAV!T827</f>
        <v>0</v>
      </c>
      <c r="O906" s="377">
        <f>IF(N906="장부가액 준용","장부가액 준용",IF(N906="취득원가 준용","취득원가 준용",NAV!R827))</f>
        <v>0</v>
      </c>
      <c r="P906" s="377">
        <f>NAV!W827</f>
        <v>0</v>
      </c>
      <c r="Q906" s="377">
        <f>NAV!S827</f>
        <v>0</v>
      </c>
      <c r="R906" s="737" t="str">
        <f>MID(NAV!U827,FIND("(",NAV!U827)+1,FIND(")", NAV!U827)-FIND("(",NAV!U827)-1)</f>
        <v>KRW</v>
      </c>
    </row>
    <row r="907" spans="1:18" ht="12.75" thickBot="1">
      <c r="A907" s="149">
        <f t="shared" si="111"/>
        <v>4</v>
      </c>
      <c r="B907" s="381" t="str">
        <f t="shared" si="108"/>
        <v/>
      </c>
      <c r="C907" s="380" t="str">
        <f t="shared" si="109"/>
        <v/>
      </c>
      <c r="D907" s="380" t="str">
        <f t="shared" si="110"/>
        <v/>
      </c>
      <c r="J907" s="149" t="str">
        <f>IF(L907=0,"",COUNTA(L$900:$L907)+COUNT($F$900:$F$905))</f>
        <v/>
      </c>
      <c r="K907" s="373">
        <f t="shared" si="107"/>
        <v>0</v>
      </c>
      <c r="L907" s="375">
        <f>NAV!J828</f>
        <v>0</v>
      </c>
      <c r="M907" s="376">
        <f>NAV!N828</f>
        <v>0</v>
      </c>
      <c r="N907" s="376">
        <f>NAV!T828</f>
        <v>0</v>
      </c>
      <c r="O907" s="377">
        <f>IF(N907="장부가액 준용","장부가액 준용",IF(N907="취득원가 준용","취득원가 준용",NAV!R828))</f>
        <v>0</v>
      </c>
      <c r="P907" s="377">
        <f>NAV!W828</f>
        <v>0</v>
      </c>
      <c r="Q907" s="377">
        <f>NAV!S828</f>
        <v>0</v>
      </c>
      <c r="R907" s="737" t="str">
        <f>MID(NAV!U828,FIND("(",NAV!U828)+1,FIND(")", NAV!U828)-FIND("(",NAV!U828)-1)</f>
        <v>KRW</v>
      </c>
    </row>
    <row r="908" spans="1:18" ht="12.75" thickBot="1">
      <c r="A908" s="149">
        <f t="shared" si="111"/>
        <v>5</v>
      </c>
      <c r="B908" s="381" t="str">
        <f t="shared" si="108"/>
        <v/>
      </c>
      <c r="C908" s="380" t="str">
        <f t="shared" si="109"/>
        <v/>
      </c>
      <c r="D908" s="380" t="str">
        <f t="shared" si="110"/>
        <v/>
      </c>
      <c r="J908" s="149" t="str">
        <f>IF(L908=0,"",COUNTA(L$900:$L908)+COUNT($F$900:$F$905))</f>
        <v/>
      </c>
      <c r="K908" s="373">
        <f t="shared" si="107"/>
        <v>0</v>
      </c>
      <c r="L908" s="375">
        <f>NAV!J829</f>
        <v>0</v>
      </c>
      <c r="M908" s="376">
        <f>NAV!N829</f>
        <v>0</v>
      </c>
      <c r="N908" s="376">
        <f>NAV!T829</f>
        <v>0</v>
      </c>
      <c r="O908" s="377">
        <f>IF(N908="장부가액 준용","장부가액 준용",IF(N908="취득원가 준용","취득원가 준용",NAV!R829))</f>
        <v>0</v>
      </c>
      <c r="P908" s="377">
        <f>NAV!W829</f>
        <v>0</v>
      </c>
      <c r="Q908" s="377">
        <f>NAV!S829</f>
        <v>0</v>
      </c>
      <c r="R908" s="737" t="str">
        <f>MID(NAV!U829,FIND("(",NAV!U829)+1,FIND(")", NAV!U829)-FIND("(",NAV!U829)-1)</f>
        <v>KRW</v>
      </c>
    </row>
    <row r="909" spans="1:18" ht="12.75" thickBot="1">
      <c r="A909" s="149">
        <f t="shared" si="111"/>
        <v>6</v>
      </c>
      <c r="B909" s="381" t="str">
        <f t="shared" si="108"/>
        <v/>
      </c>
      <c r="C909" s="380" t="str">
        <f t="shared" si="109"/>
        <v/>
      </c>
      <c r="D909" s="380" t="str">
        <f t="shared" si="110"/>
        <v/>
      </c>
      <c r="J909" s="149" t="str">
        <f>IF(L909=0,"",COUNTA(L$900:$L909)+COUNT($F$900:$F$905))</f>
        <v/>
      </c>
      <c r="K909" s="373">
        <f t="shared" si="107"/>
        <v>0</v>
      </c>
      <c r="L909" s="375">
        <f>NAV!J830</f>
        <v>0</v>
      </c>
      <c r="M909" s="376">
        <f>NAV!N830</f>
        <v>0</v>
      </c>
      <c r="N909" s="376">
        <f>NAV!T830</f>
        <v>0</v>
      </c>
      <c r="O909" s="377">
        <f>IF(N909="장부가액 준용","장부가액 준용",IF(N909="취득원가 준용","취득원가 준용",NAV!R830))</f>
        <v>0</v>
      </c>
      <c r="P909" s="377">
        <f>NAV!W830</f>
        <v>0</v>
      </c>
      <c r="Q909" s="377">
        <f>NAV!S830</f>
        <v>0</v>
      </c>
      <c r="R909" s="737" t="str">
        <f>MID(NAV!U830,FIND("(",NAV!U830)+1,FIND(")", NAV!U830)-FIND("(",NAV!U830)-1)</f>
        <v>KRW</v>
      </c>
    </row>
    <row r="910" spans="1:18" ht="12.75" thickBot="1">
      <c r="A910" s="149">
        <f t="shared" si="111"/>
        <v>7</v>
      </c>
      <c r="B910" s="381" t="str">
        <f t="shared" si="108"/>
        <v/>
      </c>
      <c r="C910" s="380" t="str">
        <f t="shared" si="109"/>
        <v/>
      </c>
      <c r="D910" s="380" t="str">
        <f t="shared" si="110"/>
        <v/>
      </c>
      <c r="J910" s="149" t="str">
        <f>IF(L910=0,"",COUNTA(L$900:$L910)+COUNT($F$900:$F$905))</f>
        <v/>
      </c>
      <c r="K910" s="373">
        <f t="shared" si="107"/>
        <v>0</v>
      </c>
      <c r="L910" s="375">
        <f>NAV!J831</f>
        <v>0</v>
      </c>
      <c r="M910" s="376">
        <f>NAV!N831</f>
        <v>0</v>
      </c>
      <c r="N910" s="376">
        <f>NAV!T831</f>
        <v>0</v>
      </c>
      <c r="O910" s="377">
        <f>IF(N910="장부가액 준용","장부가액 준용",IF(N910="취득원가 준용","취득원가 준용",NAV!R831))</f>
        <v>0</v>
      </c>
      <c r="P910" s="377">
        <f>NAV!W831</f>
        <v>0</v>
      </c>
      <c r="Q910" s="377">
        <f>NAV!S831</f>
        <v>0</v>
      </c>
      <c r="R910" s="737" t="str">
        <f>MID(NAV!U831,FIND("(",NAV!U831)+1,FIND(")", NAV!U831)-FIND("(",NAV!U831)-1)</f>
        <v>KRW</v>
      </c>
    </row>
    <row r="911" spans="1:18" ht="12.75" hidden="1" customHeight="1" outlineLevel="1" thickBot="1">
      <c r="A911" s="149">
        <f t="shared" si="111"/>
        <v>8</v>
      </c>
      <c r="B911" s="381" t="str">
        <f t="shared" si="108"/>
        <v/>
      </c>
      <c r="C911" s="380" t="str">
        <f t="shared" si="109"/>
        <v/>
      </c>
      <c r="D911" s="380" t="str">
        <f t="shared" si="110"/>
        <v/>
      </c>
    </row>
    <row r="912" spans="1:18" ht="12.75" hidden="1" customHeight="1" outlineLevel="1" thickBot="1">
      <c r="A912" s="149">
        <f t="shared" si="111"/>
        <v>9</v>
      </c>
      <c r="B912" s="381" t="str">
        <f t="shared" si="108"/>
        <v/>
      </c>
      <c r="C912" s="380" t="str">
        <f t="shared" si="109"/>
        <v/>
      </c>
      <c r="D912" s="380" t="str">
        <f t="shared" si="110"/>
        <v/>
      </c>
    </row>
    <row r="913" spans="1:6" ht="12.75" hidden="1" customHeight="1" outlineLevel="1" thickBot="1">
      <c r="A913" s="149">
        <f t="shared" si="111"/>
        <v>10</v>
      </c>
      <c r="B913" s="381" t="str">
        <f t="shared" si="108"/>
        <v/>
      </c>
      <c r="C913" s="380" t="str">
        <f t="shared" si="109"/>
        <v/>
      </c>
      <c r="D913" s="380" t="str">
        <f t="shared" si="110"/>
        <v/>
      </c>
    </row>
    <row r="914" spans="1:6" ht="12.75" hidden="1" customHeight="1" outlineLevel="1" thickBot="1">
      <c r="A914" s="149">
        <f t="shared" si="111"/>
        <v>11</v>
      </c>
      <c r="B914" s="381" t="str">
        <f t="shared" si="108"/>
        <v/>
      </c>
      <c r="C914" s="380" t="str">
        <f t="shared" si="109"/>
        <v/>
      </c>
      <c r="D914" s="380" t="str">
        <f t="shared" si="110"/>
        <v/>
      </c>
    </row>
    <row r="915" spans="1:6" ht="12.75" hidden="1" customHeight="1" outlineLevel="1" thickBot="1">
      <c r="A915" s="149">
        <f t="shared" si="111"/>
        <v>12</v>
      </c>
      <c r="B915" s="381" t="str">
        <f t="shared" si="108"/>
        <v/>
      </c>
      <c r="C915" s="380" t="str">
        <f t="shared" si="109"/>
        <v/>
      </c>
      <c r="D915" s="380" t="str">
        <f t="shared" si="110"/>
        <v/>
      </c>
    </row>
    <row r="916" spans="1:6" ht="12.75" hidden="1" customHeight="1" outlineLevel="1" thickBot="1">
      <c r="A916" s="149">
        <f t="shared" si="111"/>
        <v>13</v>
      </c>
      <c r="B916" s="381" t="str">
        <f t="shared" si="108"/>
        <v/>
      </c>
      <c r="C916" s="380" t="str">
        <f t="shared" si="109"/>
        <v/>
      </c>
      <c r="D916" s="380" t="str">
        <f t="shared" si="110"/>
        <v/>
      </c>
    </row>
    <row r="917" spans="1:6" ht="12.75" hidden="1" customHeight="1" outlineLevel="1" thickBot="1">
      <c r="A917" s="149">
        <f t="shared" si="111"/>
        <v>14</v>
      </c>
      <c r="B917" s="381" t="str">
        <f t="shared" si="108"/>
        <v/>
      </c>
      <c r="C917" s="380" t="str">
        <f t="shared" si="109"/>
        <v/>
      </c>
      <c r="D917" s="380" t="str">
        <f t="shared" si="110"/>
        <v/>
      </c>
    </row>
    <row r="918" spans="1:6" ht="12.75" hidden="1" customHeight="1" outlineLevel="1" thickBot="1">
      <c r="A918" s="149">
        <f t="shared" si="111"/>
        <v>15</v>
      </c>
      <c r="B918" s="381" t="str">
        <f t="shared" si="108"/>
        <v/>
      </c>
      <c r="C918" s="380" t="str">
        <f t="shared" si="109"/>
        <v/>
      </c>
      <c r="D918" s="380" t="str">
        <f t="shared" si="110"/>
        <v/>
      </c>
    </row>
    <row r="919" spans="1:6" ht="12.75" hidden="1" customHeight="1" outlineLevel="1" thickBot="1">
      <c r="A919" s="149">
        <f t="shared" si="111"/>
        <v>16</v>
      </c>
      <c r="B919" s="381" t="str">
        <f t="shared" si="108"/>
        <v/>
      </c>
      <c r="C919" s="380" t="str">
        <f t="shared" si="109"/>
        <v/>
      </c>
      <c r="D919" s="380" t="str">
        <f t="shared" si="110"/>
        <v/>
      </c>
    </row>
    <row r="920" spans="1:6" ht="12.75" hidden="1" customHeight="1" outlineLevel="1" thickBot="1">
      <c r="A920" s="149">
        <f t="shared" si="111"/>
        <v>17</v>
      </c>
      <c r="B920" s="381" t="str">
        <f t="shared" si="108"/>
        <v/>
      </c>
      <c r="C920" s="380" t="str">
        <f t="shared" si="109"/>
        <v/>
      </c>
      <c r="D920" s="380" t="str">
        <f t="shared" si="110"/>
        <v/>
      </c>
    </row>
    <row r="921" spans="1:6" ht="12.75" collapsed="1" thickBot="1">
      <c r="B921" s="382" t="s">
        <v>2</v>
      </c>
      <c r="C921" s="372">
        <f>SUM(C900,C903)</f>
        <v>0</v>
      </c>
      <c r="D921" s="383">
        <f>SUM(D900,D903)</f>
        <v>0</v>
      </c>
    </row>
    <row r="922" spans="1:6" ht="12.75" thickBot="1">
      <c r="B922" s="382" t="s">
        <v>30</v>
      </c>
      <c r="C922" s="819">
        <f>NAV!E826</f>
        <v>0</v>
      </c>
      <c r="D922" s="820"/>
    </row>
    <row r="923" spans="1:6" ht="12.75" thickBot="1">
      <c r="B923" s="382" t="s">
        <v>31</v>
      </c>
      <c r="C923" s="819">
        <f>D921-C922</f>
        <v>0</v>
      </c>
      <c r="D923" s="820"/>
    </row>
    <row r="924" spans="1:6" ht="12.75" thickBot="1">
      <c r="B924" s="382" t="s">
        <v>745</v>
      </c>
      <c r="C924" s="819">
        <f>NAV!E831</f>
        <v>0</v>
      </c>
      <c r="D924" s="820"/>
      <c r="F924" s="217"/>
    </row>
    <row r="925" spans="1:6" ht="12.75" thickBot="1">
      <c r="B925" s="382" t="s">
        <v>965</v>
      </c>
      <c r="C925" s="819">
        <f>NAV!E832</f>
        <v>0</v>
      </c>
      <c r="D925" s="820"/>
    </row>
    <row r="926" spans="1:6" ht="12.75" thickBot="1">
      <c r="B926" s="382" t="s">
        <v>744</v>
      </c>
      <c r="C926" s="819">
        <f>NAV!E833</f>
        <v>0</v>
      </c>
      <c r="D926" s="820"/>
    </row>
    <row r="927" spans="1:6" ht="12.75" thickBot="1">
      <c r="B927" s="382" t="str">
        <f>NAV!C834</f>
        <v>보유지분율(%)</v>
      </c>
      <c r="C927" s="823">
        <f>NAV!D834</f>
        <v>0</v>
      </c>
      <c r="D927" s="824"/>
    </row>
    <row r="928" spans="1:6" ht="12.75" thickBot="1">
      <c r="B928" s="382" t="s">
        <v>746</v>
      </c>
      <c r="C928" s="825">
        <f>NAV!E834</f>
        <v>0</v>
      </c>
      <c r="D928" s="826"/>
    </row>
    <row r="934" spans="1:18">
      <c r="A934" s="149">
        <f>A896+1</f>
        <v>18</v>
      </c>
      <c r="B934" s="399" t="str">
        <f>NAV!B845</f>
        <v>SPC없음</v>
      </c>
      <c r="G934" s="399" t="str">
        <f>B934</f>
        <v>SPC없음</v>
      </c>
    </row>
    <row r="935" spans="1:18">
      <c r="B935" s="399" t="str">
        <f>NAV!C846</f>
        <v>SPC없음</v>
      </c>
      <c r="G935" s="399" t="str">
        <f>B935</f>
        <v>SPC없음</v>
      </c>
    </row>
    <row r="936" spans="1:18" ht="12.75" thickBot="1">
      <c r="B936" s="215" t="s">
        <v>750</v>
      </c>
      <c r="C936" s="216"/>
      <c r="D936" s="216"/>
      <c r="E936" s="216"/>
      <c r="F936" s="216"/>
      <c r="G936" s="215" t="s">
        <v>751</v>
      </c>
      <c r="H936" s="216"/>
      <c r="I936" s="216"/>
      <c r="K936" s="215" t="s">
        <v>752</v>
      </c>
    </row>
    <row r="937" spans="1:18" ht="12.75" thickBot="1">
      <c r="B937" s="366" t="s">
        <v>27</v>
      </c>
      <c r="C937" s="367" t="s">
        <v>28</v>
      </c>
      <c r="D937" s="367" t="s">
        <v>29</v>
      </c>
      <c r="F937" s="368" t="s">
        <v>3461</v>
      </c>
      <c r="G937" s="353" t="str">
        <f>$G$74</f>
        <v>SPC명</v>
      </c>
      <c r="H937" s="369" t="s">
        <v>3200</v>
      </c>
      <c r="I937" s="369" t="s">
        <v>753</v>
      </c>
      <c r="J937" s="368" t="s">
        <v>3461</v>
      </c>
      <c r="K937" s="353" t="s">
        <v>3440</v>
      </c>
      <c r="L937" s="353" t="str">
        <f>$L$74</f>
        <v>투자자산명</v>
      </c>
      <c r="M937" s="358" t="s">
        <v>754</v>
      </c>
      <c r="N937" s="358" t="s">
        <v>47</v>
      </c>
      <c r="O937" s="369" t="s">
        <v>749</v>
      </c>
      <c r="P937" s="400" t="s">
        <v>3460</v>
      </c>
      <c r="Q937" s="370" t="s">
        <v>3463</v>
      </c>
      <c r="R937" s="370" t="s">
        <v>6833</v>
      </c>
    </row>
    <row r="938" spans="1:18" ht="12.75" thickBot="1">
      <c r="B938" s="371" t="s">
        <v>3441</v>
      </c>
      <c r="C938" s="372">
        <f>SUM(C939:C940)</f>
        <v>0</v>
      </c>
      <c r="D938" s="372">
        <f>SUM(D939:D940)</f>
        <v>0</v>
      </c>
      <c r="F938" s="149" t="str">
        <f>IF(G938=0,"",COUNTA(G$938:$G938))</f>
        <v/>
      </c>
      <c r="G938" s="373">
        <f>IF(NAV!L851="SPC 없음",0,NAV!L851)</f>
        <v>0</v>
      </c>
      <c r="H938" s="374">
        <f>NAV!W851</f>
        <v>0</v>
      </c>
      <c r="I938" s="374" t="str">
        <f>NAV!S851</f>
        <v>SPC 없음</v>
      </c>
      <c r="J938" s="149" t="str">
        <f>IF(L938=0,"",COUNTA(L$938:$L938)+COUNT($F$938:$F$943))</f>
        <v/>
      </c>
      <c r="K938" s="373">
        <f>IF($B935="SPC없음",0,$B935)</f>
        <v>0</v>
      </c>
      <c r="L938" s="375">
        <f>NAV!J859</f>
        <v>0</v>
      </c>
      <c r="M938" s="376">
        <f>NAV!N859</f>
        <v>0</v>
      </c>
      <c r="N938" s="376">
        <f>NAV!T859</f>
        <v>0</v>
      </c>
      <c r="O938" s="377">
        <f>IF(N938="장부가액 준용","장부가액 준용",IF(N938="취득원가 준용","취득원가 준용",NAV!R859))</f>
        <v>0</v>
      </c>
      <c r="P938" s="377">
        <f>NAV!W859</f>
        <v>0</v>
      </c>
      <c r="Q938" s="377">
        <f>NAV!S859</f>
        <v>0</v>
      </c>
      <c r="R938" s="737" t="str">
        <f>MID(NAV!U859,FIND("(",NAV!U859)+1,FIND(")", NAV!U859)-FIND("(",NAV!U859)-1)</f>
        <v>KRW</v>
      </c>
    </row>
    <row r="939" spans="1:18" ht="12.75" thickBot="1">
      <c r="B939" s="379" t="s">
        <v>3485</v>
      </c>
      <c r="C939" s="380">
        <f>NAV!D852</f>
        <v>0</v>
      </c>
      <c r="D939" s="380">
        <f>NAV!E852</f>
        <v>0</v>
      </c>
      <c r="F939" s="149" t="str">
        <f>IF(G939=0,"",COUNTA(G$938:$G939))</f>
        <v/>
      </c>
      <c r="G939" s="373">
        <f>IF(NAV!L852="SPC 없음",0,NAV!L852)</f>
        <v>0</v>
      </c>
      <c r="H939" s="374">
        <f>NAV!W852</f>
        <v>0</v>
      </c>
      <c r="I939" s="374" t="str">
        <f>NAV!S852</f>
        <v>SPC 없음</v>
      </c>
      <c r="J939" s="149" t="str">
        <f>IF(L939=0,"",COUNTA(L$938:$L939)+COUNT($F$938:$F$943))</f>
        <v/>
      </c>
      <c r="K939" s="373">
        <f t="shared" ref="K939:K948" si="112">K938</f>
        <v>0</v>
      </c>
      <c r="L939" s="375">
        <f>NAV!J860</f>
        <v>0</v>
      </c>
      <c r="M939" s="376">
        <f>NAV!N860</f>
        <v>0</v>
      </c>
      <c r="N939" s="376">
        <f>NAV!T860</f>
        <v>0</v>
      </c>
      <c r="O939" s="377">
        <f>IF(N939="장부가액 준용","장부가액 준용",IF(N939="취득원가 준용","취득원가 준용",NAV!R860))</f>
        <v>0</v>
      </c>
      <c r="P939" s="377">
        <f>NAV!W860</f>
        <v>0</v>
      </c>
      <c r="Q939" s="377">
        <f>NAV!S860</f>
        <v>0</v>
      </c>
      <c r="R939" s="737" t="str">
        <f>MID(NAV!U860,FIND("(",NAV!U860)+1,FIND(")", NAV!U860)-FIND("(",NAV!U860)-1)</f>
        <v>KRW</v>
      </c>
    </row>
    <row r="940" spans="1:18" ht="12.75" thickBot="1">
      <c r="B940" s="379" t="s">
        <v>156</v>
      </c>
      <c r="C940" s="380">
        <f>NAV!D853</f>
        <v>0</v>
      </c>
      <c r="D940" s="380">
        <f>NAV!E853</f>
        <v>0</v>
      </c>
      <c r="F940" s="149" t="str">
        <f>IF(G940=0,"",COUNTA(G$938:$G940))</f>
        <v/>
      </c>
      <c r="G940" s="373">
        <f>IF(NAV!L853="SPC 없음",0,NAV!L853)</f>
        <v>0</v>
      </c>
      <c r="H940" s="374">
        <f>NAV!W853</f>
        <v>0</v>
      </c>
      <c r="I940" s="374" t="str">
        <f>NAV!S853</f>
        <v>SPC 없음</v>
      </c>
      <c r="J940" s="149" t="str">
        <f>IF(L940=0,"",COUNTA(L$938:$L940)+COUNT($F$938:$F$943))</f>
        <v/>
      </c>
      <c r="K940" s="373">
        <f t="shared" si="112"/>
        <v>0</v>
      </c>
      <c r="L940" s="375">
        <f>NAV!J861</f>
        <v>0</v>
      </c>
      <c r="M940" s="376">
        <f>NAV!N861</f>
        <v>0</v>
      </c>
      <c r="N940" s="376">
        <f>NAV!T861</f>
        <v>0</v>
      </c>
      <c r="O940" s="377">
        <f>IF(N940="장부가액 준용","장부가액 준용",IF(N940="취득원가 준용","취득원가 준용",NAV!R861))</f>
        <v>0</v>
      </c>
      <c r="P940" s="377">
        <f>NAV!W861</f>
        <v>0</v>
      </c>
      <c r="Q940" s="377">
        <f>NAV!S861</f>
        <v>0</v>
      </c>
      <c r="R940" s="737" t="str">
        <f>MID(NAV!U861,FIND("(",NAV!U861)+1,FIND(")", NAV!U861)-FIND("(",NAV!U861)-1)</f>
        <v>KRW</v>
      </c>
    </row>
    <row r="941" spans="1:18" ht="12.75" thickBot="1">
      <c r="B941" s="371" t="s">
        <v>3442</v>
      </c>
      <c r="C941" s="372">
        <f>NAV!D854</f>
        <v>0</v>
      </c>
      <c r="D941" s="372">
        <f>NAV!E854</f>
        <v>0</v>
      </c>
      <c r="F941" s="149" t="str">
        <f>IF(G941=0,"",COUNTA(G$938:$G941))</f>
        <v/>
      </c>
      <c r="G941" s="373">
        <f>IF(NAV!L854="SPC 없음",0,NAV!L854)</f>
        <v>0</v>
      </c>
      <c r="H941" s="374">
        <f>NAV!W854</f>
        <v>0</v>
      </c>
      <c r="I941" s="374" t="str">
        <f>NAV!S854</f>
        <v>SPC 없음</v>
      </c>
      <c r="J941" s="149" t="str">
        <f>IF(L941=0,"",COUNTA(L$938:$L941)+COUNT($F$938:$F$943))</f>
        <v/>
      </c>
      <c r="K941" s="373">
        <f t="shared" si="112"/>
        <v>0</v>
      </c>
      <c r="L941" s="375">
        <f>NAV!J862</f>
        <v>0</v>
      </c>
      <c r="M941" s="376">
        <f>NAV!N862</f>
        <v>0</v>
      </c>
      <c r="N941" s="376">
        <f>NAV!T862</f>
        <v>0</v>
      </c>
      <c r="O941" s="377">
        <f>IF(N941="장부가액 준용","장부가액 준용",IF(N941="취득원가 준용","취득원가 준용",NAV!R862))</f>
        <v>0</v>
      </c>
      <c r="P941" s="377">
        <f>NAV!W862</f>
        <v>0</v>
      </c>
      <c r="Q941" s="377">
        <f>NAV!S862</f>
        <v>0</v>
      </c>
      <c r="R941" s="737" t="str">
        <f>MID(NAV!U862,FIND("(",NAV!U862)+1,FIND(")", NAV!U862)-FIND("(",NAV!U862)-1)</f>
        <v>KRW</v>
      </c>
    </row>
    <row r="942" spans="1:18" ht="12.75" thickBot="1">
      <c r="A942" s="149">
        <v>1</v>
      </c>
      <c r="B942" s="381" t="str">
        <f>IFERROR(IF(F938=A942,VLOOKUP(A942,$F$937:$I$948,2,0),VLOOKUP(A942,$J$937:$Q$948,3,0)&amp;" "&amp;VLOOKUP(A942,$J$937:$Q$948,4,0)),"")</f>
        <v/>
      </c>
      <c r="C942" s="380" t="str">
        <f>IFERROR(IF(F938=A942,VLOOKUP(A942,$F$937:$I$948,3,0),VLOOKUP(A942,$J$937:$Q$948,7,0)),"")</f>
        <v/>
      </c>
      <c r="D942" s="380" t="str">
        <f>IFERROR(IF(F938=A942,VLOOKUP(A942,$F$937:$I$948,4,0),VLOOKUP(A942,$J$937:$Q$948,8,0)),"")</f>
        <v/>
      </c>
      <c r="F942" s="149" t="str">
        <f>IF(G942=0,"",COUNTA(G$938:$G942))</f>
        <v/>
      </c>
      <c r="G942" s="373">
        <f>IF(NAV!L855="SPC 없음",0,NAV!L855)</f>
        <v>0</v>
      </c>
      <c r="H942" s="374">
        <f>NAV!W855</f>
        <v>0</v>
      </c>
      <c r="I942" s="374" t="str">
        <f>NAV!S855</f>
        <v>SPC 없음</v>
      </c>
      <c r="J942" s="149" t="str">
        <f>IF(L942=0,"",COUNTA(L$938:$L942)+COUNT($F$938:$F$943))</f>
        <v/>
      </c>
      <c r="K942" s="373">
        <f t="shared" si="112"/>
        <v>0</v>
      </c>
      <c r="L942" s="375">
        <f>NAV!J863</f>
        <v>0</v>
      </c>
      <c r="M942" s="376">
        <f>NAV!N863</f>
        <v>0</v>
      </c>
      <c r="N942" s="376">
        <f>NAV!T863</f>
        <v>0</v>
      </c>
      <c r="O942" s="377">
        <f>IF(N942="장부가액 준용","장부가액 준용",IF(N942="취득원가 준용","취득원가 준용",NAV!R863))</f>
        <v>0</v>
      </c>
      <c r="P942" s="377">
        <f>NAV!W863</f>
        <v>0</v>
      </c>
      <c r="Q942" s="377">
        <f>NAV!S863</f>
        <v>0</v>
      </c>
      <c r="R942" s="737" t="str">
        <f>MID(NAV!U863,FIND("(",NAV!U863)+1,FIND(")", NAV!U863)-FIND("(",NAV!U863)-1)</f>
        <v>KRW</v>
      </c>
    </row>
    <row r="943" spans="1:18" ht="12.75" thickBot="1">
      <c r="A943" s="149">
        <f>A942+1</f>
        <v>2</v>
      </c>
      <c r="B943" s="381" t="str">
        <f t="shared" ref="B943:B958" si="113">IFERROR(IF(F939=A943,VLOOKUP(A943,$F$937:$I$948,2,0),VLOOKUP(A943,$J$937:$Q$948,3,0)&amp;" "&amp;VLOOKUP(A943,$J$937:$Q$948,4,0)),"")</f>
        <v/>
      </c>
      <c r="C943" s="380" t="str">
        <f t="shared" ref="C943:C958" si="114">IFERROR(IF(F939=A943,VLOOKUP(A943,$F$937:$I$948,3,0),VLOOKUP(A943,$J$937:$Q$948,7,0)),"")</f>
        <v/>
      </c>
      <c r="D943" s="380" t="str">
        <f t="shared" ref="D943:D958" si="115">IFERROR(IF(F939=A943,VLOOKUP(A943,$F$937:$I$948,4,0),VLOOKUP(A943,$J$937:$Q$948,8,0)),"")</f>
        <v/>
      </c>
      <c r="F943" s="149" t="str">
        <f>IF(G943=0,"",COUNTA(G$938:$G943))</f>
        <v/>
      </c>
      <c r="G943" s="373">
        <f>IF(NAV!L856="SPC 없음",0,NAV!L856)</f>
        <v>0</v>
      </c>
      <c r="H943" s="374">
        <f>NAV!W856</f>
        <v>0</v>
      </c>
      <c r="I943" s="374" t="str">
        <f>NAV!S856</f>
        <v>SPC 없음</v>
      </c>
      <c r="J943" s="149" t="str">
        <f>IF(L943=0,"",COUNTA(L$938:$L943)+COUNT($F$938:$F$943))</f>
        <v/>
      </c>
      <c r="K943" s="373">
        <f t="shared" si="112"/>
        <v>0</v>
      </c>
      <c r="L943" s="375">
        <f>NAV!J864</f>
        <v>0</v>
      </c>
      <c r="M943" s="376">
        <f>NAV!N864</f>
        <v>0</v>
      </c>
      <c r="N943" s="376">
        <f>NAV!T864</f>
        <v>0</v>
      </c>
      <c r="O943" s="377">
        <f>IF(N943="장부가액 준용","장부가액 준용",IF(N943="취득원가 준용","취득원가 준용",NAV!R864))</f>
        <v>0</v>
      </c>
      <c r="P943" s="377">
        <f>NAV!W864</f>
        <v>0</v>
      </c>
      <c r="Q943" s="377">
        <f>NAV!S864</f>
        <v>0</v>
      </c>
      <c r="R943" s="737" t="str">
        <f>MID(NAV!U864,FIND("(",NAV!U864)+1,FIND(")", NAV!U864)-FIND("(",NAV!U864)-1)</f>
        <v>KRW</v>
      </c>
    </row>
    <row r="944" spans="1:18" ht="12.75" thickBot="1">
      <c r="A944" s="149">
        <f t="shared" ref="A944:A958" si="116">A943+1</f>
        <v>3</v>
      </c>
      <c r="B944" s="381" t="str">
        <f t="shared" si="113"/>
        <v/>
      </c>
      <c r="C944" s="380" t="str">
        <f t="shared" si="114"/>
        <v/>
      </c>
      <c r="D944" s="380" t="str">
        <f t="shared" si="115"/>
        <v/>
      </c>
      <c r="J944" s="149" t="str">
        <f>IF(L944=0,"",COUNTA(L$938:$L944)+COUNT($F$938:$F$943))</f>
        <v/>
      </c>
      <c r="K944" s="373">
        <f t="shared" si="112"/>
        <v>0</v>
      </c>
      <c r="L944" s="375">
        <f>NAV!J865</f>
        <v>0</v>
      </c>
      <c r="M944" s="376">
        <f>NAV!N865</f>
        <v>0</v>
      </c>
      <c r="N944" s="376">
        <f>NAV!T865</f>
        <v>0</v>
      </c>
      <c r="O944" s="377">
        <f>IF(N944="장부가액 준용","장부가액 준용",IF(N944="취득원가 준용","취득원가 준용",NAV!R865))</f>
        <v>0</v>
      </c>
      <c r="P944" s="377">
        <f>NAV!W865</f>
        <v>0</v>
      </c>
      <c r="Q944" s="377">
        <f>NAV!S865</f>
        <v>0</v>
      </c>
      <c r="R944" s="737" t="str">
        <f>MID(NAV!U865,FIND("(",NAV!U865)+1,FIND(")", NAV!U865)-FIND("(",NAV!U865)-1)</f>
        <v>KRW</v>
      </c>
    </row>
    <row r="945" spans="1:18" ht="12.75" thickBot="1">
      <c r="A945" s="149">
        <f t="shared" si="116"/>
        <v>4</v>
      </c>
      <c r="B945" s="381" t="str">
        <f t="shared" si="113"/>
        <v/>
      </c>
      <c r="C945" s="380" t="str">
        <f t="shared" si="114"/>
        <v/>
      </c>
      <c r="D945" s="380" t="str">
        <f t="shared" si="115"/>
        <v/>
      </c>
      <c r="J945" s="149" t="str">
        <f>IF(L945=0,"",COUNTA(L$938:$L945)+COUNT($F$938:$F$943))</f>
        <v/>
      </c>
      <c r="K945" s="373">
        <f t="shared" si="112"/>
        <v>0</v>
      </c>
      <c r="L945" s="375">
        <f>NAV!J866</f>
        <v>0</v>
      </c>
      <c r="M945" s="376">
        <f>NAV!N866</f>
        <v>0</v>
      </c>
      <c r="N945" s="376">
        <f>NAV!T866</f>
        <v>0</v>
      </c>
      <c r="O945" s="377">
        <f>IF(N945="장부가액 준용","장부가액 준용",IF(N945="취득원가 준용","취득원가 준용",NAV!R866))</f>
        <v>0</v>
      </c>
      <c r="P945" s="377">
        <f>NAV!W866</f>
        <v>0</v>
      </c>
      <c r="Q945" s="377">
        <f>NAV!S866</f>
        <v>0</v>
      </c>
      <c r="R945" s="737" t="str">
        <f>MID(NAV!U866,FIND("(",NAV!U866)+1,FIND(")", NAV!U866)-FIND("(",NAV!U866)-1)</f>
        <v>KRW</v>
      </c>
    </row>
    <row r="946" spans="1:18" ht="12.75" thickBot="1">
      <c r="A946" s="149">
        <f t="shared" si="116"/>
        <v>5</v>
      </c>
      <c r="B946" s="381" t="str">
        <f t="shared" si="113"/>
        <v/>
      </c>
      <c r="C946" s="380" t="str">
        <f t="shared" si="114"/>
        <v/>
      </c>
      <c r="D946" s="380" t="str">
        <f t="shared" si="115"/>
        <v/>
      </c>
      <c r="J946" s="149" t="str">
        <f>IF(L946=0,"",COUNTA(L$938:$L946)+COUNT($F$938:$F$943))</f>
        <v/>
      </c>
      <c r="K946" s="373">
        <f t="shared" si="112"/>
        <v>0</v>
      </c>
      <c r="L946" s="375">
        <f>NAV!J867</f>
        <v>0</v>
      </c>
      <c r="M946" s="376">
        <f>NAV!N867</f>
        <v>0</v>
      </c>
      <c r="N946" s="376">
        <f>NAV!T867</f>
        <v>0</v>
      </c>
      <c r="O946" s="377">
        <f>IF(N946="장부가액 준용","장부가액 준용",IF(N946="취득원가 준용","취득원가 준용",NAV!R867))</f>
        <v>0</v>
      </c>
      <c r="P946" s="377">
        <f>NAV!W867</f>
        <v>0</v>
      </c>
      <c r="Q946" s="377">
        <f>NAV!S867</f>
        <v>0</v>
      </c>
      <c r="R946" s="737" t="str">
        <f>MID(NAV!U867,FIND("(",NAV!U867)+1,FIND(")", NAV!U867)-FIND("(",NAV!U867)-1)</f>
        <v>KRW</v>
      </c>
    </row>
    <row r="947" spans="1:18" ht="12.75" thickBot="1">
      <c r="A947" s="149">
        <f t="shared" si="116"/>
        <v>6</v>
      </c>
      <c r="B947" s="381" t="str">
        <f t="shared" si="113"/>
        <v/>
      </c>
      <c r="C947" s="380" t="str">
        <f t="shared" si="114"/>
        <v/>
      </c>
      <c r="D947" s="380" t="str">
        <f t="shared" si="115"/>
        <v/>
      </c>
      <c r="J947" s="149" t="str">
        <f>IF(L947=0,"",COUNTA(L$938:$L947)+COUNT($F$938:$F$943))</f>
        <v/>
      </c>
      <c r="K947" s="373">
        <f t="shared" si="112"/>
        <v>0</v>
      </c>
      <c r="L947" s="375">
        <f>NAV!J868</f>
        <v>0</v>
      </c>
      <c r="M947" s="376">
        <f>NAV!N868</f>
        <v>0</v>
      </c>
      <c r="N947" s="376">
        <f>NAV!T868</f>
        <v>0</v>
      </c>
      <c r="O947" s="377">
        <f>IF(N947="장부가액 준용","장부가액 준용",IF(N947="취득원가 준용","취득원가 준용",NAV!R868))</f>
        <v>0</v>
      </c>
      <c r="P947" s="377">
        <f>NAV!W868</f>
        <v>0</v>
      </c>
      <c r="Q947" s="377">
        <f>NAV!S868</f>
        <v>0</v>
      </c>
      <c r="R947" s="737" t="str">
        <f>MID(NAV!U868,FIND("(",NAV!U868)+1,FIND(")", NAV!U868)-FIND("(",NAV!U868)-1)</f>
        <v>KRW</v>
      </c>
    </row>
    <row r="948" spans="1:18" ht="12.75" thickBot="1">
      <c r="A948" s="149">
        <f t="shared" si="116"/>
        <v>7</v>
      </c>
      <c r="B948" s="381" t="str">
        <f t="shared" si="113"/>
        <v/>
      </c>
      <c r="C948" s="380" t="str">
        <f t="shared" si="114"/>
        <v/>
      </c>
      <c r="D948" s="380" t="str">
        <f t="shared" si="115"/>
        <v/>
      </c>
      <c r="J948" s="149" t="str">
        <f>IF(L948=0,"",COUNTA(L$938:$L948)+COUNT($F$938:$F$943))</f>
        <v/>
      </c>
      <c r="K948" s="373">
        <f t="shared" si="112"/>
        <v>0</v>
      </c>
      <c r="L948" s="375">
        <f>NAV!J869</f>
        <v>0</v>
      </c>
      <c r="M948" s="376">
        <f>NAV!N869</f>
        <v>0</v>
      </c>
      <c r="N948" s="376">
        <f>NAV!T869</f>
        <v>0</v>
      </c>
      <c r="O948" s="377">
        <f>IF(N948="장부가액 준용","장부가액 준용",IF(N948="취득원가 준용","취득원가 준용",NAV!R869))</f>
        <v>0</v>
      </c>
      <c r="P948" s="377">
        <f>NAV!W869</f>
        <v>0</v>
      </c>
      <c r="Q948" s="377">
        <f>NAV!S869</f>
        <v>0</v>
      </c>
      <c r="R948" s="737" t="str">
        <f>MID(NAV!U869,FIND("(",NAV!U869)+1,FIND(")", NAV!U869)-FIND("(",NAV!U869)-1)</f>
        <v>KRW</v>
      </c>
    </row>
    <row r="949" spans="1:18" ht="12.75" hidden="1" customHeight="1" outlineLevel="1" thickBot="1">
      <c r="A949" s="149">
        <f t="shared" si="116"/>
        <v>8</v>
      </c>
      <c r="B949" s="381" t="str">
        <f t="shared" si="113"/>
        <v/>
      </c>
      <c r="C949" s="380" t="str">
        <f t="shared" si="114"/>
        <v/>
      </c>
      <c r="D949" s="380" t="str">
        <f t="shared" si="115"/>
        <v/>
      </c>
    </row>
    <row r="950" spans="1:18" ht="12.75" hidden="1" customHeight="1" outlineLevel="1" thickBot="1">
      <c r="A950" s="149">
        <f t="shared" si="116"/>
        <v>9</v>
      </c>
      <c r="B950" s="381" t="str">
        <f t="shared" si="113"/>
        <v/>
      </c>
      <c r="C950" s="380" t="str">
        <f t="shared" si="114"/>
        <v/>
      </c>
      <c r="D950" s="380" t="str">
        <f t="shared" si="115"/>
        <v/>
      </c>
    </row>
    <row r="951" spans="1:18" ht="12.75" hidden="1" customHeight="1" outlineLevel="1" thickBot="1">
      <c r="A951" s="149">
        <f t="shared" si="116"/>
        <v>10</v>
      </c>
      <c r="B951" s="381" t="str">
        <f t="shared" si="113"/>
        <v/>
      </c>
      <c r="C951" s="380" t="str">
        <f t="shared" si="114"/>
        <v/>
      </c>
      <c r="D951" s="380" t="str">
        <f t="shared" si="115"/>
        <v/>
      </c>
    </row>
    <row r="952" spans="1:18" ht="12.75" hidden="1" customHeight="1" outlineLevel="1" thickBot="1">
      <c r="A952" s="149">
        <f t="shared" si="116"/>
        <v>11</v>
      </c>
      <c r="B952" s="381" t="str">
        <f t="shared" si="113"/>
        <v/>
      </c>
      <c r="C952" s="380" t="str">
        <f t="shared" si="114"/>
        <v/>
      </c>
      <c r="D952" s="380" t="str">
        <f t="shared" si="115"/>
        <v/>
      </c>
    </row>
    <row r="953" spans="1:18" ht="12.75" hidden="1" customHeight="1" outlineLevel="1" thickBot="1">
      <c r="A953" s="149">
        <f t="shared" si="116"/>
        <v>12</v>
      </c>
      <c r="B953" s="381" t="str">
        <f t="shared" si="113"/>
        <v/>
      </c>
      <c r="C953" s="380" t="str">
        <f t="shared" si="114"/>
        <v/>
      </c>
      <c r="D953" s="380" t="str">
        <f t="shared" si="115"/>
        <v/>
      </c>
    </row>
    <row r="954" spans="1:18" ht="12.75" hidden="1" customHeight="1" outlineLevel="1" thickBot="1">
      <c r="A954" s="149">
        <f t="shared" si="116"/>
        <v>13</v>
      </c>
      <c r="B954" s="381" t="str">
        <f t="shared" si="113"/>
        <v/>
      </c>
      <c r="C954" s="380" t="str">
        <f t="shared" si="114"/>
        <v/>
      </c>
      <c r="D954" s="380" t="str">
        <f t="shared" si="115"/>
        <v/>
      </c>
    </row>
    <row r="955" spans="1:18" ht="12.75" hidden="1" customHeight="1" outlineLevel="1" thickBot="1">
      <c r="A955" s="149">
        <f t="shared" si="116"/>
        <v>14</v>
      </c>
      <c r="B955" s="381" t="str">
        <f t="shared" si="113"/>
        <v/>
      </c>
      <c r="C955" s="380" t="str">
        <f t="shared" si="114"/>
        <v/>
      </c>
      <c r="D955" s="380" t="str">
        <f t="shared" si="115"/>
        <v/>
      </c>
    </row>
    <row r="956" spans="1:18" ht="12.75" hidden="1" customHeight="1" outlineLevel="1" thickBot="1">
      <c r="A956" s="149">
        <f t="shared" si="116"/>
        <v>15</v>
      </c>
      <c r="B956" s="381" t="str">
        <f t="shared" si="113"/>
        <v/>
      </c>
      <c r="C956" s="380" t="str">
        <f t="shared" si="114"/>
        <v/>
      </c>
      <c r="D956" s="380" t="str">
        <f t="shared" si="115"/>
        <v/>
      </c>
    </row>
    <row r="957" spans="1:18" ht="12.75" hidden="1" customHeight="1" outlineLevel="1" thickBot="1">
      <c r="A957" s="149">
        <f t="shared" si="116"/>
        <v>16</v>
      </c>
      <c r="B957" s="381" t="str">
        <f t="shared" si="113"/>
        <v/>
      </c>
      <c r="C957" s="380" t="str">
        <f t="shared" si="114"/>
        <v/>
      </c>
      <c r="D957" s="380" t="str">
        <f t="shared" si="115"/>
        <v/>
      </c>
    </row>
    <row r="958" spans="1:18" ht="12.75" hidden="1" customHeight="1" outlineLevel="1" thickBot="1">
      <c r="A958" s="149">
        <f t="shared" si="116"/>
        <v>17</v>
      </c>
      <c r="B958" s="381" t="str">
        <f t="shared" si="113"/>
        <v/>
      </c>
      <c r="C958" s="380" t="str">
        <f t="shared" si="114"/>
        <v/>
      </c>
      <c r="D958" s="380" t="str">
        <f t="shared" si="115"/>
        <v/>
      </c>
    </row>
    <row r="959" spans="1:18" ht="12.75" collapsed="1" thickBot="1">
      <c r="B959" s="382" t="s">
        <v>2</v>
      </c>
      <c r="C959" s="372">
        <f>SUM(C938,C941)</f>
        <v>0</v>
      </c>
      <c r="D959" s="383">
        <f>SUM(D938,D941)</f>
        <v>0</v>
      </c>
    </row>
    <row r="960" spans="1:18" ht="12.75" thickBot="1">
      <c r="B960" s="382" t="s">
        <v>30</v>
      </c>
      <c r="C960" s="819">
        <f>NAV!E864</f>
        <v>0</v>
      </c>
      <c r="D960" s="820"/>
    </row>
    <row r="961" spans="1:18" ht="12.75" thickBot="1">
      <c r="B961" s="382" t="s">
        <v>31</v>
      </c>
      <c r="C961" s="819">
        <f>D959-C960</f>
        <v>0</v>
      </c>
      <c r="D961" s="820"/>
    </row>
    <row r="962" spans="1:18" ht="12.75" thickBot="1">
      <c r="B962" s="382" t="s">
        <v>745</v>
      </c>
      <c r="C962" s="819">
        <f>NAV!E869</f>
        <v>0</v>
      </c>
      <c r="D962" s="820"/>
      <c r="F962" s="217"/>
    </row>
    <row r="963" spans="1:18" ht="12.75" thickBot="1">
      <c r="B963" s="382" t="s">
        <v>965</v>
      </c>
      <c r="C963" s="819">
        <f>NAV!E870</f>
        <v>0</v>
      </c>
      <c r="D963" s="820"/>
    </row>
    <row r="964" spans="1:18" ht="12.75" thickBot="1">
      <c r="B964" s="382" t="s">
        <v>744</v>
      </c>
      <c r="C964" s="819">
        <f>NAV!E871</f>
        <v>0</v>
      </c>
      <c r="D964" s="820"/>
    </row>
    <row r="965" spans="1:18" ht="12.75" thickBot="1">
      <c r="B965" s="382" t="str">
        <f>NAV!C872</f>
        <v>보유지분율(%)</v>
      </c>
      <c r="C965" s="823">
        <f>NAV!D872</f>
        <v>0</v>
      </c>
      <c r="D965" s="824"/>
    </row>
    <row r="966" spans="1:18" ht="12.75" thickBot="1">
      <c r="B966" s="382" t="s">
        <v>3488</v>
      </c>
      <c r="C966" s="825">
        <f>NAV!E872</f>
        <v>0</v>
      </c>
      <c r="D966" s="826"/>
    </row>
    <row r="972" spans="1:18">
      <c r="A972" s="149">
        <f>A934+1</f>
        <v>19</v>
      </c>
      <c r="B972" s="399" t="str">
        <f>NAV!B883</f>
        <v>SPC없음</v>
      </c>
      <c r="G972" s="399" t="str">
        <f>B972</f>
        <v>SPC없음</v>
      </c>
    </row>
    <row r="973" spans="1:18">
      <c r="B973" s="399" t="str">
        <f>NAV!C884</f>
        <v>SPC없음</v>
      </c>
      <c r="G973" s="399" t="str">
        <f>B973</f>
        <v>SPC없음</v>
      </c>
    </row>
    <row r="974" spans="1:18" ht="12.75" thickBot="1">
      <c r="B974" s="215" t="s">
        <v>750</v>
      </c>
      <c r="C974" s="216"/>
      <c r="D974" s="216"/>
      <c r="E974" s="216"/>
      <c r="F974" s="216"/>
      <c r="G974" s="215" t="s">
        <v>751</v>
      </c>
      <c r="H974" s="216"/>
      <c r="I974" s="216"/>
      <c r="K974" s="215" t="s">
        <v>752</v>
      </c>
    </row>
    <row r="975" spans="1:18" ht="12.75" thickBot="1">
      <c r="B975" s="366" t="s">
        <v>27</v>
      </c>
      <c r="C975" s="367" t="s">
        <v>28</v>
      </c>
      <c r="D975" s="367" t="s">
        <v>29</v>
      </c>
      <c r="F975" s="368" t="s">
        <v>3461</v>
      </c>
      <c r="G975" s="353" t="str">
        <f>$G$74</f>
        <v>SPC명</v>
      </c>
      <c r="H975" s="369" t="s">
        <v>3200</v>
      </c>
      <c r="I975" s="369" t="s">
        <v>753</v>
      </c>
      <c r="J975" s="368" t="s">
        <v>3461</v>
      </c>
      <c r="K975" s="353" t="s">
        <v>3440</v>
      </c>
      <c r="L975" s="353" t="str">
        <f>$L$74</f>
        <v>투자자산명</v>
      </c>
      <c r="M975" s="358" t="s">
        <v>754</v>
      </c>
      <c r="N975" s="358" t="s">
        <v>47</v>
      </c>
      <c r="O975" s="369" t="s">
        <v>749</v>
      </c>
      <c r="P975" s="400" t="s">
        <v>3460</v>
      </c>
      <c r="Q975" s="370" t="s">
        <v>3463</v>
      </c>
      <c r="R975" s="370" t="s">
        <v>6834</v>
      </c>
    </row>
    <row r="976" spans="1:18" ht="12.75" thickBot="1">
      <c r="B976" s="371" t="s">
        <v>3441</v>
      </c>
      <c r="C976" s="372">
        <f>SUM(C977:C978)</f>
        <v>0</v>
      </c>
      <c r="D976" s="372">
        <f>SUM(D977:D978)</f>
        <v>0</v>
      </c>
      <c r="F976" s="149" t="str">
        <f>IF(G976=0,"",COUNTA(G$976:$G976))</f>
        <v/>
      </c>
      <c r="G976" s="373">
        <f>IF(NAV!L889="SPC 없음",0,NAV!L889)</f>
        <v>0</v>
      </c>
      <c r="H976" s="374">
        <f>NAV!W889</f>
        <v>0</v>
      </c>
      <c r="I976" s="374" t="str">
        <f>NAV!S889</f>
        <v>SPC 없음</v>
      </c>
      <c r="J976" s="149" t="str">
        <f>IF(L976=0,"",COUNTA(L$976:$L976)+COUNT($F$976:$F$981))</f>
        <v/>
      </c>
      <c r="K976" s="373">
        <f>IF($B973="SPC없음",0,$B973)</f>
        <v>0</v>
      </c>
      <c r="L976" s="375">
        <f>NAV!J897</f>
        <v>0</v>
      </c>
      <c r="M976" s="376">
        <f>NAV!N897</f>
        <v>0</v>
      </c>
      <c r="N976" s="376">
        <f>NAV!T897</f>
        <v>0</v>
      </c>
      <c r="O976" s="377">
        <f>IF(N976="장부가액 준용","장부가액 준용",IF(N976="취득원가 준용","취득원가 준용",NAV!R897))</f>
        <v>0</v>
      </c>
      <c r="P976" s="377">
        <f>NAV!W897</f>
        <v>0</v>
      </c>
      <c r="Q976" s="377">
        <f>NAV!S897</f>
        <v>0</v>
      </c>
      <c r="R976" s="737" t="str">
        <f>MID(NAV!U897,FIND("(",NAV!U897)+1,FIND(")", NAV!U897)-FIND("(",NAV!U897)-1)</f>
        <v>KRW</v>
      </c>
    </row>
    <row r="977" spans="1:18" ht="12.75" thickBot="1">
      <c r="B977" s="379" t="s">
        <v>3443</v>
      </c>
      <c r="C977" s="380">
        <f>NAV!D890</f>
        <v>0</v>
      </c>
      <c r="D977" s="380">
        <f>NAV!E890</f>
        <v>0</v>
      </c>
      <c r="F977" s="149" t="str">
        <f>IF(G977=0,"",COUNTA(G$976:$G977))</f>
        <v/>
      </c>
      <c r="G977" s="373">
        <f>IF(NAV!L890="SPC 없음",0,NAV!L890)</f>
        <v>0</v>
      </c>
      <c r="H977" s="374">
        <f>NAV!W890</f>
        <v>0</v>
      </c>
      <c r="I977" s="374" t="str">
        <f>NAV!S890</f>
        <v>SPC 없음</v>
      </c>
      <c r="J977" s="149" t="str">
        <f>IF(L977=0,"",COUNTA(L$976:$L977)+COUNT($F$976:$F$981))</f>
        <v/>
      </c>
      <c r="K977" s="373">
        <f t="shared" ref="K977:K986" si="117">K976</f>
        <v>0</v>
      </c>
      <c r="L977" s="375">
        <f>NAV!J898</f>
        <v>0</v>
      </c>
      <c r="M977" s="376">
        <f>NAV!N898</f>
        <v>0</v>
      </c>
      <c r="N977" s="376">
        <f>NAV!T898</f>
        <v>0</v>
      </c>
      <c r="O977" s="377">
        <f>IF(N977="장부가액 준용","장부가액 준용",IF(N977="취득원가 준용","취득원가 준용",NAV!R898))</f>
        <v>0</v>
      </c>
      <c r="P977" s="377">
        <f>NAV!W898</f>
        <v>0</v>
      </c>
      <c r="Q977" s="377">
        <f>NAV!S898</f>
        <v>0</v>
      </c>
      <c r="R977" s="737" t="str">
        <f>MID(NAV!U898,FIND("(",NAV!U898)+1,FIND(")", NAV!U898)-FIND("(",NAV!U898)-1)</f>
        <v>KRW</v>
      </c>
    </row>
    <row r="978" spans="1:18" ht="12.75" thickBot="1">
      <c r="B978" s="379" t="s">
        <v>156</v>
      </c>
      <c r="C978" s="380">
        <f>NAV!D891</f>
        <v>0</v>
      </c>
      <c r="D978" s="380">
        <f>NAV!E891</f>
        <v>0</v>
      </c>
      <c r="F978" s="149" t="str">
        <f>IF(G978=0,"",COUNTA(G$976:$G978))</f>
        <v/>
      </c>
      <c r="G978" s="373">
        <f>IF(NAV!L891="SPC 없음",0,NAV!L891)</f>
        <v>0</v>
      </c>
      <c r="H978" s="374">
        <f>NAV!W891</f>
        <v>0</v>
      </c>
      <c r="I978" s="374" t="str">
        <f>NAV!S891</f>
        <v>SPC 없음</v>
      </c>
      <c r="J978" s="149" t="str">
        <f>IF(L978=0,"",COUNTA(L$976:$L978)+COUNT($F$976:$F$981))</f>
        <v/>
      </c>
      <c r="K978" s="373">
        <f t="shared" si="117"/>
        <v>0</v>
      </c>
      <c r="L978" s="375">
        <f>NAV!J899</f>
        <v>0</v>
      </c>
      <c r="M978" s="376">
        <f>NAV!N899</f>
        <v>0</v>
      </c>
      <c r="N978" s="376">
        <f>NAV!T899</f>
        <v>0</v>
      </c>
      <c r="O978" s="377">
        <f>IF(N978="장부가액 준용","장부가액 준용",IF(N978="취득원가 준용","취득원가 준용",NAV!R899))</f>
        <v>0</v>
      </c>
      <c r="P978" s="377">
        <f>NAV!W899</f>
        <v>0</v>
      </c>
      <c r="Q978" s="377">
        <f>NAV!S899</f>
        <v>0</v>
      </c>
      <c r="R978" s="737" t="str">
        <f>MID(NAV!U899,FIND("(",NAV!U899)+1,FIND(")", NAV!U899)-FIND("(",NAV!U899)-1)</f>
        <v>KRW</v>
      </c>
    </row>
    <row r="979" spans="1:18" ht="12.75" thickBot="1">
      <c r="B979" s="371" t="s">
        <v>3442</v>
      </c>
      <c r="C979" s="372">
        <f>NAV!D892</f>
        <v>0</v>
      </c>
      <c r="D979" s="372">
        <f>NAV!E892</f>
        <v>0</v>
      </c>
      <c r="F979" s="149" t="str">
        <f>IF(G979=0,"",COUNTA(G$976:$G979))</f>
        <v/>
      </c>
      <c r="G979" s="373">
        <f>IF(NAV!L892="SPC 없음",0,NAV!L892)</f>
        <v>0</v>
      </c>
      <c r="H979" s="374">
        <f>NAV!W892</f>
        <v>0</v>
      </c>
      <c r="I979" s="374" t="str">
        <f>NAV!S892</f>
        <v>SPC 없음</v>
      </c>
      <c r="J979" s="149" t="str">
        <f>IF(L979=0,"",COUNTA(L$976:$L979)+COUNT($F$976:$F$981))</f>
        <v/>
      </c>
      <c r="K979" s="373">
        <f t="shared" si="117"/>
        <v>0</v>
      </c>
      <c r="L979" s="375">
        <f>NAV!J900</f>
        <v>0</v>
      </c>
      <c r="M979" s="376">
        <f>NAV!N900</f>
        <v>0</v>
      </c>
      <c r="N979" s="376">
        <f>NAV!T900</f>
        <v>0</v>
      </c>
      <c r="O979" s="377">
        <f>IF(N979="장부가액 준용","장부가액 준용",IF(N979="취득원가 준용","취득원가 준용",NAV!R900))</f>
        <v>0</v>
      </c>
      <c r="P979" s="377">
        <f>NAV!W900</f>
        <v>0</v>
      </c>
      <c r="Q979" s="377">
        <f>NAV!S900</f>
        <v>0</v>
      </c>
      <c r="R979" s="737" t="str">
        <f>MID(NAV!U900,FIND("(",NAV!U900)+1,FIND(")", NAV!U900)-FIND("(",NAV!U900)-1)</f>
        <v>KRW</v>
      </c>
    </row>
    <row r="980" spans="1:18" ht="12.75" thickBot="1">
      <c r="A980" s="149">
        <v>1</v>
      </c>
      <c r="B980" s="381" t="str">
        <f>IFERROR(IF(F976=A980,VLOOKUP(A980,$F$975:$I$986,2,0),VLOOKUP(A980,$J$975:$Q$986,3,0)&amp;" "&amp;VLOOKUP(A980,$J$975:$Q$986,4,0)),"")</f>
        <v/>
      </c>
      <c r="C980" s="380" t="str">
        <f>IFERROR(IF(F976=A980,VLOOKUP(A980,$F$975:$I$986,3,0),VLOOKUP(A980,$J$975:$Q$986,7,0)),"")</f>
        <v/>
      </c>
      <c r="D980" s="380" t="str">
        <f>IFERROR(IF(F976=A980,VLOOKUP(A980,$F$975:$I$986,4,0),VLOOKUP(A980,$J$975:$Q$986,8,0)),"")</f>
        <v/>
      </c>
      <c r="F980" s="149" t="str">
        <f>IF(G980=0,"",COUNTA(G$976:$G980))</f>
        <v/>
      </c>
      <c r="G980" s="373">
        <f>IF(NAV!L893="SPC 없음",0,NAV!L893)</f>
        <v>0</v>
      </c>
      <c r="H980" s="374">
        <f>NAV!W893</f>
        <v>0</v>
      </c>
      <c r="I980" s="374" t="str">
        <f>NAV!S893</f>
        <v>SPC 없음</v>
      </c>
      <c r="J980" s="149" t="str">
        <f>IF(L980=0,"",COUNTA(L$976:$L980)+COUNT($F$976:$F$981))</f>
        <v/>
      </c>
      <c r="K980" s="373">
        <f t="shared" si="117"/>
        <v>0</v>
      </c>
      <c r="L980" s="375">
        <f>NAV!J901</f>
        <v>0</v>
      </c>
      <c r="M980" s="376">
        <f>NAV!N901</f>
        <v>0</v>
      </c>
      <c r="N980" s="376">
        <f>NAV!T901</f>
        <v>0</v>
      </c>
      <c r="O980" s="377">
        <f>IF(N980="장부가액 준용","장부가액 준용",IF(N980="취득원가 준용","취득원가 준용",NAV!R901))</f>
        <v>0</v>
      </c>
      <c r="P980" s="377">
        <f>NAV!W901</f>
        <v>0</v>
      </c>
      <c r="Q980" s="377">
        <f>NAV!S901</f>
        <v>0</v>
      </c>
      <c r="R980" s="737" t="str">
        <f>MID(NAV!U901,FIND("(",NAV!U901)+1,FIND(")", NAV!U901)-FIND("(",NAV!U901)-1)</f>
        <v>KRW</v>
      </c>
    </row>
    <row r="981" spans="1:18" ht="12.75" thickBot="1">
      <c r="A981" s="149">
        <f>A980+1</f>
        <v>2</v>
      </c>
      <c r="B981" s="381" t="str">
        <f t="shared" ref="B981:B996" si="118">IFERROR(IF(F977=A981,VLOOKUP(A981,$F$975:$I$986,2,0),VLOOKUP(A981,$J$975:$Q$986,3,0)&amp;" "&amp;VLOOKUP(A981,$J$975:$Q$986,4,0)),"")</f>
        <v/>
      </c>
      <c r="C981" s="380" t="str">
        <f t="shared" ref="C981:C996" si="119">IFERROR(IF(F977=A981,VLOOKUP(A981,$F$975:$I$986,3,0),VLOOKUP(A981,$J$975:$Q$986,7,0)),"")</f>
        <v/>
      </c>
      <c r="D981" s="380" t="str">
        <f t="shared" ref="D981:D996" si="120">IFERROR(IF(F977=A981,VLOOKUP(A981,$F$975:$I$986,4,0),VLOOKUP(A981,$J$975:$Q$986,8,0)),"")</f>
        <v/>
      </c>
      <c r="F981" s="149" t="str">
        <f>IF(G981=0,"",COUNTA(G$976:$G981))</f>
        <v/>
      </c>
      <c r="G981" s="373">
        <f>IF(NAV!L894="SPC 없음",0,NAV!L894)</f>
        <v>0</v>
      </c>
      <c r="H981" s="374">
        <f>NAV!W894</f>
        <v>0</v>
      </c>
      <c r="I981" s="374" t="str">
        <f>NAV!S894</f>
        <v>SPC 없음</v>
      </c>
      <c r="J981" s="149" t="str">
        <f>IF(L981=0,"",COUNTA(L$976:$L981)+COUNT($F$976:$F$981))</f>
        <v/>
      </c>
      <c r="K981" s="373">
        <f t="shared" si="117"/>
        <v>0</v>
      </c>
      <c r="L981" s="375">
        <f>NAV!J902</f>
        <v>0</v>
      </c>
      <c r="M981" s="376">
        <f>NAV!N902</f>
        <v>0</v>
      </c>
      <c r="N981" s="376">
        <f>NAV!T902</f>
        <v>0</v>
      </c>
      <c r="O981" s="377">
        <f>IF(N981="장부가액 준용","장부가액 준용",IF(N981="취득원가 준용","취득원가 준용",NAV!R902))</f>
        <v>0</v>
      </c>
      <c r="P981" s="377">
        <f>NAV!W902</f>
        <v>0</v>
      </c>
      <c r="Q981" s="377">
        <f>NAV!S902</f>
        <v>0</v>
      </c>
      <c r="R981" s="737" t="str">
        <f>MID(NAV!U902,FIND("(",NAV!U902)+1,FIND(")", NAV!U902)-FIND("(",NAV!U902)-1)</f>
        <v>KRW</v>
      </c>
    </row>
    <row r="982" spans="1:18" ht="12.75" thickBot="1">
      <c r="A982" s="149">
        <f t="shared" ref="A982:A996" si="121">A981+1</f>
        <v>3</v>
      </c>
      <c r="B982" s="381" t="str">
        <f t="shared" si="118"/>
        <v/>
      </c>
      <c r="C982" s="380" t="str">
        <f t="shared" si="119"/>
        <v/>
      </c>
      <c r="D982" s="380" t="str">
        <f t="shared" si="120"/>
        <v/>
      </c>
      <c r="J982" s="149" t="str">
        <f>IF(L982=0,"",COUNTA(L$976:$L982)+COUNT($F$976:$F$981))</f>
        <v/>
      </c>
      <c r="K982" s="373">
        <f t="shared" si="117"/>
        <v>0</v>
      </c>
      <c r="L982" s="375">
        <f>NAV!J903</f>
        <v>0</v>
      </c>
      <c r="M982" s="376">
        <f>NAV!N903</f>
        <v>0</v>
      </c>
      <c r="N982" s="376">
        <f>NAV!T903</f>
        <v>0</v>
      </c>
      <c r="O982" s="377">
        <f>IF(N982="장부가액 준용","장부가액 준용",IF(N982="취득원가 준용","취득원가 준용",NAV!R903))</f>
        <v>0</v>
      </c>
      <c r="P982" s="377">
        <f>NAV!W903</f>
        <v>0</v>
      </c>
      <c r="Q982" s="377">
        <f>NAV!S903</f>
        <v>0</v>
      </c>
      <c r="R982" s="737" t="str">
        <f>MID(NAV!U903,FIND("(",NAV!U903)+1,FIND(")", NAV!U903)-FIND("(",NAV!U903)-1)</f>
        <v>KRW</v>
      </c>
    </row>
    <row r="983" spans="1:18" ht="12.75" thickBot="1">
      <c r="A983" s="149">
        <f t="shared" si="121"/>
        <v>4</v>
      </c>
      <c r="B983" s="381" t="str">
        <f t="shared" si="118"/>
        <v/>
      </c>
      <c r="C983" s="380" t="str">
        <f t="shared" si="119"/>
        <v/>
      </c>
      <c r="D983" s="380" t="str">
        <f t="shared" si="120"/>
        <v/>
      </c>
      <c r="J983" s="149" t="str">
        <f>IF(L983=0,"",COUNTA(L$976:$L983)+COUNT($F$976:$F$981))</f>
        <v/>
      </c>
      <c r="K983" s="373">
        <f t="shared" si="117"/>
        <v>0</v>
      </c>
      <c r="L983" s="375">
        <f>NAV!J904</f>
        <v>0</v>
      </c>
      <c r="M983" s="376">
        <f>NAV!N904</f>
        <v>0</v>
      </c>
      <c r="N983" s="376">
        <f>NAV!T904</f>
        <v>0</v>
      </c>
      <c r="O983" s="377">
        <f>IF(N983="장부가액 준용","장부가액 준용",IF(N983="취득원가 준용","취득원가 준용",NAV!R904))</f>
        <v>0</v>
      </c>
      <c r="P983" s="377">
        <f>NAV!W904</f>
        <v>0</v>
      </c>
      <c r="Q983" s="377">
        <f>NAV!S904</f>
        <v>0</v>
      </c>
      <c r="R983" s="737" t="str">
        <f>MID(NAV!U904,FIND("(",NAV!U904)+1,FIND(")", NAV!U904)-FIND("(",NAV!U904)-1)</f>
        <v>KRW</v>
      </c>
    </row>
    <row r="984" spans="1:18" ht="12.75" thickBot="1">
      <c r="A984" s="149">
        <f t="shared" si="121"/>
        <v>5</v>
      </c>
      <c r="B984" s="381" t="str">
        <f t="shared" si="118"/>
        <v/>
      </c>
      <c r="C984" s="380" t="str">
        <f t="shared" si="119"/>
        <v/>
      </c>
      <c r="D984" s="380" t="str">
        <f t="shared" si="120"/>
        <v/>
      </c>
      <c r="J984" s="149" t="str">
        <f>IF(L984=0,"",COUNTA(L$976:$L984)+COUNT($F$976:$F$981))</f>
        <v/>
      </c>
      <c r="K984" s="373">
        <f t="shared" si="117"/>
        <v>0</v>
      </c>
      <c r="L984" s="375">
        <f>NAV!J905</f>
        <v>0</v>
      </c>
      <c r="M984" s="376">
        <f>NAV!N905</f>
        <v>0</v>
      </c>
      <c r="N984" s="376">
        <f>NAV!T905</f>
        <v>0</v>
      </c>
      <c r="O984" s="377">
        <f>IF(N984="장부가액 준용","장부가액 준용",IF(N984="취득원가 준용","취득원가 준용",NAV!R905))</f>
        <v>0</v>
      </c>
      <c r="P984" s="377">
        <f>NAV!W905</f>
        <v>0</v>
      </c>
      <c r="Q984" s="377">
        <f>NAV!S905</f>
        <v>0</v>
      </c>
      <c r="R984" s="737" t="str">
        <f>MID(NAV!U905,FIND("(",NAV!U905)+1,FIND(")", NAV!U905)-FIND("(",NAV!U905)-1)</f>
        <v>KRW</v>
      </c>
    </row>
    <row r="985" spans="1:18" ht="12.75" thickBot="1">
      <c r="A985" s="149">
        <f t="shared" si="121"/>
        <v>6</v>
      </c>
      <c r="B985" s="381" t="str">
        <f t="shared" si="118"/>
        <v/>
      </c>
      <c r="C985" s="380" t="str">
        <f t="shared" si="119"/>
        <v/>
      </c>
      <c r="D985" s="380" t="str">
        <f t="shared" si="120"/>
        <v/>
      </c>
      <c r="J985" s="149" t="str">
        <f>IF(L985=0,"",COUNTA(L$976:$L985)+COUNT($F$976:$F$981))</f>
        <v/>
      </c>
      <c r="K985" s="373">
        <f t="shared" si="117"/>
        <v>0</v>
      </c>
      <c r="L985" s="375">
        <f>NAV!J906</f>
        <v>0</v>
      </c>
      <c r="M985" s="376">
        <f>NAV!N906</f>
        <v>0</v>
      </c>
      <c r="N985" s="376">
        <f>NAV!T906</f>
        <v>0</v>
      </c>
      <c r="O985" s="377">
        <f>IF(N985="장부가액 준용","장부가액 준용",IF(N985="취득원가 준용","취득원가 준용",NAV!R906))</f>
        <v>0</v>
      </c>
      <c r="P985" s="377">
        <f>NAV!W906</f>
        <v>0</v>
      </c>
      <c r="Q985" s="377">
        <f>NAV!S906</f>
        <v>0</v>
      </c>
      <c r="R985" s="737" t="str">
        <f>MID(NAV!U906,FIND("(",NAV!U906)+1,FIND(")", NAV!U906)-FIND("(",NAV!U906)-1)</f>
        <v>KRW</v>
      </c>
    </row>
    <row r="986" spans="1:18" ht="12.75" thickBot="1">
      <c r="A986" s="149">
        <f t="shared" si="121"/>
        <v>7</v>
      </c>
      <c r="B986" s="381" t="str">
        <f t="shared" si="118"/>
        <v/>
      </c>
      <c r="C986" s="380" t="str">
        <f t="shared" si="119"/>
        <v/>
      </c>
      <c r="D986" s="380" t="str">
        <f t="shared" si="120"/>
        <v/>
      </c>
      <c r="J986" s="149" t="str">
        <f>IF(L986=0,"",COUNTA(L$976:$L986)+COUNT($F$976:$F$981))</f>
        <v/>
      </c>
      <c r="K986" s="373">
        <f t="shared" si="117"/>
        <v>0</v>
      </c>
      <c r="L986" s="375">
        <f>NAV!J907</f>
        <v>0</v>
      </c>
      <c r="M986" s="376">
        <f>NAV!N907</f>
        <v>0</v>
      </c>
      <c r="N986" s="376">
        <f>NAV!T907</f>
        <v>0</v>
      </c>
      <c r="O986" s="377">
        <f>IF(N986="장부가액 준용","장부가액 준용",IF(N986="취득원가 준용","취득원가 준용",NAV!R907))</f>
        <v>0</v>
      </c>
      <c r="P986" s="377">
        <f>NAV!W907</f>
        <v>0</v>
      </c>
      <c r="Q986" s="377">
        <f>NAV!S907</f>
        <v>0</v>
      </c>
      <c r="R986" s="737" t="str">
        <f>MID(NAV!U907,FIND("(",NAV!U907)+1,FIND(")", NAV!U907)-FIND("(",NAV!U907)-1)</f>
        <v>KRW</v>
      </c>
    </row>
    <row r="987" spans="1:18" ht="12.75" hidden="1" customHeight="1" outlineLevel="1" thickBot="1">
      <c r="A987" s="149">
        <f t="shared" si="121"/>
        <v>8</v>
      </c>
      <c r="B987" s="381" t="str">
        <f t="shared" si="118"/>
        <v/>
      </c>
      <c r="C987" s="380" t="str">
        <f t="shared" si="119"/>
        <v/>
      </c>
      <c r="D987" s="380" t="str">
        <f t="shared" si="120"/>
        <v/>
      </c>
    </row>
    <row r="988" spans="1:18" ht="12.75" hidden="1" customHeight="1" outlineLevel="1" thickBot="1">
      <c r="A988" s="149">
        <f t="shared" si="121"/>
        <v>9</v>
      </c>
      <c r="B988" s="381" t="str">
        <f t="shared" si="118"/>
        <v/>
      </c>
      <c r="C988" s="380" t="str">
        <f t="shared" si="119"/>
        <v/>
      </c>
      <c r="D988" s="380" t="str">
        <f t="shared" si="120"/>
        <v/>
      </c>
    </row>
    <row r="989" spans="1:18" ht="12.75" hidden="1" customHeight="1" outlineLevel="1" thickBot="1">
      <c r="A989" s="149">
        <f t="shared" si="121"/>
        <v>10</v>
      </c>
      <c r="B989" s="381" t="str">
        <f t="shared" si="118"/>
        <v/>
      </c>
      <c r="C989" s="380" t="str">
        <f t="shared" si="119"/>
        <v/>
      </c>
      <c r="D989" s="380" t="str">
        <f t="shared" si="120"/>
        <v/>
      </c>
    </row>
    <row r="990" spans="1:18" ht="12.75" hidden="1" customHeight="1" outlineLevel="1" thickBot="1">
      <c r="A990" s="149">
        <f t="shared" si="121"/>
        <v>11</v>
      </c>
      <c r="B990" s="381" t="str">
        <f t="shared" si="118"/>
        <v/>
      </c>
      <c r="C990" s="380" t="str">
        <f t="shared" si="119"/>
        <v/>
      </c>
      <c r="D990" s="380" t="str">
        <f t="shared" si="120"/>
        <v/>
      </c>
    </row>
    <row r="991" spans="1:18" ht="12.75" hidden="1" customHeight="1" outlineLevel="1" thickBot="1">
      <c r="A991" s="149">
        <f t="shared" si="121"/>
        <v>12</v>
      </c>
      <c r="B991" s="381" t="str">
        <f t="shared" si="118"/>
        <v/>
      </c>
      <c r="C991" s="380" t="str">
        <f t="shared" si="119"/>
        <v/>
      </c>
      <c r="D991" s="380" t="str">
        <f t="shared" si="120"/>
        <v/>
      </c>
    </row>
    <row r="992" spans="1:18" ht="12.75" hidden="1" customHeight="1" outlineLevel="1" thickBot="1">
      <c r="A992" s="149">
        <f t="shared" si="121"/>
        <v>13</v>
      </c>
      <c r="B992" s="381" t="str">
        <f t="shared" si="118"/>
        <v/>
      </c>
      <c r="C992" s="380" t="str">
        <f t="shared" si="119"/>
        <v/>
      </c>
      <c r="D992" s="380" t="str">
        <f t="shared" si="120"/>
        <v/>
      </c>
    </row>
    <row r="993" spans="1:6" ht="12.75" hidden="1" customHeight="1" outlineLevel="1" thickBot="1">
      <c r="A993" s="149">
        <f t="shared" si="121"/>
        <v>14</v>
      </c>
      <c r="B993" s="381" t="str">
        <f t="shared" si="118"/>
        <v/>
      </c>
      <c r="C993" s="380" t="str">
        <f t="shared" si="119"/>
        <v/>
      </c>
      <c r="D993" s="380" t="str">
        <f t="shared" si="120"/>
        <v/>
      </c>
    </row>
    <row r="994" spans="1:6" ht="12.75" hidden="1" customHeight="1" outlineLevel="1" thickBot="1">
      <c r="A994" s="149">
        <f t="shared" si="121"/>
        <v>15</v>
      </c>
      <c r="B994" s="381" t="str">
        <f t="shared" si="118"/>
        <v/>
      </c>
      <c r="C994" s="380" t="str">
        <f t="shared" si="119"/>
        <v/>
      </c>
      <c r="D994" s="380" t="str">
        <f t="shared" si="120"/>
        <v/>
      </c>
    </row>
    <row r="995" spans="1:6" ht="12.75" hidden="1" customHeight="1" outlineLevel="1" thickBot="1">
      <c r="A995" s="149">
        <f t="shared" si="121"/>
        <v>16</v>
      </c>
      <c r="B995" s="381" t="str">
        <f t="shared" si="118"/>
        <v/>
      </c>
      <c r="C995" s="380" t="str">
        <f t="shared" si="119"/>
        <v/>
      </c>
      <c r="D995" s="380" t="str">
        <f t="shared" si="120"/>
        <v/>
      </c>
    </row>
    <row r="996" spans="1:6" ht="12.75" hidden="1" customHeight="1" outlineLevel="1" thickBot="1">
      <c r="A996" s="149">
        <f t="shared" si="121"/>
        <v>17</v>
      </c>
      <c r="B996" s="381" t="str">
        <f t="shared" si="118"/>
        <v/>
      </c>
      <c r="C996" s="380" t="str">
        <f t="shared" si="119"/>
        <v/>
      </c>
      <c r="D996" s="380" t="str">
        <f t="shared" si="120"/>
        <v/>
      </c>
    </row>
    <row r="997" spans="1:6" ht="12.75" collapsed="1" thickBot="1">
      <c r="B997" s="382" t="s">
        <v>2</v>
      </c>
      <c r="C997" s="372">
        <f>SUM(C976,C979)</f>
        <v>0</v>
      </c>
      <c r="D997" s="383">
        <f>SUM(D976,D979)</f>
        <v>0</v>
      </c>
    </row>
    <row r="998" spans="1:6" ht="12.75" thickBot="1">
      <c r="B998" s="382" t="s">
        <v>30</v>
      </c>
      <c r="C998" s="819">
        <f>NAV!E902</f>
        <v>0</v>
      </c>
      <c r="D998" s="820"/>
    </row>
    <row r="999" spans="1:6" ht="12.75" thickBot="1">
      <c r="B999" s="382" t="s">
        <v>31</v>
      </c>
      <c r="C999" s="819">
        <f>D997-C998</f>
        <v>0</v>
      </c>
      <c r="D999" s="820"/>
    </row>
    <row r="1000" spans="1:6" ht="12.75" thickBot="1">
      <c r="B1000" s="382" t="s">
        <v>745</v>
      </c>
      <c r="C1000" s="819">
        <f>NAV!E907</f>
        <v>0</v>
      </c>
      <c r="D1000" s="820"/>
      <c r="F1000" s="217"/>
    </row>
    <row r="1001" spans="1:6" ht="12.75" thickBot="1">
      <c r="B1001" s="382" t="s">
        <v>965</v>
      </c>
      <c r="C1001" s="819">
        <f>NAV!E908</f>
        <v>0</v>
      </c>
      <c r="D1001" s="820"/>
    </row>
    <row r="1002" spans="1:6" ht="12.75" thickBot="1">
      <c r="B1002" s="382" t="s">
        <v>744</v>
      </c>
      <c r="C1002" s="819">
        <f>NAV!E909</f>
        <v>0</v>
      </c>
      <c r="D1002" s="820"/>
    </row>
    <row r="1003" spans="1:6" ht="12.75" thickBot="1">
      <c r="B1003" s="382" t="str">
        <f>NAV!C910</f>
        <v>보유지분율(%)</v>
      </c>
      <c r="C1003" s="823">
        <f>NAV!D910</f>
        <v>0</v>
      </c>
      <c r="D1003" s="824"/>
    </row>
    <row r="1004" spans="1:6" ht="12.75" thickBot="1">
      <c r="B1004" s="382" t="s">
        <v>746</v>
      </c>
      <c r="C1004" s="825">
        <f>NAV!E910</f>
        <v>0</v>
      </c>
      <c r="D1004" s="826"/>
    </row>
    <row r="1010" spans="1:18">
      <c r="A1010" s="149">
        <f>A972+1</f>
        <v>20</v>
      </c>
      <c r="B1010" s="399" t="str">
        <f>NAV!B921</f>
        <v>SPC없음</v>
      </c>
      <c r="G1010" s="399" t="str">
        <f>B1010</f>
        <v>SPC없음</v>
      </c>
    </row>
    <row r="1011" spans="1:18">
      <c r="B1011" s="399" t="str">
        <f>NAV!C922</f>
        <v>SPC없음</v>
      </c>
      <c r="G1011" s="399" t="str">
        <f>B1011</f>
        <v>SPC없음</v>
      </c>
    </row>
    <row r="1012" spans="1:18" ht="12.75" thickBot="1">
      <c r="B1012" s="215" t="s">
        <v>750</v>
      </c>
      <c r="C1012" s="216"/>
      <c r="D1012" s="216"/>
      <c r="E1012" s="216"/>
      <c r="F1012" s="216"/>
      <c r="G1012" s="215" t="s">
        <v>751</v>
      </c>
      <c r="H1012" s="216"/>
      <c r="I1012" s="216"/>
      <c r="K1012" s="215" t="s">
        <v>752</v>
      </c>
    </row>
    <row r="1013" spans="1:18" ht="12.75" thickBot="1">
      <c r="B1013" s="366" t="s">
        <v>27</v>
      </c>
      <c r="C1013" s="367" t="s">
        <v>28</v>
      </c>
      <c r="D1013" s="367" t="s">
        <v>29</v>
      </c>
      <c r="F1013" s="368" t="s">
        <v>3461</v>
      </c>
      <c r="G1013" s="353" t="str">
        <f>$G$74</f>
        <v>SPC명</v>
      </c>
      <c r="H1013" s="369" t="s">
        <v>3200</v>
      </c>
      <c r="I1013" s="369" t="s">
        <v>753</v>
      </c>
      <c r="J1013" s="368" t="s">
        <v>3461</v>
      </c>
      <c r="K1013" s="353" t="s">
        <v>3440</v>
      </c>
      <c r="L1013" s="353" t="str">
        <f>$L$74</f>
        <v>투자자산명</v>
      </c>
      <c r="M1013" s="358" t="s">
        <v>754</v>
      </c>
      <c r="N1013" s="358" t="s">
        <v>47</v>
      </c>
      <c r="O1013" s="369" t="s">
        <v>749</v>
      </c>
      <c r="P1013" s="400" t="s">
        <v>3460</v>
      </c>
      <c r="Q1013" s="370" t="s">
        <v>3463</v>
      </c>
      <c r="R1013" s="370" t="s">
        <v>6833</v>
      </c>
    </row>
    <row r="1014" spans="1:18" ht="12.75" thickBot="1">
      <c r="B1014" s="371" t="s">
        <v>3441</v>
      </c>
      <c r="C1014" s="372">
        <f>SUM(C1015:C1016)</f>
        <v>0</v>
      </c>
      <c r="D1014" s="372">
        <f>SUM(D1015:D1016)</f>
        <v>0</v>
      </c>
      <c r="F1014" s="149" t="str">
        <f>IF(G1014=0,"",COUNTA(G$1014:$G1014))</f>
        <v/>
      </c>
      <c r="G1014" s="373">
        <f>IF(NAV!L927="SPC 없음",0,NAV!L927)</f>
        <v>0</v>
      </c>
      <c r="H1014" s="374">
        <f>NAV!W927</f>
        <v>0</v>
      </c>
      <c r="I1014" s="374" t="str">
        <f>NAV!S927</f>
        <v>SPC 없음</v>
      </c>
      <c r="J1014" s="149" t="str">
        <f>IF(L1014=0,"",COUNTA(L$1014:$L1014)+COUNT($F$1014:$F$1019))</f>
        <v/>
      </c>
      <c r="K1014" s="373">
        <f>IF($B1011="SPC없음",0,$B1011)</f>
        <v>0</v>
      </c>
      <c r="L1014" s="375">
        <f>NAV!J935</f>
        <v>0</v>
      </c>
      <c r="M1014" s="376">
        <f>NAV!N935</f>
        <v>0</v>
      </c>
      <c r="N1014" s="376">
        <f>NAV!T935</f>
        <v>0</v>
      </c>
      <c r="O1014" s="377">
        <f>IF(N1014="장부가액 준용","장부가액 준용",IF(N1014="취득원가 준용","취득원가 준용",NAV!R935))</f>
        <v>0</v>
      </c>
      <c r="P1014" s="377">
        <f>NAV!W935</f>
        <v>0</v>
      </c>
      <c r="Q1014" s="377">
        <f>NAV!S935</f>
        <v>0</v>
      </c>
      <c r="R1014" s="737" t="str">
        <f>MID(NAV!U935,FIND("(",NAV!U935)+1,FIND(")", NAV!U935)-FIND("(",NAV!U935)-1)</f>
        <v>KRW</v>
      </c>
    </row>
    <row r="1015" spans="1:18" ht="12.75" thickBot="1">
      <c r="B1015" s="379" t="s">
        <v>3443</v>
      </c>
      <c r="C1015" s="380">
        <f>NAV!D928</f>
        <v>0</v>
      </c>
      <c r="D1015" s="380">
        <f>NAV!E928</f>
        <v>0</v>
      </c>
      <c r="F1015" s="149" t="str">
        <f>IF(G1015=0,"",COUNTA(G$1014:$G1015))</f>
        <v/>
      </c>
      <c r="G1015" s="373">
        <f>IF(NAV!L928="SPC 없음",0,NAV!L928)</f>
        <v>0</v>
      </c>
      <c r="H1015" s="374">
        <f>NAV!W928</f>
        <v>0</v>
      </c>
      <c r="I1015" s="374" t="str">
        <f>NAV!S928</f>
        <v>SPC 없음</v>
      </c>
      <c r="J1015" s="149" t="str">
        <f>IF(L1015=0,"",COUNTA(L$1014:$L1015)+COUNT($F$1014:$F$1019))</f>
        <v/>
      </c>
      <c r="K1015" s="373">
        <f t="shared" ref="K1015:K1024" si="122">K1014</f>
        <v>0</v>
      </c>
      <c r="L1015" s="375">
        <f>NAV!J936</f>
        <v>0</v>
      </c>
      <c r="M1015" s="376">
        <f>NAV!N936</f>
        <v>0</v>
      </c>
      <c r="N1015" s="376">
        <f>NAV!T936</f>
        <v>0</v>
      </c>
      <c r="O1015" s="377">
        <f>IF(N1015="장부가액 준용","장부가액 준용",IF(N1015="취득원가 준용","취득원가 준용",NAV!R936))</f>
        <v>0</v>
      </c>
      <c r="P1015" s="377">
        <f>NAV!W936</f>
        <v>0</v>
      </c>
      <c r="Q1015" s="377">
        <f>NAV!S936</f>
        <v>0</v>
      </c>
      <c r="R1015" s="737" t="str">
        <f>MID(NAV!U936,FIND("(",NAV!U936)+1,FIND(")", NAV!U936)-FIND("(",NAV!U936)-1)</f>
        <v>KRW</v>
      </c>
    </row>
    <row r="1016" spans="1:18" ht="12.75" thickBot="1">
      <c r="B1016" s="379" t="s">
        <v>156</v>
      </c>
      <c r="C1016" s="380">
        <f>NAV!D929</f>
        <v>0</v>
      </c>
      <c r="D1016" s="380">
        <f>NAV!E929</f>
        <v>0</v>
      </c>
      <c r="F1016" s="149" t="str">
        <f>IF(G1016=0,"",COUNTA(G$1014:$G1016))</f>
        <v/>
      </c>
      <c r="G1016" s="373">
        <f>IF(NAV!L929="SPC 없음",0,NAV!L929)</f>
        <v>0</v>
      </c>
      <c r="H1016" s="374">
        <f>NAV!W929</f>
        <v>0</v>
      </c>
      <c r="I1016" s="374" t="str">
        <f>NAV!S929</f>
        <v>SPC 없음</v>
      </c>
      <c r="J1016" s="149" t="str">
        <f>IF(L1016=0,"",COUNTA(L$1014:$L1016)+COUNT($F$1014:$F$1019))</f>
        <v/>
      </c>
      <c r="K1016" s="373">
        <f t="shared" si="122"/>
        <v>0</v>
      </c>
      <c r="L1016" s="375">
        <f>NAV!J937</f>
        <v>0</v>
      </c>
      <c r="M1016" s="376">
        <f>NAV!N937</f>
        <v>0</v>
      </c>
      <c r="N1016" s="376">
        <f>NAV!T937</f>
        <v>0</v>
      </c>
      <c r="O1016" s="377">
        <f>IF(N1016="장부가액 준용","장부가액 준용",IF(N1016="취득원가 준용","취득원가 준용",NAV!R937))</f>
        <v>0</v>
      </c>
      <c r="P1016" s="377">
        <f>NAV!W937</f>
        <v>0</v>
      </c>
      <c r="Q1016" s="377">
        <f>NAV!S937</f>
        <v>0</v>
      </c>
      <c r="R1016" s="737" t="str">
        <f>MID(NAV!U937,FIND("(",NAV!U937)+1,FIND(")", NAV!U937)-FIND("(",NAV!U937)-1)</f>
        <v>KRW</v>
      </c>
    </row>
    <row r="1017" spans="1:18" ht="12.75" thickBot="1">
      <c r="B1017" s="371" t="s">
        <v>3442</v>
      </c>
      <c r="C1017" s="372">
        <f>NAV!D930</f>
        <v>0</v>
      </c>
      <c r="D1017" s="372">
        <f>NAV!E930</f>
        <v>0</v>
      </c>
      <c r="F1017" s="149" t="str">
        <f>IF(G1017=0,"",COUNTA(G$1014:$G1017))</f>
        <v/>
      </c>
      <c r="G1017" s="373">
        <f>IF(NAV!L930="SPC 없음",0,NAV!L930)</f>
        <v>0</v>
      </c>
      <c r="H1017" s="374">
        <f>NAV!W930</f>
        <v>0</v>
      </c>
      <c r="I1017" s="374" t="str">
        <f>NAV!S930</f>
        <v>SPC 없음</v>
      </c>
      <c r="J1017" s="149" t="str">
        <f>IF(L1017=0,"",COUNTA(L$1014:$L1017)+COUNT($F$1014:$F$1019))</f>
        <v/>
      </c>
      <c r="K1017" s="373">
        <f t="shared" si="122"/>
        <v>0</v>
      </c>
      <c r="L1017" s="375">
        <f>NAV!J938</f>
        <v>0</v>
      </c>
      <c r="M1017" s="376">
        <f>NAV!N938</f>
        <v>0</v>
      </c>
      <c r="N1017" s="376">
        <f>NAV!T938</f>
        <v>0</v>
      </c>
      <c r="O1017" s="377">
        <f>IF(N1017="장부가액 준용","장부가액 준용",IF(N1017="취득원가 준용","취득원가 준용",NAV!R938))</f>
        <v>0</v>
      </c>
      <c r="P1017" s="377">
        <f>NAV!W938</f>
        <v>0</v>
      </c>
      <c r="Q1017" s="377">
        <f>NAV!S938</f>
        <v>0</v>
      </c>
      <c r="R1017" s="737" t="str">
        <f>MID(NAV!U938,FIND("(",NAV!U938)+1,FIND(")", NAV!U938)-FIND("(",NAV!U938)-1)</f>
        <v>KRW</v>
      </c>
    </row>
    <row r="1018" spans="1:18" ht="12.75" thickBot="1">
      <c r="A1018" s="149">
        <v>1</v>
      </c>
      <c r="B1018" s="381" t="str">
        <f>IFERROR(IF(F1014=A1018,VLOOKUP(A1018,$F$1013:$I$1024,2,0),VLOOKUP(A1018,$J$1013:$Q$1024,3,0)&amp;" "&amp;VLOOKUP(A1018,$J$1013:$Q$1024,4,0)),"")</f>
        <v/>
      </c>
      <c r="C1018" s="380" t="str">
        <f>IFERROR(IF(F1014=A1018,VLOOKUP(A1018,$F$1013:$I$1024,3,0),VLOOKUP(A1018,$J$1013:$Q$1024,7,0)),"")</f>
        <v/>
      </c>
      <c r="D1018" s="380" t="str">
        <f>IFERROR(IF(F1014=A1018,VLOOKUP(A1018,$F$1013:$I$1024,4,0),VLOOKUP(A1018,$J$1013:$Q$1024,8,0)),"")</f>
        <v/>
      </c>
      <c r="F1018" s="149" t="str">
        <f>IF(G1018=0,"",COUNTA(G$1014:$G1018))</f>
        <v/>
      </c>
      <c r="G1018" s="373">
        <f>IF(NAV!L931="SPC 없음",0,NAV!L931)</f>
        <v>0</v>
      </c>
      <c r="H1018" s="374">
        <f>NAV!W931</f>
        <v>0</v>
      </c>
      <c r="I1018" s="374" t="str">
        <f>NAV!S931</f>
        <v>SPC 없음</v>
      </c>
      <c r="J1018" s="149" t="str">
        <f>IF(L1018=0,"",COUNTA(L$1014:$L1018)+COUNT($F$1014:$F$1019))</f>
        <v/>
      </c>
      <c r="K1018" s="373">
        <f t="shared" si="122"/>
        <v>0</v>
      </c>
      <c r="L1018" s="375">
        <f>NAV!J939</f>
        <v>0</v>
      </c>
      <c r="M1018" s="376">
        <f>NAV!N939</f>
        <v>0</v>
      </c>
      <c r="N1018" s="376">
        <f>NAV!T939</f>
        <v>0</v>
      </c>
      <c r="O1018" s="377">
        <f>IF(N1018="장부가액 준용","장부가액 준용",IF(N1018="취득원가 준용","취득원가 준용",NAV!R939))</f>
        <v>0</v>
      </c>
      <c r="P1018" s="377">
        <f>NAV!W939</f>
        <v>0</v>
      </c>
      <c r="Q1018" s="377">
        <f>NAV!S939</f>
        <v>0</v>
      </c>
      <c r="R1018" s="737" t="str">
        <f>MID(NAV!U939,FIND("(",NAV!U939)+1,FIND(")", NAV!U939)-FIND("(",NAV!U939)-1)</f>
        <v>KRW</v>
      </c>
    </row>
    <row r="1019" spans="1:18" ht="12.75" thickBot="1">
      <c r="A1019" s="149">
        <f>A1018+1</f>
        <v>2</v>
      </c>
      <c r="B1019" s="381" t="str">
        <f t="shared" ref="B1019:B1034" si="123">IFERROR(IF(F1015=A1019,VLOOKUP(A1019,$F$1013:$I$1024,2,0),VLOOKUP(A1019,$J$1013:$Q$1024,3,0)&amp;" "&amp;VLOOKUP(A1019,$J$1013:$Q$1024,4,0)),"")</f>
        <v/>
      </c>
      <c r="C1019" s="380" t="str">
        <f t="shared" ref="C1019:C1034" si="124">IFERROR(IF(F1015=A1019,VLOOKUP(A1019,$F$1013:$I$1024,3,0),VLOOKUP(A1019,$J$1013:$Q$1024,7,0)),"")</f>
        <v/>
      </c>
      <c r="D1019" s="380" t="str">
        <f t="shared" ref="D1019:D1034" si="125">IFERROR(IF(F1015=A1019,VLOOKUP(A1019,$F$1013:$I$1024,4,0),VLOOKUP(A1019,$J$1013:$Q$1024,8,0)),"")</f>
        <v/>
      </c>
      <c r="F1019" s="149" t="str">
        <f>IF(G1019=0,"",COUNTA(G$1014:$G1019))</f>
        <v/>
      </c>
      <c r="G1019" s="373">
        <f>IF(NAV!L932="SPC 없음",0,NAV!L932)</f>
        <v>0</v>
      </c>
      <c r="H1019" s="374">
        <f>NAV!W932</f>
        <v>0</v>
      </c>
      <c r="I1019" s="374" t="str">
        <f>NAV!S932</f>
        <v>SPC 없음</v>
      </c>
      <c r="J1019" s="149" t="str">
        <f>IF(L1019=0,"",COUNTA(L$1014:$L1019)+COUNT($F$1014:$F$1019))</f>
        <v/>
      </c>
      <c r="K1019" s="373">
        <f t="shared" si="122"/>
        <v>0</v>
      </c>
      <c r="L1019" s="375">
        <f>NAV!J940</f>
        <v>0</v>
      </c>
      <c r="M1019" s="376">
        <f>NAV!N940</f>
        <v>0</v>
      </c>
      <c r="N1019" s="376">
        <f>NAV!T940</f>
        <v>0</v>
      </c>
      <c r="O1019" s="377">
        <f>IF(N1019="장부가액 준용","장부가액 준용",IF(N1019="취득원가 준용","취득원가 준용",NAV!R940))</f>
        <v>0</v>
      </c>
      <c r="P1019" s="377">
        <f>NAV!W940</f>
        <v>0</v>
      </c>
      <c r="Q1019" s="377">
        <f>NAV!S940</f>
        <v>0</v>
      </c>
      <c r="R1019" s="737" t="str">
        <f>MID(NAV!U940,FIND("(",NAV!U940)+1,FIND(")", NAV!U940)-FIND("(",NAV!U940)-1)</f>
        <v>KRW</v>
      </c>
    </row>
    <row r="1020" spans="1:18" ht="12.75" thickBot="1">
      <c r="A1020" s="149">
        <f t="shared" ref="A1020:A1034" si="126">A1019+1</f>
        <v>3</v>
      </c>
      <c r="B1020" s="381" t="str">
        <f t="shared" si="123"/>
        <v/>
      </c>
      <c r="C1020" s="380" t="str">
        <f t="shared" si="124"/>
        <v/>
      </c>
      <c r="D1020" s="380" t="str">
        <f t="shared" si="125"/>
        <v/>
      </c>
      <c r="J1020" s="149" t="str">
        <f>IF(L1020=0,"",COUNTA(L$1014:$L1020)+COUNT($F$1014:$F$1019))</f>
        <v/>
      </c>
      <c r="K1020" s="373">
        <f t="shared" si="122"/>
        <v>0</v>
      </c>
      <c r="L1020" s="375">
        <f>NAV!J941</f>
        <v>0</v>
      </c>
      <c r="M1020" s="376">
        <f>NAV!N941</f>
        <v>0</v>
      </c>
      <c r="N1020" s="376">
        <f>NAV!T941</f>
        <v>0</v>
      </c>
      <c r="O1020" s="377">
        <f>IF(N1020="장부가액 준용","장부가액 준용",IF(N1020="취득원가 준용","취득원가 준용",NAV!R941))</f>
        <v>0</v>
      </c>
      <c r="P1020" s="377">
        <f>NAV!W941</f>
        <v>0</v>
      </c>
      <c r="Q1020" s="377">
        <f>NAV!S941</f>
        <v>0</v>
      </c>
      <c r="R1020" s="737" t="str">
        <f>MID(NAV!U941,FIND("(",NAV!U941)+1,FIND(")", NAV!U941)-FIND("(",NAV!U941)-1)</f>
        <v>KRW</v>
      </c>
    </row>
    <row r="1021" spans="1:18" ht="12.75" thickBot="1">
      <c r="A1021" s="149">
        <f t="shared" si="126"/>
        <v>4</v>
      </c>
      <c r="B1021" s="381" t="str">
        <f t="shared" si="123"/>
        <v/>
      </c>
      <c r="C1021" s="380" t="str">
        <f t="shared" si="124"/>
        <v/>
      </c>
      <c r="D1021" s="380" t="str">
        <f t="shared" si="125"/>
        <v/>
      </c>
      <c r="J1021" s="149" t="str">
        <f>IF(L1021=0,"",COUNTA(L$1014:$L1021)+COUNT($F$1014:$F$1019))</f>
        <v/>
      </c>
      <c r="K1021" s="373">
        <f t="shared" si="122"/>
        <v>0</v>
      </c>
      <c r="L1021" s="375">
        <f>NAV!J942</f>
        <v>0</v>
      </c>
      <c r="M1021" s="376">
        <f>NAV!N942</f>
        <v>0</v>
      </c>
      <c r="N1021" s="376">
        <f>NAV!T942</f>
        <v>0</v>
      </c>
      <c r="O1021" s="377">
        <f>IF(N1021="장부가액 준용","장부가액 준용",IF(N1021="취득원가 준용","취득원가 준용",NAV!R942))</f>
        <v>0</v>
      </c>
      <c r="P1021" s="377">
        <f>NAV!W942</f>
        <v>0</v>
      </c>
      <c r="Q1021" s="377">
        <f>NAV!S942</f>
        <v>0</v>
      </c>
      <c r="R1021" s="737" t="str">
        <f>MID(NAV!U942,FIND("(",NAV!U942)+1,FIND(")", NAV!U942)-FIND("(",NAV!U942)-1)</f>
        <v>KRW</v>
      </c>
    </row>
    <row r="1022" spans="1:18" ht="12.75" thickBot="1">
      <c r="A1022" s="149">
        <f t="shared" si="126"/>
        <v>5</v>
      </c>
      <c r="B1022" s="381" t="str">
        <f t="shared" si="123"/>
        <v/>
      </c>
      <c r="C1022" s="380" t="str">
        <f t="shared" si="124"/>
        <v/>
      </c>
      <c r="D1022" s="380" t="str">
        <f t="shared" si="125"/>
        <v/>
      </c>
      <c r="J1022" s="149" t="str">
        <f>IF(L1022=0,"",COUNTA(L$1014:$L1022)+COUNT($F$1014:$F$1019))</f>
        <v/>
      </c>
      <c r="K1022" s="373">
        <f t="shared" si="122"/>
        <v>0</v>
      </c>
      <c r="L1022" s="375">
        <f>NAV!J943</f>
        <v>0</v>
      </c>
      <c r="M1022" s="376">
        <f>NAV!N943</f>
        <v>0</v>
      </c>
      <c r="N1022" s="376">
        <f>NAV!T943</f>
        <v>0</v>
      </c>
      <c r="O1022" s="377">
        <f>IF(N1022="장부가액 준용","장부가액 준용",IF(N1022="취득원가 준용","취득원가 준용",NAV!R943))</f>
        <v>0</v>
      </c>
      <c r="P1022" s="377">
        <f>NAV!W943</f>
        <v>0</v>
      </c>
      <c r="Q1022" s="377">
        <f>NAV!S943</f>
        <v>0</v>
      </c>
      <c r="R1022" s="737" t="str">
        <f>MID(NAV!U943,FIND("(",NAV!U943)+1,FIND(")", NAV!U943)-FIND("(",NAV!U943)-1)</f>
        <v>KRW</v>
      </c>
    </row>
    <row r="1023" spans="1:18" ht="12.75" thickBot="1">
      <c r="A1023" s="149">
        <f t="shared" si="126"/>
        <v>6</v>
      </c>
      <c r="B1023" s="381" t="str">
        <f t="shared" si="123"/>
        <v/>
      </c>
      <c r="C1023" s="380" t="str">
        <f t="shared" si="124"/>
        <v/>
      </c>
      <c r="D1023" s="380" t="str">
        <f t="shared" si="125"/>
        <v/>
      </c>
      <c r="J1023" s="149" t="str">
        <f>IF(L1023=0,"",COUNTA(L$1014:$L1023)+COUNT($F$1014:$F$1019))</f>
        <v/>
      </c>
      <c r="K1023" s="373">
        <f t="shared" si="122"/>
        <v>0</v>
      </c>
      <c r="L1023" s="375">
        <f>NAV!J944</f>
        <v>0</v>
      </c>
      <c r="M1023" s="376">
        <f>NAV!N944</f>
        <v>0</v>
      </c>
      <c r="N1023" s="376">
        <f>NAV!T944</f>
        <v>0</v>
      </c>
      <c r="O1023" s="377">
        <f>IF(N1023="장부가액 준용","장부가액 준용",IF(N1023="취득원가 준용","취득원가 준용",NAV!R944))</f>
        <v>0</v>
      </c>
      <c r="P1023" s="377">
        <f>NAV!W944</f>
        <v>0</v>
      </c>
      <c r="Q1023" s="377">
        <f>NAV!S944</f>
        <v>0</v>
      </c>
      <c r="R1023" s="737" t="str">
        <f>MID(NAV!U944,FIND("(",NAV!U944)+1,FIND(")", NAV!U944)-FIND("(",NAV!U944)-1)</f>
        <v>KRW</v>
      </c>
    </row>
    <row r="1024" spans="1:18" ht="12.75" thickBot="1">
      <c r="A1024" s="149">
        <f t="shared" si="126"/>
        <v>7</v>
      </c>
      <c r="B1024" s="381" t="str">
        <f t="shared" si="123"/>
        <v/>
      </c>
      <c r="C1024" s="380" t="str">
        <f t="shared" si="124"/>
        <v/>
      </c>
      <c r="D1024" s="380" t="str">
        <f t="shared" si="125"/>
        <v/>
      </c>
      <c r="J1024" s="149" t="str">
        <f>IF(L1024=0,"",COUNTA(L$1014:$L1024)+COUNT($F$1014:$F$1019))</f>
        <v/>
      </c>
      <c r="K1024" s="373">
        <f t="shared" si="122"/>
        <v>0</v>
      </c>
      <c r="L1024" s="375">
        <f>NAV!J945</f>
        <v>0</v>
      </c>
      <c r="M1024" s="376">
        <f>NAV!N945</f>
        <v>0</v>
      </c>
      <c r="N1024" s="376">
        <f>NAV!T945</f>
        <v>0</v>
      </c>
      <c r="O1024" s="377">
        <f>IF(N1024="장부가액 준용","장부가액 준용",IF(N1024="취득원가 준용","취득원가 준용",NAV!R945))</f>
        <v>0</v>
      </c>
      <c r="P1024" s="377">
        <f>NAV!W945</f>
        <v>0</v>
      </c>
      <c r="Q1024" s="377">
        <f>NAV!S945</f>
        <v>0</v>
      </c>
      <c r="R1024" s="737" t="str">
        <f>MID(NAV!U945,FIND("(",NAV!U945)+1,FIND(")", NAV!U945)-FIND("(",NAV!U945)-1)</f>
        <v>KRW</v>
      </c>
    </row>
    <row r="1025" spans="1:6" ht="12.75" hidden="1" customHeight="1" outlineLevel="1" thickBot="1">
      <c r="A1025" s="149">
        <f t="shared" si="126"/>
        <v>8</v>
      </c>
      <c r="B1025" s="381" t="str">
        <f t="shared" si="123"/>
        <v/>
      </c>
      <c r="C1025" s="380" t="str">
        <f t="shared" si="124"/>
        <v/>
      </c>
      <c r="D1025" s="380" t="str">
        <f t="shared" si="125"/>
        <v/>
      </c>
    </row>
    <row r="1026" spans="1:6" ht="12.75" hidden="1" customHeight="1" outlineLevel="1" thickBot="1">
      <c r="A1026" s="149">
        <f t="shared" si="126"/>
        <v>9</v>
      </c>
      <c r="B1026" s="381" t="str">
        <f t="shared" si="123"/>
        <v/>
      </c>
      <c r="C1026" s="380" t="str">
        <f t="shared" si="124"/>
        <v/>
      </c>
      <c r="D1026" s="380" t="str">
        <f t="shared" si="125"/>
        <v/>
      </c>
    </row>
    <row r="1027" spans="1:6" ht="12.75" hidden="1" customHeight="1" outlineLevel="1" thickBot="1">
      <c r="A1027" s="149">
        <f t="shared" si="126"/>
        <v>10</v>
      </c>
      <c r="B1027" s="381" t="str">
        <f t="shared" si="123"/>
        <v/>
      </c>
      <c r="C1027" s="380" t="str">
        <f t="shared" si="124"/>
        <v/>
      </c>
      <c r="D1027" s="380" t="str">
        <f t="shared" si="125"/>
        <v/>
      </c>
    </row>
    <row r="1028" spans="1:6" ht="12.75" hidden="1" customHeight="1" outlineLevel="1" thickBot="1">
      <c r="A1028" s="149">
        <f t="shared" si="126"/>
        <v>11</v>
      </c>
      <c r="B1028" s="381" t="str">
        <f t="shared" si="123"/>
        <v/>
      </c>
      <c r="C1028" s="380" t="str">
        <f t="shared" si="124"/>
        <v/>
      </c>
      <c r="D1028" s="380" t="str">
        <f t="shared" si="125"/>
        <v/>
      </c>
    </row>
    <row r="1029" spans="1:6" ht="12.75" hidden="1" customHeight="1" outlineLevel="1" thickBot="1">
      <c r="A1029" s="149">
        <f t="shared" si="126"/>
        <v>12</v>
      </c>
      <c r="B1029" s="381" t="str">
        <f t="shared" si="123"/>
        <v/>
      </c>
      <c r="C1029" s="380" t="str">
        <f t="shared" si="124"/>
        <v/>
      </c>
      <c r="D1029" s="380" t="str">
        <f t="shared" si="125"/>
        <v/>
      </c>
    </row>
    <row r="1030" spans="1:6" ht="12.75" hidden="1" customHeight="1" outlineLevel="1" thickBot="1">
      <c r="A1030" s="149">
        <f t="shared" si="126"/>
        <v>13</v>
      </c>
      <c r="B1030" s="381" t="str">
        <f t="shared" si="123"/>
        <v/>
      </c>
      <c r="C1030" s="380" t="str">
        <f t="shared" si="124"/>
        <v/>
      </c>
      <c r="D1030" s="380" t="str">
        <f t="shared" si="125"/>
        <v/>
      </c>
    </row>
    <row r="1031" spans="1:6" ht="12.75" hidden="1" customHeight="1" outlineLevel="1" thickBot="1">
      <c r="A1031" s="149">
        <f t="shared" si="126"/>
        <v>14</v>
      </c>
      <c r="B1031" s="381" t="str">
        <f t="shared" si="123"/>
        <v/>
      </c>
      <c r="C1031" s="380" t="str">
        <f t="shared" si="124"/>
        <v/>
      </c>
      <c r="D1031" s="380" t="str">
        <f t="shared" si="125"/>
        <v/>
      </c>
    </row>
    <row r="1032" spans="1:6" ht="12.75" hidden="1" customHeight="1" outlineLevel="1" thickBot="1">
      <c r="A1032" s="149">
        <f t="shared" si="126"/>
        <v>15</v>
      </c>
      <c r="B1032" s="381" t="str">
        <f t="shared" si="123"/>
        <v/>
      </c>
      <c r="C1032" s="380" t="str">
        <f t="shared" si="124"/>
        <v/>
      </c>
      <c r="D1032" s="380" t="str">
        <f t="shared" si="125"/>
        <v/>
      </c>
    </row>
    <row r="1033" spans="1:6" ht="12.75" hidden="1" customHeight="1" outlineLevel="1" thickBot="1">
      <c r="A1033" s="149">
        <f t="shared" si="126"/>
        <v>16</v>
      </c>
      <c r="B1033" s="381" t="str">
        <f t="shared" si="123"/>
        <v/>
      </c>
      <c r="C1033" s="380" t="str">
        <f t="shared" si="124"/>
        <v/>
      </c>
      <c r="D1033" s="380" t="str">
        <f t="shared" si="125"/>
        <v/>
      </c>
    </row>
    <row r="1034" spans="1:6" ht="12.75" hidden="1" customHeight="1" outlineLevel="1" thickBot="1">
      <c r="A1034" s="149">
        <f t="shared" si="126"/>
        <v>17</v>
      </c>
      <c r="B1034" s="381" t="str">
        <f t="shared" si="123"/>
        <v/>
      </c>
      <c r="C1034" s="380" t="str">
        <f t="shared" si="124"/>
        <v/>
      </c>
      <c r="D1034" s="380" t="str">
        <f t="shared" si="125"/>
        <v/>
      </c>
    </row>
    <row r="1035" spans="1:6" ht="12.75" collapsed="1" thickBot="1">
      <c r="B1035" s="382" t="s">
        <v>2</v>
      </c>
      <c r="C1035" s="372">
        <f>SUM(C1014,C1017)</f>
        <v>0</v>
      </c>
      <c r="D1035" s="383">
        <f>SUM(D1014,D1017)</f>
        <v>0</v>
      </c>
    </row>
    <row r="1036" spans="1:6" ht="12.75" thickBot="1">
      <c r="B1036" s="382" t="s">
        <v>30</v>
      </c>
      <c r="C1036" s="819">
        <f>NAV!E940</f>
        <v>0</v>
      </c>
      <c r="D1036" s="820"/>
    </row>
    <row r="1037" spans="1:6" ht="12.75" thickBot="1">
      <c r="B1037" s="382" t="s">
        <v>31</v>
      </c>
      <c r="C1037" s="819">
        <f>D1035-C1036</f>
        <v>0</v>
      </c>
      <c r="D1037" s="820"/>
    </row>
    <row r="1038" spans="1:6" ht="12.75" thickBot="1">
      <c r="B1038" s="382" t="s">
        <v>745</v>
      </c>
      <c r="C1038" s="819">
        <f>NAV!E945</f>
        <v>0</v>
      </c>
      <c r="D1038" s="820"/>
      <c r="F1038" s="217"/>
    </row>
    <row r="1039" spans="1:6" ht="12.75" thickBot="1">
      <c r="B1039" s="382" t="s">
        <v>965</v>
      </c>
      <c r="C1039" s="819">
        <f>NAV!E946</f>
        <v>0</v>
      </c>
      <c r="D1039" s="820"/>
    </row>
    <row r="1040" spans="1:6" ht="12.75" thickBot="1">
      <c r="B1040" s="382" t="s">
        <v>744</v>
      </c>
      <c r="C1040" s="819">
        <f>NAV!E947</f>
        <v>0</v>
      </c>
      <c r="D1040" s="820"/>
    </row>
    <row r="1041" spans="1:18" ht="12.75" thickBot="1">
      <c r="B1041" s="382" t="str">
        <f>NAV!C948</f>
        <v>보유지분율(%)</v>
      </c>
      <c r="C1041" s="823">
        <f>NAV!D948</f>
        <v>0</v>
      </c>
      <c r="D1041" s="824"/>
    </row>
    <row r="1042" spans="1:18" ht="12.75" thickBot="1">
      <c r="B1042" s="382" t="s">
        <v>746</v>
      </c>
      <c r="C1042" s="825">
        <f>NAV!E948</f>
        <v>0</v>
      </c>
      <c r="D1042" s="826"/>
    </row>
    <row r="1048" spans="1:18">
      <c r="A1048" s="149">
        <f>A1010+1</f>
        <v>21</v>
      </c>
      <c r="B1048" s="399" t="str">
        <f>NAV!B959</f>
        <v>SPC없음</v>
      </c>
      <c r="G1048" s="399" t="str">
        <f>B1048</f>
        <v>SPC없음</v>
      </c>
    </row>
    <row r="1049" spans="1:18">
      <c r="B1049" s="399" t="str">
        <f>NAV!C960</f>
        <v>SPC없음</v>
      </c>
      <c r="G1049" s="399" t="str">
        <f>B1049</f>
        <v>SPC없음</v>
      </c>
    </row>
    <row r="1050" spans="1:18" ht="12.75" thickBot="1">
      <c r="B1050" s="215" t="s">
        <v>750</v>
      </c>
      <c r="C1050" s="216"/>
      <c r="D1050" s="216"/>
      <c r="E1050" s="216"/>
      <c r="F1050" s="216"/>
      <c r="G1050" s="215" t="s">
        <v>751</v>
      </c>
      <c r="H1050" s="216"/>
      <c r="I1050" s="216"/>
      <c r="K1050" s="215" t="s">
        <v>752</v>
      </c>
    </row>
    <row r="1051" spans="1:18" ht="12.75" thickBot="1">
      <c r="B1051" s="366" t="s">
        <v>27</v>
      </c>
      <c r="C1051" s="367" t="s">
        <v>28</v>
      </c>
      <c r="D1051" s="367" t="s">
        <v>29</v>
      </c>
      <c r="F1051" s="368" t="s">
        <v>3461</v>
      </c>
      <c r="G1051" s="353" t="str">
        <f>$G$74</f>
        <v>SPC명</v>
      </c>
      <c r="H1051" s="369" t="s">
        <v>3200</v>
      </c>
      <c r="I1051" s="369" t="s">
        <v>753</v>
      </c>
      <c r="J1051" s="368" t="s">
        <v>3461</v>
      </c>
      <c r="K1051" s="353" t="s">
        <v>3480</v>
      </c>
      <c r="L1051" s="353" t="str">
        <f>$L$74</f>
        <v>투자자산명</v>
      </c>
      <c r="M1051" s="358" t="s">
        <v>754</v>
      </c>
      <c r="N1051" s="358" t="s">
        <v>47</v>
      </c>
      <c r="O1051" s="369" t="s">
        <v>749</v>
      </c>
      <c r="P1051" s="400" t="s">
        <v>3460</v>
      </c>
      <c r="Q1051" s="370" t="s">
        <v>3463</v>
      </c>
      <c r="R1051" s="370" t="s">
        <v>6833</v>
      </c>
    </row>
    <row r="1052" spans="1:18" ht="12.75" thickBot="1">
      <c r="B1052" s="371" t="s">
        <v>3441</v>
      </c>
      <c r="C1052" s="372">
        <f>SUM(C1053:C1054)</f>
        <v>0</v>
      </c>
      <c r="D1052" s="372">
        <f>SUM(D1053:D1054)</f>
        <v>0</v>
      </c>
      <c r="F1052" s="149" t="str">
        <f>IF(G1052=0,"",COUNTA(G$1052:$G1052))</f>
        <v/>
      </c>
      <c r="G1052" s="373">
        <f>IF(NAV!L965="SPC 없음",0,NAV!L965)</f>
        <v>0</v>
      </c>
      <c r="H1052" s="374">
        <f>NAV!W965</f>
        <v>0</v>
      </c>
      <c r="I1052" s="374" t="str">
        <f>NAV!S965</f>
        <v>SPC 없음</v>
      </c>
      <c r="J1052" s="149" t="str">
        <f>IF(L1052=0,"",COUNTA(L$1052:$L1052)+COUNT($F$1052:$F$1057))</f>
        <v/>
      </c>
      <c r="K1052" s="373">
        <f>IF($B1049="SPC없음",0,$B1049)</f>
        <v>0</v>
      </c>
      <c r="L1052" s="375">
        <f>NAV!J973</f>
        <v>0</v>
      </c>
      <c r="M1052" s="376">
        <f>NAV!N973</f>
        <v>0</v>
      </c>
      <c r="N1052" s="376">
        <f>NAV!T973</f>
        <v>0</v>
      </c>
      <c r="O1052" s="377">
        <f>IF(N1052="장부가액 준용","장부가액 준용",IF(N1052="취득원가 준용","취득원가 준용",NAV!R973))</f>
        <v>0</v>
      </c>
      <c r="P1052" s="377">
        <f>NAV!W973</f>
        <v>0</v>
      </c>
      <c r="Q1052" s="377">
        <f>NAV!S973</f>
        <v>0</v>
      </c>
      <c r="R1052" s="737" t="str">
        <f>MID(NAV!U973,FIND("(",NAV!U973)+1,FIND(")", NAV!U973)-FIND("(",NAV!U973)-1)</f>
        <v>KRW</v>
      </c>
    </row>
    <row r="1053" spans="1:18" ht="12.75" thickBot="1">
      <c r="B1053" s="379" t="s">
        <v>3489</v>
      </c>
      <c r="C1053" s="380">
        <f>NAV!D966</f>
        <v>0</v>
      </c>
      <c r="D1053" s="380">
        <f>NAV!E966</f>
        <v>0</v>
      </c>
      <c r="F1053" s="149" t="str">
        <f>IF(G1053=0,"",COUNTA(G$1052:$G1053))</f>
        <v/>
      </c>
      <c r="G1053" s="373">
        <f>IF(NAV!L966="SPC 없음",0,NAV!L966)</f>
        <v>0</v>
      </c>
      <c r="H1053" s="374">
        <f>NAV!W966</f>
        <v>0</v>
      </c>
      <c r="I1053" s="374" t="str">
        <f>NAV!S966</f>
        <v>SPC 없음</v>
      </c>
      <c r="J1053" s="149" t="str">
        <f>IF(L1053=0,"",COUNTA(L$1052:$L1053)+COUNT($F$1052:$F$1057))</f>
        <v/>
      </c>
      <c r="K1053" s="373">
        <f t="shared" ref="K1053:K1062" si="127">K1052</f>
        <v>0</v>
      </c>
      <c r="L1053" s="375">
        <f>NAV!J974</f>
        <v>0</v>
      </c>
      <c r="M1053" s="376">
        <f>NAV!N974</f>
        <v>0</v>
      </c>
      <c r="N1053" s="376">
        <f>NAV!T974</f>
        <v>0</v>
      </c>
      <c r="O1053" s="377">
        <f>IF(N1053="장부가액 준용","장부가액 준용",IF(N1053="취득원가 준용","취득원가 준용",NAV!R974))</f>
        <v>0</v>
      </c>
      <c r="P1053" s="377">
        <f>NAV!W974</f>
        <v>0</v>
      </c>
      <c r="Q1053" s="377">
        <f>NAV!S974</f>
        <v>0</v>
      </c>
      <c r="R1053" s="737" t="str">
        <f>MID(NAV!U974,FIND("(",NAV!U974)+1,FIND(")", NAV!U974)-FIND("(",NAV!U974)-1)</f>
        <v>KRW</v>
      </c>
    </row>
    <row r="1054" spans="1:18" ht="12.75" thickBot="1">
      <c r="B1054" s="379" t="s">
        <v>156</v>
      </c>
      <c r="C1054" s="380">
        <f>NAV!D967</f>
        <v>0</v>
      </c>
      <c r="D1054" s="380">
        <f>NAV!E967</f>
        <v>0</v>
      </c>
      <c r="F1054" s="149" t="str">
        <f>IF(G1054=0,"",COUNTA(G$1052:$G1054))</f>
        <v/>
      </c>
      <c r="G1054" s="373">
        <f>IF(NAV!L967="SPC 없음",0,NAV!L967)</f>
        <v>0</v>
      </c>
      <c r="H1054" s="374">
        <f>NAV!W967</f>
        <v>0</v>
      </c>
      <c r="I1054" s="374" t="str">
        <f>NAV!S967</f>
        <v>SPC 없음</v>
      </c>
      <c r="J1054" s="149" t="str">
        <f>IF(L1054=0,"",COUNTA(L$1052:$L1054)+COUNT($F$1052:$F$1057))</f>
        <v/>
      </c>
      <c r="K1054" s="373">
        <f t="shared" si="127"/>
        <v>0</v>
      </c>
      <c r="L1054" s="375">
        <f>NAV!J975</f>
        <v>0</v>
      </c>
      <c r="M1054" s="376">
        <f>NAV!N975</f>
        <v>0</v>
      </c>
      <c r="N1054" s="376">
        <f>NAV!T975</f>
        <v>0</v>
      </c>
      <c r="O1054" s="377">
        <f>IF(N1054="장부가액 준용","장부가액 준용",IF(N1054="취득원가 준용","취득원가 준용",NAV!R975))</f>
        <v>0</v>
      </c>
      <c r="P1054" s="377">
        <f>NAV!W975</f>
        <v>0</v>
      </c>
      <c r="Q1054" s="377">
        <f>NAV!S975</f>
        <v>0</v>
      </c>
      <c r="R1054" s="737" t="str">
        <f>MID(NAV!U975,FIND("(",NAV!U975)+1,FIND(")", NAV!U975)-FIND("(",NAV!U975)-1)</f>
        <v>KRW</v>
      </c>
    </row>
    <row r="1055" spans="1:18" ht="12.75" thickBot="1">
      <c r="B1055" s="371" t="s">
        <v>3442</v>
      </c>
      <c r="C1055" s="372">
        <f>NAV!D968</f>
        <v>0</v>
      </c>
      <c r="D1055" s="372">
        <f>NAV!E968</f>
        <v>0</v>
      </c>
      <c r="F1055" s="149" t="str">
        <f>IF(G1055=0,"",COUNTA(G$1052:$G1055))</f>
        <v/>
      </c>
      <c r="G1055" s="373">
        <f>IF(NAV!L968="SPC 없음",0,NAV!L968)</f>
        <v>0</v>
      </c>
      <c r="H1055" s="374">
        <f>NAV!W968</f>
        <v>0</v>
      </c>
      <c r="I1055" s="374" t="str">
        <f>NAV!S968</f>
        <v>SPC 없음</v>
      </c>
      <c r="J1055" s="149" t="str">
        <f>IF(L1055=0,"",COUNTA(L$1052:$L1055)+COUNT($F$1052:$F$1057))</f>
        <v/>
      </c>
      <c r="K1055" s="373">
        <f t="shared" si="127"/>
        <v>0</v>
      </c>
      <c r="L1055" s="375">
        <f>NAV!J976</f>
        <v>0</v>
      </c>
      <c r="M1055" s="376">
        <f>NAV!N976</f>
        <v>0</v>
      </c>
      <c r="N1055" s="376">
        <f>NAV!T976</f>
        <v>0</v>
      </c>
      <c r="O1055" s="377">
        <f>IF(N1055="장부가액 준용","장부가액 준용",IF(N1055="취득원가 준용","취득원가 준용",NAV!R976))</f>
        <v>0</v>
      </c>
      <c r="P1055" s="377">
        <f>NAV!W976</f>
        <v>0</v>
      </c>
      <c r="Q1055" s="377">
        <f>NAV!S976</f>
        <v>0</v>
      </c>
      <c r="R1055" s="737" t="str">
        <f>MID(NAV!U976,FIND("(",NAV!U976)+1,FIND(")", NAV!U976)-FIND("(",NAV!U976)-1)</f>
        <v>KRW</v>
      </c>
    </row>
    <row r="1056" spans="1:18" ht="12.75" thickBot="1">
      <c r="A1056" s="149">
        <v>1</v>
      </c>
      <c r="B1056" s="381" t="str">
        <f>IFERROR(IF(F1052=A1056,VLOOKUP(A1056,$F$1051:$I$1062,2,0),VLOOKUP(A1056,$J$1051:$Q$1062,3,0)&amp;" "&amp;VLOOKUP(A1056,$J$1051:$Q$1062,4,0)),"")</f>
        <v/>
      </c>
      <c r="C1056" s="380" t="str">
        <f>IFERROR(IF(F1052=A1056,VLOOKUP(A1056,$F$1051:$I$1062,3,0),VLOOKUP(A1056,$J$1051:$Q$1062,7,0)),"")</f>
        <v/>
      </c>
      <c r="D1056" s="380" t="str">
        <f>IFERROR(IF(F1052=A1056,VLOOKUP(A1056,$F$1051:$I$1062,4,0),VLOOKUP(A1056,$J$1051:$Q$1062,8,0)),"")</f>
        <v/>
      </c>
      <c r="F1056" s="149" t="str">
        <f>IF(G1056=0,"",COUNTA(G$1052:$G1056))</f>
        <v/>
      </c>
      <c r="G1056" s="373">
        <f>IF(NAV!L969="SPC 없음",0,NAV!L969)</f>
        <v>0</v>
      </c>
      <c r="H1056" s="374">
        <f>NAV!W969</f>
        <v>0</v>
      </c>
      <c r="I1056" s="374" t="str">
        <f>NAV!S969</f>
        <v>SPC 없음</v>
      </c>
      <c r="J1056" s="149" t="str">
        <f>IF(L1056=0,"",COUNTA(L$1052:$L1056)+COUNT($F$1052:$F$1057))</f>
        <v/>
      </c>
      <c r="K1056" s="373">
        <f t="shared" si="127"/>
        <v>0</v>
      </c>
      <c r="L1056" s="375">
        <f>NAV!J977</f>
        <v>0</v>
      </c>
      <c r="M1056" s="376">
        <f>NAV!N977</f>
        <v>0</v>
      </c>
      <c r="N1056" s="376">
        <f>NAV!T977</f>
        <v>0</v>
      </c>
      <c r="O1056" s="377">
        <f>IF(N1056="장부가액 준용","장부가액 준용",IF(N1056="취득원가 준용","취득원가 준용",NAV!R977))</f>
        <v>0</v>
      </c>
      <c r="P1056" s="377">
        <f>NAV!W977</f>
        <v>0</v>
      </c>
      <c r="Q1056" s="377">
        <f>NAV!S977</f>
        <v>0</v>
      </c>
      <c r="R1056" s="737" t="str">
        <f>MID(NAV!U977,FIND("(",NAV!U977)+1,FIND(")", NAV!U977)-FIND("(",NAV!U977)-1)</f>
        <v>KRW</v>
      </c>
    </row>
    <row r="1057" spans="1:18" ht="12.75" thickBot="1">
      <c r="A1057" s="149">
        <f>A1056+1</f>
        <v>2</v>
      </c>
      <c r="B1057" s="381" t="str">
        <f t="shared" ref="B1057:B1072" si="128">IFERROR(IF(F1053=A1057,VLOOKUP(A1057,$F$1051:$I$1062,2,0),VLOOKUP(A1057,$J$1051:$Q$1062,3,0)&amp;" "&amp;VLOOKUP(A1057,$J$1051:$Q$1062,4,0)),"")</f>
        <v/>
      </c>
      <c r="C1057" s="380" t="str">
        <f t="shared" ref="C1057:C1072" si="129">IFERROR(IF(F1053=A1057,VLOOKUP(A1057,$F$1051:$I$1062,3,0),VLOOKUP(A1057,$J$1051:$Q$1062,7,0)),"")</f>
        <v/>
      </c>
      <c r="D1057" s="380" t="str">
        <f t="shared" ref="D1057:D1072" si="130">IFERROR(IF(F1053=A1057,VLOOKUP(A1057,$F$1051:$I$1062,4,0),VLOOKUP(A1057,$J$1051:$Q$1062,8,0)),"")</f>
        <v/>
      </c>
      <c r="F1057" s="149" t="str">
        <f>IF(G1057=0,"",COUNTA(G$1052:$G1057))</f>
        <v/>
      </c>
      <c r="G1057" s="373">
        <f>IF(NAV!L970="SPC 없음",0,NAV!L970)</f>
        <v>0</v>
      </c>
      <c r="H1057" s="374">
        <f>NAV!W970</f>
        <v>0</v>
      </c>
      <c r="I1057" s="374" t="str">
        <f>NAV!S970</f>
        <v>SPC 없음</v>
      </c>
      <c r="J1057" s="149" t="str">
        <f>IF(L1057=0,"",COUNTA(L$1052:$L1057)+COUNT($F$1052:$F$1057))</f>
        <v/>
      </c>
      <c r="K1057" s="373">
        <f t="shared" si="127"/>
        <v>0</v>
      </c>
      <c r="L1057" s="375">
        <f>NAV!J978</f>
        <v>0</v>
      </c>
      <c r="M1057" s="376">
        <f>NAV!N978</f>
        <v>0</v>
      </c>
      <c r="N1057" s="376">
        <f>NAV!T978</f>
        <v>0</v>
      </c>
      <c r="O1057" s="377">
        <f>IF(N1057="장부가액 준용","장부가액 준용",IF(N1057="취득원가 준용","취득원가 준용",NAV!R978))</f>
        <v>0</v>
      </c>
      <c r="P1057" s="377">
        <f>NAV!W978</f>
        <v>0</v>
      </c>
      <c r="Q1057" s="377">
        <f>NAV!S978</f>
        <v>0</v>
      </c>
      <c r="R1057" s="737" t="str">
        <f>MID(NAV!U978,FIND("(",NAV!U978)+1,FIND(")", NAV!U978)-FIND("(",NAV!U978)-1)</f>
        <v>KRW</v>
      </c>
    </row>
    <row r="1058" spans="1:18" ht="12.75" thickBot="1">
      <c r="A1058" s="149">
        <f t="shared" ref="A1058:A1072" si="131">A1057+1</f>
        <v>3</v>
      </c>
      <c r="B1058" s="381" t="str">
        <f t="shared" si="128"/>
        <v/>
      </c>
      <c r="C1058" s="380" t="str">
        <f t="shared" si="129"/>
        <v/>
      </c>
      <c r="D1058" s="380" t="str">
        <f t="shared" si="130"/>
        <v/>
      </c>
      <c r="J1058" s="149" t="str">
        <f>IF(L1058=0,"",COUNTA(L$1052:$L1058)+COUNT($F$1052:$F$1057))</f>
        <v/>
      </c>
      <c r="K1058" s="373">
        <f t="shared" si="127"/>
        <v>0</v>
      </c>
      <c r="L1058" s="375">
        <f>NAV!J979</f>
        <v>0</v>
      </c>
      <c r="M1058" s="376">
        <f>NAV!N979</f>
        <v>0</v>
      </c>
      <c r="N1058" s="376">
        <f>NAV!T979</f>
        <v>0</v>
      </c>
      <c r="O1058" s="377">
        <f>IF(N1058="장부가액 준용","장부가액 준용",IF(N1058="취득원가 준용","취득원가 준용",NAV!R979))</f>
        <v>0</v>
      </c>
      <c r="P1058" s="377">
        <f>NAV!W979</f>
        <v>0</v>
      </c>
      <c r="Q1058" s="377">
        <f>NAV!S979</f>
        <v>0</v>
      </c>
      <c r="R1058" s="737" t="str">
        <f>MID(NAV!U979,FIND("(",NAV!U979)+1,FIND(")", NAV!U979)-FIND("(",NAV!U979)-1)</f>
        <v>KRW</v>
      </c>
    </row>
    <row r="1059" spans="1:18" ht="12.75" thickBot="1">
      <c r="A1059" s="149">
        <f t="shared" si="131"/>
        <v>4</v>
      </c>
      <c r="B1059" s="381" t="str">
        <f t="shared" si="128"/>
        <v/>
      </c>
      <c r="C1059" s="380" t="str">
        <f t="shared" si="129"/>
        <v/>
      </c>
      <c r="D1059" s="380" t="str">
        <f t="shared" si="130"/>
        <v/>
      </c>
      <c r="J1059" s="149" t="str">
        <f>IF(L1059=0,"",COUNTA(L$1052:$L1059)+COUNT($F$1052:$F$1057))</f>
        <v/>
      </c>
      <c r="K1059" s="373">
        <f t="shared" si="127"/>
        <v>0</v>
      </c>
      <c r="L1059" s="375">
        <f>NAV!J980</f>
        <v>0</v>
      </c>
      <c r="M1059" s="376">
        <f>NAV!N980</f>
        <v>0</v>
      </c>
      <c r="N1059" s="376">
        <f>NAV!T980</f>
        <v>0</v>
      </c>
      <c r="O1059" s="377">
        <f>IF(N1059="장부가액 준용","장부가액 준용",IF(N1059="취득원가 준용","취득원가 준용",NAV!R980))</f>
        <v>0</v>
      </c>
      <c r="P1059" s="377">
        <f>NAV!W980</f>
        <v>0</v>
      </c>
      <c r="Q1059" s="377">
        <f>NAV!S980</f>
        <v>0</v>
      </c>
      <c r="R1059" s="737" t="str">
        <f>MID(NAV!U980,FIND("(",NAV!U980)+1,FIND(")", NAV!U980)-FIND("(",NAV!U980)-1)</f>
        <v>KRW</v>
      </c>
    </row>
    <row r="1060" spans="1:18" ht="12.75" thickBot="1">
      <c r="A1060" s="149">
        <f t="shared" si="131"/>
        <v>5</v>
      </c>
      <c r="B1060" s="381" t="str">
        <f t="shared" si="128"/>
        <v/>
      </c>
      <c r="C1060" s="380" t="str">
        <f t="shared" si="129"/>
        <v/>
      </c>
      <c r="D1060" s="380" t="str">
        <f t="shared" si="130"/>
        <v/>
      </c>
      <c r="J1060" s="149" t="str">
        <f>IF(L1060=0,"",COUNTA(L$1052:$L1060)+COUNT($F$1052:$F$1057))</f>
        <v/>
      </c>
      <c r="K1060" s="373">
        <f t="shared" si="127"/>
        <v>0</v>
      </c>
      <c r="L1060" s="375">
        <f>NAV!J981</f>
        <v>0</v>
      </c>
      <c r="M1060" s="376">
        <f>NAV!N981</f>
        <v>0</v>
      </c>
      <c r="N1060" s="376">
        <f>NAV!T981</f>
        <v>0</v>
      </c>
      <c r="O1060" s="377">
        <f>IF(N1060="장부가액 준용","장부가액 준용",IF(N1060="취득원가 준용","취득원가 준용",NAV!R981))</f>
        <v>0</v>
      </c>
      <c r="P1060" s="377">
        <f>NAV!W981</f>
        <v>0</v>
      </c>
      <c r="Q1060" s="377">
        <f>NAV!S981</f>
        <v>0</v>
      </c>
      <c r="R1060" s="737" t="str">
        <f>MID(NAV!U981,FIND("(",NAV!U981)+1,FIND(")", NAV!U981)-FIND("(",NAV!U981)-1)</f>
        <v>KRW</v>
      </c>
    </row>
    <row r="1061" spans="1:18" ht="12.75" thickBot="1">
      <c r="A1061" s="149">
        <f t="shared" si="131"/>
        <v>6</v>
      </c>
      <c r="B1061" s="381" t="str">
        <f t="shared" si="128"/>
        <v/>
      </c>
      <c r="C1061" s="380" t="str">
        <f t="shared" si="129"/>
        <v/>
      </c>
      <c r="D1061" s="380" t="str">
        <f t="shared" si="130"/>
        <v/>
      </c>
      <c r="J1061" s="149" t="str">
        <f>IF(L1061=0,"",COUNTA(L$1052:$L1061)+COUNT($F$1052:$F$1057))</f>
        <v/>
      </c>
      <c r="K1061" s="373">
        <f t="shared" si="127"/>
        <v>0</v>
      </c>
      <c r="L1061" s="375">
        <f>NAV!J982</f>
        <v>0</v>
      </c>
      <c r="M1061" s="376">
        <f>NAV!N982</f>
        <v>0</v>
      </c>
      <c r="N1061" s="376">
        <f>NAV!T982</f>
        <v>0</v>
      </c>
      <c r="O1061" s="377">
        <f>IF(N1061="장부가액 준용","장부가액 준용",IF(N1061="취득원가 준용","취득원가 준용",NAV!R982))</f>
        <v>0</v>
      </c>
      <c r="P1061" s="377">
        <f>NAV!W982</f>
        <v>0</v>
      </c>
      <c r="Q1061" s="377">
        <f>NAV!S982</f>
        <v>0</v>
      </c>
      <c r="R1061" s="737" t="str">
        <f>MID(NAV!U982,FIND("(",NAV!U982)+1,FIND(")", NAV!U982)-FIND("(",NAV!U982)-1)</f>
        <v>KRW</v>
      </c>
    </row>
    <row r="1062" spans="1:18" ht="12.75" thickBot="1">
      <c r="A1062" s="149">
        <f t="shared" si="131"/>
        <v>7</v>
      </c>
      <c r="B1062" s="381" t="str">
        <f t="shared" si="128"/>
        <v/>
      </c>
      <c r="C1062" s="380" t="str">
        <f t="shared" si="129"/>
        <v/>
      </c>
      <c r="D1062" s="380" t="str">
        <f t="shared" si="130"/>
        <v/>
      </c>
      <c r="J1062" s="149" t="str">
        <f>IF(L1062=0,"",COUNTA(L$1052:$L1062)+COUNT($F$1052:$F$1057))</f>
        <v/>
      </c>
      <c r="K1062" s="373">
        <f t="shared" si="127"/>
        <v>0</v>
      </c>
      <c r="L1062" s="375">
        <f>NAV!J983</f>
        <v>0</v>
      </c>
      <c r="M1062" s="376">
        <f>NAV!N983</f>
        <v>0</v>
      </c>
      <c r="N1062" s="376">
        <f>NAV!T983</f>
        <v>0</v>
      </c>
      <c r="O1062" s="377">
        <f>IF(N1062="장부가액 준용","장부가액 준용",IF(N1062="취득원가 준용","취득원가 준용",NAV!R983))</f>
        <v>0</v>
      </c>
      <c r="P1062" s="377">
        <f>NAV!W983</f>
        <v>0</v>
      </c>
      <c r="Q1062" s="377">
        <f>NAV!S983</f>
        <v>0</v>
      </c>
      <c r="R1062" s="737" t="str">
        <f>MID(NAV!U983,FIND("(",NAV!U983)+1,FIND(")", NAV!U983)-FIND("(",NAV!U983)-1)</f>
        <v>KRW</v>
      </c>
    </row>
    <row r="1063" spans="1:18" ht="12.75" hidden="1" customHeight="1" outlineLevel="1" thickBot="1">
      <c r="A1063" s="149">
        <f t="shared" si="131"/>
        <v>8</v>
      </c>
      <c r="B1063" s="381" t="str">
        <f t="shared" si="128"/>
        <v/>
      </c>
      <c r="C1063" s="380" t="str">
        <f t="shared" si="129"/>
        <v/>
      </c>
      <c r="D1063" s="380" t="str">
        <f t="shared" si="130"/>
        <v/>
      </c>
    </row>
    <row r="1064" spans="1:18" ht="12.75" hidden="1" customHeight="1" outlineLevel="1" thickBot="1">
      <c r="A1064" s="149">
        <f t="shared" si="131"/>
        <v>9</v>
      </c>
      <c r="B1064" s="381" t="str">
        <f t="shared" si="128"/>
        <v/>
      </c>
      <c r="C1064" s="380" t="str">
        <f t="shared" si="129"/>
        <v/>
      </c>
      <c r="D1064" s="380" t="str">
        <f t="shared" si="130"/>
        <v/>
      </c>
    </row>
    <row r="1065" spans="1:18" ht="12.75" hidden="1" customHeight="1" outlineLevel="1" thickBot="1">
      <c r="A1065" s="149">
        <f t="shared" si="131"/>
        <v>10</v>
      </c>
      <c r="B1065" s="381" t="str">
        <f t="shared" si="128"/>
        <v/>
      </c>
      <c r="C1065" s="380" t="str">
        <f t="shared" si="129"/>
        <v/>
      </c>
      <c r="D1065" s="380" t="str">
        <f t="shared" si="130"/>
        <v/>
      </c>
    </row>
    <row r="1066" spans="1:18" ht="12.75" hidden="1" customHeight="1" outlineLevel="1" thickBot="1">
      <c r="A1066" s="149">
        <f t="shared" si="131"/>
        <v>11</v>
      </c>
      <c r="B1066" s="381" t="str">
        <f t="shared" si="128"/>
        <v/>
      </c>
      <c r="C1066" s="380" t="str">
        <f t="shared" si="129"/>
        <v/>
      </c>
      <c r="D1066" s="380" t="str">
        <f t="shared" si="130"/>
        <v/>
      </c>
    </row>
    <row r="1067" spans="1:18" ht="12.75" hidden="1" customHeight="1" outlineLevel="1" thickBot="1">
      <c r="A1067" s="149">
        <f t="shared" si="131"/>
        <v>12</v>
      </c>
      <c r="B1067" s="381" t="str">
        <f t="shared" si="128"/>
        <v/>
      </c>
      <c r="C1067" s="380" t="str">
        <f t="shared" si="129"/>
        <v/>
      </c>
      <c r="D1067" s="380" t="str">
        <f t="shared" si="130"/>
        <v/>
      </c>
    </row>
    <row r="1068" spans="1:18" ht="12.75" hidden="1" customHeight="1" outlineLevel="1" thickBot="1">
      <c r="A1068" s="149">
        <f t="shared" si="131"/>
        <v>13</v>
      </c>
      <c r="B1068" s="381" t="str">
        <f t="shared" si="128"/>
        <v/>
      </c>
      <c r="C1068" s="380" t="str">
        <f t="shared" si="129"/>
        <v/>
      </c>
      <c r="D1068" s="380" t="str">
        <f t="shared" si="130"/>
        <v/>
      </c>
    </row>
    <row r="1069" spans="1:18" ht="12.75" hidden="1" customHeight="1" outlineLevel="1" thickBot="1">
      <c r="A1069" s="149">
        <f t="shared" si="131"/>
        <v>14</v>
      </c>
      <c r="B1069" s="381" t="str">
        <f t="shared" si="128"/>
        <v/>
      </c>
      <c r="C1069" s="380" t="str">
        <f t="shared" si="129"/>
        <v/>
      </c>
      <c r="D1069" s="380" t="str">
        <f t="shared" si="130"/>
        <v/>
      </c>
    </row>
    <row r="1070" spans="1:18" ht="12.75" hidden="1" customHeight="1" outlineLevel="1" thickBot="1">
      <c r="A1070" s="149">
        <f t="shared" si="131"/>
        <v>15</v>
      </c>
      <c r="B1070" s="381" t="str">
        <f t="shared" si="128"/>
        <v/>
      </c>
      <c r="C1070" s="380" t="str">
        <f t="shared" si="129"/>
        <v/>
      </c>
      <c r="D1070" s="380" t="str">
        <f t="shared" si="130"/>
        <v/>
      </c>
    </row>
    <row r="1071" spans="1:18" ht="12.75" hidden="1" customHeight="1" outlineLevel="1" thickBot="1">
      <c r="A1071" s="149">
        <f t="shared" si="131"/>
        <v>16</v>
      </c>
      <c r="B1071" s="381" t="str">
        <f t="shared" si="128"/>
        <v/>
      </c>
      <c r="C1071" s="380" t="str">
        <f t="shared" si="129"/>
        <v/>
      </c>
      <c r="D1071" s="380" t="str">
        <f t="shared" si="130"/>
        <v/>
      </c>
    </row>
    <row r="1072" spans="1:18" ht="12.75" hidden="1" customHeight="1" outlineLevel="1" thickBot="1">
      <c r="A1072" s="149">
        <f t="shared" si="131"/>
        <v>17</v>
      </c>
      <c r="B1072" s="381" t="str">
        <f t="shared" si="128"/>
        <v/>
      </c>
      <c r="C1072" s="380" t="str">
        <f t="shared" si="129"/>
        <v/>
      </c>
      <c r="D1072" s="380" t="str">
        <f t="shared" si="130"/>
        <v/>
      </c>
    </row>
    <row r="1073" spans="1:11" ht="12.75" collapsed="1" thickBot="1">
      <c r="B1073" s="382" t="s">
        <v>2</v>
      </c>
      <c r="C1073" s="372">
        <f>SUM(C1052,C1055)</f>
        <v>0</v>
      </c>
      <c r="D1073" s="383">
        <f>SUM(D1052,D1055)</f>
        <v>0</v>
      </c>
    </row>
    <row r="1074" spans="1:11" ht="12.75" thickBot="1">
      <c r="B1074" s="382" t="s">
        <v>30</v>
      </c>
      <c r="C1074" s="819">
        <f>NAV!E978</f>
        <v>0</v>
      </c>
      <c r="D1074" s="820"/>
    </row>
    <row r="1075" spans="1:11" ht="12.75" thickBot="1">
      <c r="B1075" s="382" t="s">
        <v>31</v>
      </c>
      <c r="C1075" s="819">
        <f>D1073-C1074</f>
        <v>0</v>
      </c>
      <c r="D1075" s="820"/>
    </row>
    <row r="1076" spans="1:11" ht="12.75" thickBot="1">
      <c r="B1076" s="382" t="s">
        <v>745</v>
      </c>
      <c r="C1076" s="819">
        <f>NAV!E983</f>
        <v>0</v>
      </c>
      <c r="D1076" s="820"/>
      <c r="F1076" s="217"/>
    </row>
    <row r="1077" spans="1:11" ht="12.75" thickBot="1">
      <c r="B1077" s="382" t="s">
        <v>965</v>
      </c>
      <c r="C1077" s="819">
        <f>NAV!E984</f>
        <v>0</v>
      </c>
      <c r="D1077" s="820"/>
    </row>
    <row r="1078" spans="1:11" ht="12.75" thickBot="1">
      <c r="B1078" s="382" t="s">
        <v>744</v>
      </c>
      <c r="C1078" s="819">
        <f>NAV!E985</f>
        <v>0</v>
      </c>
      <c r="D1078" s="820"/>
    </row>
    <row r="1079" spans="1:11" ht="12.75" thickBot="1">
      <c r="B1079" s="382" t="str">
        <f>NAV!C986</f>
        <v>보유지분율(%)</v>
      </c>
      <c r="C1079" s="823">
        <f>NAV!D986</f>
        <v>0</v>
      </c>
      <c r="D1079" s="824"/>
    </row>
    <row r="1080" spans="1:11" ht="12.75" thickBot="1">
      <c r="B1080" s="382" t="s">
        <v>746</v>
      </c>
      <c r="C1080" s="825">
        <f>NAV!E986</f>
        <v>0</v>
      </c>
      <c r="D1080" s="826"/>
    </row>
    <row r="1086" spans="1:11">
      <c r="A1086" s="149">
        <f>A1048+1</f>
        <v>22</v>
      </c>
      <c r="B1086" s="399" t="str">
        <f>NAV!B997</f>
        <v>SPC없음</v>
      </c>
      <c r="G1086" s="399" t="str">
        <f>B1086</f>
        <v>SPC없음</v>
      </c>
    </row>
    <row r="1087" spans="1:11">
      <c r="B1087" s="399" t="str">
        <f>NAV!C998</f>
        <v>SPC없음</v>
      </c>
      <c r="G1087" s="399" t="str">
        <f>B1087</f>
        <v>SPC없음</v>
      </c>
    </row>
    <row r="1088" spans="1:11" ht="12.75" thickBot="1">
      <c r="B1088" s="215" t="s">
        <v>750</v>
      </c>
      <c r="C1088" s="216"/>
      <c r="D1088" s="216"/>
      <c r="E1088" s="216"/>
      <c r="F1088" s="216"/>
      <c r="G1088" s="215" t="s">
        <v>751</v>
      </c>
      <c r="H1088" s="216"/>
      <c r="I1088" s="216"/>
      <c r="K1088" s="215" t="s">
        <v>752</v>
      </c>
    </row>
    <row r="1089" spans="1:18" ht="12.75" thickBot="1">
      <c r="B1089" s="366" t="s">
        <v>27</v>
      </c>
      <c r="C1089" s="367" t="s">
        <v>28</v>
      </c>
      <c r="D1089" s="367" t="s">
        <v>29</v>
      </c>
      <c r="F1089" s="368" t="s">
        <v>3461</v>
      </c>
      <c r="G1089" s="353" t="str">
        <f>$G$74</f>
        <v>SPC명</v>
      </c>
      <c r="H1089" s="369" t="s">
        <v>3200</v>
      </c>
      <c r="I1089" s="369" t="s">
        <v>753</v>
      </c>
      <c r="J1089" s="368" t="s">
        <v>3461</v>
      </c>
      <c r="K1089" s="353" t="s">
        <v>3440</v>
      </c>
      <c r="L1089" s="353" t="str">
        <f>$L$74</f>
        <v>투자자산명</v>
      </c>
      <c r="M1089" s="358" t="s">
        <v>754</v>
      </c>
      <c r="N1089" s="358" t="s">
        <v>47</v>
      </c>
      <c r="O1089" s="369" t="s">
        <v>749</v>
      </c>
      <c r="P1089" s="400" t="s">
        <v>3460</v>
      </c>
      <c r="Q1089" s="370" t="s">
        <v>3463</v>
      </c>
      <c r="R1089" s="370" t="s">
        <v>6833</v>
      </c>
    </row>
    <row r="1090" spans="1:18" ht="12.75" thickBot="1">
      <c r="B1090" s="371" t="s">
        <v>3441</v>
      </c>
      <c r="C1090" s="372">
        <f>SUM(C1091:C1092)</f>
        <v>0</v>
      </c>
      <c r="D1090" s="372">
        <f>SUM(D1091:D1092)</f>
        <v>0</v>
      </c>
      <c r="F1090" s="149" t="str">
        <f>IF(G1090=0,"",COUNTA(G$1090:$G1090))</f>
        <v/>
      </c>
      <c r="G1090" s="373">
        <f>IF(NAV!L1003="SPC 없음",0,NAV!L1003)</f>
        <v>0</v>
      </c>
      <c r="H1090" s="374">
        <f>NAV!W1003</f>
        <v>0</v>
      </c>
      <c r="I1090" s="374" t="str">
        <f>NAV!S1003</f>
        <v>SPC 없음</v>
      </c>
      <c r="J1090" s="149" t="str">
        <f>IF(L1090=0,"",COUNTA(L$1090:$L1090)+COUNT($F$1090:$F$1095))</f>
        <v/>
      </c>
      <c r="K1090" s="373">
        <f>IF($B1087="SPC없음",0,$B1087)</f>
        <v>0</v>
      </c>
      <c r="L1090" s="375">
        <f>NAV!J1011</f>
        <v>0</v>
      </c>
      <c r="M1090" s="376">
        <f>NAV!N1011</f>
        <v>0</v>
      </c>
      <c r="N1090" s="376">
        <f>NAV!T1011</f>
        <v>0</v>
      </c>
      <c r="O1090" s="377">
        <f>IF(N1090="장부가액 준용","장부가액 준용",IF(N1090="취득원가 준용","취득원가 준용",NAV!R1011))</f>
        <v>0</v>
      </c>
      <c r="P1090" s="377">
        <f>NAV!W1011</f>
        <v>0</v>
      </c>
      <c r="Q1090" s="377">
        <f>NAV!S1011</f>
        <v>0</v>
      </c>
      <c r="R1090" s="737" t="str">
        <f>MID(NAV!U1011,FIND("(",NAV!U1011)+1,FIND(")", NAV!U1011)-FIND("(",NAV!U1011)-1)</f>
        <v>KRW</v>
      </c>
    </row>
    <row r="1091" spans="1:18" ht="12.75" thickBot="1">
      <c r="B1091" s="379" t="s">
        <v>3443</v>
      </c>
      <c r="C1091" s="380">
        <f>NAV!D1004</f>
        <v>0</v>
      </c>
      <c r="D1091" s="380">
        <f>NAV!E1004</f>
        <v>0</v>
      </c>
      <c r="F1091" s="149" t="str">
        <f>IF(G1091=0,"",COUNTA(G$1090:$G1091))</f>
        <v/>
      </c>
      <c r="G1091" s="373">
        <f>IF(NAV!L1004="SPC 없음",0,NAV!L1004)</f>
        <v>0</v>
      </c>
      <c r="H1091" s="374">
        <f>NAV!W1004</f>
        <v>0</v>
      </c>
      <c r="I1091" s="374" t="str">
        <f>NAV!S1004</f>
        <v>SPC 없음</v>
      </c>
      <c r="J1091" s="149" t="str">
        <f>IF(L1091=0,"",COUNTA(L$1090:$L1091)+COUNT($F$1090:$F$1095))</f>
        <v/>
      </c>
      <c r="K1091" s="373">
        <f t="shared" ref="K1091:K1100" si="132">K1090</f>
        <v>0</v>
      </c>
      <c r="L1091" s="375">
        <f>NAV!J1012</f>
        <v>0</v>
      </c>
      <c r="M1091" s="376">
        <f>NAV!N1012</f>
        <v>0</v>
      </c>
      <c r="N1091" s="376">
        <f>NAV!T1012</f>
        <v>0</v>
      </c>
      <c r="O1091" s="377">
        <f>IF(N1091="장부가액 준용","장부가액 준용",IF(N1091="취득원가 준용","취득원가 준용",NAV!R1012))</f>
        <v>0</v>
      </c>
      <c r="P1091" s="377">
        <f>NAV!W1012</f>
        <v>0</v>
      </c>
      <c r="Q1091" s="377">
        <f>NAV!S1012</f>
        <v>0</v>
      </c>
      <c r="R1091" s="737" t="str">
        <f>MID(NAV!U1012,FIND("(",NAV!U1012)+1,FIND(")", NAV!U1012)-FIND("(",NAV!U1012)-1)</f>
        <v>KRW</v>
      </c>
    </row>
    <row r="1092" spans="1:18" ht="12.75" thickBot="1">
      <c r="B1092" s="379" t="s">
        <v>156</v>
      </c>
      <c r="C1092" s="380">
        <f>NAV!D1005</f>
        <v>0</v>
      </c>
      <c r="D1092" s="380">
        <f>NAV!E1005</f>
        <v>0</v>
      </c>
      <c r="F1092" s="149" t="str">
        <f>IF(G1092=0,"",COUNTA(G$1090:$G1092))</f>
        <v/>
      </c>
      <c r="G1092" s="373">
        <f>IF(NAV!L1005="SPC 없음",0,NAV!L1005)</f>
        <v>0</v>
      </c>
      <c r="H1092" s="374">
        <f>NAV!W1005</f>
        <v>0</v>
      </c>
      <c r="I1092" s="374" t="str">
        <f>NAV!S1005</f>
        <v>SPC 없음</v>
      </c>
      <c r="J1092" s="149" t="str">
        <f>IF(L1092=0,"",COUNTA(L$1090:$L1092)+COUNT($F$1090:$F$1095))</f>
        <v/>
      </c>
      <c r="K1092" s="373">
        <f t="shared" si="132"/>
        <v>0</v>
      </c>
      <c r="L1092" s="375">
        <f>NAV!J1013</f>
        <v>0</v>
      </c>
      <c r="M1092" s="376">
        <f>NAV!N1013</f>
        <v>0</v>
      </c>
      <c r="N1092" s="376">
        <f>NAV!T1013</f>
        <v>0</v>
      </c>
      <c r="O1092" s="377">
        <f>IF(N1092="장부가액 준용","장부가액 준용",IF(N1092="취득원가 준용","취득원가 준용",NAV!R1013))</f>
        <v>0</v>
      </c>
      <c r="P1092" s="377">
        <f>NAV!W1013</f>
        <v>0</v>
      </c>
      <c r="Q1092" s="377">
        <f>NAV!S1013</f>
        <v>0</v>
      </c>
      <c r="R1092" s="737" t="str">
        <f>MID(NAV!U1013,FIND("(",NAV!U1013)+1,FIND(")", NAV!U1013)-FIND("(",NAV!U1013)-1)</f>
        <v>KRW</v>
      </c>
    </row>
    <row r="1093" spans="1:18" ht="12.75" thickBot="1">
      <c r="B1093" s="371" t="s">
        <v>3442</v>
      </c>
      <c r="C1093" s="372">
        <f>NAV!D1006</f>
        <v>0</v>
      </c>
      <c r="D1093" s="372">
        <f>NAV!E1006</f>
        <v>0</v>
      </c>
      <c r="F1093" s="149" t="str">
        <f>IF(G1093=0,"",COUNTA(G$1090:$G1093))</f>
        <v/>
      </c>
      <c r="G1093" s="373">
        <f>IF(NAV!L1006="SPC 없음",0,NAV!L1006)</f>
        <v>0</v>
      </c>
      <c r="H1093" s="374">
        <f>NAV!W1006</f>
        <v>0</v>
      </c>
      <c r="I1093" s="374" t="str">
        <f>NAV!S1006</f>
        <v>SPC 없음</v>
      </c>
      <c r="J1093" s="149" t="str">
        <f>IF(L1093=0,"",COUNTA(L$1090:$L1093)+COUNT($F$1090:$F$1095))</f>
        <v/>
      </c>
      <c r="K1093" s="373">
        <f t="shared" si="132"/>
        <v>0</v>
      </c>
      <c r="L1093" s="375">
        <f>NAV!J1014</f>
        <v>0</v>
      </c>
      <c r="M1093" s="376">
        <f>NAV!N1014</f>
        <v>0</v>
      </c>
      <c r="N1093" s="376">
        <f>NAV!T1014</f>
        <v>0</v>
      </c>
      <c r="O1093" s="377">
        <f>IF(N1093="장부가액 준용","장부가액 준용",IF(N1093="취득원가 준용","취득원가 준용",NAV!R1014))</f>
        <v>0</v>
      </c>
      <c r="P1093" s="377">
        <f>NAV!W1014</f>
        <v>0</v>
      </c>
      <c r="Q1093" s="377">
        <f>NAV!S1014</f>
        <v>0</v>
      </c>
      <c r="R1093" s="737" t="str">
        <f>MID(NAV!U1014,FIND("(",NAV!U1014)+1,FIND(")", NAV!U1014)-FIND("(",NAV!U1014)-1)</f>
        <v>KRW</v>
      </c>
    </row>
    <row r="1094" spans="1:18" ht="12.75" thickBot="1">
      <c r="A1094" s="149">
        <v>1</v>
      </c>
      <c r="B1094" s="381" t="str">
        <f>IFERROR(IF(F1090=A1094,VLOOKUP(A1094,$F$1089:$I$1100,2,0),VLOOKUP(A1094,$J$1089:$Q$1100,3,0)&amp;" "&amp;VLOOKUP(A1094,$J$1089:$Q$1100,4,0)),"")</f>
        <v/>
      </c>
      <c r="C1094" s="380" t="str">
        <f>IFERROR(IF(F1090=A1094,VLOOKUP(A1094,$F$1089:$I$1100,3,0),VLOOKUP(A1094,$J$1089:$Q$1100,7,0)),"")</f>
        <v/>
      </c>
      <c r="D1094" s="380" t="str">
        <f>IFERROR(IF(F1090=A1094,VLOOKUP(A1094,$F$1089:$I$1100,4,0),VLOOKUP(A1094,$J$1089:$Q$1100,8,0)),"")</f>
        <v/>
      </c>
      <c r="F1094" s="149" t="str">
        <f>IF(G1094=0,"",COUNTA(G$1090:$G1094))</f>
        <v/>
      </c>
      <c r="G1094" s="373">
        <f>IF(NAV!L1007="SPC 없음",0,NAV!L1007)</f>
        <v>0</v>
      </c>
      <c r="H1094" s="374">
        <f>NAV!W1007</f>
        <v>0</v>
      </c>
      <c r="I1094" s="374" t="str">
        <f>NAV!S1007</f>
        <v>SPC 없음</v>
      </c>
      <c r="J1094" s="149" t="str">
        <f>IF(L1094=0,"",COUNTA(L$1090:$L1094)+COUNT($F$1090:$F$1095))</f>
        <v/>
      </c>
      <c r="K1094" s="373">
        <f t="shared" si="132"/>
        <v>0</v>
      </c>
      <c r="L1094" s="375">
        <f>NAV!J1015</f>
        <v>0</v>
      </c>
      <c r="M1094" s="376">
        <f>NAV!N1015</f>
        <v>0</v>
      </c>
      <c r="N1094" s="376">
        <f>NAV!T1015</f>
        <v>0</v>
      </c>
      <c r="O1094" s="377">
        <f>IF(N1094="장부가액 준용","장부가액 준용",IF(N1094="취득원가 준용","취득원가 준용",NAV!R1015))</f>
        <v>0</v>
      </c>
      <c r="P1094" s="377">
        <f>NAV!W1015</f>
        <v>0</v>
      </c>
      <c r="Q1094" s="377">
        <f>NAV!S1015</f>
        <v>0</v>
      </c>
      <c r="R1094" s="737" t="str">
        <f>MID(NAV!U1015,FIND("(",NAV!U1015)+1,FIND(")", NAV!U1015)-FIND("(",NAV!U1015)-1)</f>
        <v>KRW</v>
      </c>
    </row>
    <row r="1095" spans="1:18" ht="12.75" thickBot="1">
      <c r="A1095" s="149">
        <f>A1094+1</f>
        <v>2</v>
      </c>
      <c r="B1095" s="381" t="str">
        <f t="shared" ref="B1095:B1110" si="133">IFERROR(IF(F1091=A1095,VLOOKUP(A1095,$F$1089:$I$1100,2,0),VLOOKUP(A1095,$J$1089:$Q$1100,3,0)&amp;" "&amp;VLOOKUP(A1095,$J$1089:$Q$1100,4,0)),"")</f>
        <v/>
      </c>
      <c r="C1095" s="380" t="str">
        <f t="shared" ref="C1095:C1110" si="134">IFERROR(IF(F1091=A1095,VLOOKUP(A1095,$F$1089:$I$1100,3,0),VLOOKUP(A1095,$J$1089:$Q$1100,7,0)),"")</f>
        <v/>
      </c>
      <c r="D1095" s="380" t="str">
        <f t="shared" ref="D1095:D1110" si="135">IFERROR(IF(F1091=A1095,VLOOKUP(A1095,$F$1089:$I$1100,4,0),VLOOKUP(A1095,$J$1089:$Q$1100,8,0)),"")</f>
        <v/>
      </c>
      <c r="F1095" s="149" t="str">
        <f>IF(G1095=0,"",COUNTA(G$1090:$G1095))</f>
        <v/>
      </c>
      <c r="G1095" s="373">
        <f>IF(NAV!L1008="SPC 없음",0,NAV!L1008)</f>
        <v>0</v>
      </c>
      <c r="H1095" s="374">
        <f>NAV!W1008</f>
        <v>0</v>
      </c>
      <c r="I1095" s="374" t="str">
        <f>NAV!S1008</f>
        <v>SPC 없음</v>
      </c>
      <c r="J1095" s="149" t="str">
        <f>IF(L1095=0,"",COUNTA(L$1090:$L1095)+COUNT($F$1090:$F$1095))</f>
        <v/>
      </c>
      <c r="K1095" s="373">
        <f t="shared" si="132"/>
        <v>0</v>
      </c>
      <c r="L1095" s="375">
        <f>NAV!J1016</f>
        <v>0</v>
      </c>
      <c r="M1095" s="376">
        <f>NAV!N1016</f>
        <v>0</v>
      </c>
      <c r="N1095" s="376">
        <f>NAV!T1016</f>
        <v>0</v>
      </c>
      <c r="O1095" s="377">
        <f>IF(N1095="장부가액 준용","장부가액 준용",IF(N1095="취득원가 준용","취득원가 준용",NAV!R1016))</f>
        <v>0</v>
      </c>
      <c r="P1095" s="377">
        <f>NAV!W1016</f>
        <v>0</v>
      </c>
      <c r="Q1095" s="377">
        <f>NAV!S1016</f>
        <v>0</v>
      </c>
      <c r="R1095" s="737" t="str">
        <f>MID(NAV!U1016,FIND("(",NAV!U1016)+1,FIND(")", NAV!U1016)-FIND("(",NAV!U1016)-1)</f>
        <v>KRW</v>
      </c>
    </row>
    <row r="1096" spans="1:18" ht="12.75" thickBot="1">
      <c r="A1096" s="149">
        <f t="shared" ref="A1096:A1110" si="136">A1095+1</f>
        <v>3</v>
      </c>
      <c r="B1096" s="381" t="str">
        <f t="shared" si="133"/>
        <v/>
      </c>
      <c r="C1096" s="380" t="str">
        <f t="shared" si="134"/>
        <v/>
      </c>
      <c r="D1096" s="380" t="str">
        <f t="shared" si="135"/>
        <v/>
      </c>
      <c r="J1096" s="149" t="str">
        <f>IF(L1096=0,"",COUNTA(L$1090:$L1096)+COUNT($F$1090:$F$1095))</f>
        <v/>
      </c>
      <c r="K1096" s="373">
        <f t="shared" si="132"/>
        <v>0</v>
      </c>
      <c r="L1096" s="375">
        <f>NAV!J1017</f>
        <v>0</v>
      </c>
      <c r="M1096" s="376">
        <f>NAV!N1017</f>
        <v>0</v>
      </c>
      <c r="N1096" s="376">
        <f>NAV!T1017</f>
        <v>0</v>
      </c>
      <c r="O1096" s="377">
        <f>IF(N1096="장부가액 준용","장부가액 준용",IF(N1096="취득원가 준용","취득원가 준용",NAV!R1017))</f>
        <v>0</v>
      </c>
      <c r="P1096" s="377">
        <f>NAV!W1017</f>
        <v>0</v>
      </c>
      <c r="Q1096" s="377">
        <f>NAV!S1017</f>
        <v>0</v>
      </c>
      <c r="R1096" s="737" t="str">
        <f>MID(NAV!U1017,FIND("(",NAV!U1017)+1,FIND(")", NAV!U1017)-FIND("(",NAV!U1017)-1)</f>
        <v>KRW</v>
      </c>
    </row>
    <row r="1097" spans="1:18" ht="12.75" thickBot="1">
      <c r="A1097" s="149">
        <f t="shared" si="136"/>
        <v>4</v>
      </c>
      <c r="B1097" s="381" t="str">
        <f t="shared" si="133"/>
        <v/>
      </c>
      <c r="C1097" s="380" t="str">
        <f t="shared" si="134"/>
        <v/>
      </c>
      <c r="D1097" s="380" t="str">
        <f t="shared" si="135"/>
        <v/>
      </c>
      <c r="J1097" s="149" t="str">
        <f>IF(L1097=0,"",COUNTA(L$1090:$L1097)+COUNT($F$1090:$F$1095))</f>
        <v/>
      </c>
      <c r="K1097" s="373">
        <f t="shared" si="132"/>
        <v>0</v>
      </c>
      <c r="L1097" s="375">
        <f>NAV!J1018</f>
        <v>0</v>
      </c>
      <c r="M1097" s="376">
        <f>NAV!N1018</f>
        <v>0</v>
      </c>
      <c r="N1097" s="376">
        <f>NAV!T1018</f>
        <v>0</v>
      </c>
      <c r="O1097" s="377">
        <f>IF(N1097="장부가액 준용","장부가액 준용",IF(N1097="취득원가 준용","취득원가 준용",NAV!R1018))</f>
        <v>0</v>
      </c>
      <c r="P1097" s="377">
        <f>NAV!W1018</f>
        <v>0</v>
      </c>
      <c r="Q1097" s="377">
        <f>NAV!S1018</f>
        <v>0</v>
      </c>
      <c r="R1097" s="737" t="str">
        <f>MID(NAV!U1018,FIND("(",NAV!U1018)+1,FIND(")", NAV!U1018)-FIND("(",NAV!U1018)-1)</f>
        <v>KRW</v>
      </c>
    </row>
    <row r="1098" spans="1:18" ht="12.75" thickBot="1">
      <c r="A1098" s="149">
        <f t="shared" si="136"/>
        <v>5</v>
      </c>
      <c r="B1098" s="381" t="str">
        <f t="shared" si="133"/>
        <v/>
      </c>
      <c r="C1098" s="380" t="str">
        <f t="shared" si="134"/>
        <v/>
      </c>
      <c r="D1098" s="380" t="str">
        <f t="shared" si="135"/>
        <v/>
      </c>
      <c r="J1098" s="149" t="str">
        <f>IF(L1098=0,"",COUNTA(L$1090:$L1098)+COUNT($F$1090:$F$1095))</f>
        <v/>
      </c>
      <c r="K1098" s="373">
        <f t="shared" si="132"/>
        <v>0</v>
      </c>
      <c r="L1098" s="375">
        <f>NAV!J1019</f>
        <v>0</v>
      </c>
      <c r="M1098" s="376">
        <f>NAV!N1019</f>
        <v>0</v>
      </c>
      <c r="N1098" s="376">
        <f>NAV!T1019</f>
        <v>0</v>
      </c>
      <c r="O1098" s="377">
        <f>IF(N1098="장부가액 준용","장부가액 준용",IF(N1098="취득원가 준용","취득원가 준용",NAV!R1019))</f>
        <v>0</v>
      </c>
      <c r="P1098" s="377">
        <f>NAV!W1019</f>
        <v>0</v>
      </c>
      <c r="Q1098" s="377">
        <f>NAV!S1019</f>
        <v>0</v>
      </c>
      <c r="R1098" s="737" t="str">
        <f>MID(NAV!U1019,FIND("(",NAV!U1019)+1,FIND(")", NAV!U1019)-FIND("(",NAV!U1019)-1)</f>
        <v>KRW</v>
      </c>
    </row>
    <row r="1099" spans="1:18" ht="12.75" thickBot="1">
      <c r="A1099" s="149">
        <f t="shared" si="136"/>
        <v>6</v>
      </c>
      <c r="B1099" s="381" t="str">
        <f t="shared" si="133"/>
        <v/>
      </c>
      <c r="C1099" s="380" t="str">
        <f t="shared" si="134"/>
        <v/>
      </c>
      <c r="D1099" s="380" t="str">
        <f t="shared" si="135"/>
        <v/>
      </c>
      <c r="J1099" s="149" t="str">
        <f>IF(L1099=0,"",COUNTA(L$1090:$L1099)+COUNT($F$1090:$F$1095))</f>
        <v/>
      </c>
      <c r="K1099" s="373">
        <f t="shared" si="132"/>
        <v>0</v>
      </c>
      <c r="L1099" s="375">
        <f>NAV!J1020</f>
        <v>0</v>
      </c>
      <c r="M1099" s="376">
        <f>NAV!N1020</f>
        <v>0</v>
      </c>
      <c r="N1099" s="376">
        <f>NAV!T1020</f>
        <v>0</v>
      </c>
      <c r="O1099" s="377">
        <f>IF(N1099="장부가액 준용","장부가액 준용",IF(N1099="취득원가 준용","취득원가 준용",NAV!R1020))</f>
        <v>0</v>
      </c>
      <c r="P1099" s="377">
        <f>NAV!W1020</f>
        <v>0</v>
      </c>
      <c r="Q1099" s="377">
        <f>NAV!S1020</f>
        <v>0</v>
      </c>
      <c r="R1099" s="737" t="str">
        <f>MID(NAV!U1020,FIND("(",NAV!U1020)+1,FIND(")", NAV!U1020)-FIND("(",NAV!U1020)-1)</f>
        <v>KRW</v>
      </c>
    </row>
    <row r="1100" spans="1:18" ht="12.75" thickBot="1">
      <c r="A1100" s="149">
        <f t="shared" si="136"/>
        <v>7</v>
      </c>
      <c r="B1100" s="381" t="str">
        <f t="shared" si="133"/>
        <v/>
      </c>
      <c r="C1100" s="380" t="str">
        <f t="shared" si="134"/>
        <v/>
      </c>
      <c r="D1100" s="380" t="str">
        <f t="shared" si="135"/>
        <v/>
      </c>
      <c r="J1100" s="149" t="str">
        <f>IF(L1100=0,"",COUNTA(L$1090:$L1100)+COUNT($F$1090:$F$1095))</f>
        <v/>
      </c>
      <c r="K1100" s="373">
        <f t="shared" si="132"/>
        <v>0</v>
      </c>
      <c r="L1100" s="375">
        <f>NAV!J1021</f>
        <v>0</v>
      </c>
      <c r="M1100" s="376">
        <f>NAV!N1021</f>
        <v>0</v>
      </c>
      <c r="N1100" s="376">
        <f>NAV!T1021</f>
        <v>0</v>
      </c>
      <c r="O1100" s="377">
        <f>IF(N1100="장부가액 준용","장부가액 준용",IF(N1100="취득원가 준용","취득원가 준용",NAV!R1021))</f>
        <v>0</v>
      </c>
      <c r="P1100" s="377">
        <f>NAV!W1021</f>
        <v>0</v>
      </c>
      <c r="Q1100" s="377">
        <f>NAV!S1021</f>
        <v>0</v>
      </c>
      <c r="R1100" s="737" t="str">
        <f>MID(NAV!U1021,FIND("(",NAV!U1021)+1,FIND(")", NAV!U1021)-FIND("(",NAV!U1021)-1)</f>
        <v>KRW</v>
      </c>
    </row>
    <row r="1101" spans="1:18" ht="12.75" hidden="1" customHeight="1" outlineLevel="1" thickBot="1">
      <c r="A1101" s="149">
        <f t="shared" si="136"/>
        <v>8</v>
      </c>
      <c r="B1101" s="381" t="str">
        <f t="shared" si="133"/>
        <v/>
      </c>
      <c r="C1101" s="380" t="str">
        <f t="shared" si="134"/>
        <v/>
      </c>
      <c r="D1101" s="380" t="str">
        <f t="shared" si="135"/>
        <v/>
      </c>
    </row>
    <row r="1102" spans="1:18" ht="12.75" hidden="1" customHeight="1" outlineLevel="1" thickBot="1">
      <c r="A1102" s="149">
        <f t="shared" si="136"/>
        <v>9</v>
      </c>
      <c r="B1102" s="381" t="str">
        <f t="shared" si="133"/>
        <v/>
      </c>
      <c r="C1102" s="380" t="str">
        <f t="shared" si="134"/>
        <v/>
      </c>
      <c r="D1102" s="380" t="str">
        <f t="shared" si="135"/>
        <v/>
      </c>
    </row>
    <row r="1103" spans="1:18" ht="12.75" hidden="1" customHeight="1" outlineLevel="1" thickBot="1">
      <c r="A1103" s="149">
        <f t="shared" si="136"/>
        <v>10</v>
      </c>
      <c r="B1103" s="381" t="str">
        <f t="shared" si="133"/>
        <v/>
      </c>
      <c r="C1103" s="380" t="str">
        <f t="shared" si="134"/>
        <v/>
      </c>
      <c r="D1103" s="380" t="str">
        <f t="shared" si="135"/>
        <v/>
      </c>
    </row>
    <row r="1104" spans="1:18" ht="12.75" hidden="1" customHeight="1" outlineLevel="1" thickBot="1">
      <c r="A1104" s="149">
        <f t="shared" si="136"/>
        <v>11</v>
      </c>
      <c r="B1104" s="381" t="str">
        <f t="shared" si="133"/>
        <v/>
      </c>
      <c r="C1104" s="380" t="str">
        <f t="shared" si="134"/>
        <v/>
      </c>
      <c r="D1104" s="380" t="str">
        <f t="shared" si="135"/>
        <v/>
      </c>
    </row>
    <row r="1105" spans="1:6" ht="12.75" hidden="1" customHeight="1" outlineLevel="1" thickBot="1">
      <c r="A1105" s="149">
        <f t="shared" si="136"/>
        <v>12</v>
      </c>
      <c r="B1105" s="381" t="str">
        <f t="shared" si="133"/>
        <v/>
      </c>
      <c r="C1105" s="380" t="str">
        <f t="shared" si="134"/>
        <v/>
      </c>
      <c r="D1105" s="380" t="str">
        <f t="shared" si="135"/>
        <v/>
      </c>
    </row>
    <row r="1106" spans="1:6" ht="12.75" hidden="1" customHeight="1" outlineLevel="1" thickBot="1">
      <c r="A1106" s="149">
        <f t="shared" si="136"/>
        <v>13</v>
      </c>
      <c r="B1106" s="381" t="str">
        <f t="shared" si="133"/>
        <v/>
      </c>
      <c r="C1106" s="380" t="str">
        <f t="shared" si="134"/>
        <v/>
      </c>
      <c r="D1106" s="380" t="str">
        <f t="shared" si="135"/>
        <v/>
      </c>
    </row>
    <row r="1107" spans="1:6" ht="12.75" hidden="1" customHeight="1" outlineLevel="1" thickBot="1">
      <c r="A1107" s="149">
        <f t="shared" si="136"/>
        <v>14</v>
      </c>
      <c r="B1107" s="381" t="str">
        <f t="shared" si="133"/>
        <v/>
      </c>
      <c r="C1107" s="380" t="str">
        <f t="shared" si="134"/>
        <v/>
      </c>
      <c r="D1107" s="380" t="str">
        <f t="shared" si="135"/>
        <v/>
      </c>
    </row>
    <row r="1108" spans="1:6" ht="12.75" hidden="1" customHeight="1" outlineLevel="1" thickBot="1">
      <c r="A1108" s="149">
        <f t="shared" si="136"/>
        <v>15</v>
      </c>
      <c r="B1108" s="381" t="str">
        <f t="shared" si="133"/>
        <v/>
      </c>
      <c r="C1108" s="380" t="str">
        <f t="shared" si="134"/>
        <v/>
      </c>
      <c r="D1108" s="380" t="str">
        <f t="shared" si="135"/>
        <v/>
      </c>
    </row>
    <row r="1109" spans="1:6" ht="12.75" hidden="1" customHeight="1" outlineLevel="1" thickBot="1">
      <c r="A1109" s="149">
        <f t="shared" si="136"/>
        <v>16</v>
      </c>
      <c r="B1109" s="381" t="str">
        <f t="shared" si="133"/>
        <v/>
      </c>
      <c r="C1109" s="380" t="str">
        <f t="shared" si="134"/>
        <v/>
      </c>
      <c r="D1109" s="380" t="str">
        <f t="shared" si="135"/>
        <v/>
      </c>
    </row>
    <row r="1110" spans="1:6" ht="12.75" hidden="1" customHeight="1" outlineLevel="1" thickBot="1">
      <c r="A1110" s="149">
        <f t="shared" si="136"/>
        <v>17</v>
      </c>
      <c r="B1110" s="381" t="str">
        <f t="shared" si="133"/>
        <v/>
      </c>
      <c r="C1110" s="380" t="str">
        <f t="shared" si="134"/>
        <v/>
      </c>
      <c r="D1110" s="380" t="str">
        <f t="shared" si="135"/>
        <v/>
      </c>
    </row>
    <row r="1111" spans="1:6" ht="12.75" collapsed="1" thickBot="1">
      <c r="B1111" s="382" t="s">
        <v>2</v>
      </c>
      <c r="C1111" s="372">
        <f>SUM(C1090,C1093)</f>
        <v>0</v>
      </c>
      <c r="D1111" s="383">
        <f>SUM(D1090,D1093)</f>
        <v>0</v>
      </c>
    </row>
    <row r="1112" spans="1:6" ht="12.75" thickBot="1">
      <c r="B1112" s="382" t="s">
        <v>30</v>
      </c>
      <c r="C1112" s="819">
        <f>NAV!E1016</f>
        <v>0</v>
      </c>
      <c r="D1112" s="820"/>
    </row>
    <row r="1113" spans="1:6" ht="12.75" thickBot="1">
      <c r="B1113" s="382" t="s">
        <v>31</v>
      </c>
      <c r="C1113" s="819">
        <f>D1111-C1112</f>
        <v>0</v>
      </c>
      <c r="D1113" s="820"/>
    </row>
    <row r="1114" spans="1:6" ht="12.75" thickBot="1">
      <c r="B1114" s="382" t="s">
        <v>745</v>
      </c>
      <c r="C1114" s="819">
        <f>NAV!E1021</f>
        <v>0</v>
      </c>
      <c r="D1114" s="820"/>
      <c r="F1114" s="217"/>
    </row>
    <row r="1115" spans="1:6" ht="12.75" thickBot="1">
      <c r="B1115" s="382" t="s">
        <v>965</v>
      </c>
      <c r="C1115" s="819">
        <f>NAV!E1022</f>
        <v>0</v>
      </c>
      <c r="D1115" s="820"/>
    </row>
    <row r="1116" spans="1:6" ht="12.75" thickBot="1">
      <c r="B1116" s="382" t="s">
        <v>744</v>
      </c>
      <c r="C1116" s="819">
        <f>NAV!E1023</f>
        <v>0</v>
      </c>
      <c r="D1116" s="820"/>
    </row>
    <row r="1117" spans="1:6" ht="12.75" thickBot="1">
      <c r="B1117" s="382" t="str">
        <f>NAV!C1024</f>
        <v>보유지분율(%)</v>
      </c>
      <c r="C1117" s="823">
        <f>NAV!D1024</f>
        <v>0</v>
      </c>
      <c r="D1117" s="824"/>
    </row>
    <row r="1118" spans="1:6" ht="12.75" thickBot="1">
      <c r="B1118" s="382" t="s">
        <v>746</v>
      </c>
      <c r="C1118" s="825">
        <f>NAV!E1024</f>
        <v>0</v>
      </c>
      <c r="D1118" s="826"/>
    </row>
    <row r="1124" spans="1:18">
      <c r="A1124" s="149">
        <f>A1086+1</f>
        <v>23</v>
      </c>
      <c r="B1124" s="399" t="str">
        <f>NAV!B1035</f>
        <v>SPC없음</v>
      </c>
      <c r="G1124" s="399" t="str">
        <f>B1124</f>
        <v>SPC없음</v>
      </c>
    </row>
    <row r="1125" spans="1:18">
      <c r="B1125" s="399" t="str">
        <f>NAV!C1036</f>
        <v>SPC없음</v>
      </c>
      <c r="G1125" s="399" t="str">
        <f>B1125</f>
        <v>SPC없음</v>
      </c>
    </row>
    <row r="1126" spans="1:18" ht="12.75" thickBot="1">
      <c r="B1126" s="215" t="s">
        <v>750</v>
      </c>
      <c r="C1126" s="216"/>
      <c r="D1126" s="216"/>
      <c r="E1126" s="216"/>
      <c r="F1126" s="216"/>
      <c r="G1126" s="215" t="s">
        <v>751</v>
      </c>
      <c r="H1126" s="216"/>
      <c r="I1126" s="216"/>
      <c r="K1126" s="215" t="s">
        <v>752</v>
      </c>
    </row>
    <row r="1127" spans="1:18" ht="12.75" thickBot="1">
      <c r="B1127" s="366" t="s">
        <v>27</v>
      </c>
      <c r="C1127" s="367" t="s">
        <v>28</v>
      </c>
      <c r="D1127" s="367" t="s">
        <v>29</v>
      </c>
      <c r="F1127" s="368" t="s">
        <v>3461</v>
      </c>
      <c r="G1127" s="353" t="str">
        <f>$G$74</f>
        <v>SPC명</v>
      </c>
      <c r="H1127" s="369" t="s">
        <v>3200</v>
      </c>
      <c r="I1127" s="369" t="s">
        <v>753</v>
      </c>
      <c r="J1127" s="368" t="s">
        <v>3461</v>
      </c>
      <c r="K1127" s="353" t="s">
        <v>3440</v>
      </c>
      <c r="L1127" s="353" t="str">
        <f>$L$74</f>
        <v>투자자산명</v>
      </c>
      <c r="M1127" s="358" t="s">
        <v>754</v>
      </c>
      <c r="N1127" s="358" t="s">
        <v>47</v>
      </c>
      <c r="O1127" s="369" t="s">
        <v>749</v>
      </c>
      <c r="P1127" s="400" t="s">
        <v>3460</v>
      </c>
      <c r="Q1127" s="370" t="s">
        <v>3463</v>
      </c>
      <c r="R1127" s="370" t="s">
        <v>6833</v>
      </c>
    </row>
    <row r="1128" spans="1:18" ht="12.75" thickBot="1">
      <c r="B1128" s="371" t="s">
        <v>3441</v>
      </c>
      <c r="C1128" s="372">
        <f>SUM(C1129:C1130)</f>
        <v>0</v>
      </c>
      <c r="D1128" s="372">
        <f>SUM(D1129:D1130)</f>
        <v>0</v>
      </c>
      <c r="F1128" s="149" t="str">
        <f>IF(G1128=0,"",COUNTA(G$1128:$G1128))</f>
        <v/>
      </c>
      <c r="G1128" s="373">
        <f>IF(NAV!L1041="SPC 없음",0,NAV!L1041)</f>
        <v>0</v>
      </c>
      <c r="H1128" s="374">
        <f>NAV!W1041</f>
        <v>0</v>
      </c>
      <c r="I1128" s="374" t="str">
        <f>NAV!S1041</f>
        <v>SPC 없음</v>
      </c>
      <c r="J1128" s="149" t="str">
        <f>IF(L1128=0,"",COUNTA(L$1128:$L1128)+COUNT($F$1128:$F$1133))</f>
        <v/>
      </c>
      <c r="K1128" s="373">
        <f>IF($B1125="SPC없음",0,$B1125)</f>
        <v>0</v>
      </c>
      <c r="L1128" s="375">
        <f>NAV!J1049</f>
        <v>0</v>
      </c>
      <c r="M1128" s="376">
        <f>NAV!N1049</f>
        <v>0</v>
      </c>
      <c r="N1128" s="376">
        <f>NAV!T1049</f>
        <v>0</v>
      </c>
      <c r="O1128" s="377">
        <f>IF(N1128="장부가액 준용","장부가액 준용",IF(N1128="취득원가 준용","취득원가 준용",NAV!R1049))</f>
        <v>0</v>
      </c>
      <c r="P1128" s="377">
        <f>NAV!W1049</f>
        <v>0</v>
      </c>
      <c r="Q1128" s="377">
        <f>NAV!S1049</f>
        <v>0</v>
      </c>
      <c r="R1128" s="737" t="str">
        <f>MID(NAV!U1049,FIND("(",NAV!U1049)+1,FIND(")", NAV!U1049)-FIND("(",NAV!U1049)-1)</f>
        <v>KRW</v>
      </c>
    </row>
    <row r="1129" spans="1:18" ht="12.75" thickBot="1">
      <c r="B1129" s="379" t="s">
        <v>3443</v>
      </c>
      <c r="C1129" s="380">
        <f>NAV!D1042</f>
        <v>0</v>
      </c>
      <c r="D1129" s="380">
        <f>NAV!E1042</f>
        <v>0</v>
      </c>
      <c r="F1129" s="149" t="str">
        <f>IF(G1129=0,"",COUNTA(G$1128:$G1129))</f>
        <v/>
      </c>
      <c r="G1129" s="373">
        <f>IF(NAV!L1042="SPC 없음",0,NAV!L1042)</f>
        <v>0</v>
      </c>
      <c r="H1129" s="374">
        <f>NAV!W1042</f>
        <v>0</v>
      </c>
      <c r="I1129" s="374" t="str">
        <f>NAV!S1042</f>
        <v>SPC 없음</v>
      </c>
      <c r="J1129" s="149" t="str">
        <f>IF(L1129=0,"",COUNTA(L$1128:$L1129)+COUNT($F$1128:$F$1133))</f>
        <v/>
      </c>
      <c r="K1129" s="373">
        <f t="shared" ref="K1129:K1138" si="137">K1128</f>
        <v>0</v>
      </c>
      <c r="L1129" s="375">
        <f>NAV!J1050</f>
        <v>0</v>
      </c>
      <c r="M1129" s="376">
        <f>NAV!N1050</f>
        <v>0</v>
      </c>
      <c r="N1129" s="376">
        <f>NAV!T1050</f>
        <v>0</v>
      </c>
      <c r="O1129" s="377">
        <f>IF(N1129="장부가액 준용","장부가액 준용",IF(N1129="취득원가 준용","취득원가 준용",NAV!R1050))</f>
        <v>0</v>
      </c>
      <c r="P1129" s="377">
        <f>NAV!W1050</f>
        <v>0</v>
      </c>
      <c r="Q1129" s="377">
        <f>NAV!S1050</f>
        <v>0</v>
      </c>
      <c r="R1129" s="737" t="str">
        <f>MID(NAV!U1050,FIND("(",NAV!U1050)+1,FIND(")", NAV!U1050)-FIND("(",NAV!U1050)-1)</f>
        <v>KRW</v>
      </c>
    </row>
    <row r="1130" spans="1:18" ht="12.75" thickBot="1">
      <c r="B1130" s="379" t="s">
        <v>156</v>
      </c>
      <c r="C1130" s="380">
        <f>NAV!D1043</f>
        <v>0</v>
      </c>
      <c r="D1130" s="380">
        <f>NAV!E1043</f>
        <v>0</v>
      </c>
      <c r="F1130" s="149" t="str">
        <f>IF(G1130=0,"",COUNTA(G$1128:$G1130))</f>
        <v/>
      </c>
      <c r="G1130" s="373">
        <f>IF(NAV!L1043="SPC 없음",0,NAV!L1043)</f>
        <v>0</v>
      </c>
      <c r="H1130" s="374">
        <f>NAV!W1043</f>
        <v>0</v>
      </c>
      <c r="I1130" s="374" t="str">
        <f>NAV!S1043</f>
        <v>SPC 없음</v>
      </c>
      <c r="J1130" s="149" t="str">
        <f>IF(L1130=0,"",COUNTA(L$1128:$L1130)+COUNT($F$1128:$F$1133))</f>
        <v/>
      </c>
      <c r="K1130" s="373">
        <f t="shared" si="137"/>
        <v>0</v>
      </c>
      <c r="L1130" s="375">
        <f>NAV!J1051</f>
        <v>0</v>
      </c>
      <c r="M1130" s="376">
        <f>NAV!N1051</f>
        <v>0</v>
      </c>
      <c r="N1130" s="376">
        <f>NAV!T1051</f>
        <v>0</v>
      </c>
      <c r="O1130" s="377">
        <f>IF(N1130="장부가액 준용","장부가액 준용",IF(N1130="취득원가 준용","취득원가 준용",NAV!R1051))</f>
        <v>0</v>
      </c>
      <c r="P1130" s="377">
        <f>NAV!W1051</f>
        <v>0</v>
      </c>
      <c r="Q1130" s="377">
        <f>NAV!S1051</f>
        <v>0</v>
      </c>
      <c r="R1130" s="737" t="str">
        <f>MID(NAV!U1051,FIND("(",NAV!U1051)+1,FIND(")", NAV!U1051)-FIND("(",NAV!U1051)-1)</f>
        <v>KRW</v>
      </c>
    </row>
    <row r="1131" spans="1:18" ht="12.75" thickBot="1">
      <c r="B1131" s="371" t="s">
        <v>3442</v>
      </c>
      <c r="C1131" s="372">
        <f>NAV!D1044</f>
        <v>0</v>
      </c>
      <c r="D1131" s="372">
        <f>NAV!E1044</f>
        <v>0</v>
      </c>
      <c r="F1131" s="149" t="str">
        <f>IF(G1131=0,"",COUNTA(G$1128:$G1131))</f>
        <v/>
      </c>
      <c r="G1131" s="373">
        <f>IF(NAV!L1044="SPC 없음",0,NAV!L1044)</f>
        <v>0</v>
      </c>
      <c r="H1131" s="374">
        <f>NAV!W1044</f>
        <v>0</v>
      </c>
      <c r="I1131" s="374" t="str">
        <f>NAV!S1044</f>
        <v>SPC 없음</v>
      </c>
      <c r="J1131" s="149" t="str">
        <f>IF(L1131=0,"",COUNTA(L$1128:$L1131)+COUNT($F$1128:$F$1133))</f>
        <v/>
      </c>
      <c r="K1131" s="373">
        <f t="shared" si="137"/>
        <v>0</v>
      </c>
      <c r="L1131" s="375">
        <f>NAV!J1052</f>
        <v>0</v>
      </c>
      <c r="M1131" s="376">
        <f>NAV!N1052</f>
        <v>0</v>
      </c>
      <c r="N1131" s="376">
        <f>NAV!T1052</f>
        <v>0</v>
      </c>
      <c r="O1131" s="377">
        <f>IF(N1131="장부가액 준용","장부가액 준용",IF(N1131="취득원가 준용","취득원가 준용",NAV!R1052))</f>
        <v>0</v>
      </c>
      <c r="P1131" s="377">
        <f>NAV!W1052</f>
        <v>0</v>
      </c>
      <c r="Q1131" s="377">
        <f>NAV!S1052</f>
        <v>0</v>
      </c>
      <c r="R1131" s="737" t="str">
        <f>MID(NAV!U1052,FIND("(",NAV!U1052)+1,FIND(")", NAV!U1052)-FIND("(",NAV!U1052)-1)</f>
        <v>KRW</v>
      </c>
    </row>
    <row r="1132" spans="1:18" ht="12.75" thickBot="1">
      <c r="A1132" s="149">
        <v>1</v>
      </c>
      <c r="B1132" s="381" t="str">
        <f>IFERROR(IF(F1128=A1132,VLOOKUP(A1132,$F$1127:$I$1138,2,0),VLOOKUP(A1132,$J$1127:$Q$1138,3,0)&amp;" "&amp;VLOOKUP(A1132,$J$1127:$Q$1138,4,0)),"")</f>
        <v/>
      </c>
      <c r="C1132" s="380" t="str">
        <f>IFERROR(IF(F1128=A1132,VLOOKUP(A1132,$F$1127:$I$1138,3,0),VLOOKUP(A1132,$J$1127:$Q$1138,7,0)),"")</f>
        <v/>
      </c>
      <c r="D1132" s="380" t="str">
        <f>IFERROR(IF(F1128=A1132,VLOOKUP(A1132,$F$1127:$I$1138,4,0),VLOOKUP(A1132,$J$1127:$Q$1138,8,0)),"")</f>
        <v/>
      </c>
      <c r="F1132" s="149" t="str">
        <f>IF(G1132=0,"",COUNTA(G$1128:$G1132))</f>
        <v/>
      </c>
      <c r="G1132" s="373">
        <f>IF(NAV!L1045="SPC 없음",0,NAV!L1045)</f>
        <v>0</v>
      </c>
      <c r="H1132" s="374">
        <f>NAV!W1045</f>
        <v>0</v>
      </c>
      <c r="I1132" s="374" t="str">
        <f>NAV!S1045</f>
        <v>SPC 없음</v>
      </c>
      <c r="J1132" s="149" t="str">
        <f>IF(L1132=0,"",COUNTA(L$1128:$L1132)+COUNT($F$1128:$F$1133))</f>
        <v/>
      </c>
      <c r="K1132" s="373">
        <f t="shared" si="137"/>
        <v>0</v>
      </c>
      <c r="L1132" s="375">
        <f>NAV!J1053</f>
        <v>0</v>
      </c>
      <c r="M1132" s="376">
        <f>NAV!N1053</f>
        <v>0</v>
      </c>
      <c r="N1132" s="376">
        <f>NAV!T1053</f>
        <v>0</v>
      </c>
      <c r="O1132" s="377">
        <f>IF(N1132="장부가액 준용","장부가액 준용",IF(N1132="취득원가 준용","취득원가 준용",NAV!R1053))</f>
        <v>0</v>
      </c>
      <c r="P1132" s="377">
        <f>NAV!W1053</f>
        <v>0</v>
      </c>
      <c r="Q1132" s="377">
        <f>NAV!S1053</f>
        <v>0</v>
      </c>
      <c r="R1132" s="737" t="str">
        <f>MID(NAV!U1053,FIND("(",NAV!U1053)+1,FIND(")", NAV!U1053)-FIND("(",NAV!U1053)-1)</f>
        <v>KRW</v>
      </c>
    </row>
    <row r="1133" spans="1:18" ht="12.75" thickBot="1">
      <c r="A1133" s="149">
        <f>A1132+1</f>
        <v>2</v>
      </c>
      <c r="B1133" s="381" t="str">
        <f t="shared" ref="B1133:B1148" si="138">IFERROR(IF(F1129=A1133,VLOOKUP(A1133,$F$1127:$I$1138,2,0),VLOOKUP(A1133,$J$1127:$Q$1138,3,0)&amp;" "&amp;VLOOKUP(A1133,$J$1127:$Q$1138,4,0)),"")</f>
        <v/>
      </c>
      <c r="C1133" s="380" t="str">
        <f t="shared" ref="C1133:C1148" si="139">IFERROR(IF(F1129=A1133,VLOOKUP(A1133,$F$1127:$I$1138,3,0),VLOOKUP(A1133,$J$1127:$Q$1138,7,0)),"")</f>
        <v/>
      </c>
      <c r="D1133" s="380" t="str">
        <f t="shared" ref="D1133:D1148" si="140">IFERROR(IF(F1129=A1133,VLOOKUP(A1133,$F$1127:$I$1138,4,0),VLOOKUP(A1133,$J$1127:$Q$1138,8,0)),"")</f>
        <v/>
      </c>
      <c r="F1133" s="149" t="str">
        <f>IF(G1133=0,"",COUNTA(G$1128:$G1133))</f>
        <v/>
      </c>
      <c r="G1133" s="373">
        <f>IF(NAV!L1046="SPC 없음",0,NAV!L1046)</f>
        <v>0</v>
      </c>
      <c r="H1133" s="374">
        <f>NAV!W1046</f>
        <v>0</v>
      </c>
      <c r="I1133" s="374" t="str">
        <f>NAV!S1046</f>
        <v>SPC 없음</v>
      </c>
      <c r="J1133" s="149" t="str">
        <f>IF(L1133=0,"",COUNTA(L$1128:$L1133)+COUNT($F$1128:$F$1133))</f>
        <v/>
      </c>
      <c r="K1133" s="373">
        <f t="shared" si="137"/>
        <v>0</v>
      </c>
      <c r="L1133" s="375">
        <f>NAV!J1054</f>
        <v>0</v>
      </c>
      <c r="M1133" s="376">
        <f>NAV!N1054</f>
        <v>0</v>
      </c>
      <c r="N1133" s="376">
        <f>NAV!T1054</f>
        <v>0</v>
      </c>
      <c r="O1133" s="377">
        <f>IF(N1133="장부가액 준용","장부가액 준용",IF(N1133="취득원가 준용","취득원가 준용",NAV!R1054))</f>
        <v>0</v>
      </c>
      <c r="P1133" s="377">
        <f>NAV!W1054</f>
        <v>0</v>
      </c>
      <c r="Q1133" s="377">
        <f>NAV!S1054</f>
        <v>0</v>
      </c>
      <c r="R1133" s="737" t="str">
        <f>MID(NAV!U1054,FIND("(",NAV!U1054)+1,FIND(")", NAV!U1054)-FIND("(",NAV!U1054)-1)</f>
        <v>KRW</v>
      </c>
    </row>
    <row r="1134" spans="1:18" ht="12.75" thickBot="1">
      <c r="A1134" s="149">
        <f t="shared" ref="A1134:A1148" si="141">A1133+1</f>
        <v>3</v>
      </c>
      <c r="B1134" s="381" t="str">
        <f t="shared" si="138"/>
        <v/>
      </c>
      <c r="C1134" s="380" t="str">
        <f t="shared" si="139"/>
        <v/>
      </c>
      <c r="D1134" s="380" t="str">
        <f t="shared" si="140"/>
        <v/>
      </c>
      <c r="J1134" s="149" t="str">
        <f>IF(L1134=0,"",COUNTA(L$1128:$L1134)+COUNT($F$1128:$F$1133))</f>
        <v/>
      </c>
      <c r="K1134" s="373">
        <f t="shared" si="137"/>
        <v>0</v>
      </c>
      <c r="L1134" s="375">
        <f>NAV!J1055</f>
        <v>0</v>
      </c>
      <c r="M1134" s="376">
        <f>NAV!N1055</f>
        <v>0</v>
      </c>
      <c r="N1134" s="376">
        <f>NAV!T1055</f>
        <v>0</v>
      </c>
      <c r="O1134" s="377">
        <f>IF(N1134="장부가액 준용","장부가액 준용",IF(N1134="취득원가 준용","취득원가 준용",NAV!R1055))</f>
        <v>0</v>
      </c>
      <c r="P1134" s="377">
        <f>NAV!W1055</f>
        <v>0</v>
      </c>
      <c r="Q1134" s="377">
        <f>NAV!S1055</f>
        <v>0</v>
      </c>
      <c r="R1134" s="737" t="str">
        <f>MID(NAV!U1055,FIND("(",NAV!U1055)+1,FIND(")", NAV!U1055)-FIND("(",NAV!U1055)-1)</f>
        <v>KRW</v>
      </c>
    </row>
    <row r="1135" spans="1:18" ht="12.75" thickBot="1">
      <c r="A1135" s="149">
        <f t="shared" si="141"/>
        <v>4</v>
      </c>
      <c r="B1135" s="381" t="str">
        <f t="shared" si="138"/>
        <v/>
      </c>
      <c r="C1135" s="380" t="str">
        <f t="shared" si="139"/>
        <v/>
      </c>
      <c r="D1135" s="380" t="str">
        <f t="shared" si="140"/>
        <v/>
      </c>
      <c r="J1135" s="149" t="str">
        <f>IF(L1135=0,"",COUNTA(L$1128:$L1135)+COUNT($F$1128:$F$1133))</f>
        <v/>
      </c>
      <c r="K1135" s="373">
        <f t="shared" si="137"/>
        <v>0</v>
      </c>
      <c r="L1135" s="375">
        <f>NAV!J1056</f>
        <v>0</v>
      </c>
      <c r="M1135" s="376">
        <f>NAV!N1056</f>
        <v>0</v>
      </c>
      <c r="N1135" s="376">
        <f>NAV!T1056</f>
        <v>0</v>
      </c>
      <c r="O1135" s="377">
        <f>IF(N1135="장부가액 준용","장부가액 준용",IF(N1135="취득원가 준용","취득원가 준용",NAV!R1056))</f>
        <v>0</v>
      </c>
      <c r="P1135" s="377">
        <f>NAV!W1056</f>
        <v>0</v>
      </c>
      <c r="Q1135" s="377">
        <f>NAV!S1056</f>
        <v>0</v>
      </c>
      <c r="R1135" s="737" t="str">
        <f>MID(NAV!U1056,FIND("(",NAV!U1056)+1,FIND(")", NAV!U1056)-FIND("(",NAV!U1056)-1)</f>
        <v>KRW</v>
      </c>
    </row>
    <row r="1136" spans="1:18" ht="12.75" thickBot="1">
      <c r="A1136" s="149">
        <f t="shared" si="141"/>
        <v>5</v>
      </c>
      <c r="B1136" s="381" t="str">
        <f t="shared" si="138"/>
        <v/>
      </c>
      <c r="C1136" s="380" t="str">
        <f t="shared" si="139"/>
        <v/>
      </c>
      <c r="D1136" s="380" t="str">
        <f t="shared" si="140"/>
        <v/>
      </c>
      <c r="J1136" s="149" t="str">
        <f>IF(L1136=0,"",COUNTA(L$1128:$L1136)+COUNT($F$1128:$F$1133))</f>
        <v/>
      </c>
      <c r="K1136" s="373">
        <f t="shared" si="137"/>
        <v>0</v>
      </c>
      <c r="L1136" s="375">
        <f>NAV!J1057</f>
        <v>0</v>
      </c>
      <c r="M1136" s="376">
        <f>NAV!N1057</f>
        <v>0</v>
      </c>
      <c r="N1136" s="376">
        <f>NAV!T1057</f>
        <v>0</v>
      </c>
      <c r="O1136" s="377">
        <f>IF(N1136="장부가액 준용","장부가액 준용",IF(N1136="취득원가 준용","취득원가 준용",NAV!R1057))</f>
        <v>0</v>
      </c>
      <c r="P1136" s="377">
        <f>NAV!W1057</f>
        <v>0</v>
      </c>
      <c r="Q1136" s="377">
        <f>NAV!S1057</f>
        <v>0</v>
      </c>
      <c r="R1136" s="737" t="str">
        <f>MID(NAV!U1057,FIND("(",NAV!U1057)+1,FIND(")", NAV!U1057)-FIND("(",NAV!U1057)-1)</f>
        <v>KRW</v>
      </c>
    </row>
    <row r="1137" spans="1:18" ht="12.75" thickBot="1">
      <c r="A1137" s="149">
        <f t="shared" si="141"/>
        <v>6</v>
      </c>
      <c r="B1137" s="381" t="str">
        <f t="shared" si="138"/>
        <v/>
      </c>
      <c r="C1137" s="380" t="str">
        <f t="shared" si="139"/>
        <v/>
      </c>
      <c r="D1137" s="380" t="str">
        <f t="shared" si="140"/>
        <v/>
      </c>
      <c r="J1137" s="149" t="str">
        <f>IF(L1137=0,"",COUNTA(L$1128:$L1137)+COUNT($F$1128:$F$1133))</f>
        <v/>
      </c>
      <c r="K1137" s="373">
        <f t="shared" si="137"/>
        <v>0</v>
      </c>
      <c r="L1137" s="375">
        <f>NAV!J1058</f>
        <v>0</v>
      </c>
      <c r="M1137" s="376">
        <f>NAV!N1058</f>
        <v>0</v>
      </c>
      <c r="N1137" s="376">
        <f>NAV!T1058</f>
        <v>0</v>
      </c>
      <c r="O1137" s="377">
        <f>IF(N1137="장부가액 준용","장부가액 준용",IF(N1137="취득원가 준용","취득원가 준용",NAV!R1058))</f>
        <v>0</v>
      </c>
      <c r="P1137" s="377">
        <f>NAV!W1058</f>
        <v>0</v>
      </c>
      <c r="Q1137" s="377">
        <f>NAV!S1058</f>
        <v>0</v>
      </c>
      <c r="R1137" s="737" t="str">
        <f>MID(NAV!U1058,FIND("(",NAV!U1058)+1,FIND(")", NAV!U1058)-FIND("(",NAV!U1058)-1)</f>
        <v>KRW</v>
      </c>
    </row>
    <row r="1138" spans="1:18" ht="12.75" thickBot="1">
      <c r="A1138" s="149">
        <f t="shared" si="141"/>
        <v>7</v>
      </c>
      <c r="B1138" s="381" t="str">
        <f t="shared" si="138"/>
        <v/>
      </c>
      <c r="C1138" s="380" t="str">
        <f t="shared" si="139"/>
        <v/>
      </c>
      <c r="D1138" s="380" t="str">
        <f t="shared" si="140"/>
        <v/>
      </c>
      <c r="J1138" s="149" t="str">
        <f>IF(L1138=0,"",COUNTA(L$1128:$L1138)+COUNT($F$1128:$F$1133))</f>
        <v/>
      </c>
      <c r="K1138" s="373">
        <f t="shared" si="137"/>
        <v>0</v>
      </c>
      <c r="L1138" s="375">
        <f>NAV!J1059</f>
        <v>0</v>
      </c>
      <c r="M1138" s="376">
        <f>NAV!N1059</f>
        <v>0</v>
      </c>
      <c r="N1138" s="376">
        <f>NAV!T1059</f>
        <v>0</v>
      </c>
      <c r="O1138" s="377">
        <f>IF(N1138="장부가액 준용","장부가액 준용",IF(N1138="취득원가 준용","취득원가 준용",NAV!R1059))</f>
        <v>0</v>
      </c>
      <c r="P1138" s="377">
        <f>NAV!W1059</f>
        <v>0</v>
      </c>
      <c r="Q1138" s="377">
        <f>NAV!S1059</f>
        <v>0</v>
      </c>
      <c r="R1138" s="737" t="str">
        <f>MID(NAV!U1059,FIND("(",NAV!U1059)+1,FIND(")", NAV!U1059)-FIND("(",NAV!U1059)-1)</f>
        <v>KRW</v>
      </c>
    </row>
    <row r="1139" spans="1:18" ht="12.75" hidden="1" customHeight="1" outlineLevel="1" thickBot="1">
      <c r="A1139" s="149">
        <f t="shared" si="141"/>
        <v>8</v>
      </c>
      <c r="B1139" s="381" t="str">
        <f t="shared" si="138"/>
        <v/>
      </c>
      <c r="C1139" s="380" t="str">
        <f t="shared" si="139"/>
        <v/>
      </c>
      <c r="D1139" s="380" t="str">
        <f t="shared" si="140"/>
        <v/>
      </c>
    </row>
    <row r="1140" spans="1:18" ht="12.75" hidden="1" customHeight="1" outlineLevel="1" thickBot="1">
      <c r="A1140" s="149">
        <f t="shared" si="141"/>
        <v>9</v>
      </c>
      <c r="B1140" s="381" t="str">
        <f t="shared" si="138"/>
        <v/>
      </c>
      <c r="C1140" s="380" t="str">
        <f t="shared" si="139"/>
        <v/>
      </c>
      <c r="D1140" s="380" t="str">
        <f t="shared" si="140"/>
        <v/>
      </c>
    </row>
    <row r="1141" spans="1:18" ht="12.75" hidden="1" customHeight="1" outlineLevel="1" thickBot="1">
      <c r="A1141" s="149">
        <f t="shared" si="141"/>
        <v>10</v>
      </c>
      <c r="B1141" s="381" t="str">
        <f t="shared" si="138"/>
        <v/>
      </c>
      <c r="C1141" s="380" t="str">
        <f t="shared" si="139"/>
        <v/>
      </c>
      <c r="D1141" s="380" t="str">
        <f t="shared" si="140"/>
        <v/>
      </c>
    </row>
    <row r="1142" spans="1:18" ht="12.75" hidden="1" customHeight="1" outlineLevel="1" thickBot="1">
      <c r="A1142" s="149">
        <f t="shared" si="141"/>
        <v>11</v>
      </c>
      <c r="B1142" s="381" t="str">
        <f t="shared" si="138"/>
        <v/>
      </c>
      <c r="C1142" s="380" t="str">
        <f t="shared" si="139"/>
        <v/>
      </c>
      <c r="D1142" s="380" t="str">
        <f t="shared" si="140"/>
        <v/>
      </c>
    </row>
    <row r="1143" spans="1:18" ht="12.75" hidden="1" customHeight="1" outlineLevel="1" thickBot="1">
      <c r="A1143" s="149">
        <f t="shared" si="141"/>
        <v>12</v>
      </c>
      <c r="B1143" s="381" t="str">
        <f t="shared" si="138"/>
        <v/>
      </c>
      <c r="C1143" s="380" t="str">
        <f t="shared" si="139"/>
        <v/>
      </c>
      <c r="D1143" s="380" t="str">
        <f t="shared" si="140"/>
        <v/>
      </c>
    </row>
    <row r="1144" spans="1:18" ht="12.75" hidden="1" customHeight="1" outlineLevel="1" thickBot="1">
      <c r="A1144" s="149">
        <f t="shared" si="141"/>
        <v>13</v>
      </c>
      <c r="B1144" s="381" t="str">
        <f t="shared" si="138"/>
        <v/>
      </c>
      <c r="C1144" s="380" t="str">
        <f t="shared" si="139"/>
        <v/>
      </c>
      <c r="D1144" s="380" t="str">
        <f t="shared" si="140"/>
        <v/>
      </c>
    </row>
    <row r="1145" spans="1:18" ht="12.75" hidden="1" customHeight="1" outlineLevel="1" thickBot="1">
      <c r="A1145" s="149">
        <f t="shared" si="141"/>
        <v>14</v>
      </c>
      <c r="B1145" s="381" t="str">
        <f t="shared" si="138"/>
        <v/>
      </c>
      <c r="C1145" s="380" t="str">
        <f t="shared" si="139"/>
        <v/>
      </c>
      <c r="D1145" s="380" t="str">
        <f t="shared" si="140"/>
        <v/>
      </c>
    </row>
    <row r="1146" spans="1:18" ht="12.75" hidden="1" customHeight="1" outlineLevel="1" thickBot="1">
      <c r="A1146" s="149">
        <f t="shared" si="141"/>
        <v>15</v>
      </c>
      <c r="B1146" s="381" t="str">
        <f t="shared" si="138"/>
        <v/>
      </c>
      <c r="C1146" s="380" t="str">
        <f t="shared" si="139"/>
        <v/>
      </c>
      <c r="D1146" s="380" t="str">
        <f t="shared" si="140"/>
        <v/>
      </c>
    </row>
    <row r="1147" spans="1:18" ht="12.75" hidden="1" customHeight="1" outlineLevel="1" thickBot="1">
      <c r="A1147" s="149">
        <f t="shared" si="141"/>
        <v>16</v>
      </c>
      <c r="B1147" s="381" t="str">
        <f t="shared" si="138"/>
        <v/>
      </c>
      <c r="C1147" s="380" t="str">
        <f t="shared" si="139"/>
        <v/>
      </c>
      <c r="D1147" s="380" t="str">
        <f t="shared" si="140"/>
        <v/>
      </c>
    </row>
    <row r="1148" spans="1:18" ht="12.75" hidden="1" customHeight="1" outlineLevel="1" thickBot="1">
      <c r="A1148" s="149">
        <f t="shared" si="141"/>
        <v>17</v>
      </c>
      <c r="B1148" s="381" t="str">
        <f t="shared" si="138"/>
        <v/>
      </c>
      <c r="C1148" s="380" t="str">
        <f t="shared" si="139"/>
        <v/>
      </c>
      <c r="D1148" s="380" t="str">
        <f t="shared" si="140"/>
        <v/>
      </c>
    </row>
    <row r="1149" spans="1:18" ht="12.75" collapsed="1" thickBot="1">
      <c r="B1149" s="382" t="s">
        <v>2</v>
      </c>
      <c r="C1149" s="372">
        <f>SUM(C1128,C1131)</f>
        <v>0</v>
      </c>
      <c r="D1149" s="383">
        <f>SUM(D1128,D1131)</f>
        <v>0</v>
      </c>
    </row>
    <row r="1150" spans="1:18" ht="12.75" thickBot="1">
      <c r="B1150" s="382" t="s">
        <v>30</v>
      </c>
      <c r="C1150" s="819">
        <f>NAV!E1054</f>
        <v>0</v>
      </c>
      <c r="D1150" s="820"/>
    </row>
    <row r="1151" spans="1:18" ht="12.75" thickBot="1">
      <c r="B1151" s="382" t="s">
        <v>31</v>
      </c>
      <c r="C1151" s="819">
        <f>D1149-C1150</f>
        <v>0</v>
      </c>
      <c r="D1151" s="820"/>
    </row>
    <row r="1152" spans="1:18" ht="12.75" thickBot="1">
      <c r="B1152" s="382" t="s">
        <v>745</v>
      </c>
      <c r="C1152" s="819">
        <f>NAV!E1059</f>
        <v>0</v>
      </c>
      <c r="D1152" s="820"/>
      <c r="F1152" s="217"/>
    </row>
    <row r="1153" spans="1:18" ht="12.75" thickBot="1">
      <c r="B1153" s="382" t="s">
        <v>965</v>
      </c>
      <c r="C1153" s="819">
        <f>NAV!E1060</f>
        <v>0</v>
      </c>
      <c r="D1153" s="820"/>
    </row>
    <row r="1154" spans="1:18" ht="12.75" thickBot="1">
      <c r="B1154" s="382" t="s">
        <v>744</v>
      </c>
      <c r="C1154" s="819">
        <f>NAV!E1061</f>
        <v>0</v>
      </c>
      <c r="D1154" s="820"/>
    </row>
    <row r="1155" spans="1:18" ht="12.75" thickBot="1">
      <c r="B1155" s="382" t="str">
        <f>NAV!C1062</f>
        <v>보유지분율(%)</v>
      </c>
      <c r="C1155" s="823">
        <f>NAV!D1062</f>
        <v>0</v>
      </c>
      <c r="D1155" s="824"/>
    </row>
    <row r="1156" spans="1:18" ht="12.75" thickBot="1">
      <c r="B1156" s="382" t="s">
        <v>746</v>
      </c>
      <c r="C1156" s="825">
        <f>NAV!E1062</f>
        <v>0</v>
      </c>
      <c r="D1156" s="826"/>
    </row>
    <row r="1162" spans="1:18">
      <c r="A1162" s="149">
        <f>A1124+1</f>
        <v>24</v>
      </c>
      <c r="B1162" s="399" t="str">
        <f>NAV!B1073</f>
        <v>SPC없음</v>
      </c>
      <c r="G1162" s="399" t="str">
        <f>B1162</f>
        <v>SPC없음</v>
      </c>
    </row>
    <row r="1163" spans="1:18">
      <c r="B1163" s="399" t="str">
        <f>NAV!C1074</f>
        <v>SPC없음</v>
      </c>
      <c r="G1163" s="399" t="str">
        <f>B1163</f>
        <v>SPC없음</v>
      </c>
    </row>
    <row r="1164" spans="1:18" ht="12.75" thickBot="1">
      <c r="B1164" s="215" t="s">
        <v>750</v>
      </c>
      <c r="C1164" s="216"/>
      <c r="D1164" s="216"/>
      <c r="E1164" s="216"/>
      <c r="F1164" s="216"/>
      <c r="G1164" s="215" t="s">
        <v>751</v>
      </c>
      <c r="H1164" s="216"/>
      <c r="I1164" s="216"/>
      <c r="K1164" s="215" t="s">
        <v>752</v>
      </c>
    </row>
    <row r="1165" spans="1:18" ht="12.75" thickBot="1">
      <c r="B1165" s="366" t="s">
        <v>27</v>
      </c>
      <c r="C1165" s="367" t="s">
        <v>28</v>
      </c>
      <c r="D1165" s="367" t="s">
        <v>29</v>
      </c>
      <c r="F1165" s="368" t="s">
        <v>3461</v>
      </c>
      <c r="G1165" s="353" t="str">
        <f>$G$74</f>
        <v>SPC명</v>
      </c>
      <c r="H1165" s="369" t="s">
        <v>3200</v>
      </c>
      <c r="I1165" s="369" t="s">
        <v>753</v>
      </c>
      <c r="J1165" s="368" t="s">
        <v>3461</v>
      </c>
      <c r="K1165" s="353" t="s">
        <v>3440</v>
      </c>
      <c r="L1165" s="353" t="str">
        <f>$L$74</f>
        <v>투자자산명</v>
      </c>
      <c r="M1165" s="358" t="s">
        <v>754</v>
      </c>
      <c r="N1165" s="358" t="s">
        <v>47</v>
      </c>
      <c r="O1165" s="369" t="s">
        <v>749</v>
      </c>
      <c r="P1165" s="400" t="s">
        <v>3460</v>
      </c>
      <c r="Q1165" s="370" t="s">
        <v>3463</v>
      </c>
      <c r="R1165" s="370" t="s">
        <v>6833</v>
      </c>
    </row>
    <row r="1166" spans="1:18" ht="12.75" thickBot="1">
      <c r="B1166" s="371" t="s">
        <v>3441</v>
      </c>
      <c r="C1166" s="372">
        <f>SUM(C1167:C1168)</f>
        <v>0</v>
      </c>
      <c r="D1166" s="372">
        <f>SUM(D1167:D1168)</f>
        <v>0</v>
      </c>
      <c r="F1166" s="149" t="str">
        <f>IF(G1166=0,"",COUNTA(G$1166:$G1166))</f>
        <v/>
      </c>
      <c r="G1166" s="373">
        <f>IF(NAV!L1079="SPC 없음",0,NAV!L1079)</f>
        <v>0</v>
      </c>
      <c r="H1166" s="374">
        <f>NAV!W1079</f>
        <v>0</v>
      </c>
      <c r="I1166" s="374" t="str">
        <f>NAV!S1079</f>
        <v>SPC 없음</v>
      </c>
      <c r="J1166" s="149" t="str">
        <f>IF(L1166=0,"",COUNTA(L$1166:$L1166)+COUNT($F$1166:$F$1171))</f>
        <v/>
      </c>
      <c r="K1166" s="373">
        <f>IF($B1163="SPC없음",0,$B1163)</f>
        <v>0</v>
      </c>
      <c r="L1166" s="375">
        <f>NAV!J1087</f>
        <v>0</v>
      </c>
      <c r="M1166" s="376">
        <f>NAV!N1087</f>
        <v>0</v>
      </c>
      <c r="N1166" s="376">
        <f>NAV!T1087</f>
        <v>0</v>
      </c>
      <c r="O1166" s="377">
        <f>IF(N1166="장부가액 준용","장부가액 준용",IF(N1166="취득원가 준용","취득원가 준용",NAV!R1087))</f>
        <v>0</v>
      </c>
      <c r="P1166" s="377">
        <f>NAV!W1087</f>
        <v>0</v>
      </c>
      <c r="Q1166" s="377">
        <f>NAV!S1087</f>
        <v>0</v>
      </c>
      <c r="R1166" s="737" t="str">
        <f>MID(NAV!U1087,FIND("(",NAV!U1087)+1,FIND(")", NAV!U1087)-FIND("(",NAV!U1087)-1)</f>
        <v>KRW</v>
      </c>
    </row>
    <row r="1167" spans="1:18" ht="12.75" thickBot="1">
      <c r="B1167" s="379" t="s">
        <v>3489</v>
      </c>
      <c r="C1167" s="380">
        <f>NAV!D1080</f>
        <v>0</v>
      </c>
      <c r="D1167" s="380">
        <f>NAV!E1080</f>
        <v>0</v>
      </c>
      <c r="F1167" s="149" t="str">
        <f>IF(G1167=0,"",COUNTA(G$1166:$G1167))</f>
        <v/>
      </c>
      <c r="G1167" s="373">
        <f>IF(NAV!L1080="SPC 없음",0,NAV!L1080)</f>
        <v>0</v>
      </c>
      <c r="H1167" s="374">
        <f>NAV!W1080</f>
        <v>0</v>
      </c>
      <c r="I1167" s="374" t="str">
        <f>NAV!S1080</f>
        <v>SPC 없음</v>
      </c>
      <c r="J1167" s="149" t="str">
        <f>IF(L1167=0,"",COUNTA(L$1166:$L1167)+COUNT($F$1166:$F$1171))</f>
        <v/>
      </c>
      <c r="K1167" s="373">
        <f t="shared" ref="K1167:K1176" si="142">K1166</f>
        <v>0</v>
      </c>
      <c r="L1167" s="375">
        <f>NAV!J1088</f>
        <v>0</v>
      </c>
      <c r="M1167" s="376">
        <f>NAV!N1088</f>
        <v>0</v>
      </c>
      <c r="N1167" s="376">
        <f>NAV!T1088</f>
        <v>0</v>
      </c>
      <c r="O1167" s="377">
        <f>IF(N1167="장부가액 준용","장부가액 준용",IF(N1167="취득원가 준용","취득원가 준용",NAV!R1088))</f>
        <v>0</v>
      </c>
      <c r="P1167" s="377">
        <f>NAV!W1088</f>
        <v>0</v>
      </c>
      <c r="Q1167" s="377">
        <f>NAV!S1088</f>
        <v>0</v>
      </c>
      <c r="R1167" s="737" t="str">
        <f>MID(NAV!U1088,FIND("(",NAV!U1088)+1,FIND(")", NAV!U1088)-FIND("(",NAV!U1088)-1)</f>
        <v>KRW</v>
      </c>
    </row>
    <row r="1168" spans="1:18" ht="12.75" thickBot="1">
      <c r="B1168" s="379" t="s">
        <v>156</v>
      </c>
      <c r="C1168" s="380">
        <f>NAV!D1081</f>
        <v>0</v>
      </c>
      <c r="D1168" s="380">
        <f>NAV!E1081</f>
        <v>0</v>
      </c>
      <c r="F1168" s="149" t="str">
        <f>IF(G1168=0,"",COUNTA(G$1166:$G1168))</f>
        <v/>
      </c>
      <c r="G1168" s="373">
        <f>IF(NAV!L1081="SPC 없음",0,NAV!L1081)</f>
        <v>0</v>
      </c>
      <c r="H1168" s="374">
        <f>NAV!W1081</f>
        <v>0</v>
      </c>
      <c r="I1168" s="374" t="str">
        <f>NAV!S1081</f>
        <v>SPC 없음</v>
      </c>
      <c r="J1168" s="149" t="str">
        <f>IF(L1168=0,"",COUNTA(L$1166:$L1168)+COUNT($F$1166:$F$1171))</f>
        <v/>
      </c>
      <c r="K1168" s="373">
        <f t="shared" si="142"/>
        <v>0</v>
      </c>
      <c r="L1168" s="375">
        <f>NAV!J1089</f>
        <v>0</v>
      </c>
      <c r="M1168" s="376">
        <f>NAV!N1089</f>
        <v>0</v>
      </c>
      <c r="N1168" s="376">
        <f>NAV!T1089</f>
        <v>0</v>
      </c>
      <c r="O1168" s="377">
        <f>IF(N1168="장부가액 준용","장부가액 준용",IF(N1168="취득원가 준용","취득원가 준용",NAV!R1089))</f>
        <v>0</v>
      </c>
      <c r="P1168" s="377">
        <f>NAV!W1089</f>
        <v>0</v>
      </c>
      <c r="Q1168" s="377">
        <f>NAV!S1089</f>
        <v>0</v>
      </c>
      <c r="R1168" s="737" t="str">
        <f>MID(NAV!U1089,FIND("(",NAV!U1089)+1,FIND(")", NAV!U1089)-FIND("(",NAV!U1089)-1)</f>
        <v>KRW</v>
      </c>
    </row>
    <row r="1169" spans="1:18" ht="12.75" thickBot="1">
      <c r="B1169" s="371" t="s">
        <v>3442</v>
      </c>
      <c r="C1169" s="372">
        <f>NAV!D1082</f>
        <v>0</v>
      </c>
      <c r="D1169" s="372">
        <f>NAV!E1082</f>
        <v>0</v>
      </c>
      <c r="F1169" s="149" t="str">
        <f>IF(G1169=0,"",COUNTA(G$1166:$G1169))</f>
        <v/>
      </c>
      <c r="G1169" s="373">
        <f>IF(NAV!L1082="SPC 없음",0,NAV!L1082)</f>
        <v>0</v>
      </c>
      <c r="H1169" s="374">
        <f>NAV!W1082</f>
        <v>0</v>
      </c>
      <c r="I1169" s="374" t="str">
        <f>NAV!S1082</f>
        <v>SPC 없음</v>
      </c>
      <c r="J1169" s="149" t="str">
        <f>IF(L1169=0,"",COUNTA(L$1166:$L1169)+COUNT($F$1166:$F$1171))</f>
        <v/>
      </c>
      <c r="K1169" s="373">
        <f t="shared" si="142"/>
        <v>0</v>
      </c>
      <c r="L1169" s="375">
        <f>NAV!J1090</f>
        <v>0</v>
      </c>
      <c r="M1169" s="376">
        <f>NAV!N1090</f>
        <v>0</v>
      </c>
      <c r="N1169" s="376">
        <f>NAV!T1090</f>
        <v>0</v>
      </c>
      <c r="O1169" s="377">
        <f>IF(N1169="장부가액 준용","장부가액 준용",IF(N1169="취득원가 준용","취득원가 준용",NAV!R1090))</f>
        <v>0</v>
      </c>
      <c r="P1169" s="377">
        <f>NAV!W1090</f>
        <v>0</v>
      </c>
      <c r="Q1169" s="377">
        <f>NAV!S1090</f>
        <v>0</v>
      </c>
      <c r="R1169" s="737" t="str">
        <f>MID(NAV!U1090,FIND("(",NAV!U1090)+1,FIND(")", NAV!U1090)-FIND("(",NAV!U1090)-1)</f>
        <v>KRW</v>
      </c>
    </row>
    <row r="1170" spans="1:18" ht="12.75" thickBot="1">
      <c r="A1170" s="149">
        <v>1</v>
      </c>
      <c r="B1170" s="381" t="str">
        <f>IFERROR(IF(F1166=A1170,VLOOKUP(A1170,$F$1165:$I$1176,2,0),VLOOKUP(A1170,$J$1165:$Q$1176,3,0)&amp;" "&amp;VLOOKUP(A1170,$J$1165:$Q$1176,4,0)),"")</f>
        <v/>
      </c>
      <c r="C1170" s="380" t="str">
        <f>IFERROR(IF(F1166=A1170,VLOOKUP(A1170,$F$1165:$I$1176,3,0),VLOOKUP(A1170,$J$1165:$Q$1176,7,0)),"")</f>
        <v/>
      </c>
      <c r="D1170" s="380" t="str">
        <f>IFERROR(IF(F1166=A1170,VLOOKUP(A1170,$F$1165:$I$1176,4,0),VLOOKUP(A1170,$J$1165:$Q$1176,8,0)),"")</f>
        <v/>
      </c>
      <c r="F1170" s="149" t="str">
        <f>IF(G1170=0,"",COUNTA(G$1166:$G1170))</f>
        <v/>
      </c>
      <c r="G1170" s="373">
        <f>IF(NAV!L1083="SPC 없음",0,NAV!L1083)</f>
        <v>0</v>
      </c>
      <c r="H1170" s="374">
        <f>NAV!W1083</f>
        <v>0</v>
      </c>
      <c r="I1170" s="374" t="str">
        <f>NAV!S1083</f>
        <v>SPC 없음</v>
      </c>
      <c r="J1170" s="149" t="str">
        <f>IF(L1170=0,"",COUNTA(L$1166:$L1170)+COUNT($F$1166:$F$1171))</f>
        <v/>
      </c>
      <c r="K1170" s="373">
        <f t="shared" si="142"/>
        <v>0</v>
      </c>
      <c r="L1170" s="375">
        <f>NAV!J1091</f>
        <v>0</v>
      </c>
      <c r="M1170" s="376">
        <f>NAV!N1091</f>
        <v>0</v>
      </c>
      <c r="N1170" s="376">
        <f>NAV!T1091</f>
        <v>0</v>
      </c>
      <c r="O1170" s="377">
        <f>IF(N1170="장부가액 준용","장부가액 준용",IF(N1170="취득원가 준용","취득원가 준용",NAV!R1091))</f>
        <v>0</v>
      </c>
      <c r="P1170" s="377">
        <f>NAV!W1091</f>
        <v>0</v>
      </c>
      <c r="Q1170" s="377">
        <f>NAV!S1091</f>
        <v>0</v>
      </c>
      <c r="R1170" s="737" t="str">
        <f>MID(NAV!U1091,FIND("(",NAV!U1091)+1,FIND(")", NAV!U1091)-FIND("(",NAV!U1091)-1)</f>
        <v>KRW</v>
      </c>
    </row>
    <row r="1171" spans="1:18" ht="12.75" thickBot="1">
      <c r="A1171" s="149">
        <f>A1170+1</f>
        <v>2</v>
      </c>
      <c r="B1171" s="381" t="str">
        <f t="shared" ref="B1171:B1186" si="143">IFERROR(IF(F1167=A1171,VLOOKUP(A1171,$F$1165:$I$1176,2,0),VLOOKUP(A1171,$J$1165:$Q$1176,3,0)&amp;" "&amp;VLOOKUP(A1171,$J$1165:$Q$1176,4,0)),"")</f>
        <v/>
      </c>
      <c r="C1171" s="380" t="str">
        <f t="shared" ref="C1171:C1186" si="144">IFERROR(IF(F1167=A1171,VLOOKUP(A1171,$F$1165:$I$1176,3,0),VLOOKUP(A1171,$J$1165:$Q$1176,7,0)),"")</f>
        <v/>
      </c>
      <c r="D1171" s="380" t="str">
        <f t="shared" ref="D1171:D1186" si="145">IFERROR(IF(F1167=A1171,VLOOKUP(A1171,$F$1165:$I$1176,4,0),VLOOKUP(A1171,$J$1165:$Q$1176,8,0)),"")</f>
        <v/>
      </c>
      <c r="F1171" s="149" t="str">
        <f>IF(G1171=0,"",COUNTA(G$1166:$G1171))</f>
        <v/>
      </c>
      <c r="G1171" s="373">
        <f>IF(NAV!L1084="SPC 없음",0,NAV!L1084)</f>
        <v>0</v>
      </c>
      <c r="H1171" s="374">
        <f>NAV!W1084</f>
        <v>0</v>
      </c>
      <c r="I1171" s="374" t="str">
        <f>NAV!S1084</f>
        <v>SPC 없음</v>
      </c>
      <c r="J1171" s="149" t="str">
        <f>IF(L1171=0,"",COUNTA(L$1166:$L1171)+COUNT($F$1166:$F$1171))</f>
        <v/>
      </c>
      <c r="K1171" s="373">
        <f t="shared" si="142"/>
        <v>0</v>
      </c>
      <c r="L1171" s="375">
        <f>NAV!J1092</f>
        <v>0</v>
      </c>
      <c r="M1171" s="376">
        <f>NAV!N1092</f>
        <v>0</v>
      </c>
      <c r="N1171" s="376">
        <f>NAV!T1092</f>
        <v>0</v>
      </c>
      <c r="O1171" s="377">
        <f>IF(N1171="장부가액 준용","장부가액 준용",IF(N1171="취득원가 준용","취득원가 준용",NAV!R1092))</f>
        <v>0</v>
      </c>
      <c r="P1171" s="377">
        <f>NAV!W1092</f>
        <v>0</v>
      </c>
      <c r="Q1171" s="377">
        <f>NAV!S1092</f>
        <v>0</v>
      </c>
      <c r="R1171" s="737" t="str">
        <f>MID(NAV!U1092,FIND("(",NAV!U1092)+1,FIND(")", NAV!U1092)-FIND("(",NAV!U1092)-1)</f>
        <v>KRW</v>
      </c>
    </row>
    <row r="1172" spans="1:18" ht="12.75" thickBot="1">
      <c r="A1172" s="149">
        <f t="shared" ref="A1172:A1186" si="146">A1171+1</f>
        <v>3</v>
      </c>
      <c r="B1172" s="381" t="str">
        <f t="shared" si="143"/>
        <v/>
      </c>
      <c r="C1172" s="380" t="str">
        <f t="shared" si="144"/>
        <v/>
      </c>
      <c r="D1172" s="380" t="str">
        <f t="shared" si="145"/>
        <v/>
      </c>
      <c r="J1172" s="149" t="str">
        <f>IF(L1172=0,"",COUNTA(L$1166:$L1172)+COUNT($F$1166:$F$1171))</f>
        <v/>
      </c>
      <c r="K1172" s="373">
        <f t="shared" si="142"/>
        <v>0</v>
      </c>
      <c r="L1172" s="375">
        <f>NAV!J1093</f>
        <v>0</v>
      </c>
      <c r="M1172" s="376">
        <f>NAV!N1093</f>
        <v>0</v>
      </c>
      <c r="N1172" s="376">
        <f>NAV!T1093</f>
        <v>0</v>
      </c>
      <c r="O1172" s="377">
        <f>IF(N1172="장부가액 준용","장부가액 준용",IF(N1172="취득원가 준용","취득원가 준용",NAV!R1093))</f>
        <v>0</v>
      </c>
      <c r="P1172" s="377">
        <f>NAV!W1093</f>
        <v>0</v>
      </c>
      <c r="Q1172" s="377">
        <f>NAV!S1093</f>
        <v>0</v>
      </c>
      <c r="R1172" s="737" t="str">
        <f>MID(NAV!U1093,FIND("(",NAV!U1093)+1,FIND(")", NAV!U1093)-FIND("(",NAV!U1093)-1)</f>
        <v>KRW</v>
      </c>
    </row>
    <row r="1173" spans="1:18" ht="12.75" thickBot="1">
      <c r="A1173" s="149">
        <f t="shared" si="146"/>
        <v>4</v>
      </c>
      <c r="B1173" s="381" t="str">
        <f t="shared" si="143"/>
        <v/>
      </c>
      <c r="C1173" s="380" t="str">
        <f t="shared" si="144"/>
        <v/>
      </c>
      <c r="D1173" s="380" t="str">
        <f t="shared" si="145"/>
        <v/>
      </c>
      <c r="J1173" s="149" t="str">
        <f>IF(L1173=0,"",COUNTA(L$1166:$L1173)+COUNT($F$1166:$F$1171))</f>
        <v/>
      </c>
      <c r="K1173" s="373">
        <f t="shared" si="142"/>
        <v>0</v>
      </c>
      <c r="L1173" s="375">
        <f>NAV!J1094</f>
        <v>0</v>
      </c>
      <c r="M1173" s="376">
        <f>NAV!N1094</f>
        <v>0</v>
      </c>
      <c r="N1173" s="376">
        <f>NAV!T1094</f>
        <v>0</v>
      </c>
      <c r="O1173" s="377">
        <f>IF(N1173="장부가액 준용","장부가액 준용",IF(N1173="취득원가 준용","취득원가 준용",NAV!R1094))</f>
        <v>0</v>
      </c>
      <c r="P1173" s="377">
        <f>NAV!W1094</f>
        <v>0</v>
      </c>
      <c r="Q1173" s="377">
        <f>NAV!S1094</f>
        <v>0</v>
      </c>
      <c r="R1173" s="737" t="str">
        <f>MID(NAV!U1094,FIND("(",NAV!U1094)+1,FIND(")", NAV!U1094)-FIND("(",NAV!U1094)-1)</f>
        <v>KRW</v>
      </c>
    </row>
    <row r="1174" spans="1:18" ht="12.75" thickBot="1">
      <c r="A1174" s="149">
        <f t="shared" si="146"/>
        <v>5</v>
      </c>
      <c r="B1174" s="381" t="str">
        <f t="shared" si="143"/>
        <v/>
      </c>
      <c r="C1174" s="380" t="str">
        <f t="shared" si="144"/>
        <v/>
      </c>
      <c r="D1174" s="380" t="str">
        <f t="shared" si="145"/>
        <v/>
      </c>
      <c r="J1174" s="149" t="str">
        <f>IF(L1174=0,"",COUNTA(L$1166:$L1174)+COUNT($F$1166:$F$1171))</f>
        <v/>
      </c>
      <c r="K1174" s="373">
        <f t="shared" si="142"/>
        <v>0</v>
      </c>
      <c r="L1174" s="375">
        <f>NAV!J1095</f>
        <v>0</v>
      </c>
      <c r="M1174" s="376">
        <f>NAV!N1095</f>
        <v>0</v>
      </c>
      <c r="N1174" s="376">
        <f>NAV!T1095</f>
        <v>0</v>
      </c>
      <c r="O1174" s="377">
        <f>IF(N1174="장부가액 준용","장부가액 준용",IF(N1174="취득원가 준용","취득원가 준용",NAV!R1095))</f>
        <v>0</v>
      </c>
      <c r="P1174" s="377">
        <f>NAV!W1095</f>
        <v>0</v>
      </c>
      <c r="Q1174" s="377">
        <f>NAV!S1095</f>
        <v>0</v>
      </c>
      <c r="R1174" s="737" t="str">
        <f>MID(NAV!U1095,FIND("(",NAV!U1095)+1,FIND(")", NAV!U1095)-FIND("(",NAV!U1095)-1)</f>
        <v>KRW</v>
      </c>
    </row>
    <row r="1175" spans="1:18" ht="12.75" thickBot="1">
      <c r="A1175" s="149">
        <f t="shared" si="146"/>
        <v>6</v>
      </c>
      <c r="B1175" s="381" t="str">
        <f t="shared" si="143"/>
        <v/>
      </c>
      <c r="C1175" s="380" t="str">
        <f t="shared" si="144"/>
        <v/>
      </c>
      <c r="D1175" s="380" t="str">
        <f t="shared" si="145"/>
        <v/>
      </c>
      <c r="J1175" s="149" t="str">
        <f>IF(L1175=0,"",COUNTA(L$1166:$L1175)+COUNT($F$1166:$F$1171))</f>
        <v/>
      </c>
      <c r="K1175" s="373">
        <f t="shared" si="142"/>
        <v>0</v>
      </c>
      <c r="L1175" s="375">
        <f>NAV!J1096</f>
        <v>0</v>
      </c>
      <c r="M1175" s="376">
        <f>NAV!N1096</f>
        <v>0</v>
      </c>
      <c r="N1175" s="376">
        <f>NAV!T1096</f>
        <v>0</v>
      </c>
      <c r="O1175" s="377">
        <f>IF(N1175="장부가액 준용","장부가액 준용",IF(N1175="취득원가 준용","취득원가 준용",NAV!R1096))</f>
        <v>0</v>
      </c>
      <c r="P1175" s="377">
        <f>NAV!W1096</f>
        <v>0</v>
      </c>
      <c r="Q1175" s="377">
        <f>NAV!S1096</f>
        <v>0</v>
      </c>
      <c r="R1175" s="737" t="str">
        <f>MID(NAV!U1096,FIND("(",NAV!U1096)+1,FIND(")", NAV!U1096)-FIND("(",NAV!U1096)-1)</f>
        <v>KRW</v>
      </c>
    </row>
    <row r="1176" spans="1:18" ht="12.75" thickBot="1">
      <c r="A1176" s="149">
        <f t="shared" si="146"/>
        <v>7</v>
      </c>
      <c r="B1176" s="381" t="str">
        <f t="shared" si="143"/>
        <v/>
      </c>
      <c r="C1176" s="380" t="str">
        <f t="shared" si="144"/>
        <v/>
      </c>
      <c r="D1176" s="380" t="str">
        <f t="shared" si="145"/>
        <v/>
      </c>
      <c r="J1176" s="149" t="str">
        <f>IF(L1176=0,"",COUNTA(L$1166:$L1176)+COUNT($F$1166:$F$1171))</f>
        <v/>
      </c>
      <c r="K1176" s="373">
        <f t="shared" si="142"/>
        <v>0</v>
      </c>
      <c r="L1176" s="375">
        <f>NAV!J1097</f>
        <v>0</v>
      </c>
      <c r="M1176" s="376">
        <f>NAV!N1097</f>
        <v>0</v>
      </c>
      <c r="N1176" s="376">
        <f>NAV!T1097</f>
        <v>0</v>
      </c>
      <c r="O1176" s="377">
        <f>IF(N1176="장부가액 준용","장부가액 준용",IF(N1176="취득원가 준용","취득원가 준용",NAV!R1097))</f>
        <v>0</v>
      </c>
      <c r="P1176" s="377">
        <f>NAV!W1097</f>
        <v>0</v>
      </c>
      <c r="Q1176" s="377">
        <f>NAV!S1097</f>
        <v>0</v>
      </c>
      <c r="R1176" s="737" t="str">
        <f>MID(NAV!U1097,FIND("(",NAV!U1097)+1,FIND(")", NAV!U1097)-FIND("(",NAV!U1097)-1)</f>
        <v>KRW</v>
      </c>
    </row>
    <row r="1177" spans="1:18" ht="12.75" hidden="1" customHeight="1" outlineLevel="1" thickBot="1">
      <c r="A1177" s="149">
        <f t="shared" si="146"/>
        <v>8</v>
      </c>
      <c r="B1177" s="381" t="str">
        <f t="shared" si="143"/>
        <v/>
      </c>
      <c r="C1177" s="380" t="str">
        <f t="shared" si="144"/>
        <v/>
      </c>
      <c r="D1177" s="380" t="str">
        <f t="shared" si="145"/>
        <v/>
      </c>
    </row>
    <row r="1178" spans="1:18" ht="12.75" hidden="1" customHeight="1" outlineLevel="1" thickBot="1">
      <c r="A1178" s="149">
        <f t="shared" si="146"/>
        <v>9</v>
      </c>
      <c r="B1178" s="381" t="str">
        <f t="shared" si="143"/>
        <v/>
      </c>
      <c r="C1178" s="380" t="str">
        <f t="shared" si="144"/>
        <v/>
      </c>
      <c r="D1178" s="380" t="str">
        <f t="shared" si="145"/>
        <v/>
      </c>
    </row>
    <row r="1179" spans="1:18" ht="12.75" hidden="1" customHeight="1" outlineLevel="1" thickBot="1">
      <c r="A1179" s="149">
        <f t="shared" si="146"/>
        <v>10</v>
      </c>
      <c r="B1179" s="381" t="str">
        <f t="shared" si="143"/>
        <v/>
      </c>
      <c r="C1179" s="380" t="str">
        <f t="shared" si="144"/>
        <v/>
      </c>
      <c r="D1179" s="380" t="str">
        <f t="shared" si="145"/>
        <v/>
      </c>
    </row>
    <row r="1180" spans="1:18" ht="12.75" hidden="1" customHeight="1" outlineLevel="1" thickBot="1">
      <c r="A1180" s="149">
        <f t="shared" si="146"/>
        <v>11</v>
      </c>
      <c r="B1180" s="381" t="str">
        <f t="shared" si="143"/>
        <v/>
      </c>
      <c r="C1180" s="380" t="str">
        <f t="shared" si="144"/>
        <v/>
      </c>
      <c r="D1180" s="380" t="str">
        <f t="shared" si="145"/>
        <v/>
      </c>
    </row>
    <row r="1181" spans="1:18" ht="12.75" hidden="1" customHeight="1" outlineLevel="1" thickBot="1">
      <c r="A1181" s="149">
        <f t="shared" si="146"/>
        <v>12</v>
      </c>
      <c r="B1181" s="381" t="str">
        <f t="shared" si="143"/>
        <v/>
      </c>
      <c r="C1181" s="380" t="str">
        <f t="shared" si="144"/>
        <v/>
      </c>
      <c r="D1181" s="380" t="str">
        <f t="shared" si="145"/>
        <v/>
      </c>
    </row>
    <row r="1182" spans="1:18" ht="12.75" hidden="1" customHeight="1" outlineLevel="1" thickBot="1">
      <c r="A1182" s="149">
        <f t="shared" si="146"/>
        <v>13</v>
      </c>
      <c r="B1182" s="381" t="str">
        <f t="shared" si="143"/>
        <v/>
      </c>
      <c r="C1182" s="380" t="str">
        <f t="shared" si="144"/>
        <v/>
      </c>
      <c r="D1182" s="380" t="str">
        <f t="shared" si="145"/>
        <v/>
      </c>
    </row>
    <row r="1183" spans="1:18" ht="12.75" hidden="1" customHeight="1" outlineLevel="1" thickBot="1">
      <c r="A1183" s="149">
        <f t="shared" si="146"/>
        <v>14</v>
      </c>
      <c r="B1183" s="381" t="str">
        <f t="shared" si="143"/>
        <v/>
      </c>
      <c r="C1183" s="380" t="str">
        <f t="shared" si="144"/>
        <v/>
      </c>
      <c r="D1183" s="380" t="str">
        <f t="shared" si="145"/>
        <v/>
      </c>
    </row>
    <row r="1184" spans="1:18" ht="12.75" hidden="1" customHeight="1" outlineLevel="1" thickBot="1">
      <c r="A1184" s="149">
        <f t="shared" si="146"/>
        <v>15</v>
      </c>
      <c r="B1184" s="381" t="str">
        <f t="shared" si="143"/>
        <v/>
      </c>
      <c r="C1184" s="380" t="str">
        <f t="shared" si="144"/>
        <v/>
      </c>
      <c r="D1184" s="380" t="str">
        <f t="shared" si="145"/>
        <v/>
      </c>
    </row>
    <row r="1185" spans="1:7" ht="12.75" hidden="1" customHeight="1" outlineLevel="1" thickBot="1">
      <c r="A1185" s="149">
        <f t="shared" si="146"/>
        <v>16</v>
      </c>
      <c r="B1185" s="381" t="str">
        <f t="shared" si="143"/>
        <v/>
      </c>
      <c r="C1185" s="380" t="str">
        <f t="shared" si="144"/>
        <v/>
      </c>
      <c r="D1185" s="380" t="str">
        <f t="shared" si="145"/>
        <v/>
      </c>
    </row>
    <row r="1186" spans="1:7" ht="12.75" hidden="1" customHeight="1" outlineLevel="1" thickBot="1">
      <c r="A1186" s="149">
        <f t="shared" si="146"/>
        <v>17</v>
      </c>
      <c r="B1186" s="381" t="str">
        <f t="shared" si="143"/>
        <v/>
      </c>
      <c r="C1186" s="380" t="str">
        <f t="shared" si="144"/>
        <v/>
      </c>
      <c r="D1186" s="380" t="str">
        <f t="shared" si="145"/>
        <v/>
      </c>
    </row>
    <row r="1187" spans="1:7" ht="12.75" collapsed="1" thickBot="1">
      <c r="B1187" s="382" t="s">
        <v>2</v>
      </c>
      <c r="C1187" s="372">
        <f>SUM(C1166,C1169)</f>
        <v>0</v>
      </c>
      <c r="D1187" s="383">
        <f>SUM(D1166,D1169)</f>
        <v>0</v>
      </c>
    </row>
    <row r="1188" spans="1:7" ht="12.75" thickBot="1">
      <c r="B1188" s="382" t="s">
        <v>30</v>
      </c>
      <c r="C1188" s="819">
        <f>NAV!E1092</f>
        <v>0</v>
      </c>
      <c r="D1188" s="820"/>
    </row>
    <row r="1189" spans="1:7" ht="12.75" thickBot="1">
      <c r="B1189" s="382" t="s">
        <v>31</v>
      </c>
      <c r="C1189" s="819">
        <f>D1187-C1188</f>
        <v>0</v>
      </c>
      <c r="D1189" s="820"/>
    </row>
    <row r="1190" spans="1:7" ht="12.75" thickBot="1">
      <c r="B1190" s="382" t="s">
        <v>745</v>
      </c>
      <c r="C1190" s="819">
        <f>NAV!E1097</f>
        <v>0</v>
      </c>
      <c r="D1190" s="820"/>
      <c r="F1190" s="217"/>
    </row>
    <row r="1191" spans="1:7" ht="12.75" thickBot="1">
      <c r="B1191" s="382" t="s">
        <v>965</v>
      </c>
      <c r="C1191" s="819">
        <f>NAV!E1098</f>
        <v>0</v>
      </c>
      <c r="D1191" s="820"/>
    </row>
    <row r="1192" spans="1:7" ht="12.75" thickBot="1">
      <c r="B1192" s="382" t="s">
        <v>744</v>
      </c>
      <c r="C1192" s="819">
        <f>NAV!E1099</f>
        <v>0</v>
      </c>
      <c r="D1192" s="820"/>
    </row>
    <row r="1193" spans="1:7" ht="12.75" thickBot="1">
      <c r="B1193" s="382" t="str">
        <f>NAV!C1100</f>
        <v>보유지분율(%)</v>
      </c>
      <c r="C1193" s="823">
        <f>NAV!D1100</f>
        <v>0</v>
      </c>
      <c r="D1193" s="824"/>
    </row>
    <row r="1194" spans="1:7" ht="12.75" thickBot="1">
      <c r="B1194" s="382" t="s">
        <v>746</v>
      </c>
      <c r="C1194" s="825">
        <f>NAV!E1100</f>
        <v>0</v>
      </c>
      <c r="D1194" s="826"/>
    </row>
    <row r="1200" spans="1:7">
      <c r="A1200" s="149">
        <f>A1162+1</f>
        <v>25</v>
      </c>
      <c r="B1200" s="399" t="str">
        <f>NAV!B1111</f>
        <v>SPC없음</v>
      </c>
      <c r="G1200" s="399" t="str">
        <f>B1200</f>
        <v>SPC없음</v>
      </c>
    </row>
    <row r="1201" spans="1:18">
      <c r="B1201" s="399" t="str">
        <f>NAV!C1112</f>
        <v>SPC없음</v>
      </c>
      <c r="G1201" s="399" t="str">
        <f>B1201</f>
        <v>SPC없음</v>
      </c>
    </row>
    <row r="1202" spans="1:18" ht="12.75" thickBot="1">
      <c r="B1202" s="215" t="s">
        <v>750</v>
      </c>
      <c r="C1202" s="216"/>
      <c r="D1202" s="216"/>
      <c r="E1202" s="216"/>
      <c r="F1202" s="216"/>
      <c r="G1202" s="215" t="s">
        <v>751</v>
      </c>
      <c r="H1202" s="216"/>
      <c r="I1202" s="216"/>
      <c r="K1202" s="215" t="s">
        <v>752</v>
      </c>
    </row>
    <row r="1203" spans="1:18" ht="12.75" thickBot="1">
      <c r="B1203" s="366" t="s">
        <v>27</v>
      </c>
      <c r="C1203" s="367" t="s">
        <v>28</v>
      </c>
      <c r="D1203" s="367" t="s">
        <v>29</v>
      </c>
      <c r="F1203" s="368" t="s">
        <v>3461</v>
      </c>
      <c r="G1203" s="353" t="str">
        <f>$G$74</f>
        <v>SPC명</v>
      </c>
      <c r="H1203" s="369" t="s">
        <v>3200</v>
      </c>
      <c r="I1203" s="369" t="s">
        <v>753</v>
      </c>
      <c r="J1203" s="368" t="s">
        <v>3461</v>
      </c>
      <c r="K1203" s="353" t="s">
        <v>3440</v>
      </c>
      <c r="L1203" s="353" t="str">
        <f>$L$74</f>
        <v>투자자산명</v>
      </c>
      <c r="M1203" s="358" t="s">
        <v>754</v>
      </c>
      <c r="N1203" s="358" t="s">
        <v>47</v>
      </c>
      <c r="O1203" s="369" t="s">
        <v>749</v>
      </c>
      <c r="P1203" s="400" t="s">
        <v>3460</v>
      </c>
      <c r="Q1203" s="370" t="s">
        <v>3463</v>
      </c>
      <c r="R1203" s="370" t="s">
        <v>6833</v>
      </c>
    </row>
    <row r="1204" spans="1:18" ht="12.75" thickBot="1">
      <c r="B1204" s="371" t="s">
        <v>3441</v>
      </c>
      <c r="C1204" s="372">
        <f>SUM(C1205:C1206)</f>
        <v>0</v>
      </c>
      <c r="D1204" s="372">
        <f>SUM(D1205:D1206)</f>
        <v>0</v>
      </c>
      <c r="F1204" s="149" t="str">
        <f>IF(G1204=0,"",COUNTA(G$1204:$G1204))</f>
        <v/>
      </c>
      <c r="G1204" s="373">
        <f>IF(NAV!L1117="SPC 없음",0,NAV!L1117)</f>
        <v>0</v>
      </c>
      <c r="H1204" s="374">
        <f>NAV!W1117</f>
        <v>0</v>
      </c>
      <c r="I1204" s="374" t="str">
        <f>NAV!S1117</f>
        <v>SPC 없음</v>
      </c>
      <c r="J1204" s="149" t="str">
        <f>IF(L1204=0,"",COUNTA(L$1204:$L1204)+COUNT($F$1204:$F$1209))</f>
        <v/>
      </c>
      <c r="K1204" s="373">
        <f>IF($B1201="SPC없음",0,$B1201)</f>
        <v>0</v>
      </c>
      <c r="L1204" s="375">
        <f>NAV!J1125</f>
        <v>0</v>
      </c>
      <c r="M1204" s="376">
        <f>NAV!N1125</f>
        <v>0</v>
      </c>
      <c r="N1204" s="376">
        <f>NAV!T1125</f>
        <v>0</v>
      </c>
      <c r="O1204" s="377">
        <f>IF(N1204="장부가액 준용","장부가액 준용",IF(N1204="취득원가 준용","취득원가 준용",NAV!R1125))</f>
        <v>0</v>
      </c>
      <c r="P1204" s="377">
        <f>NAV!W1125</f>
        <v>0</v>
      </c>
      <c r="Q1204" s="377">
        <f>NAV!S1125</f>
        <v>0</v>
      </c>
      <c r="R1204" s="737" t="str">
        <f>MID(NAV!U1125,FIND("(",NAV!U1125)+1,FIND(")", NAV!U1125)-FIND("(",NAV!U1125)-1)</f>
        <v>KRW</v>
      </c>
    </row>
    <row r="1205" spans="1:18" ht="12.75" thickBot="1">
      <c r="B1205" s="379" t="s">
        <v>3443</v>
      </c>
      <c r="C1205" s="380">
        <f>NAV!D1118</f>
        <v>0</v>
      </c>
      <c r="D1205" s="380">
        <f>NAV!E1118</f>
        <v>0</v>
      </c>
      <c r="F1205" s="149" t="str">
        <f>IF(G1205=0,"",COUNTA(G$1204:$G1205))</f>
        <v/>
      </c>
      <c r="G1205" s="373">
        <f>IF(NAV!L1118="SPC 없음",0,NAV!L1118)</f>
        <v>0</v>
      </c>
      <c r="H1205" s="374">
        <f>NAV!W1118</f>
        <v>0</v>
      </c>
      <c r="I1205" s="374" t="str">
        <f>NAV!S1118</f>
        <v>SPC 없음</v>
      </c>
      <c r="J1205" s="149" t="str">
        <f>IF(L1205=0,"",COUNTA(L$1204:$L1205)+COUNT($F$1204:$F$1209))</f>
        <v/>
      </c>
      <c r="K1205" s="373">
        <f t="shared" ref="K1205:K1214" si="147">K1204</f>
        <v>0</v>
      </c>
      <c r="L1205" s="375">
        <f>NAV!J1126</f>
        <v>0</v>
      </c>
      <c r="M1205" s="376">
        <f>NAV!N1126</f>
        <v>0</v>
      </c>
      <c r="N1205" s="376">
        <f>NAV!T1126</f>
        <v>0</v>
      </c>
      <c r="O1205" s="377">
        <f>IF(N1205="장부가액 준용","장부가액 준용",IF(N1205="취득원가 준용","취득원가 준용",NAV!R1126))</f>
        <v>0</v>
      </c>
      <c r="P1205" s="377">
        <f>NAV!W1126</f>
        <v>0</v>
      </c>
      <c r="Q1205" s="377">
        <f>NAV!S1126</f>
        <v>0</v>
      </c>
      <c r="R1205" s="737" t="str">
        <f>MID(NAV!U1126,FIND("(",NAV!U1126)+1,FIND(")", NAV!U1126)-FIND("(",NAV!U1126)-1)</f>
        <v>KRW</v>
      </c>
    </row>
    <row r="1206" spans="1:18" ht="12.75" thickBot="1">
      <c r="B1206" s="379" t="s">
        <v>156</v>
      </c>
      <c r="C1206" s="380">
        <f>NAV!D1119</f>
        <v>0</v>
      </c>
      <c r="D1206" s="380">
        <f>NAV!E1119</f>
        <v>0</v>
      </c>
      <c r="F1206" s="149" t="str">
        <f>IF(G1206=0,"",COUNTA(G$1204:$G1206))</f>
        <v/>
      </c>
      <c r="G1206" s="373">
        <f>IF(NAV!L1119="SPC 없음",0,NAV!L1119)</f>
        <v>0</v>
      </c>
      <c r="H1206" s="374">
        <f>NAV!W1119</f>
        <v>0</v>
      </c>
      <c r="I1206" s="374" t="str">
        <f>NAV!S1119</f>
        <v>SPC 없음</v>
      </c>
      <c r="J1206" s="149" t="str">
        <f>IF(L1206=0,"",COUNTA(L$1204:$L1206)+COUNT($F$1204:$F$1209))</f>
        <v/>
      </c>
      <c r="K1206" s="373">
        <f t="shared" si="147"/>
        <v>0</v>
      </c>
      <c r="L1206" s="375">
        <f>NAV!J1127</f>
        <v>0</v>
      </c>
      <c r="M1206" s="376">
        <f>NAV!N1127</f>
        <v>0</v>
      </c>
      <c r="N1206" s="376">
        <f>NAV!T1127</f>
        <v>0</v>
      </c>
      <c r="O1206" s="377">
        <f>IF(N1206="장부가액 준용","장부가액 준용",IF(N1206="취득원가 준용","취득원가 준용",NAV!R1127))</f>
        <v>0</v>
      </c>
      <c r="P1206" s="377">
        <f>NAV!W1127</f>
        <v>0</v>
      </c>
      <c r="Q1206" s="377">
        <f>NAV!S1127</f>
        <v>0</v>
      </c>
      <c r="R1206" s="737" t="str">
        <f>MID(NAV!U1127,FIND("(",NAV!U1127)+1,FIND(")", NAV!U1127)-FIND("(",NAV!U1127)-1)</f>
        <v>KRW</v>
      </c>
    </row>
    <row r="1207" spans="1:18" ht="12.75" thickBot="1">
      <c r="B1207" s="371" t="s">
        <v>3442</v>
      </c>
      <c r="C1207" s="372">
        <f>NAV!D1120</f>
        <v>0</v>
      </c>
      <c r="D1207" s="372">
        <f>NAV!E1120</f>
        <v>0</v>
      </c>
      <c r="F1207" s="149" t="str">
        <f>IF(G1207=0,"",COUNTA(G$1204:$G1207))</f>
        <v/>
      </c>
      <c r="G1207" s="373">
        <f>IF(NAV!L1120="SPC 없음",0,NAV!L1120)</f>
        <v>0</v>
      </c>
      <c r="H1207" s="374">
        <f>NAV!W1120</f>
        <v>0</v>
      </c>
      <c r="I1207" s="374" t="str">
        <f>NAV!S1120</f>
        <v>SPC 없음</v>
      </c>
      <c r="J1207" s="149" t="str">
        <f>IF(L1207=0,"",COUNTA(L$1204:$L1207)+COUNT($F$1204:$F$1209))</f>
        <v/>
      </c>
      <c r="K1207" s="373">
        <f t="shared" si="147"/>
        <v>0</v>
      </c>
      <c r="L1207" s="375">
        <f>NAV!J1128</f>
        <v>0</v>
      </c>
      <c r="M1207" s="376">
        <f>NAV!N1128</f>
        <v>0</v>
      </c>
      <c r="N1207" s="376">
        <f>NAV!T1128</f>
        <v>0</v>
      </c>
      <c r="O1207" s="377">
        <f>IF(N1207="장부가액 준용","장부가액 준용",IF(N1207="취득원가 준용","취득원가 준용",NAV!R1128))</f>
        <v>0</v>
      </c>
      <c r="P1207" s="377">
        <f>NAV!W1128</f>
        <v>0</v>
      </c>
      <c r="Q1207" s="377">
        <f>NAV!S1128</f>
        <v>0</v>
      </c>
      <c r="R1207" s="737" t="str">
        <f>MID(NAV!U1128,FIND("(",NAV!U1128)+1,FIND(")", NAV!U1128)-FIND("(",NAV!U1128)-1)</f>
        <v>KRW</v>
      </c>
    </row>
    <row r="1208" spans="1:18" ht="12.75" thickBot="1">
      <c r="A1208" s="149">
        <v>1</v>
      </c>
      <c r="B1208" s="381" t="str">
        <f>IFERROR(IF(F1204=A1208,VLOOKUP(A1208,$F$1203:$I$1214,2,0),VLOOKUP(A1208,$J$1203:$Q$1214,3,0)&amp;" "&amp;VLOOKUP(A1208,$J$1203:$Q$1214,4,0)),"")</f>
        <v/>
      </c>
      <c r="C1208" s="380" t="str">
        <f>IFERROR(IF(F1204=A1208,VLOOKUP(A1208,$F$1203:$I$1214,3,0),VLOOKUP(A1208,$J$1203:$Q$1214,7,0)),"")</f>
        <v/>
      </c>
      <c r="D1208" s="380" t="str">
        <f>IFERROR(IF(F1204=A1208,VLOOKUP(A1208,$F$1203:$I$1214,4,0),VLOOKUP(A1208,$J$1203:$Q$1214,8,0)),"")</f>
        <v/>
      </c>
      <c r="F1208" s="149" t="str">
        <f>IF(G1208=0,"",COUNTA(G$1204:$G1208))</f>
        <v/>
      </c>
      <c r="G1208" s="373">
        <f>IF(NAV!L1121="SPC 없음",0,NAV!L1121)</f>
        <v>0</v>
      </c>
      <c r="H1208" s="374">
        <f>NAV!W1121</f>
        <v>0</v>
      </c>
      <c r="I1208" s="374" t="str">
        <f>NAV!S1121</f>
        <v>SPC 없음</v>
      </c>
      <c r="J1208" s="149" t="str">
        <f>IF(L1208=0,"",COUNTA(L$1204:$L1208)+COUNT($F$1204:$F$1209))</f>
        <v/>
      </c>
      <c r="K1208" s="373">
        <f t="shared" si="147"/>
        <v>0</v>
      </c>
      <c r="L1208" s="375">
        <f>NAV!J1129</f>
        <v>0</v>
      </c>
      <c r="M1208" s="376">
        <f>NAV!N1129</f>
        <v>0</v>
      </c>
      <c r="N1208" s="376">
        <f>NAV!T1129</f>
        <v>0</v>
      </c>
      <c r="O1208" s="377">
        <f>IF(N1208="장부가액 준용","장부가액 준용",IF(N1208="취득원가 준용","취득원가 준용",NAV!R1129))</f>
        <v>0</v>
      </c>
      <c r="P1208" s="377">
        <f>NAV!W1129</f>
        <v>0</v>
      </c>
      <c r="Q1208" s="377">
        <f>NAV!S1129</f>
        <v>0</v>
      </c>
      <c r="R1208" s="737" t="str">
        <f>MID(NAV!U1129,FIND("(",NAV!U1129)+1,FIND(")", NAV!U1129)-FIND("(",NAV!U1129)-1)</f>
        <v>KRW</v>
      </c>
    </row>
    <row r="1209" spans="1:18" ht="12.75" thickBot="1">
      <c r="A1209" s="149">
        <f>A1208+1</f>
        <v>2</v>
      </c>
      <c r="B1209" s="381" t="str">
        <f t="shared" ref="B1209:B1224" si="148">IFERROR(IF(F1205=A1209,VLOOKUP(A1209,$F$1203:$I$1214,2,0),VLOOKUP(A1209,$J$1203:$Q$1214,3,0)&amp;" "&amp;VLOOKUP(A1209,$J$1203:$Q$1214,4,0)),"")</f>
        <v/>
      </c>
      <c r="C1209" s="380" t="str">
        <f t="shared" ref="C1209:C1224" si="149">IFERROR(IF(F1205=A1209,VLOOKUP(A1209,$F$1203:$I$1214,3,0),VLOOKUP(A1209,$J$1203:$Q$1214,7,0)),"")</f>
        <v/>
      </c>
      <c r="D1209" s="380" t="str">
        <f t="shared" ref="D1209:D1224" si="150">IFERROR(IF(F1205=A1209,VLOOKUP(A1209,$F$1203:$I$1214,4,0),VLOOKUP(A1209,$J$1203:$Q$1214,8,0)),"")</f>
        <v/>
      </c>
      <c r="F1209" s="149" t="str">
        <f>IF(G1209=0,"",COUNTA(G$1204:$G1209))</f>
        <v/>
      </c>
      <c r="G1209" s="373">
        <f>IF(NAV!L1122="SPC 없음",0,NAV!L1122)</f>
        <v>0</v>
      </c>
      <c r="H1209" s="374">
        <f>NAV!W1122</f>
        <v>0</v>
      </c>
      <c r="I1209" s="374" t="str">
        <f>NAV!S1122</f>
        <v>SPC 없음</v>
      </c>
      <c r="J1209" s="149" t="str">
        <f>IF(L1209=0,"",COUNTA(L$1204:$L1209)+COUNT($F$1204:$F$1209))</f>
        <v/>
      </c>
      <c r="K1209" s="373">
        <f t="shared" si="147"/>
        <v>0</v>
      </c>
      <c r="L1209" s="375">
        <f>NAV!J1130</f>
        <v>0</v>
      </c>
      <c r="M1209" s="376">
        <f>NAV!N1130</f>
        <v>0</v>
      </c>
      <c r="N1209" s="376">
        <f>NAV!T1130</f>
        <v>0</v>
      </c>
      <c r="O1209" s="377">
        <f>IF(N1209="장부가액 준용","장부가액 준용",IF(N1209="취득원가 준용","취득원가 준용",NAV!R1130))</f>
        <v>0</v>
      </c>
      <c r="P1209" s="377">
        <f>NAV!W1130</f>
        <v>0</v>
      </c>
      <c r="Q1209" s="377">
        <f>NAV!S1130</f>
        <v>0</v>
      </c>
      <c r="R1209" s="737" t="str">
        <f>MID(NAV!U1130,FIND("(",NAV!U1130)+1,FIND(")", NAV!U1130)-FIND("(",NAV!U1130)-1)</f>
        <v>KRW</v>
      </c>
    </row>
    <row r="1210" spans="1:18" ht="12.75" thickBot="1">
      <c r="A1210" s="149">
        <f t="shared" ref="A1210:A1224" si="151">A1209+1</f>
        <v>3</v>
      </c>
      <c r="B1210" s="381" t="str">
        <f t="shared" si="148"/>
        <v/>
      </c>
      <c r="C1210" s="380" t="str">
        <f t="shared" si="149"/>
        <v/>
      </c>
      <c r="D1210" s="380" t="str">
        <f t="shared" si="150"/>
        <v/>
      </c>
      <c r="J1210" s="149" t="str">
        <f>IF(L1210=0,"",COUNTA(L$1204:$L1210)+COUNT($F$1204:$F$1209))</f>
        <v/>
      </c>
      <c r="K1210" s="373">
        <f t="shared" si="147"/>
        <v>0</v>
      </c>
      <c r="L1210" s="375">
        <f>NAV!J1131</f>
        <v>0</v>
      </c>
      <c r="M1210" s="376">
        <f>NAV!N1131</f>
        <v>0</v>
      </c>
      <c r="N1210" s="376">
        <f>NAV!T1131</f>
        <v>0</v>
      </c>
      <c r="O1210" s="377">
        <f>IF(N1210="장부가액 준용","장부가액 준용",IF(N1210="취득원가 준용","취득원가 준용",NAV!R1131))</f>
        <v>0</v>
      </c>
      <c r="P1210" s="377">
        <f>NAV!W1131</f>
        <v>0</v>
      </c>
      <c r="Q1210" s="377">
        <f>NAV!S1131</f>
        <v>0</v>
      </c>
      <c r="R1210" s="737" t="str">
        <f>MID(NAV!U1131,FIND("(",NAV!U1131)+1,FIND(")", NAV!U1131)-FIND("(",NAV!U1131)-1)</f>
        <v>KRW</v>
      </c>
    </row>
    <row r="1211" spans="1:18" ht="12.75" thickBot="1">
      <c r="A1211" s="149">
        <f t="shared" si="151"/>
        <v>4</v>
      </c>
      <c r="B1211" s="381" t="str">
        <f t="shared" si="148"/>
        <v/>
      </c>
      <c r="C1211" s="380" t="str">
        <f t="shared" si="149"/>
        <v/>
      </c>
      <c r="D1211" s="380" t="str">
        <f t="shared" si="150"/>
        <v/>
      </c>
      <c r="J1211" s="149" t="str">
        <f>IF(L1211=0,"",COUNTA(L$1204:$L1211)+COUNT($F$1204:$F$1209))</f>
        <v/>
      </c>
      <c r="K1211" s="373">
        <f t="shared" si="147"/>
        <v>0</v>
      </c>
      <c r="L1211" s="375">
        <f>NAV!J1132</f>
        <v>0</v>
      </c>
      <c r="M1211" s="376">
        <f>NAV!N1132</f>
        <v>0</v>
      </c>
      <c r="N1211" s="376">
        <f>NAV!T1132</f>
        <v>0</v>
      </c>
      <c r="O1211" s="377">
        <f>IF(N1211="장부가액 준용","장부가액 준용",IF(N1211="취득원가 준용","취득원가 준용",NAV!R1132))</f>
        <v>0</v>
      </c>
      <c r="P1211" s="377">
        <f>NAV!W1132</f>
        <v>0</v>
      </c>
      <c r="Q1211" s="377">
        <f>NAV!S1132</f>
        <v>0</v>
      </c>
      <c r="R1211" s="737" t="str">
        <f>MID(NAV!U1132,FIND("(",NAV!U1132)+1,FIND(")", NAV!U1132)-FIND("(",NAV!U1132)-1)</f>
        <v>KRW</v>
      </c>
    </row>
    <row r="1212" spans="1:18" ht="12.75" thickBot="1">
      <c r="A1212" s="149">
        <f t="shared" si="151"/>
        <v>5</v>
      </c>
      <c r="B1212" s="381" t="str">
        <f t="shared" si="148"/>
        <v/>
      </c>
      <c r="C1212" s="380" t="str">
        <f t="shared" si="149"/>
        <v/>
      </c>
      <c r="D1212" s="380" t="str">
        <f t="shared" si="150"/>
        <v/>
      </c>
      <c r="J1212" s="149" t="str">
        <f>IF(L1212=0,"",COUNTA(L$1204:$L1212)+COUNT($F$1204:$F$1209))</f>
        <v/>
      </c>
      <c r="K1212" s="373">
        <f t="shared" si="147"/>
        <v>0</v>
      </c>
      <c r="L1212" s="375">
        <f>NAV!J1133</f>
        <v>0</v>
      </c>
      <c r="M1212" s="376">
        <f>NAV!N1133</f>
        <v>0</v>
      </c>
      <c r="N1212" s="376">
        <f>NAV!T1133</f>
        <v>0</v>
      </c>
      <c r="O1212" s="377">
        <f>IF(N1212="장부가액 준용","장부가액 준용",IF(N1212="취득원가 준용","취득원가 준용",NAV!R1133))</f>
        <v>0</v>
      </c>
      <c r="P1212" s="377">
        <f>NAV!W1133</f>
        <v>0</v>
      </c>
      <c r="Q1212" s="377">
        <f>NAV!S1133</f>
        <v>0</v>
      </c>
      <c r="R1212" s="737" t="str">
        <f>MID(NAV!U1133,FIND("(",NAV!U1133)+1,FIND(")", NAV!U1133)-FIND("(",NAV!U1133)-1)</f>
        <v>KRW</v>
      </c>
    </row>
    <row r="1213" spans="1:18" ht="12.75" thickBot="1">
      <c r="A1213" s="149">
        <f t="shared" si="151"/>
        <v>6</v>
      </c>
      <c r="B1213" s="381" t="str">
        <f t="shared" si="148"/>
        <v/>
      </c>
      <c r="C1213" s="380" t="str">
        <f t="shared" si="149"/>
        <v/>
      </c>
      <c r="D1213" s="380" t="str">
        <f t="shared" si="150"/>
        <v/>
      </c>
      <c r="J1213" s="149" t="str">
        <f>IF(L1213=0,"",COUNTA(L$1204:$L1213)+COUNT($F$1204:$F$1209))</f>
        <v/>
      </c>
      <c r="K1213" s="373">
        <f t="shared" si="147"/>
        <v>0</v>
      </c>
      <c r="L1213" s="375">
        <f>NAV!J1134</f>
        <v>0</v>
      </c>
      <c r="M1213" s="376">
        <f>NAV!N1134</f>
        <v>0</v>
      </c>
      <c r="N1213" s="376">
        <f>NAV!T1134</f>
        <v>0</v>
      </c>
      <c r="O1213" s="377">
        <f>IF(N1213="장부가액 준용","장부가액 준용",IF(N1213="취득원가 준용","취득원가 준용",NAV!R1134))</f>
        <v>0</v>
      </c>
      <c r="P1213" s="377">
        <f>NAV!W1134</f>
        <v>0</v>
      </c>
      <c r="Q1213" s="377">
        <f>NAV!S1134</f>
        <v>0</v>
      </c>
      <c r="R1213" s="737" t="str">
        <f>MID(NAV!U1134,FIND("(",NAV!U1134)+1,FIND(")", NAV!U1134)-FIND("(",NAV!U1134)-1)</f>
        <v>KRW</v>
      </c>
    </row>
    <row r="1214" spans="1:18" ht="12.75" thickBot="1">
      <c r="A1214" s="149">
        <f t="shared" si="151"/>
        <v>7</v>
      </c>
      <c r="B1214" s="381" t="str">
        <f t="shared" si="148"/>
        <v/>
      </c>
      <c r="C1214" s="380" t="str">
        <f t="shared" si="149"/>
        <v/>
      </c>
      <c r="D1214" s="380" t="str">
        <f t="shared" si="150"/>
        <v/>
      </c>
      <c r="J1214" s="149" t="str">
        <f>IF(L1214=0,"",COUNTA(L$1204:$L1214)+COUNT($F$1204:$F$1209))</f>
        <v/>
      </c>
      <c r="K1214" s="373">
        <f t="shared" si="147"/>
        <v>0</v>
      </c>
      <c r="L1214" s="375">
        <f>NAV!J1135</f>
        <v>0</v>
      </c>
      <c r="M1214" s="376">
        <f>NAV!N1135</f>
        <v>0</v>
      </c>
      <c r="N1214" s="376">
        <f>NAV!T1135</f>
        <v>0</v>
      </c>
      <c r="O1214" s="377">
        <f>IF(N1214="장부가액 준용","장부가액 준용",IF(N1214="취득원가 준용","취득원가 준용",NAV!R1135))</f>
        <v>0</v>
      </c>
      <c r="P1214" s="377">
        <f>NAV!W1135</f>
        <v>0</v>
      </c>
      <c r="Q1214" s="377">
        <f>NAV!S1135</f>
        <v>0</v>
      </c>
      <c r="R1214" s="737" t="str">
        <f>MID(NAV!U1135,FIND("(",NAV!U1135)+1,FIND(")", NAV!U1135)-FIND("(",NAV!U1135)-1)</f>
        <v>KRW</v>
      </c>
    </row>
    <row r="1215" spans="1:18" ht="12.75" hidden="1" customHeight="1" outlineLevel="1" thickBot="1">
      <c r="A1215" s="149">
        <f t="shared" si="151"/>
        <v>8</v>
      </c>
      <c r="B1215" s="381" t="str">
        <f t="shared" si="148"/>
        <v/>
      </c>
      <c r="C1215" s="380" t="str">
        <f t="shared" si="149"/>
        <v/>
      </c>
      <c r="D1215" s="380" t="str">
        <f t="shared" si="150"/>
        <v/>
      </c>
    </row>
    <row r="1216" spans="1:18" ht="12.75" hidden="1" customHeight="1" outlineLevel="1" thickBot="1">
      <c r="A1216" s="149">
        <f t="shared" si="151"/>
        <v>9</v>
      </c>
      <c r="B1216" s="381" t="str">
        <f t="shared" si="148"/>
        <v/>
      </c>
      <c r="C1216" s="380" t="str">
        <f t="shared" si="149"/>
        <v/>
      </c>
      <c r="D1216" s="380" t="str">
        <f t="shared" si="150"/>
        <v/>
      </c>
    </row>
    <row r="1217" spans="1:6" ht="12.75" hidden="1" customHeight="1" outlineLevel="1" thickBot="1">
      <c r="A1217" s="149">
        <f t="shared" si="151"/>
        <v>10</v>
      </c>
      <c r="B1217" s="381" t="str">
        <f t="shared" si="148"/>
        <v/>
      </c>
      <c r="C1217" s="380" t="str">
        <f t="shared" si="149"/>
        <v/>
      </c>
      <c r="D1217" s="380" t="str">
        <f t="shared" si="150"/>
        <v/>
      </c>
    </row>
    <row r="1218" spans="1:6" ht="12.75" hidden="1" customHeight="1" outlineLevel="1" thickBot="1">
      <c r="A1218" s="149">
        <f t="shared" si="151"/>
        <v>11</v>
      </c>
      <c r="B1218" s="381" t="str">
        <f t="shared" si="148"/>
        <v/>
      </c>
      <c r="C1218" s="380" t="str">
        <f t="shared" si="149"/>
        <v/>
      </c>
      <c r="D1218" s="380" t="str">
        <f t="shared" si="150"/>
        <v/>
      </c>
    </row>
    <row r="1219" spans="1:6" ht="12.75" hidden="1" customHeight="1" outlineLevel="1" thickBot="1">
      <c r="A1219" s="149">
        <f t="shared" si="151"/>
        <v>12</v>
      </c>
      <c r="B1219" s="381" t="str">
        <f t="shared" si="148"/>
        <v/>
      </c>
      <c r="C1219" s="380" t="str">
        <f t="shared" si="149"/>
        <v/>
      </c>
      <c r="D1219" s="380" t="str">
        <f t="shared" si="150"/>
        <v/>
      </c>
    </row>
    <row r="1220" spans="1:6" ht="12.75" hidden="1" customHeight="1" outlineLevel="1" thickBot="1">
      <c r="A1220" s="149">
        <f t="shared" si="151"/>
        <v>13</v>
      </c>
      <c r="B1220" s="381" t="str">
        <f t="shared" si="148"/>
        <v/>
      </c>
      <c r="C1220" s="380" t="str">
        <f t="shared" si="149"/>
        <v/>
      </c>
      <c r="D1220" s="380" t="str">
        <f t="shared" si="150"/>
        <v/>
      </c>
    </row>
    <row r="1221" spans="1:6" ht="12.75" hidden="1" customHeight="1" outlineLevel="1" thickBot="1">
      <c r="A1221" s="149">
        <f t="shared" si="151"/>
        <v>14</v>
      </c>
      <c r="B1221" s="381" t="str">
        <f t="shared" si="148"/>
        <v/>
      </c>
      <c r="C1221" s="380" t="str">
        <f t="shared" si="149"/>
        <v/>
      </c>
      <c r="D1221" s="380" t="str">
        <f t="shared" si="150"/>
        <v/>
      </c>
    </row>
    <row r="1222" spans="1:6" ht="12.75" hidden="1" customHeight="1" outlineLevel="1" thickBot="1">
      <c r="A1222" s="149">
        <f t="shared" si="151"/>
        <v>15</v>
      </c>
      <c r="B1222" s="381" t="str">
        <f t="shared" si="148"/>
        <v/>
      </c>
      <c r="C1222" s="380" t="str">
        <f t="shared" si="149"/>
        <v/>
      </c>
      <c r="D1222" s="380" t="str">
        <f t="shared" si="150"/>
        <v/>
      </c>
    </row>
    <row r="1223" spans="1:6" ht="12.75" hidden="1" customHeight="1" outlineLevel="1" thickBot="1">
      <c r="A1223" s="149">
        <f t="shared" si="151"/>
        <v>16</v>
      </c>
      <c r="B1223" s="381" t="str">
        <f t="shared" si="148"/>
        <v/>
      </c>
      <c r="C1223" s="380" t="str">
        <f t="shared" si="149"/>
        <v/>
      </c>
      <c r="D1223" s="380" t="str">
        <f t="shared" si="150"/>
        <v/>
      </c>
    </row>
    <row r="1224" spans="1:6" ht="12.75" hidden="1" customHeight="1" outlineLevel="1" thickBot="1">
      <c r="A1224" s="149">
        <f t="shared" si="151"/>
        <v>17</v>
      </c>
      <c r="B1224" s="381" t="str">
        <f t="shared" si="148"/>
        <v/>
      </c>
      <c r="C1224" s="380" t="str">
        <f t="shared" si="149"/>
        <v/>
      </c>
      <c r="D1224" s="380" t="str">
        <f t="shared" si="150"/>
        <v/>
      </c>
    </row>
    <row r="1225" spans="1:6" ht="12.75" collapsed="1" thickBot="1">
      <c r="B1225" s="382" t="s">
        <v>2</v>
      </c>
      <c r="C1225" s="372">
        <f>SUM(C1204,C1207)</f>
        <v>0</v>
      </c>
      <c r="D1225" s="383">
        <f>SUM(D1204,D1207)</f>
        <v>0</v>
      </c>
    </row>
    <row r="1226" spans="1:6" ht="12.75" thickBot="1">
      <c r="B1226" s="382" t="s">
        <v>30</v>
      </c>
      <c r="C1226" s="819">
        <f>NAV!E1130</f>
        <v>0</v>
      </c>
      <c r="D1226" s="820"/>
    </row>
    <row r="1227" spans="1:6" ht="12.75" thickBot="1">
      <c r="B1227" s="382" t="s">
        <v>31</v>
      </c>
      <c r="C1227" s="819">
        <f>D1225-C1226</f>
        <v>0</v>
      </c>
      <c r="D1227" s="820"/>
    </row>
    <row r="1228" spans="1:6" ht="12.75" thickBot="1">
      <c r="B1228" s="382" t="s">
        <v>3490</v>
      </c>
      <c r="C1228" s="819">
        <f>NAV!E1135</f>
        <v>0</v>
      </c>
      <c r="D1228" s="820"/>
      <c r="F1228" s="217"/>
    </row>
    <row r="1229" spans="1:6" ht="12.75" thickBot="1">
      <c r="B1229" s="382" t="s">
        <v>965</v>
      </c>
      <c r="C1229" s="819">
        <f>NAV!E1136</f>
        <v>0</v>
      </c>
      <c r="D1229" s="820"/>
    </row>
    <row r="1230" spans="1:6" ht="12.75" thickBot="1">
      <c r="B1230" s="382" t="s">
        <v>744</v>
      </c>
      <c r="C1230" s="819">
        <f>NAV!E1137</f>
        <v>0</v>
      </c>
      <c r="D1230" s="820"/>
    </row>
    <row r="1231" spans="1:6" ht="12.75" thickBot="1">
      <c r="B1231" s="382" t="str">
        <f>NAV!C1138</f>
        <v>보유지분율(%)</v>
      </c>
      <c r="C1231" s="823">
        <f>NAV!D1138</f>
        <v>0</v>
      </c>
      <c r="D1231" s="824"/>
    </row>
    <row r="1232" spans="1:6" ht="12.75" thickBot="1">
      <c r="B1232" s="382" t="s">
        <v>746</v>
      </c>
      <c r="C1232" s="825">
        <f>NAV!E1138</f>
        <v>0</v>
      </c>
      <c r="D1232" s="826"/>
    </row>
    <row r="1238" spans="1:18">
      <c r="A1238" s="149">
        <f>A1200+1</f>
        <v>26</v>
      </c>
      <c r="B1238" s="399" t="str">
        <f>NAV!B1149</f>
        <v>SPC없음</v>
      </c>
      <c r="G1238" s="399" t="str">
        <f>B1238</f>
        <v>SPC없음</v>
      </c>
    </row>
    <row r="1239" spans="1:18">
      <c r="B1239" s="399" t="str">
        <f>NAV!C1150</f>
        <v>SPC없음</v>
      </c>
      <c r="G1239" s="399" t="str">
        <f>B1239</f>
        <v>SPC없음</v>
      </c>
    </row>
    <row r="1240" spans="1:18" ht="12.75" thickBot="1">
      <c r="B1240" s="215" t="s">
        <v>750</v>
      </c>
      <c r="C1240" s="216"/>
      <c r="D1240" s="216"/>
      <c r="E1240" s="216"/>
      <c r="F1240" s="216"/>
      <c r="G1240" s="215" t="s">
        <v>751</v>
      </c>
      <c r="H1240" s="216"/>
      <c r="I1240" s="216"/>
      <c r="K1240" s="215" t="s">
        <v>752</v>
      </c>
    </row>
    <row r="1241" spans="1:18" ht="12.75" thickBot="1">
      <c r="B1241" s="366" t="s">
        <v>27</v>
      </c>
      <c r="C1241" s="367" t="s">
        <v>28</v>
      </c>
      <c r="D1241" s="367" t="s">
        <v>29</v>
      </c>
      <c r="F1241" s="368" t="s">
        <v>3461</v>
      </c>
      <c r="G1241" s="353" t="str">
        <f>$G$74</f>
        <v>SPC명</v>
      </c>
      <c r="H1241" s="369" t="s">
        <v>3200</v>
      </c>
      <c r="I1241" s="369" t="s">
        <v>753</v>
      </c>
      <c r="J1241" s="368" t="s">
        <v>3461</v>
      </c>
      <c r="K1241" s="353" t="s">
        <v>3440</v>
      </c>
      <c r="L1241" s="353" t="str">
        <f>$L$74</f>
        <v>투자자산명</v>
      </c>
      <c r="M1241" s="358" t="s">
        <v>754</v>
      </c>
      <c r="N1241" s="358" t="s">
        <v>47</v>
      </c>
      <c r="O1241" s="369" t="s">
        <v>749</v>
      </c>
      <c r="P1241" s="400" t="s">
        <v>3460</v>
      </c>
      <c r="Q1241" s="370" t="s">
        <v>3463</v>
      </c>
      <c r="R1241" s="370" t="s">
        <v>6833</v>
      </c>
    </row>
    <row r="1242" spans="1:18" ht="12.75" thickBot="1">
      <c r="B1242" s="371" t="s">
        <v>3441</v>
      </c>
      <c r="C1242" s="372">
        <f>SUM(C1243:C1244)</f>
        <v>0</v>
      </c>
      <c r="D1242" s="372">
        <f>SUM(D1243:D1244)</f>
        <v>0</v>
      </c>
      <c r="F1242" s="149" t="str">
        <f>IF(G1242=0,"",COUNTA(G$1242:$G1242))</f>
        <v/>
      </c>
      <c r="G1242" s="373">
        <f>IF(NAV!L1155="SPC 없음",0,NAV!L1155)</f>
        <v>0</v>
      </c>
      <c r="H1242" s="374">
        <f>NAV!W1155</f>
        <v>0</v>
      </c>
      <c r="I1242" s="374" t="str">
        <f>NAV!S1155</f>
        <v>SPC 없음</v>
      </c>
      <c r="J1242" s="149" t="str">
        <f>IF(L1242=0,"",COUNTA(L$1242:$L1242)+COUNT($F$1242:$F$1247))</f>
        <v/>
      </c>
      <c r="K1242" s="373">
        <f>IF($B1239="SPC없음",0,$B1239)</f>
        <v>0</v>
      </c>
      <c r="L1242" s="375">
        <f>NAV!J1163</f>
        <v>0</v>
      </c>
      <c r="M1242" s="376">
        <f>NAV!N1163</f>
        <v>0</v>
      </c>
      <c r="N1242" s="376">
        <f>NAV!T1163</f>
        <v>0</v>
      </c>
      <c r="O1242" s="377">
        <f>IF(N1242="장부가액 준용","장부가액 준용",IF(N1242="취득원가 준용","취득원가 준용",NAV!R1163))</f>
        <v>0</v>
      </c>
      <c r="P1242" s="377">
        <f>NAV!W1163</f>
        <v>0</v>
      </c>
      <c r="Q1242" s="377">
        <f>NAV!S1163</f>
        <v>0</v>
      </c>
      <c r="R1242" s="737" t="str">
        <f>MID(NAV!U1163,FIND("(",NAV!U1163)+1,FIND(")", NAV!U1163)-FIND("(",NAV!U1163)-1)</f>
        <v>KRW</v>
      </c>
    </row>
    <row r="1243" spans="1:18" ht="12.75" thickBot="1">
      <c r="B1243" s="379" t="s">
        <v>3443</v>
      </c>
      <c r="C1243" s="380">
        <f>NAV!D1156</f>
        <v>0</v>
      </c>
      <c r="D1243" s="380">
        <f>NAV!E1156</f>
        <v>0</v>
      </c>
      <c r="F1243" s="149" t="str">
        <f>IF(G1243=0,"",COUNTA(G$1242:$G1243))</f>
        <v/>
      </c>
      <c r="G1243" s="373">
        <f>IF(NAV!L1156="SPC 없음",0,NAV!L1156)</f>
        <v>0</v>
      </c>
      <c r="H1243" s="374">
        <f>NAV!W1156</f>
        <v>0</v>
      </c>
      <c r="I1243" s="374" t="str">
        <f>NAV!S1156</f>
        <v>SPC 없음</v>
      </c>
      <c r="J1243" s="149" t="str">
        <f>IF(L1243=0,"",COUNTA(L$1242:$L1243)+COUNT($F$1242:$F$1247))</f>
        <v/>
      </c>
      <c r="K1243" s="373">
        <f t="shared" ref="K1243:K1252" si="152">K1242</f>
        <v>0</v>
      </c>
      <c r="L1243" s="375">
        <f>NAV!J1164</f>
        <v>0</v>
      </c>
      <c r="M1243" s="376">
        <f>NAV!N1164</f>
        <v>0</v>
      </c>
      <c r="N1243" s="376">
        <f>NAV!T1164</f>
        <v>0</v>
      </c>
      <c r="O1243" s="377">
        <f>IF(N1243="장부가액 준용","장부가액 준용",IF(N1243="취득원가 준용","취득원가 준용",NAV!R1164))</f>
        <v>0</v>
      </c>
      <c r="P1243" s="377">
        <f>NAV!W1164</f>
        <v>0</v>
      </c>
      <c r="Q1243" s="377">
        <f>NAV!S1164</f>
        <v>0</v>
      </c>
      <c r="R1243" s="737" t="str">
        <f>MID(NAV!U1164,FIND("(",NAV!U1164)+1,FIND(")", NAV!U1164)-FIND("(",NAV!U1164)-1)</f>
        <v>KRW</v>
      </c>
    </row>
    <row r="1244" spans="1:18" ht="12.75" thickBot="1">
      <c r="B1244" s="379" t="s">
        <v>156</v>
      </c>
      <c r="C1244" s="380">
        <f>NAV!D1157</f>
        <v>0</v>
      </c>
      <c r="D1244" s="380">
        <f>NAV!E1157</f>
        <v>0</v>
      </c>
      <c r="F1244" s="149" t="str">
        <f>IF(G1244=0,"",COUNTA(G$1242:$G1244))</f>
        <v/>
      </c>
      <c r="G1244" s="373">
        <f>IF(NAV!L1157="SPC 없음",0,NAV!L1157)</f>
        <v>0</v>
      </c>
      <c r="H1244" s="374">
        <f>NAV!W1157</f>
        <v>0</v>
      </c>
      <c r="I1244" s="374" t="str">
        <f>NAV!S1157</f>
        <v>SPC 없음</v>
      </c>
      <c r="J1244" s="149" t="str">
        <f>IF(L1244=0,"",COUNTA(L$1242:$L1244)+COUNT($F$1242:$F$1247))</f>
        <v/>
      </c>
      <c r="K1244" s="373">
        <f t="shared" si="152"/>
        <v>0</v>
      </c>
      <c r="L1244" s="375">
        <f>NAV!J1165</f>
        <v>0</v>
      </c>
      <c r="M1244" s="376">
        <f>NAV!N1165</f>
        <v>0</v>
      </c>
      <c r="N1244" s="376">
        <f>NAV!T1165</f>
        <v>0</v>
      </c>
      <c r="O1244" s="377">
        <f>IF(N1244="장부가액 준용","장부가액 준용",IF(N1244="취득원가 준용","취득원가 준용",NAV!R1165))</f>
        <v>0</v>
      </c>
      <c r="P1244" s="377">
        <f>NAV!W1165</f>
        <v>0</v>
      </c>
      <c r="Q1244" s="377">
        <f>NAV!S1165</f>
        <v>0</v>
      </c>
      <c r="R1244" s="737" t="str">
        <f>MID(NAV!U1165,FIND("(",NAV!U1165)+1,FIND(")", NAV!U1165)-FIND("(",NAV!U1165)-1)</f>
        <v>KRW</v>
      </c>
    </row>
    <row r="1245" spans="1:18" ht="12.75" thickBot="1">
      <c r="B1245" s="371" t="s">
        <v>3442</v>
      </c>
      <c r="C1245" s="372">
        <f>NAV!D1158</f>
        <v>0</v>
      </c>
      <c r="D1245" s="372">
        <f>NAV!E1158</f>
        <v>0</v>
      </c>
      <c r="F1245" s="149" t="str">
        <f>IF(G1245=0,"",COUNTA(G$1242:$G1245))</f>
        <v/>
      </c>
      <c r="G1245" s="373">
        <f>IF(NAV!L1158="SPC 없음",0,NAV!L1158)</f>
        <v>0</v>
      </c>
      <c r="H1245" s="374">
        <f>NAV!W1158</f>
        <v>0</v>
      </c>
      <c r="I1245" s="374" t="str">
        <f>NAV!S1158</f>
        <v>SPC 없음</v>
      </c>
      <c r="J1245" s="149" t="str">
        <f>IF(L1245=0,"",COUNTA(L$1242:$L1245)+COUNT($F$1242:$F$1247))</f>
        <v/>
      </c>
      <c r="K1245" s="373">
        <f t="shared" si="152"/>
        <v>0</v>
      </c>
      <c r="L1245" s="375">
        <f>NAV!J1166</f>
        <v>0</v>
      </c>
      <c r="M1245" s="376">
        <f>NAV!N1166</f>
        <v>0</v>
      </c>
      <c r="N1245" s="376">
        <f>NAV!T1166</f>
        <v>0</v>
      </c>
      <c r="O1245" s="377">
        <f>IF(N1245="장부가액 준용","장부가액 준용",IF(N1245="취득원가 준용","취득원가 준용",NAV!R1166))</f>
        <v>0</v>
      </c>
      <c r="P1245" s="377">
        <f>NAV!W1166</f>
        <v>0</v>
      </c>
      <c r="Q1245" s="377">
        <f>NAV!S1166</f>
        <v>0</v>
      </c>
      <c r="R1245" s="737" t="str">
        <f>MID(NAV!U1166,FIND("(",NAV!U1166)+1,FIND(")", NAV!U1166)-FIND("(",NAV!U1166)-1)</f>
        <v>KRW</v>
      </c>
    </row>
    <row r="1246" spans="1:18" ht="12.75" thickBot="1">
      <c r="A1246" s="149">
        <v>1</v>
      </c>
      <c r="B1246" s="381" t="str">
        <f>IFERROR(IF(F1242=A1246,VLOOKUP(A1246,$F$1241:$I$1252,2,0),VLOOKUP(A1246,$J$1241:$Q$1252,3,0)&amp;" "&amp;VLOOKUP(A1246,$J$1241:$Q$1252,4,0)),"")</f>
        <v/>
      </c>
      <c r="C1246" s="380" t="str">
        <f>IFERROR(IF(F1242=A1246,VLOOKUP(A1246,$F$1241:$I$1252,3,0),VLOOKUP(A1246,$J$1241:$Q$1252,7,0)),"")</f>
        <v/>
      </c>
      <c r="D1246" s="380" t="str">
        <f>IFERROR(IF(F1242=A1246,VLOOKUP(A1246,$F$1241:$I$1252,4,0),VLOOKUP(A1246,$J$1241:$Q$1252,8,0)),"")</f>
        <v/>
      </c>
      <c r="F1246" s="149" t="str">
        <f>IF(G1246=0,"",COUNTA(G$1242:$G1246))</f>
        <v/>
      </c>
      <c r="G1246" s="373">
        <f>IF(NAV!L1159="SPC 없음",0,NAV!L1159)</f>
        <v>0</v>
      </c>
      <c r="H1246" s="374">
        <f>NAV!W1159</f>
        <v>0</v>
      </c>
      <c r="I1246" s="374" t="str">
        <f>NAV!S1159</f>
        <v>SPC 없음</v>
      </c>
      <c r="J1246" s="149" t="str">
        <f>IF(L1246=0,"",COUNTA(L$1242:$L1246)+COUNT($F$1242:$F$1247))</f>
        <v/>
      </c>
      <c r="K1246" s="373">
        <f t="shared" si="152"/>
        <v>0</v>
      </c>
      <c r="L1246" s="375">
        <f>NAV!J1167</f>
        <v>0</v>
      </c>
      <c r="M1246" s="376">
        <f>NAV!N1167</f>
        <v>0</v>
      </c>
      <c r="N1246" s="376">
        <f>NAV!T1167</f>
        <v>0</v>
      </c>
      <c r="O1246" s="377">
        <f>IF(N1246="장부가액 준용","장부가액 준용",IF(N1246="취득원가 준용","취득원가 준용",NAV!R1167))</f>
        <v>0</v>
      </c>
      <c r="P1246" s="377">
        <f>NAV!W1167</f>
        <v>0</v>
      </c>
      <c r="Q1246" s="377">
        <f>NAV!S1167</f>
        <v>0</v>
      </c>
      <c r="R1246" s="737" t="str">
        <f>MID(NAV!U1167,FIND("(",NAV!U1167)+1,FIND(")", NAV!U1167)-FIND("(",NAV!U1167)-1)</f>
        <v>KRW</v>
      </c>
    </row>
    <row r="1247" spans="1:18" ht="12.75" thickBot="1">
      <c r="A1247" s="149">
        <f>A1246+1</f>
        <v>2</v>
      </c>
      <c r="B1247" s="381" t="str">
        <f t="shared" ref="B1247:B1262" si="153">IFERROR(IF(F1243=A1247,VLOOKUP(A1247,$F$1241:$I$1252,2,0),VLOOKUP(A1247,$J$1241:$Q$1252,3,0)&amp;" "&amp;VLOOKUP(A1247,$J$1241:$Q$1252,4,0)),"")</f>
        <v/>
      </c>
      <c r="C1247" s="380" t="str">
        <f t="shared" ref="C1247:C1262" si="154">IFERROR(IF(F1243=A1247,VLOOKUP(A1247,$F$1241:$I$1252,3,0),VLOOKUP(A1247,$J$1241:$Q$1252,7,0)),"")</f>
        <v/>
      </c>
      <c r="D1247" s="380" t="str">
        <f t="shared" ref="D1247:D1262" si="155">IFERROR(IF(F1243=A1247,VLOOKUP(A1247,$F$1241:$I$1252,4,0),VLOOKUP(A1247,$J$1241:$Q$1252,8,0)),"")</f>
        <v/>
      </c>
      <c r="F1247" s="149" t="str">
        <f>IF(G1247=0,"",COUNTA(G$1242:$G1247))</f>
        <v/>
      </c>
      <c r="G1247" s="373">
        <f>IF(NAV!L1160="SPC 없음",0,NAV!L1160)</f>
        <v>0</v>
      </c>
      <c r="H1247" s="374">
        <f>NAV!W1160</f>
        <v>0</v>
      </c>
      <c r="I1247" s="374" t="str">
        <f>NAV!S1160</f>
        <v>SPC 없음</v>
      </c>
      <c r="J1247" s="149" t="str">
        <f>IF(L1247=0,"",COUNTA(L$1242:$L1247)+COUNT($F$1242:$F$1247))</f>
        <v/>
      </c>
      <c r="K1247" s="373">
        <f t="shared" si="152"/>
        <v>0</v>
      </c>
      <c r="L1247" s="375">
        <f>NAV!J1168</f>
        <v>0</v>
      </c>
      <c r="M1247" s="376">
        <f>NAV!N1168</f>
        <v>0</v>
      </c>
      <c r="N1247" s="376">
        <f>NAV!T1168</f>
        <v>0</v>
      </c>
      <c r="O1247" s="377">
        <f>IF(N1247="장부가액 준용","장부가액 준용",IF(N1247="취득원가 준용","취득원가 준용",NAV!R1168))</f>
        <v>0</v>
      </c>
      <c r="P1247" s="377">
        <f>NAV!W1168</f>
        <v>0</v>
      </c>
      <c r="Q1247" s="377">
        <f>NAV!S1168</f>
        <v>0</v>
      </c>
      <c r="R1247" s="737" t="str">
        <f>MID(NAV!U1168,FIND("(",NAV!U1168)+1,FIND(")", NAV!U1168)-FIND("(",NAV!U1168)-1)</f>
        <v>KRW</v>
      </c>
    </row>
    <row r="1248" spans="1:18" ht="12.75" thickBot="1">
      <c r="A1248" s="149">
        <f t="shared" ref="A1248:A1262" si="156">A1247+1</f>
        <v>3</v>
      </c>
      <c r="B1248" s="381" t="str">
        <f t="shared" si="153"/>
        <v/>
      </c>
      <c r="C1248" s="380" t="str">
        <f t="shared" si="154"/>
        <v/>
      </c>
      <c r="D1248" s="380" t="str">
        <f t="shared" si="155"/>
        <v/>
      </c>
      <c r="J1248" s="149" t="str">
        <f>IF(L1248=0,"",COUNTA(L$1242:$L1248)+COUNT($F$1242:$F$1247))</f>
        <v/>
      </c>
      <c r="K1248" s="373">
        <f t="shared" si="152"/>
        <v>0</v>
      </c>
      <c r="L1248" s="375">
        <f>NAV!J1169</f>
        <v>0</v>
      </c>
      <c r="M1248" s="376">
        <f>NAV!N1169</f>
        <v>0</v>
      </c>
      <c r="N1248" s="376">
        <f>NAV!T1169</f>
        <v>0</v>
      </c>
      <c r="O1248" s="377">
        <f>IF(N1248="장부가액 준용","장부가액 준용",IF(N1248="취득원가 준용","취득원가 준용",NAV!R1169))</f>
        <v>0</v>
      </c>
      <c r="P1248" s="377">
        <f>NAV!W1169</f>
        <v>0</v>
      </c>
      <c r="Q1248" s="377">
        <f>NAV!S1169</f>
        <v>0</v>
      </c>
      <c r="R1248" s="737" t="str">
        <f>MID(NAV!U1169,FIND("(",NAV!U1169)+1,FIND(")", NAV!U1169)-FIND("(",NAV!U1169)-1)</f>
        <v>KRW</v>
      </c>
    </row>
    <row r="1249" spans="1:18" ht="12.75" thickBot="1">
      <c r="A1249" s="149">
        <f t="shared" si="156"/>
        <v>4</v>
      </c>
      <c r="B1249" s="381" t="str">
        <f t="shared" si="153"/>
        <v/>
      </c>
      <c r="C1249" s="380" t="str">
        <f t="shared" si="154"/>
        <v/>
      </c>
      <c r="D1249" s="380" t="str">
        <f t="shared" si="155"/>
        <v/>
      </c>
      <c r="J1249" s="149" t="str">
        <f>IF(L1249=0,"",COUNTA(L$1242:$L1249)+COUNT($F$1242:$F$1247))</f>
        <v/>
      </c>
      <c r="K1249" s="373">
        <f t="shared" si="152"/>
        <v>0</v>
      </c>
      <c r="L1249" s="375">
        <f>NAV!J1170</f>
        <v>0</v>
      </c>
      <c r="M1249" s="376">
        <f>NAV!N1170</f>
        <v>0</v>
      </c>
      <c r="N1249" s="376">
        <f>NAV!T1170</f>
        <v>0</v>
      </c>
      <c r="O1249" s="377">
        <f>IF(N1249="장부가액 준용","장부가액 준용",IF(N1249="취득원가 준용","취득원가 준용",NAV!R1170))</f>
        <v>0</v>
      </c>
      <c r="P1249" s="377">
        <f>NAV!W1170</f>
        <v>0</v>
      </c>
      <c r="Q1249" s="377">
        <f>NAV!S1170</f>
        <v>0</v>
      </c>
      <c r="R1249" s="737" t="str">
        <f>MID(NAV!U1170,FIND("(",NAV!U1170)+1,FIND(")", NAV!U1170)-FIND("(",NAV!U1170)-1)</f>
        <v>KRW</v>
      </c>
    </row>
    <row r="1250" spans="1:18" ht="12.75" thickBot="1">
      <c r="A1250" s="149">
        <f t="shared" si="156"/>
        <v>5</v>
      </c>
      <c r="B1250" s="381" t="str">
        <f t="shared" si="153"/>
        <v/>
      </c>
      <c r="C1250" s="380" t="str">
        <f t="shared" si="154"/>
        <v/>
      </c>
      <c r="D1250" s="380" t="str">
        <f t="shared" si="155"/>
        <v/>
      </c>
      <c r="J1250" s="149" t="str">
        <f>IF(L1250=0,"",COUNTA(L$1242:$L1250)+COUNT($F$1242:$F$1247))</f>
        <v/>
      </c>
      <c r="K1250" s="373">
        <f t="shared" si="152"/>
        <v>0</v>
      </c>
      <c r="L1250" s="375">
        <f>NAV!J1171</f>
        <v>0</v>
      </c>
      <c r="M1250" s="376">
        <f>NAV!N1171</f>
        <v>0</v>
      </c>
      <c r="N1250" s="376">
        <f>NAV!T1171</f>
        <v>0</v>
      </c>
      <c r="O1250" s="377">
        <f>IF(N1250="장부가액 준용","장부가액 준용",IF(N1250="취득원가 준용","취득원가 준용",NAV!R1171))</f>
        <v>0</v>
      </c>
      <c r="P1250" s="377">
        <f>NAV!W1171</f>
        <v>0</v>
      </c>
      <c r="Q1250" s="377">
        <f>NAV!S1171</f>
        <v>0</v>
      </c>
      <c r="R1250" s="737" t="str">
        <f>MID(NAV!U1171,FIND("(",NAV!U1171)+1,FIND(")", NAV!U1171)-FIND("(",NAV!U1171)-1)</f>
        <v>KRW</v>
      </c>
    </row>
    <row r="1251" spans="1:18" ht="12.75" thickBot="1">
      <c r="A1251" s="149">
        <f t="shared" si="156"/>
        <v>6</v>
      </c>
      <c r="B1251" s="381" t="str">
        <f t="shared" si="153"/>
        <v/>
      </c>
      <c r="C1251" s="380" t="str">
        <f t="shared" si="154"/>
        <v/>
      </c>
      <c r="D1251" s="380" t="str">
        <f t="shared" si="155"/>
        <v/>
      </c>
      <c r="J1251" s="149" t="str">
        <f>IF(L1251=0,"",COUNTA(L$1242:$L1251)+COUNT($F$1242:$F$1247))</f>
        <v/>
      </c>
      <c r="K1251" s="373">
        <f t="shared" si="152"/>
        <v>0</v>
      </c>
      <c r="L1251" s="375">
        <f>NAV!J1172</f>
        <v>0</v>
      </c>
      <c r="M1251" s="376">
        <f>NAV!N1172</f>
        <v>0</v>
      </c>
      <c r="N1251" s="376">
        <f>NAV!T1172</f>
        <v>0</v>
      </c>
      <c r="O1251" s="377">
        <f>IF(N1251="장부가액 준용","장부가액 준용",IF(N1251="취득원가 준용","취득원가 준용",NAV!R1172))</f>
        <v>0</v>
      </c>
      <c r="P1251" s="377">
        <f>NAV!W1172</f>
        <v>0</v>
      </c>
      <c r="Q1251" s="377">
        <f>NAV!S1172</f>
        <v>0</v>
      </c>
      <c r="R1251" s="737" t="str">
        <f>MID(NAV!U1172,FIND("(",NAV!U1172)+1,FIND(")", NAV!U1172)-FIND("(",NAV!U1172)-1)</f>
        <v>KRW</v>
      </c>
    </row>
    <row r="1252" spans="1:18" ht="12.75" thickBot="1">
      <c r="A1252" s="149">
        <f t="shared" si="156"/>
        <v>7</v>
      </c>
      <c r="B1252" s="381" t="str">
        <f t="shared" si="153"/>
        <v/>
      </c>
      <c r="C1252" s="380" t="str">
        <f t="shared" si="154"/>
        <v/>
      </c>
      <c r="D1252" s="380" t="str">
        <f t="shared" si="155"/>
        <v/>
      </c>
      <c r="J1252" s="149" t="str">
        <f>IF(L1252=0,"",COUNTA(L$1242:$L1252)+COUNT($F$1242:$F$1247))</f>
        <v/>
      </c>
      <c r="K1252" s="373">
        <f t="shared" si="152"/>
        <v>0</v>
      </c>
      <c r="L1252" s="375">
        <f>NAV!J1173</f>
        <v>0</v>
      </c>
      <c r="M1252" s="376">
        <f>NAV!N1173</f>
        <v>0</v>
      </c>
      <c r="N1252" s="376">
        <f>NAV!T1173</f>
        <v>0</v>
      </c>
      <c r="O1252" s="377">
        <f>IF(N1252="장부가액 준용","장부가액 준용",IF(N1252="취득원가 준용","취득원가 준용",NAV!R1173))</f>
        <v>0</v>
      </c>
      <c r="P1252" s="377">
        <f>NAV!W1173</f>
        <v>0</v>
      </c>
      <c r="Q1252" s="377">
        <f>NAV!S1173</f>
        <v>0</v>
      </c>
      <c r="R1252" s="737" t="str">
        <f>MID(NAV!U1173,FIND("(",NAV!U1173)+1,FIND(")", NAV!U1173)-FIND("(",NAV!U1173)-1)</f>
        <v>KRW</v>
      </c>
    </row>
    <row r="1253" spans="1:18" ht="12.75" hidden="1" customHeight="1" outlineLevel="1" thickBot="1">
      <c r="A1253" s="149">
        <f t="shared" si="156"/>
        <v>8</v>
      </c>
      <c r="B1253" s="381" t="str">
        <f t="shared" si="153"/>
        <v/>
      </c>
      <c r="C1253" s="380" t="str">
        <f t="shared" si="154"/>
        <v/>
      </c>
      <c r="D1253" s="380" t="str">
        <f t="shared" si="155"/>
        <v/>
      </c>
    </row>
    <row r="1254" spans="1:18" ht="12.75" hidden="1" customHeight="1" outlineLevel="1" thickBot="1">
      <c r="A1254" s="149">
        <f t="shared" si="156"/>
        <v>9</v>
      </c>
      <c r="B1254" s="381" t="str">
        <f t="shared" si="153"/>
        <v/>
      </c>
      <c r="C1254" s="380" t="str">
        <f t="shared" si="154"/>
        <v/>
      </c>
      <c r="D1254" s="380" t="str">
        <f t="shared" si="155"/>
        <v/>
      </c>
    </row>
    <row r="1255" spans="1:18" ht="12.75" hidden="1" customHeight="1" outlineLevel="1" thickBot="1">
      <c r="A1255" s="149">
        <f t="shared" si="156"/>
        <v>10</v>
      </c>
      <c r="B1255" s="381" t="str">
        <f t="shared" si="153"/>
        <v/>
      </c>
      <c r="C1255" s="380" t="str">
        <f t="shared" si="154"/>
        <v/>
      </c>
      <c r="D1255" s="380" t="str">
        <f t="shared" si="155"/>
        <v/>
      </c>
    </row>
    <row r="1256" spans="1:18" ht="12.75" hidden="1" customHeight="1" outlineLevel="1" thickBot="1">
      <c r="A1256" s="149">
        <f t="shared" si="156"/>
        <v>11</v>
      </c>
      <c r="B1256" s="381" t="str">
        <f t="shared" si="153"/>
        <v/>
      </c>
      <c r="C1256" s="380" t="str">
        <f t="shared" si="154"/>
        <v/>
      </c>
      <c r="D1256" s="380" t="str">
        <f t="shared" si="155"/>
        <v/>
      </c>
    </row>
    <row r="1257" spans="1:18" ht="12.75" hidden="1" customHeight="1" outlineLevel="1" thickBot="1">
      <c r="A1257" s="149">
        <f t="shared" si="156"/>
        <v>12</v>
      </c>
      <c r="B1257" s="381" t="str">
        <f t="shared" si="153"/>
        <v/>
      </c>
      <c r="C1257" s="380" t="str">
        <f t="shared" si="154"/>
        <v/>
      </c>
      <c r="D1257" s="380" t="str">
        <f t="shared" si="155"/>
        <v/>
      </c>
    </row>
    <row r="1258" spans="1:18" ht="12.75" hidden="1" customHeight="1" outlineLevel="1" thickBot="1">
      <c r="A1258" s="149">
        <f t="shared" si="156"/>
        <v>13</v>
      </c>
      <c r="B1258" s="381" t="str">
        <f t="shared" si="153"/>
        <v/>
      </c>
      <c r="C1258" s="380" t="str">
        <f t="shared" si="154"/>
        <v/>
      </c>
      <c r="D1258" s="380" t="str">
        <f t="shared" si="155"/>
        <v/>
      </c>
    </row>
    <row r="1259" spans="1:18" ht="12.75" hidden="1" customHeight="1" outlineLevel="1" thickBot="1">
      <c r="A1259" s="149">
        <f t="shared" si="156"/>
        <v>14</v>
      </c>
      <c r="B1259" s="381" t="str">
        <f t="shared" si="153"/>
        <v/>
      </c>
      <c r="C1259" s="380" t="str">
        <f t="shared" si="154"/>
        <v/>
      </c>
      <c r="D1259" s="380" t="str">
        <f t="shared" si="155"/>
        <v/>
      </c>
    </row>
    <row r="1260" spans="1:18" ht="12.75" hidden="1" customHeight="1" outlineLevel="1" thickBot="1">
      <c r="A1260" s="149">
        <f t="shared" si="156"/>
        <v>15</v>
      </c>
      <c r="B1260" s="381" t="str">
        <f t="shared" si="153"/>
        <v/>
      </c>
      <c r="C1260" s="380" t="str">
        <f t="shared" si="154"/>
        <v/>
      </c>
      <c r="D1260" s="380" t="str">
        <f t="shared" si="155"/>
        <v/>
      </c>
    </row>
    <row r="1261" spans="1:18" ht="12.75" hidden="1" customHeight="1" outlineLevel="1" thickBot="1">
      <c r="A1261" s="149">
        <f t="shared" si="156"/>
        <v>16</v>
      </c>
      <c r="B1261" s="381" t="str">
        <f t="shared" si="153"/>
        <v/>
      </c>
      <c r="C1261" s="380" t="str">
        <f t="shared" si="154"/>
        <v/>
      </c>
      <c r="D1261" s="380" t="str">
        <f t="shared" si="155"/>
        <v/>
      </c>
    </row>
    <row r="1262" spans="1:18" ht="12.75" hidden="1" customHeight="1" outlineLevel="1" thickBot="1">
      <c r="A1262" s="149">
        <f t="shared" si="156"/>
        <v>17</v>
      </c>
      <c r="B1262" s="381" t="str">
        <f t="shared" si="153"/>
        <v/>
      </c>
      <c r="C1262" s="380" t="str">
        <f t="shared" si="154"/>
        <v/>
      </c>
      <c r="D1262" s="380" t="str">
        <f t="shared" si="155"/>
        <v/>
      </c>
    </row>
    <row r="1263" spans="1:18" ht="12.75" collapsed="1" thickBot="1">
      <c r="B1263" s="382" t="s">
        <v>2</v>
      </c>
      <c r="C1263" s="372">
        <f>SUM(C1242,C1245)</f>
        <v>0</v>
      </c>
      <c r="D1263" s="383">
        <f>SUM(D1242,D1245)</f>
        <v>0</v>
      </c>
    </row>
    <row r="1264" spans="1:18" ht="12.75" thickBot="1">
      <c r="B1264" s="382" t="s">
        <v>30</v>
      </c>
      <c r="C1264" s="819">
        <f>NAV!E1168</f>
        <v>0</v>
      </c>
      <c r="D1264" s="820"/>
    </row>
    <row r="1265" spans="1:18" ht="12.75" thickBot="1">
      <c r="B1265" s="382" t="s">
        <v>31</v>
      </c>
      <c r="C1265" s="819">
        <f>D1263-C1264</f>
        <v>0</v>
      </c>
      <c r="D1265" s="820"/>
    </row>
    <row r="1266" spans="1:18" ht="12.75" thickBot="1">
      <c r="B1266" s="382" t="s">
        <v>745</v>
      </c>
      <c r="C1266" s="819">
        <f>NAV!E1173</f>
        <v>0</v>
      </c>
      <c r="D1266" s="820"/>
      <c r="F1266" s="217"/>
    </row>
    <row r="1267" spans="1:18" ht="12.75" thickBot="1">
      <c r="B1267" s="382" t="s">
        <v>965</v>
      </c>
      <c r="C1267" s="819">
        <f>NAV!E1174</f>
        <v>0</v>
      </c>
      <c r="D1267" s="820"/>
    </row>
    <row r="1268" spans="1:18" ht="12.75" thickBot="1">
      <c r="B1268" s="382" t="s">
        <v>744</v>
      </c>
      <c r="C1268" s="819">
        <f>NAV!E1175</f>
        <v>0</v>
      </c>
      <c r="D1268" s="820"/>
    </row>
    <row r="1269" spans="1:18" ht="12.75" thickBot="1">
      <c r="B1269" s="382" t="str">
        <f>NAV!C1176</f>
        <v>보유지분율(%)</v>
      </c>
      <c r="C1269" s="823">
        <f>NAV!D1176</f>
        <v>0</v>
      </c>
      <c r="D1269" s="824"/>
    </row>
    <row r="1270" spans="1:18" ht="12.75" thickBot="1">
      <c r="B1270" s="382" t="s">
        <v>746</v>
      </c>
      <c r="C1270" s="825">
        <f>NAV!E1176</f>
        <v>0</v>
      </c>
      <c r="D1270" s="826"/>
    </row>
    <row r="1276" spans="1:18">
      <c r="A1276" s="149">
        <f>A1238+1</f>
        <v>27</v>
      </c>
      <c r="B1276" s="399" t="str">
        <f>NAV!B1187</f>
        <v>SPC없음</v>
      </c>
      <c r="G1276" s="399" t="str">
        <f>B1276</f>
        <v>SPC없음</v>
      </c>
    </row>
    <row r="1277" spans="1:18">
      <c r="B1277" s="399" t="str">
        <f>NAV!C1188</f>
        <v>SPC없음</v>
      </c>
      <c r="G1277" s="399" t="str">
        <f>B1277</f>
        <v>SPC없음</v>
      </c>
    </row>
    <row r="1278" spans="1:18" ht="12.75" thickBot="1">
      <c r="B1278" s="215" t="s">
        <v>750</v>
      </c>
      <c r="C1278" s="216"/>
      <c r="D1278" s="216"/>
      <c r="E1278" s="216"/>
      <c r="F1278" s="216"/>
      <c r="G1278" s="215" t="s">
        <v>751</v>
      </c>
      <c r="H1278" s="216"/>
      <c r="I1278" s="216"/>
      <c r="K1278" s="215" t="s">
        <v>752</v>
      </c>
    </row>
    <row r="1279" spans="1:18" ht="12.75" thickBot="1">
      <c r="B1279" s="366" t="s">
        <v>27</v>
      </c>
      <c r="C1279" s="367" t="s">
        <v>28</v>
      </c>
      <c r="D1279" s="367" t="s">
        <v>29</v>
      </c>
      <c r="F1279" s="368" t="s">
        <v>3461</v>
      </c>
      <c r="G1279" s="353" t="str">
        <f>$G$74</f>
        <v>SPC명</v>
      </c>
      <c r="H1279" s="369" t="s">
        <v>3200</v>
      </c>
      <c r="I1279" s="369" t="s">
        <v>753</v>
      </c>
      <c r="J1279" s="368" t="s">
        <v>3461</v>
      </c>
      <c r="K1279" s="353" t="s">
        <v>3440</v>
      </c>
      <c r="L1279" s="353" t="str">
        <f>$L$74</f>
        <v>투자자산명</v>
      </c>
      <c r="M1279" s="358" t="s">
        <v>754</v>
      </c>
      <c r="N1279" s="358" t="s">
        <v>47</v>
      </c>
      <c r="O1279" s="369" t="s">
        <v>749</v>
      </c>
      <c r="P1279" s="400" t="s">
        <v>3460</v>
      </c>
      <c r="Q1279" s="370" t="s">
        <v>3463</v>
      </c>
      <c r="R1279" s="370" t="s">
        <v>6833</v>
      </c>
    </row>
    <row r="1280" spans="1:18" ht="12.75" thickBot="1">
      <c r="B1280" s="371" t="s">
        <v>3441</v>
      </c>
      <c r="C1280" s="372">
        <f>SUM(C1281:C1282)</f>
        <v>0</v>
      </c>
      <c r="D1280" s="372">
        <f>SUM(D1281:D1282)</f>
        <v>0</v>
      </c>
      <c r="F1280" s="149" t="str">
        <f>IF(G1280=0,"",COUNTA(G$1280:$G1280))</f>
        <v/>
      </c>
      <c r="G1280" s="373">
        <f>IF(NAV!L1193="SPC 없음",0,NAV!L1193)</f>
        <v>0</v>
      </c>
      <c r="H1280" s="374">
        <f>NAV!W1193</f>
        <v>0</v>
      </c>
      <c r="I1280" s="374" t="str">
        <f>NAV!S1193</f>
        <v>SPC 없음</v>
      </c>
      <c r="J1280" s="149" t="str">
        <f>IF(L1280=0,"",COUNTA(L$1280:$L1280)+COUNT($F$1280:$F$1285))</f>
        <v/>
      </c>
      <c r="K1280" s="373">
        <f>IF($B1277="SPC없음",0,$B1277)</f>
        <v>0</v>
      </c>
      <c r="L1280" s="375">
        <f>NAV!J1201</f>
        <v>0</v>
      </c>
      <c r="M1280" s="376">
        <f>NAV!N1201</f>
        <v>0</v>
      </c>
      <c r="N1280" s="376">
        <f>NAV!T1201</f>
        <v>0</v>
      </c>
      <c r="O1280" s="377">
        <f>IF(N1280="장부가액 준용","장부가액 준용",IF(N1280="취득원가 준용","취득원가 준용",NAV!R1201))</f>
        <v>0</v>
      </c>
      <c r="P1280" s="377">
        <f>NAV!W1201</f>
        <v>0</v>
      </c>
      <c r="Q1280" s="377">
        <f>NAV!S1201</f>
        <v>0</v>
      </c>
      <c r="R1280" s="737" t="str">
        <f>MID(NAV!U1201,FIND("(",NAV!U1201)+1,FIND(")", NAV!U1201)-FIND("(",NAV!U1201)-1)</f>
        <v>KRW</v>
      </c>
    </row>
    <row r="1281" spans="1:18" ht="12.75" thickBot="1">
      <c r="B1281" s="379" t="s">
        <v>3485</v>
      </c>
      <c r="C1281" s="380">
        <f>NAV!D1194</f>
        <v>0</v>
      </c>
      <c r="D1281" s="380">
        <f>NAV!E1194</f>
        <v>0</v>
      </c>
      <c r="F1281" s="149" t="str">
        <f>IF(G1281=0,"",COUNTA(G$1280:$G1281))</f>
        <v/>
      </c>
      <c r="G1281" s="373">
        <f>IF(NAV!L1194="SPC 없음",0,NAV!L1194)</f>
        <v>0</v>
      </c>
      <c r="H1281" s="374">
        <f>NAV!W1194</f>
        <v>0</v>
      </c>
      <c r="I1281" s="374" t="str">
        <f>NAV!S1194</f>
        <v>SPC 없음</v>
      </c>
      <c r="J1281" s="149" t="str">
        <f>IF(L1281=0,"",COUNTA(L$1280:$L1281)+COUNT($F$1280:$F$1285))</f>
        <v/>
      </c>
      <c r="K1281" s="373">
        <f t="shared" ref="K1281:K1290" si="157">K1280</f>
        <v>0</v>
      </c>
      <c r="L1281" s="375">
        <f>NAV!J1202</f>
        <v>0</v>
      </c>
      <c r="M1281" s="376">
        <f>NAV!N1202</f>
        <v>0</v>
      </c>
      <c r="N1281" s="376">
        <f>NAV!T1202</f>
        <v>0</v>
      </c>
      <c r="O1281" s="377">
        <f>IF(N1281="장부가액 준용","장부가액 준용",IF(N1281="취득원가 준용","취득원가 준용",NAV!R1202))</f>
        <v>0</v>
      </c>
      <c r="P1281" s="377">
        <f>NAV!W1202</f>
        <v>0</v>
      </c>
      <c r="Q1281" s="377">
        <f>NAV!S1202</f>
        <v>0</v>
      </c>
      <c r="R1281" s="737" t="str">
        <f>MID(NAV!U1202,FIND("(",NAV!U1202)+1,FIND(")", NAV!U1202)-FIND("(",NAV!U1202)-1)</f>
        <v>KRW</v>
      </c>
    </row>
    <row r="1282" spans="1:18" ht="12.75" thickBot="1">
      <c r="B1282" s="379" t="s">
        <v>156</v>
      </c>
      <c r="C1282" s="380">
        <f>NAV!D1195</f>
        <v>0</v>
      </c>
      <c r="D1282" s="380">
        <f>NAV!E1195</f>
        <v>0</v>
      </c>
      <c r="F1282" s="149" t="str">
        <f>IF(G1282=0,"",COUNTA(G$1280:$G1282))</f>
        <v/>
      </c>
      <c r="G1282" s="373">
        <f>IF(NAV!L1195="SPC 없음",0,NAV!L1195)</f>
        <v>0</v>
      </c>
      <c r="H1282" s="374">
        <f>NAV!W1195</f>
        <v>0</v>
      </c>
      <c r="I1282" s="374" t="str">
        <f>NAV!S1195</f>
        <v>SPC 없음</v>
      </c>
      <c r="J1282" s="149" t="str">
        <f>IF(L1282=0,"",COUNTA(L$1280:$L1282)+COUNT($F$1280:$F$1285))</f>
        <v/>
      </c>
      <c r="K1282" s="373">
        <f t="shared" si="157"/>
        <v>0</v>
      </c>
      <c r="L1282" s="375">
        <f>NAV!J1203</f>
        <v>0</v>
      </c>
      <c r="M1282" s="376">
        <f>NAV!N1203</f>
        <v>0</v>
      </c>
      <c r="N1282" s="376">
        <f>NAV!T1203</f>
        <v>0</v>
      </c>
      <c r="O1282" s="377">
        <f>IF(N1282="장부가액 준용","장부가액 준용",IF(N1282="취득원가 준용","취득원가 준용",NAV!R1203))</f>
        <v>0</v>
      </c>
      <c r="P1282" s="377">
        <f>NAV!W1203</f>
        <v>0</v>
      </c>
      <c r="Q1282" s="377">
        <f>NAV!S1203</f>
        <v>0</v>
      </c>
      <c r="R1282" s="737" t="str">
        <f>MID(NAV!U1203,FIND("(",NAV!U1203)+1,FIND(")", NAV!U1203)-FIND("(",NAV!U1203)-1)</f>
        <v>KRW</v>
      </c>
    </row>
    <row r="1283" spans="1:18" ht="12.75" thickBot="1">
      <c r="B1283" s="371" t="s">
        <v>3442</v>
      </c>
      <c r="C1283" s="372">
        <f>NAV!D1196</f>
        <v>0</v>
      </c>
      <c r="D1283" s="372">
        <f>NAV!E1196</f>
        <v>0</v>
      </c>
      <c r="F1283" s="149" t="str">
        <f>IF(G1283=0,"",COUNTA(G$1280:$G1283))</f>
        <v/>
      </c>
      <c r="G1283" s="373">
        <f>IF(NAV!L1196="SPC 없음",0,NAV!L1196)</f>
        <v>0</v>
      </c>
      <c r="H1283" s="374">
        <f>NAV!W1196</f>
        <v>0</v>
      </c>
      <c r="I1283" s="374" t="str">
        <f>NAV!S1196</f>
        <v>SPC 없음</v>
      </c>
      <c r="J1283" s="149" t="str">
        <f>IF(L1283=0,"",COUNTA(L$1280:$L1283)+COUNT($F$1280:$F$1285))</f>
        <v/>
      </c>
      <c r="K1283" s="373">
        <f t="shared" si="157"/>
        <v>0</v>
      </c>
      <c r="L1283" s="375">
        <f>NAV!J1204</f>
        <v>0</v>
      </c>
      <c r="M1283" s="376">
        <f>NAV!N1204</f>
        <v>0</v>
      </c>
      <c r="N1283" s="376">
        <f>NAV!T1204</f>
        <v>0</v>
      </c>
      <c r="O1283" s="377">
        <f>IF(N1283="장부가액 준용","장부가액 준용",IF(N1283="취득원가 준용","취득원가 준용",NAV!R1204))</f>
        <v>0</v>
      </c>
      <c r="P1283" s="377">
        <f>NAV!W1204</f>
        <v>0</v>
      </c>
      <c r="Q1283" s="377">
        <f>NAV!S1204</f>
        <v>0</v>
      </c>
      <c r="R1283" s="737" t="str">
        <f>MID(NAV!U1204,FIND("(",NAV!U1204)+1,FIND(")", NAV!U1204)-FIND("(",NAV!U1204)-1)</f>
        <v>KRW</v>
      </c>
    </row>
    <row r="1284" spans="1:18" ht="12.75" thickBot="1">
      <c r="A1284" s="149">
        <v>1</v>
      </c>
      <c r="B1284" s="381" t="str">
        <f>IFERROR(IF(F1280=A1284,VLOOKUP(A1284,$F$1279:$I$1290,2,0),VLOOKUP(A1284,$J$1279:$Q$1290,3,0)&amp;" "&amp;VLOOKUP(A1284,$J$1279:$Q$1290,4,0)),"")</f>
        <v/>
      </c>
      <c r="C1284" s="380" t="str">
        <f>IFERROR(IF(F1280=A1284,VLOOKUP(A1284,$F$1279:$I$1290,3,0),VLOOKUP(A1284,$J$1279:$Q$1290,7,0)),"")</f>
        <v/>
      </c>
      <c r="D1284" s="380" t="str">
        <f>IFERROR(IF(F1280=A1284,VLOOKUP(A1284,$F$1279:$I$1290,4,0),VLOOKUP(A1284,$J$1279:$Q$1290,8,0)),"")</f>
        <v/>
      </c>
      <c r="F1284" s="149" t="str">
        <f>IF(G1284=0,"",COUNTA(G$1280:$G1284))</f>
        <v/>
      </c>
      <c r="G1284" s="373">
        <f>IF(NAV!L1197="SPC 없음",0,NAV!L1197)</f>
        <v>0</v>
      </c>
      <c r="H1284" s="374">
        <f>NAV!W1197</f>
        <v>0</v>
      </c>
      <c r="I1284" s="374" t="str">
        <f>NAV!S1197</f>
        <v>SPC 없음</v>
      </c>
      <c r="J1284" s="149" t="str">
        <f>IF(L1284=0,"",COUNTA(L$1280:$L1284)+COUNT($F$1280:$F$1285))</f>
        <v/>
      </c>
      <c r="K1284" s="373">
        <f t="shared" si="157"/>
        <v>0</v>
      </c>
      <c r="L1284" s="375">
        <f>NAV!J1205</f>
        <v>0</v>
      </c>
      <c r="M1284" s="376">
        <f>NAV!N1205</f>
        <v>0</v>
      </c>
      <c r="N1284" s="376">
        <f>NAV!T1205</f>
        <v>0</v>
      </c>
      <c r="O1284" s="377">
        <f>IF(N1284="장부가액 준용","장부가액 준용",IF(N1284="취득원가 준용","취득원가 준용",NAV!R1205))</f>
        <v>0</v>
      </c>
      <c r="P1284" s="377">
        <f>NAV!W1205</f>
        <v>0</v>
      </c>
      <c r="Q1284" s="377">
        <f>NAV!S1205</f>
        <v>0</v>
      </c>
      <c r="R1284" s="737" t="str">
        <f>MID(NAV!U1205,FIND("(",NAV!U1205)+1,FIND(")", NAV!U1205)-FIND("(",NAV!U1205)-1)</f>
        <v>KRW</v>
      </c>
    </row>
    <row r="1285" spans="1:18" ht="12.75" thickBot="1">
      <c r="A1285" s="149">
        <f>A1284+1</f>
        <v>2</v>
      </c>
      <c r="B1285" s="381" t="str">
        <f t="shared" ref="B1285:B1300" si="158">IFERROR(IF(F1281=A1285,VLOOKUP(A1285,$F$1279:$I$1290,2,0),VLOOKUP(A1285,$J$1279:$Q$1290,3,0)&amp;" "&amp;VLOOKUP(A1285,$J$1279:$Q$1290,4,0)),"")</f>
        <v/>
      </c>
      <c r="C1285" s="380" t="str">
        <f t="shared" ref="C1285:C1300" si="159">IFERROR(IF(F1281=A1285,VLOOKUP(A1285,$F$1279:$I$1290,3,0),VLOOKUP(A1285,$J$1279:$Q$1290,7,0)),"")</f>
        <v/>
      </c>
      <c r="D1285" s="380" t="str">
        <f t="shared" ref="D1285:D1300" si="160">IFERROR(IF(F1281=A1285,VLOOKUP(A1285,$F$1279:$I$1290,4,0),VLOOKUP(A1285,$J$1279:$Q$1290,8,0)),"")</f>
        <v/>
      </c>
      <c r="F1285" s="149" t="str">
        <f>IF(G1285=0,"",COUNTA(G$1280:$G1285))</f>
        <v/>
      </c>
      <c r="G1285" s="373">
        <f>IF(NAV!L1198="SPC 없음",0,NAV!L1198)</f>
        <v>0</v>
      </c>
      <c r="H1285" s="374">
        <f>NAV!W1198</f>
        <v>0</v>
      </c>
      <c r="I1285" s="374" t="str">
        <f>NAV!S1198</f>
        <v>SPC 없음</v>
      </c>
      <c r="J1285" s="149" t="str">
        <f>IF(L1285=0,"",COUNTA(L$1280:$L1285)+COUNT($F$1280:$F$1285))</f>
        <v/>
      </c>
      <c r="K1285" s="373">
        <f t="shared" si="157"/>
        <v>0</v>
      </c>
      <c r="L1285" s="375">
        <f>NAV!J1206</f>
        <v>0</v>
      </c>
      <c r="M1285" s="376">
        <f>NAV!N1206</f>
        <v>0</v>
      </c>
      <c r="N1285" s="376">
        <f>NAV!T1206</f>
        <v>0</v>
      </c>
      <c r="O1285" s="377">
        <f>IF(N1285="장부가액 준용","장부가액 준용",IF(N1285="취득원가 준용","취득원가 준용",NAV!R1206))</f>
        <v>0</v>
      </c>
      <c r="P1285" s="377">
        <f>NAV!W1206</f>
        <v>0</v>
      </c>
      <c r="Q1285" s="377">
        <f>NAV!S1206</f>
        <v>0</v>
      </c>
      <c r="R1285" s="737" t="str">
        <f>MID(NAV!U1206,FIND("(",NAV!U1206)+1,FIND(")", NAV!U1206)-FIND("(",NAV!U1206)-1)</f>
        <v>KRW</v>
      </c>
    </row>
    <row r="1286" spans="1:18" ht="12.75" thickBot="1">
      <c r="A1286" s="149">
        <f t="shared" ref="A1286:A1300" si="161">A1285+1</f>
        <v>3</v>
      </c>
      <c r="B1286" s="381" t="str">
        <f t="shared" si="158"/>
        <v/>
      </c>
      <c r="C1286" s="380" t="str">
        <f t="shared" si="159"/>
        <v/>
      </c>
      <c r="D1286" s="380" t="str">
        <f t="shared" si="160"/>
        <v/>
      </c>
      <c r="J1286" s="149" t="str">
        <f>IF(L1286=0,"",COUNTA(L$1280:$L1286)+COUNT($F$1280:$F$1285))</f>
        <v/>
      </c>
      <c r="K1286" s="373">
        <f t="shared" si="157"/>
        <v>0</v>
      </c>
      <c r="L1286" s="375">
        <f>NAV!J1207</f>
        <v>0</v>
      </c>
      <c r="M1286" s="376">
        <f>NAV!N1207</f>
        <v>0</v>
      </c>
      <c r="N1286" s="376">
        <f>NAV!T1207</f>
        <v>0</v>
      </c>
      <c r="O1286" s="377">
        <f>IF(N1286="장부가액 준용","장부가액 준용",IF(N1286="취득원가 준용","취득원가 준용",NAV!R1207))</f>
        <v>0</v>
      </c>
      <c r="P1286" s="377">
        <f>NAV!W1207</f>
        <v>0</v>
      </c>
      <c r="Q1286" s="377">
        <f>NAV!S1207</f>
        <v>0</v>
      </c>
      <c r="R1286" s="737" t="str">
        <f>MID(NAV!U1207,FIND("(",NAV!U1207)+1,FIND(")", NAV!U1207)-FIND("(",NAV!U1207)-1)</f>
        <v>KRW</v>
      </c>
    </row>
    <row r="1287" spans="1:18" ht="12.75" thickBot="1">
      <c r="A1287" s="149">
        <f t="shared" si="161"/>
        <v>4</v>
      </c>
      <c r="B1287" s="381" t="str">
        <f t="shared" si="158"/>
        <v/>
      </c>
      <c r="C1287" s="380" t="str">
        <f t="shared" si="159"/>
        <v/>
      </c>
      <c r="D1287" s="380" t="str">
        <f t="shared" si="160"/>
        <v/>
      </c>
      <c r="J1287" s="149" t="str">
        <f>IF(L1287=0,"",COUNTA(L$1280:$L1287)+COUNT($F$1280:$F$1285))</f>
        <v/>
      </c>
      <c r="K1287" s="373">
        <f t="shared" si="157"/>
        <v>0</v>
      </c>
      <c r="L1287" s="375">
        <f>NAV!J1208</f>
        <v>0</v>
      </c>
      <c r="M1287" s="376">
        <f>NAV!N1208</f>
        <v>0</v>
      </c>
      <c r="N1287" s="376">
        <f>NAV!T1208</f>
        <v>0</v>
      </c>
      <c r="O1287" s="377">
        <f>IF(N1287="장부가액 준용","장부가액 준용",IF(N1287="취득원가 준용","취득원가 준용",NAV!R1208))</f>
        <v>0</v>
      </c>
      <c r="P1287" s="377">
        <f>NAV!W1208</f>
        <v>0</v>
      </c>
      <c r="Q1287" s="377">
        <f>NAV!S1208</f>
        <v>0</v>
      </c>
      <c r="R1287" s="737" t="str">
        <f>MID(NAV!U1208,FIND("(",NAV!U1208)+1,FIND(")", NAV!U1208)-FIND("(",NAV!U1208)-1)</f>
        <v>KRW</v>
      </c>
    </row>
    <row r="1288" spans="1:18" ht="12.75" thickBot="1">
      <c r="A1288" s="149">
        <f t="shared" si="161"/>
        <v>5</v>
      </c>
      <c r="B1288" s="381" t="str">
        <f t="shared" si="158"/>
        <v/>
      </c>
      <c r="C1288" s="380" t="str">
        <f t="shared" si="159"/>
        <v/>
      </c>
      <c r="D1288" s="380" t="str">
        <f t="shared" si="160"/>
        <v/>
      </c>
      <c r="J1288" s="149" t="str">
        <f>IF(L1288=0,"",COUNTA(L$1280:$L1288)+COUNT($F$1280:$F$1285))</f>
        <v/>
      </c>
      <c r="K1288" s="373">
        <f t="shared" si="157"/>
        <v>0</v>
      </c>
      <c r="L1288" s="375">
        <f>NAV!J1209</f>
        <v>0</v>
      </c>
      <c r="M1288" s="376">
        <f>NAV!N1209</f>
        <v>0</v>
      </c>
      <c r="N1288" s="376">
        <f>NAV!T1209</f>
        <v>0</v>
      </c>
      <c r="O1288" s="377">
        <f>IF(N1288="장부가액 준용","장부가액 준용",IF(N1288="취득원가 준용","취득원가 준용",NAV!R1209))</f>
        <v>0</v>
      </c>
      <c r="P1288" s="377">
        <f>NAV!W1209</f>
        <v>0</v>
      </c>
      <c r="Q1288" s="377">
        <f>NAV!S1209</f>
        <v>0</v>
      </c>
      <c r="R1288" s="737" t="str">
        <f>MID(NAV!U1209,FIND("(",NAV!U1209)+1,FIND(")", NAV!U1209)-FIND("(",NAV!U1209)-1)</f>
        <v>KRW</v>
      </c>
    </row>
    <row r="1289" spans="1:18" ht="12.75" thickBot="1">
      <c r="A1289" s="149">
        <f t="shared" si="161"/>
        <v>6</v>
      </c>
      <c r="B1289" s="381" t="str">
        <f t="shared" si="158"/>
        <v/>
      </c>
      <c r="C1289" s="380" t="str">
        <f t="shared" si="159"/>
        <v/>
      </c>
      <c r="D1289" s="380" t="str">
        <f t="shared" si="160"/>
        <v/>
      </c>
      <c r="J1289" s="149" t="str">
        <f>IF(L1289=0,"",COUNTA(L$1280:$L1289)+COUNT($F$1280:$F$1285))</f>
        <v/>
      </c>
      <c r="K1289" s="373">
        <f t="shared" si="157"/>
        <v>0</v>
      </c>
      <c r="L1289" s="375">
        <f>NAV!J1210</f>
        <v>0</v>
      </c>
      <c r="M1289" s="376">
        <f>NAV!N1210</f>
        <v>0</v>
      </c>
      <c r="N1289" s="376">
        <f>NAV!T1210</f>
        <v>0</v>
      </c>
      <c r="O1289" s="377">
        <f>IF(N1289="장부가액 준용","장부가액 준용",IF(N1289="취득원가 준용","취득원가 준용",NAV!R1210))</f>
        <v>0</v>
      </c>
      <c r="P1289" s="377">
        <f>NAV!W1210</f>
        <v>0</v>
      </c>
      <c r="Q1289" s="377">
        <f>NAV!S1210</f>
        <v>0</v>
      </c>
      <c r="R1289" s="737" t="str">
        <f>MID(NAV!U1210,FIND("(",NAV!U1210)+1,FIND(")", NAV!U1210)-FIND("(",NAV!U1210)-1)</f>
        <v>KRW</v>
      </c>
    </row>
    <row r="1290" spans="1:18" ht="12.75" thickBot="1">
      <c r="A1290" s="149">
        <f t="shared" si="161"/>
        <v>7</v>
      </c>
      <c r="B1290" s="381" t="str">
        <f t="shared" si="158"/>
        <v/>
      </c>
      <c r="C1290" s="380" t="str">
        <f t="shared" si="159"/>
        <v/>
      </c>
      <c r="D1290" s="380" t="str">
        <f t="shared" si="160"/>
        <v/>
      </c>
      <c r="J1290" s="149" t="str">
        <f>IF(L1290=0,"",COUNTA(L$1280:$L1290)+COUNT($F$1280:$F$1285))</f>
        <v/>
      </c>
      <c r="K1290" s="373">
        <f t="shared" si="157"/>
        <v>0</v>
      </c>
      <c r="L1290" s="375">
        <f>NAV!J1211</f>
        <v>0</v>
      </c>
      <c r="M1290" s="376">
        <f>NAV!N1211</f>
        <v>0</v>
      </c>
      <c r="N1290" s="376">
        <f>NAV!T1211</f>
        <v>0</v>
      </c>
      <c r="O1290" s="377">
        <f>IF(N1290="장부가액 준용","장부가액 준용",IF(N1290="취득원가 준용","취득원가 준용",NAV!R1211))</f>
        <v>0</v>
      </c>
      <c r="P1290" s="377">
        <f>NAV!W1211</f>
        <v>0</v>
      </c>
      <c r="Q1290" s="377">
        <f>NAV!S1211</f>
        <v>0</v>
      </c>
      <c r="R1290" s="737" t="str">
        <f>MID(NAV!U1211,FIND("(",NAV!U1211)+1,FIND(")", NAV!U1211)-FIND("(",NAV!U1211)-1)</f>
        <v>KRW</v>
      </c>
    </row>
    <row r="1291" spans="1:18" ht="12.75" hidden="1" customHeight="1" outlineLevel="1" thickBot="1">
      <c r="A1291" s="149">
        <f t="shared" si="161"/>
        <v>8</v>
      </c>
      <c r="B1291" s="381" t="str">
        <f t="shared" si="158"/>
        <v/>
      </c>
      <c r="C1291" s="380" t="str">
        <f t="shared" si="159"/>
        <v/>
      </c>
      <c r="D1291" s="380" t="str">
        <f t="shared" si="160"/>
        <v/>
      </c>
    </row>
    <row r="1292" spans="1:18" ht="12.75" hidden="1" customHeight="1" outlineLevel="1" thickBot="1">
      <c r="A1292" s="149">
        <f t="shared" si="161"/>
        <v>9</v>
      </c>
      <c r="B1292" s="381" t="str">
        <f t="shared" si="158"/>
        <v/>
      </c>
      <c r="C1292" s="380" t="str">
        <f t="shared" si="159"/>
        <v/>
      </c>
      <c r="D1292" s="380" t="str">
        <f t="shared" si="160"/>
        <v/>
      </c>
    </row>
    <row r="1293" spans="1:18" ht="12.75" hidden="1" customHeight="1" outlineLevel="1" thickBot="1">
      <c r="A1293" s="149">
        <f t="shared" si="161"/>
        <v>10</v>
      </c>
      <c r="B1293" s="381" t="str">
        <f t="shared" si="158"/>
        <v/>
      </c>
      <c r="C1293" s="380" t="str">
        <f t="shared" si="159"/>
        <v/>
      </c>
      <c r="D1293" s="380" t="str">
        <f t="shared" si="160"/>
        <v/>
      </c>
    </row>
    <row r="1294" spans="1:18" ht="12.75" hidden="1" customHeight="1" outlineLevel="1" thickBot="1">
      <c r="A1294" s="149">
        <f t="shared" si="161"/>
        <v>11</v>
      </c>
      <c r="B1294" s="381" t="str">
        <f t="shared" si="158"/>
        <v/>
      </c>
      <c r="C1294" s="380" t="str">
        <f t="shared" si="159"/>
        <v/>
      </c>
      <c r="D1294" s="380" t="str">
        <f t="shared" si="160"/>
        <v/>
      </c>
    </row>
    <row r="1295" spans="1:18" ht="12.75" hidden="1" customHeight="1" outlineLevel="1" thickBot="1">
      <c r="A1295" s="149">
        <f t="shared" si="161"/>
        <v>12</v>
      </c>
      <c r="B1295" s="381" t="str">
        <f t="shared" si="158"/>
        <v/>
      </c>
      <c r="C1295" s="380" t="str">
        <f t="shared" si="159"/>
        <v/>
      </c>
      <c r="D1295" s="380" t="str">
        <f t="shared" si="160"/>
        <v/>
      </c>
    </row>
    <row r="1296" spans="1:18" ht="12.75" hidden="1" customHeight="1" outlineLevel="1" thickBot="1">
      <c r="A1296" s="149">
        <f t="shared" si="161"/>
        <v>13</v>
      </c>
      <c r="B1296" s="381" t="str">
        <f t="shared" si="158"/>
        <v/>
      </c>
      <c r="C1296" s="380" t="str">
        <f t="shared" si="159"/>
        <v/>
      </c>
      <c r="D1296" s="380" t="str">
        <f t="shared" si="160"/>
        <v/>
      </c>
    </row>
    <row r="1297" spans="1:6" ht="12.75" hidden="1" customHeight="1" outlineLevel="1" thickBot="1">
      <c r="A1297" s="149">
        <f t="shared" si="161"/>
        <v>14</v>
      </c>
      <c r="B1297" s="381" t="str">
        <f t="shared" si="158"/>
        <v/>
      </c>
      <c r="C1297" s="380" t="str">
        <f t="shared" si="159"/>
        <v/>
      </c>
      <c r="D1297" s="380" t="str">
        <f t="shared" si="160"/>
        <v/>
      </c>
    </row>
    <row r="1298" spans="1:6" ht="12.75" hidden="1" customHeight="1" outlineLevel="1" thickBot="1">
      <c r="A1298" s="149">
        <f t="shared" si="161"/>
        <v>15</v>
      </c>
      <c r="B1298" s="381" t="str">
        <f t="shared" si="158"/>
        <v/>
      </c>
      <c r="C1298" s="380" t="str">
        <f t="shared" si="159"/>
        <v/>
      </c>
      <c r="D1298" s="380" t="str">
        <f t="shared" si="160"/>
        <v/>
      </c>
    </row>
    <row r="1299" spans="1:6" ht="12.75" hidden="1" customHeight="1" outlineLevel="1" thickBot="1">
      <c r="A1299" s="149">
        <f t="shared" si="161"/>
        <v>16</v>
      </c>
      <c r="B1299" s="381" t="str">
        <f t="shared" si="158"/>
        <v/>
      </c>
      <c r="C1299" s="380" t="str">
        <f t="shared" si="159"/>
        <v/>
      </c>
      <c r="D1299" s="380" t="str">
        <f t="shared" si="160"/>
        <v/>
      </c>
    </row>
    <row r="1300" spans="1:6" ht="12.75" hidden="1" customHeight="1" outlineLevel="1" thickBot="1">
      <c r="A1300" s="149">
        <f t="shared" si="161"/>
        <v>17</v>
      </c>
      <c r="B1300" s="381" t="str">
        <f t="shared" si="158"/>
        <v/>
      </c>
      <c r="C1300" s="380" t="str">
        <f t="shared" si="159"/>
        <v/>
      </c>
      <c r="D1300" s="380" t="str">
        <f t="shared" si="160"/>
        <v/>
      </c>
    </row>
    <row r="1301" spans="1:6" ht="12.75" collapsed="1" thickBot="1">
      <c r="B1301" s="382" t="s">
        <v>2</v>
      </c>
      <c r="C1301" s="372">
        <f>SUM(C1280,C1283)</f>
        <v>0</v>
      </c>
      <c r="D1301" s="383">
        <f>SUM(D1280,D1283)</f>
        <v>0</v>
      </c>
    </row>
    <row r="1302" spans="1:6" ht="12.75" thickBot="1">
      <c r="B1302" s="382" t="s">
        <v>30</v>
      </c>
      <c r="C1302" s="819">
        <f>NAV!E1206</f>
        <v>0</v>
      </c>
      <c r="D1302" s="820"/>
    </row>
    <row r="1303" spans="1:6" ht="12.75" thickBot="1">
      <c r="B1303" s="382" t="s">
        <v>31</v>
      </c>
      <c r="C1303" s="819">
        <f>D1301-C1302</f>
        <v>0</v>
      </c>
      <c r="D1303" s="820"/>
    </row>
    <row r="1304" spans="1:6" ht="12.75" thickBot="1">
      <c r="B1304" s="382" t="s">
        <v>3486</v>
      </c>
      <c r="C1304" s="819">
        <f>NAV!E1211</f>
        <v>0</v>
      </c>
      <c r="D1304" s="820"/>
      <c r="F1304" s="217"/>
    </row>
    <row r="1305" spans="1:6" ht="12.75" thickBot="1">
      <c r="B1305" s="382" t="s">
        <v>965</v>
      </c>
      <c r="C1305" s="819">
        <f>NAV!E1212</f>
        <v>0</v>
      </c>
      <c r="D1305" s="820"/>
    </row>
    <row r="1306" spans="1:6" ht="12.75" thickBot="1">
      <c r="B1306" s="382" t="s">
        <v>744</v>
      </c>
      <c r="C1306" s="819">
        <f>NAV!E1213</f>
        <v>0</v>
      </c>
      <c r="D1306" s="820"/>
    </row>
    <row r="1307" spans="1:6" ht="12.75" thickBot="1">
      <c r="B1307" s="382" t="str">
        <f>NAV!C1214</f>
        <v>보유지분율(%)</v>
      </c>
      <c r="C1307" s="823">
        <f>NAV!D1214</f>
        <v>0</v>
      </c>
      <c r="D1307" s="824"/>
    </row>
    <row r="1308" spans="1:6" ht="12.75" thickBot="1">
      <c r="B1308" s="382" t="s">
        <v>3488</v>
      </c>
      <c r="C1308" s="825">
        <f>NAV!E1214</f>
        <v>0</v>
      </c>
      <c r="D1308" s="826"/>
    </row>
    <row r="1314" spans="1:18">
      <c r="A1314" s="149">
        <f>A1276+1</f>
        <v>28</v>
      </c>
      <c r="B1314" s="399" t="str">
        <f>NAV!B1225</f>
        <v>SPC없음</v>
      </c>
      <c r="G1314" s="399" t="str">
        <f>B1314</f>
        <v>SPC없음</v>
      </c>
    </row>
    <row r="1315" spans="1:18">
      <c r="B1315" s="399" t="str">
        <f>NAV!C1226</f>
        <v>SPC없음</v>
      </c>
      <c r="G1315" s="399" t="str">
        <f>B1315</f>
        <v>SPC없음</v>
      </c>
    </row>
    <row r="1316" spans="1:18" ht="12.75" thickBot="1">
      <c r="B1316" s="215" t="s">
        <v>750</v>
      </c>
      <c r="C1316" s="216"/>
      <c r="D1316" s="216"/>
      <c r="E1316" s="216"/>
      <c r="F1316" s="216"/>
      <c r="G1316" s="215" t="s">
        <v>751</v>
      </c>
      <c r="H1316" s="216"/>
      <c r="I1316" s="216"/>
      <c r="K1316" s="215" t="s">
        <v>752</v>
      </c>
    </row>
    <row r="1317" spans="1:18" ht="12.75" thickBot="1">
      <c r="B1317" s="366" t="s">
        <v>27</v>
      </c>
      <c r="C1317" s="367" t="s">
        <v>28</v>
      </c>
      <c r="D1317" s="367" t="s">
        <v>29</v>
      </c>
      <c r="F1317" s="368" t="s">
        <v>3461</v>
      </c>
      <c r="G1317" s="353" t="str">
        <f>$G$74</f>
        <v>SPC명</v>
      </c>
      <c r="H1317" s="369" t="s">
        <v>3200</v>
      </c>
      <c r="I1317" s="369" t="s">
        <v>753</v>
      </c>
      <c r="J1317" s="368" t="s">
        <v>3461</v>
      </c>
      <c r="K1317" s="353" t="s">
        <v>3440</v>
      </c>
      <c r="L1317" s="353" t="str">
        <f>$L$74</f>
        <v>투자자산명</v>
      </c>
      <c r="M1317" s="358" t="s">
        <v>754</v>
      </c>
      <c r="N1317" s="358" t="s">
        <v>47</v>
      </c>
      <c r="O1317" s="369" t="s">
        <v>749</v>
      </c>
      <c r="P1317" s="400" t="s">
        <v>3460</v>
      </c>
      <c r="Q1317" s="370" t="s">
        <v>3463</v>
      </c>
      <c r="R1317" s="370" t="s">
        <v>6833</v>
      </c>
    </row>
    <row r="1318" spans="1:18" ht="12.75" thickBot="1">
      <c r="B1318" s="371" t="s">
        <v>3441</v>
      </c>
      <c r="C1318" s="372">
        <f>SUM(C1319:C1320)</f>
        <v>0</v>
      </c>
      <c r="D1318" s="372">
        <f>SUM(D1319:D1320)</f>
        <v>0</v>
      </c>
      <c r="F1318" s="149" t="str">
        <f>IF(G1318=0,"",COUNTA(G$1318:$G1318))</f>
        <v/>
      </c>
      <c r="G1318" s="373">
        <f>IF(NAV!L1231="SPC 없음",0,NAV!L1231)</f>
        <v>0</v>
      </c>
      <c r="H1318" s="374">
        <f>NAV!W1231</f>
        <v>0</v>
      </c>
      <c r="I1318" s="374" t="str">
        <f>NAV!S1231</f>
        <v>SPC 없음</v>
      </c>
      <c r="J1318" s="149" t="str">
        <f>IF(L1318=0,"",COUNTA(L$1318:$L1318)+COUNT($F$1318:$F$1323))</f>
        <v/>
      </c>
      <c r="K1318" s="373">
        <f>IF($B1315="SPC없음",0,$B1315)</f>
        <v>0</v>
      </c>
      <c r="L1318" s="375">
        <f>NAV!J1239</f>
        <v>0</v>
      </c>
      <c r="M1318" s="376">
        <f>NAV!N1239</f>
        <v>0</v>
      </c>
      <c r="N1318" s="376">
        <f>NAV!T1239</f>
        <v>0</v>
      </c>
      <c r="O1318" s="377">
        <f>IF(N1318="장부가액 준용","장부가액 준용",IF(N1318="취득원가 준용","취득원가 준용",NAV!R1239))</f>
        <v>0</v>
      </c>
      <c r="P1318" s="377">
        <f>NAV!W1239</f>
        <v>0</v>
      </c>
      <c r="Q1318" s="377">
        <f>NAV!S1239</f>
        <v>0</v>
      </c>
      <c r="R1318" s="737" t="str">
        <f>MID(NAV!U1239,FIND("(",NAV!U1239)+1,FIND(")", NAV!U1239)-FIND("(",NAV!U1239)-1)</f>
        <v>KRW</v>
      </c>
    </row>
    <row r="1319" spans="1:18" ht="12.75" thickBot="1">
      <c r="B1319" s="379" t="s">
        <v>3443</v>
      </c>
      <c r="C1319" s="380">
        <f>NAV!D1232</f>
        <v>0</v>
      </c>
      <c r="D1319" s="380">
        <f>NAV!E1232</f>
        <v>0</v>
      </c>
      <c r="F1319" s="149" t="str">
        <f>IF(G1319=0,"",COUNTA(G$1318:$G1319))</f>
        <v/>
      </c>
      <c r="G1319" s="373">
        <f>IF(NAV!L1232="SPC 없음",0,NAV!L1232)</f>
        <v>0</v>
      </c>
      <c r="H1319" s="374">
        <f>NAV!W1232</f>
        <v>0</v>
      </c>
      <c r="I1319" s="374" t="str">
        <f>NAV!S1232</f>
        <v>SPC 없음</v>
      </c>
      <c r="J1319" s="149" t="str">
        <f>IF(L1319=0,"",COUNTA(L$1318:$L1319)+COUNT($F$1318:$F$1323))</f>
        <v/>
      </c>
      <c r="K1319" s="373">
        <f t="shared" ref="K1319:K1328" si="162">K1318</f>
        <v>0</v>
      </c>
      <c r="L1319" s="375">
        <f>NAV!J1240</f>
        <v>0</v>
      </c>
      <c r="M1319" s="376">
        <f>NAV!N1240</f>
        <v>0</v>
      </c>
      <c r="N1319" s="376">
        <f>NAV!T1240</f>
        <v>0</v>
      </c>
      <c r="O1319" s="377">
        <f>IF(N1319="장부가액 준용","장부가액 준용",IF(N1319="취득원가 준용","취득원가 준용",NAV!R1240))</f>
        <v>0</v>
      </c>
      <c r="P1319" s="377">
        <f>NAV!W1240</f>
        <v>0</v>
      </c>
      <c r="Q1319" s="377">
        <f>NAV!S1240</f>
        <v>0</v>
      </c>
      <c r="R1319" s="737" t="str">
        <f>MID(NAV!U1240,FIND("(",NAV!U1240)+1,FIND(")", NAV!U1240)-FIND("(",NAV!U1240)-1)</f>
        <v>KRW</v>
      </c>
    </row>
    <row r="1320" spans="1:18" ht="12.75" thickBot="1">
      <c r="B1320" s="379" t="s">
        <v>156</v>
      </c>
      <c r="C1320" s="380">
        <f>NAV!D1233</f>
        <v>0</v>
      </c>
      <c r="D1320" s="380">
        <f>NAV!E1233</f>
        <v>0</v>
      </c>
      <c r="F1320" s="149" t="str">
        <f>IF(G1320=0,"",COUNTA(G$1318:$G1320))</f>
        <v/>
      </c>
      <c r="G1320" s="373">
        <f>IF(NAV!L1233="SPC 없음",0,NAV!L1233)</f>
        <v>0</v>
      </c>
      <c r="H1320" s="374">
        <f>NAV!W1233</f>
        <v>0</v>
      </c>
      <c r="I1320" s="374" t="str">
        <f>NAV!S1233</f>
        <v>SPC 없음</v>
      </c>
      <c r="J1320" s="149" t="str">
        <f>IF(L1320=0,"",COUNTA(L$1318:$L1320)+COUNT($F$1318:$F$1323))</f>
        <v/>
      </c>
      <c r="K1320" s="373">
        <f t="shared" si="162"/>
        <v>0</v>
      </c>
      <c r="L1320" s="375">
        <f>NAV!J1241</f>
        <v>0</v>
      </c>
      <c r="M1320" s="376">
        <f>NAV!N1241</f>
        <v>0</v>
      </c>
      <c r="N1320" s="376">
        <f>NAV!T1241</f>
        <v>0</v>
      </c>
      <c r="O1320" s="377">
        <f>IF(N1320="장부가액 준용","장부가액 준용",IF(N1320="취득원가 준용","취득원가 준용",NAV!R1241))</f>
        <v>0</v>
      </c>
      <c r="P1320" s="377">
        <f>NAV!W1241</f>
        <v>0</v>
      </c>
      <c r="Q1320" s="377">
        <f>NAV!S1241</f>
        <v>0</v>
      </c>
      <c r="R1320" s="737" t="str">
        <f>MID(NAV!U1241,FIND("(",NAV!U1241)+1,FIND(")", NAV!U1241)-FIND("(",NAV!U1241)-1)</f>
        <v>KRW</v>
      </c>
    </row>
    <row r="1321" spans="1:18" ht="12.75" thickBot="1">
      <c r="B1321" s="371" t="s">
        <v>3442</v>
      </c>
      <c r="C1321" s="372">
        <f>NAV!D1234</f>
        <v>0</v>
      </c>
      <c r="D1321" s="372">
        <f>NAV!E1234</f>
        <v>0</v>
      </c>
      <c r="F1321" s="149" t="str">
        <f>IF(G1321=0,"",COUNTA(G$1318:$G1321))</f>
        <v/>
      </c>
      <c r="G1321" s="373">
        <f>IF(NAV!L1234="SPC 없음",0,NAV!L1234)</f>
        <v>0</v>
      </c>
      <c r="H1321" s="374">
        <f>NAV!W1234</f>
        <v>0</v>
      </c>
      <c r="I1321" s="374" t="str">
        <f>NAV!S1234</f>
        <v>SPC 없음</v>
      </c>
      <c r="J1321" s="149" t="str">
        <f>IF(L1321=0,"",COUNTA(L$1318:$L1321)+COUNT($F$1318:$F$1323))</f>
        <v/>
      </c>
      <c r="K1321" s="373">
        <f t="shared" si="162"/>
        <v>0</v>
      </c>
      <c r="L1321" s="375">
        <f>NAV!J1242</f>
        <v>0</v>
      </c>
      <c r="M1321" s="376">
        <f>NAV!N1242</f>
        <v>0</v>
      </c>
      <c r="N1321" s="376">
        <f>NAV!T1242</f>
        <v>0</v>
      </c>
      <c r="O1321" s="377">
        <f>IF(N1321="장부가액 준용","장부가액 준용",IF(N1321="취득원가 준용","취득원가 준용",NAV!R1242))</f>
        <v>0</v>
      </c>
      <c r="P1321" s="377">
        <f>NAV!W1242</f>
        <v>0</v>
      </c>
      <c r="Q1321" s="377">
        <f>NAV!S1242</f>
        <v>0</v>
      </c>
      <c r="R1321" s="737" t="str">
        <f>MID(NAV!U1242,FIND("(",NAV!U1242)+1,FIND(")", NAV!U1242)-FIND("(",NAV!U1242)-1)</f>
        <v>KRW</v>
      </c>
    </row>
    <row r="1322" spans="1:18" ht="12.75" thickBot="1">
      <c r="A1322" s="149">
        <v>1</v>
      </c>
      <c r="B1322" s="381" t="str">
        <f>IFERROR(IF(F1318=A1322,VLOOKUP(A1322,$F$1317:$I$1328,2,0),VLOOKUP(A1322,$J$1317:$Q$1328,3,0)&amp;" "&amp;VLOOKUP(A1322,$J$1317:$Q$1328,4,0)),"")</f>
        <v/>
      </c>
      <c r="C1322" s="380" t="str">
        <f>IFERROR(IF(F1318=A1322,VLOOKUP(A1322,$F$1317:$I$1328,3,0),VLOOKUP(A1322,$J$1317:$Q$1328,7,0)),"")</f>
        <v/>
      </c>
      <c r="D1322" s="380" t="str">
        <f>IFERROR(IF(F1318=A1322,VLOOKUP(A1322,$F$1317:$I$1328,4,0),VLOOKUP(A1322,$J$1317:$Q$1328,8,0)),"")</f>
        <v/>
      </c>
      <c r="F1322" s="149" t="str">
        <f>IF(G1322=0,"",COUNTA(G$1318:$G1322))</f>
        <v/>
      </c>
      <c r="G1322" s="373">
        <f>IF(NAV!L1235="SPC 없음",0,NAV!L1235)</f>
        <v>0</v>
      </c>
      <c r="H1322" s="374">
        <f>NAV!W1235</f>
        <v>0</v>
      </c>
      <c r="I1322" s="374" t="str">
        <f>NAV!S1235</f>
        <v>SPC 없음</v>
      </c>
      <c r="J1322" s="149" t="str">
        <f>IF(L1322=0,"",COUNTA(L$1318:$L1322)+COUNT($F$1318:$F$1323))</f>
        <v/>
      </c>
      <c r="K1322" s="373">
        <f t="shared" si="162"/>
        <v>0</v>
      </c>
      <c r="L1322" s="375">
        <f>NAV!J1243</f>
        <v>0</v>
      </c>
      <c r="M1322" s="376">
        <f>NAV!N1243</f>
        <v>0</v>
      </c>
      <c r="N1322" s="376">
        <f>NAV!T1243</f>
        <v>0</v>
      </c>
      <c r="O1322" s="377">
        <f>IF(N1322="장부가액 준용","장부가액 준용",IF(N1322="취득원가 준용","취득원가 준용",NAV!R1243))</f>
        <v>0</v>
      </c>
      <c r="P1322" s="377">
        <f>NAV!W1243</f>
        <v>0</v>
      </c>
      <c r="Q1322" s="377">
        <f>NAV!S1243</f>
        <v>0</v>
      </c>
      <c r="R1322" s="737" t="str">
        <f>MID(NAV!U1243,FIND("(",NAV!U1243)+1,FIND(")", NAV!U1243)-FIND("(",NAV!U1243)-1)</f>
        <v>KRW</v>
      </c>
    </row>
    <row r="1323" spans="1:18" ht="12.75" thickBot="1">
      <c r="A1323" s="149">
        <f>A1322+1</f>
        <v>2</v>
      </c>
      <c r="B1323" s="381" t="str">
        <f t="shared" ref="B1323:B1338" si="163">IFERROR(IF(F1319=A1323,VLOOKUP(A1323,$F$1317:$I$1328,2,0),VLOOKUP(A1323,$J$1317:$Q$1328,3,0)&amp;" "&amp;VLOOKUP(A1323,$J$1317:$Q$1328,4,0)),"")</f>
        <v/>
      </c>
      <c r="C1323" s="380" t="str">
        <f t="shared" ref="C1323:C1338" si="164">IFERROR(IF(F1319=A1323,VLOOKUP(A1323,$F$1317:$I$1328,3,0),VLOOKUP(A1323,$J$1317:$Q$1328,7,0)),"")</f>
        <v/>
      </c>
      <c r="D1323" s="380" t="str">
        <f t="shared" ref="D1323:D1338" si="165">IFERROR(IF(F1319=A1323,VLOOKUP(A1323,$F$1317:$I$1328,4,0),VLOOKUP(A1323,$J$1317:$Q$1328,8,0)),"")</f>
        <v/>
      </c>
      <c r="F1323" s="149" t="str">
        <f>IF(G1323=0,"",COUNTA(G$1318:$G1323))</f>
        <v/>
      </c>
      <c r="G1323" s="373">
        <f>IF(NAV!L1236="SPC 없음",0,NAV!L1236)</f>
        <v>0</v>
      </c>
      <c r="H1323" s="374">
        <f>NAV!W1236</f>
        <v>0</v>
      </c>
      <c r="I1323" s="374" t="str">
        <f>NAV!S1236</f>
        <v>SPC 없음</v>
      </c>
      <c r="J1323" s="149" t="str">
        <f>IF(L1323=0,"",COUNTA(L$1318:$L1323)+COUNT($F$1318:$F$1323))</f>
        <v/>
      </c>
      <c r="K1323" s="373">
        <f t="shared" si="162"/>
        <v>0</v>
      </c>
      <c r="L1323" s="375">
        <f>NAV!J1244</f>
        <v>0</v>
      </c>
      <c r="M1323" s="376">
        <f>NAV!N1244</f>
        <v>0</v>
      </c>
      <c r="N1323" s="376">
        <f>NAV!T1244</f>
        <v>0</v>
      </c>
      <c r="O1323" s="377">
        <f>IF(N1323="장부가액 준용","장부가액 준용",IF(N1323="취득원가 준용","취득원가 준용",NAV!R1244))</f>
        <v>0</v>
      </c>
      <c r="P1323" s="377">
        <f>NAV!W1244</f>
        <v>0</v>
      </c>
      <c r="Q1323" s="377">
        <f>NAV!S1244</f>
        <v>0</v>
      </c>
      <c r="R1323" s="737" t="str">
        <f>MID(NAV!U1244,FIND("(",NAV!U1244)+1,FIND(")", NAV!U1244)-FIND("(",NAV!U1244)-1)</f>
        <v>KRW</v>
      </c>
    </row>
    <row r="1324" spans="1:18" ht="12.75" thickBot="1">
      <c r="A1324" s="149">
        <f t="shared" ref="A1324:A1338" si="166">A1323+1</f>
        <v>3</v>
      </c>
      <c r="B1324" s="381" t="str">
        <f t="shared" si="163"/>
        <v/>
      </c>
      <c r="C1324" s="380" t="str">
        <f t="shared" si="164"/>
        <v/>
      </c>
      <c r="D1324" s="380" t="str">
        <f t="shared" si="165"/>
        <v/>
      </c>
      <c r="J1324" s="149" t="str">
        <f>IF(L1324=0,"",COUNTA(L$1318:$L1324)+COUNT($F$1318:$F$1323))</f>
        <v/>
      </c>
      <c r="K1324" s="373">
        <f t="shared" si="162"/>
        <v>0</v>
      </c>
      <c r="L1324" s="375">
        <f>NAV!J1245</f>
        <v>0</v>
      </c>
      <c r="M1324" s="376">
        <f>NAV!N1245</f>
        <v>0</v>
      </c>
      <c r="N1324" s="376">
        <f>NAV!T1245</f>
        <v>0</v>
      </c>
      <c r="O1324" s="377">
        <f>IF(N1324="장부가액 준용","장부가액 준용",IF(N1324="취득원가 준용","취득원가 준용",NAV!R1245))</f>
        <v>0</v>
      </c>
      <c r="P1324" s="377">
        <f>NAV!W1245</f>
        <v>0</v>
      </c>
      <c r="Q1324" s="377">
        <f>NAV!S1245</f>
        <v>0</v>
      </c>
      <c r="R1324" s="737" t="str">
        <f>MID(NAV!U1245,FIND("(",NAV!U1245)+1,FIND(")", NAV!U1245)-FIND("(",NAV!U1245)-1)</f>
        <v>KRW</v>
      </c>
    </row>
    <row r="1325" spans="1:18" ht="12.75" thickBot="1">
      <c r="A1325" s="149">
        <f t="shared" si="166"/>
        <v>4</v>
      </c>
      <c r="B1325" s="381" t="str">
        <f t="shared" si="163"/>
        <v/>
      </c>
      <c r="C1325" s="380" t="str">
        <f t="shared" si="164"/>
        <v/>
      </c>
      <c r="D1325" s="380" t="str">
        <f t="shared" si="165"/>
        <v/>
      </c>
      <c r="J1325" s="149" t="str">
        <f>IF(L1325=0,"",COUNTA(L$1318:$L1325)+COUNT($F$1318:$F$1323))</f>
        <v/>
      </c>
      <c r="K1325" s="373">
        <f t="shared" si="162"/>
        <v>0</v>
      </c>
      <c r="L1325" s="375">
        <f>NAV!J1246</f>
        <v>0</v>
      </c>
      <c r="M1325" s="376">
        <f>NAV!N1246</f>
        <v>0</v>
      </c>
      <c r="N1325" s="376">
        <f>NAV!T1246</f>
        <v>0</v>
      </c>
      <c r="O1325" s="377">
        <f>IF(N1325="장부가액 준용","장부가액 준용",IF(N1325="취득원가 준용","취득원가 준용",NAV!R1246))</f>
        <v>0</v>
      </c>
      <c r="P1325" s="377">
        <f>NAV!W1246</f>
        <v>0</v>
      </c>
      <c r="Q1325" s="377">
        <f>NAV!S1246</f>
        <v>0</v>
      </c>
      <c r="R1325" s="737" t="str">
        <f>MID(NAV!U1246,FIND("(",NAV!U1246)+1,FIND(")", NAV!U1246)-FIND("(",NAV!U1246)-1)</f>
        <v>KRW</v>
      </c>
    </row>
    <row r="1326" spans="1:18" ht="12.75" thickBot="1">
      <c r="A1326" s="149">
        <f t="shared" si="166"/>
        <v>5</v>
      </c>
      <c r="B1326" s="381" t="str">
        <f t="shared" si="163"/>
        <v/>
      </c>
      <c r="C1326" s="380" t="str">
        <f t="shared" si="164"/>
        <v/>
      </c>
      <c r="D1326" s="380" t="str">
        <f t="shared" si="165"/>
        <v/>
      </c>
      <c r="J1326" s="149" t="str">
        <f>IF(L1326=0,"",COUNTA(L$1318:$L1326)+COUNT($F$1318:$F$1323))</f>
        <v/>
      </c>
      <c r="K1326" s="373">
        <f t="shared" si="162"/>
        <v>0</v>
      </c>
      <c r="L1326" s="375">
        <f>NAV!J1247</f>
        <v>0</v>
      </c>
      <c r="M1326" s="376">
        <f>NAV!N1247</f>
        <v>0</v>
      </c>
      <c r="N1326" s="376">
        <f>NAV!T1247</f>
        <v>0</v>
      </c>
      <c r="O1326" s="377">
        <f>IF(N1326="장부가액 준용","장부가액 준용",IF(N1326="취득원가 준용","취득원가 준용",NAV!R1247))</f>
        <v>0</v>
      </c>
      <c r="P1326" s="377">
        <f>NAV!W1247</f>
        <v>0</v>
      </c>
      <c r="Q1326" s="377">
        <f>NAV!S1247</f>
        <v>0</v>
      </c>
      <c r="R1326" s="737" t="str">
        <f>MID(NAV!U1247,FIND("(",NAV!U1247)+1,FIND(")", NAV!U1247)-FIND("(",NAV!U1247)-1)</f>
        <v>KRW</v>
      </c>
    </row>
    <row r="1327" spans="1:18" ht="12.75" thickBot="1">
      <c r="A1327" s="149">
        <f t="shared" si="166"/>
        <v>6</v>
      </c>
      <c r="B1327" s="381" t="str">
        <f t="shared" si="163"/>
        <v/>
      </c>
      <c r="C1327" s="380" t="str">
        <f t="shared" si="164"/>
        <v/>
      </c>
      <c r="D1327" s="380" t="str">
        <f t="shared" si="165"/>
        <v/>
      </c>
      <c r="J1327" s="149" t="str">
        <f>IF(L1327=0,"",COUNTA(L$1318:$L1327)+COUNT($F$1318:$F$1323))</f>
        <v/>
      </c>
      <c r="K1327" s="373">
        <f t="shared" si="162"/>
        <v>0</v>
      </c>
      <c r="L1327" s="375">
        <f>NAV!J1248</f>
        <v>0</v>
      </c>
      <c r="M1327" s="376">
        <f>NAV!N1248</f>
        <v>0</v>
      </c>
      <c r="N1327" s="376">
        <f>NAV!T1248</f>
        <v>0</v>
      </c>
      <c r="O1327" s="377">
        <f>IF(N1327="장부가액 준용","장부가액 준용",IF(N1327="취득원가 준용","취득원가 준용",NAV!R1248))</f>
        <v>0</v>
      </c>
      <c r="P1327" s="377">
        <f>NAV!W1248</f>
        <v>0</v>
      </c>
      <c r="Q1327" s="377">
        <f>NAV!S1248</f>
        <v>0</v>
      </c>
      <c r="R1327" s="737" t="str">
        <f>MID(NAV!U1248,FIND("(",NAV!U1248)+1,FIND(")", NAV!U1248)-FIND("(",NAV!U1248)-1)</f>
        <v>KRW</v>
      </c>
    </row>
    <row r="1328" spans="1:18" ht="12.75" thickBot="1">
      <c r="A1328" s="149">
        <f t="shared" si="166"/>
        <v>7</v>
      </c>
      <c r="B1328" s="381" t="str">
        <f t="shared" si="163"/>
        <v/>
      </c>
      <c r="C1328" s="380" t="str">
        <f t="shared" si="164"/>
        <v/>
      </c>
      <c r="D1328" s="380" t="str">
        <f t="shared" si="165"/>
        <v/>
      </c>
      <c r="J1328" s="149" t="str">
        <f>IF(L1328=0,"",COUNTA(L$1318:$L1328)+COUNT($F$1318:$F$1323))</f>
        <v/>
      </c>
      <c r="K1328" s="373">
        <f t="shared" si="162"/>
        <v>0</v>
      </c>
      <c r="L1328" s="375">
        <f>NAV!J1249</f>
        <v>0</v>
      </c>
      <c r="M1328" s="376">
        <f>NAV!N1249</f>
        <v>0</v>
      </c>
      <c r="N1328" s="376">
        <f>NAV!T1249</f>
        <v>0</v>
      </c>
      <c r="O1328" s="377">
        <f>IF(N1328="장부가액 준용","장부가액 준용",IF(N1328="취득원가 준용","취득원가 준용",NAV!R1249))</f>
        <v>0</v>
      </c>
      <c r="P1328" s="377">
        <f>NAV!W1249</f>
        <v>0</v>
      </c>
      <c r="Q1328" s="377">
        <f>NAV!S1249</f>
        <v>0</v>
      </c>
      <c r="R1328" s="737" t="str">
        <f>MID(NAV!U1249,FIND("(",NAV!U1249)+1,FIND(")", NAV!U1249)-FIND("(",NAV!U1249)-1)</f>
        <v>KRW</v>
      </c>
    </row>
    <row r="1329" spans="1:6" ht="12.75" hidden="1" customHeight="1" outlineLevel="1" thickBot="1">
      <c r="A1329" s="149">
        <f t="shared" si="166"/>
        <v>8</v>
      </c>
      <c r="B1329" s="381" t="str">
        <f t="shared" si="163"/>
        <v/>
      </c>
      <c r="C1329" s="380" t="str">
        <f t="shared" si="164"/>
        <v/>
      </c>
      <c r="D1329" s="380" t="str">
        <f t="shared" si="165"/>
        <v/>
      </c>
    </row>
    <row r="1330" spans="1:6" ht="12.75" hidden="1" customHeight="1" outlineLevel="1" thickBot="1">
      <c r="A1330" s="149">
        <f t="shared" si="166"/>
        <v>9</v>
      </c>
      <c r="B1330" s="381" t="str">
        <f t="shared" si="163"/>
        <v/>
      </c>
      <c r="C1330" s="380" t="str">
        <f t="shared" si="164"/>
        <v/>
      </c>
      <c r="D1330" s="380" t="str">
        <f t="shared" si="165"/>
        <v/>
      </c>
    </row>
    <row r="1331" spans="1:6" ht="12.75" hidden="1" customHeight="1" outlineLevel="1" thickBot="1">
      <c r="A1331" s="149">
        <f t="shared" si="166"/>
        <v>10</v>
      </c>
      <c r="B1331" s="381" t="str">
        <f t="shared" si="163"/>
        <v/>
      </c>
      <c r="C1331" s="380" t="str">
        <f t="shared" si="164"/>
        <v/>
      </c>
      <c r="D1331" s="380" t="str">
        <f t="shared" si="165"/>
        <v/>
      </c>
    </row>
    <row r="1332" spans="1:6" ht="12.75" hidden="1" customHeight="1" outlineLevel="1" thickBot="1">
      <c r="A1332" s="149">
        <f t="shared" si="166"/>
        <v>11</v>
      </c>
      <c r="B1332" s="381" t="str">
        <f t="shared" si="163"/>
        <v/>
      </c>
      <c r="C1332" s="380" t="str">
        <f t="shared" si="164"/>
        <v/>
      </c>
      <c r="D1332" s="380" t="str">
        <f t="shared" si="165"/>
        <v/>
      </c>
    </row>
    <row r="1333" spans="1:6" ht="12.75" hidden="1" customHeight="1" outlineLevel="1" thickBot="1">
      <c r="A1333" s="149">
        <f t="shared" si="166"/>
        <v>12</v>
      </c>
      <c r="B1333" s="381" t="str">
        <f t="shared" si="163"/>
        <v/>
      </c>
      <c r="C1333" s="380" t="str">
        <f t="shared" si="164"/>
        <v/>
      </c>
      <c r="D1333" s="380" t="str">
        <f t="shared" si="165"/>
        <v/>
      </c>
    </row>
    <row r="1334" spans="1:6" ht="12.75" hidden="1" customHeight="1" outlineLevel="1" thickBot="1">
      <c r="A1334" s="149">
        <f t="shared" si="166"/>
        <v>13</v>
      </c>
      <c r="B1334" s="381" t="str">
        <f t="shared" si="163"/>
        <v/>
      </c>
      <c r="C1334" s="380" t="str">
        <f t="shared" si="164"/>
        <v/>
      </c>
      <c r="D1334" s="380" t="str">
        <f t="shared" si="165"/>
        <v/>
      </c>
    </row>
    <row r="1335" spans="1:6" ht="12.75" hidden="1" customHeight="1" outlineLevel="1" thickBot="1">
      <c r="A1335" s="149">
        <f t="shared" si="166"/>
        <v>14</v>
      </c>
      <c r="B1335" s="381" t="str">
        <f t="shared" si="163"/>
        <v/>
      </c>
      <c r="C1335" s="380" t="str">
        <f t="shared" si="164"/>
        <v/>
      </c>
      <c r="D1335" s="380" t="str">
        <f t="shared" si="165"/>
        <v/>
      </c>
    </row>
    <row r="1336" spans="1:6" ht="12.75" hidden="1" customHeight="1" outlineLevel="1" thickBot="1">
      <c r="A1336" s="149">
        <f t="shared" si="166"/>
        <v>15</v>
      </c>
      <c r="B1336" s="381" t="str">
        <f t="shared" si="163"/>
        <v/>
      </c>
      <c r="C1336" s="380" t="str">
        <f t="shared" si="164"/>
        <v/>
      </c>
      <c r="D1336" s="380" t="str">
        <f t="shared" si="165"/>
        <v/>
      </c>
    </row>
    <row r="1337" spans="1:6" ht="12.75" hidden="1" customHeight="1" outlineLevel="1" thickBot="1">
      <c r="A1337" s="149">
        <f t="shared" si="166"/>
        <v>16</v>
      </c>
      <c r="B1337" s="381" t="str">
        <f t="shared" si="163"/>
        <v/>
      </c>
      <c r="C1337" s="380" t="str">
        <f t="shared" si="164"/>
        <v/>
      </c>
      <c r="D1337" s="380" t="str">
        <f t="shared" si="165"/>
        <v/>
      </c>
    </row>
    <row r="1338" spans="1:6" ht="12.75" hidden="1" customHeight="1" outlineLevel="1" thickBot="1">
      <c r="A1338" s="149">
        <f t="shared" si="166"/>
        <v>17</v>
      </c>
      <c r="B1338" s="381" t="str">
        <f t="shared" si="163"/>
        <v/>
      </c>
      <c r="C1338" s="380" t="str">
        <f t="shared" si="164"/>
        <v/>
      </c>
      <c r="D1338" s="380" t="str">
        <f t="shared" si="165"/>
        <v/>
      </c>
    </row>
    <row r="1339" spans="1:6" ht="12.75" collapsed="1" thickBot="1">
      <c r="B1339" s="382" t="s">
        <v>2</v>
      </c>
      <c r="C1339" s="372">
        <f>SUM(C1318,C1321)</f>
        <v>0</v>
      </c>
      <c r="D1339" s="383">
        <f>SUM(D1318,D1321)</f>
        <v>0</v>
      </c>
    </row>
    <row r="1340" spans="1:6" ht="12.75" thickBot="1">
      <c r="B1340" s="382" t="s">
        <v>30</v>
      </c>
      <c r="C1340" s="819">
        <f>NAV!E1244</f>
        <v>0</v>
      </c>
      <c r="D1340" s="820"/>
    </row>
    <row r="1341" spans="1:6" ht="12.75" thickBot="1">
      <c r="B1341" s="382" t="s">
        <v>31</v>
      </c>
      <c r="C1341" s="819">
        <f>D1339-C1340</f>
        <v>0</v>
      </c>
      <c r="D1341" s="820"/>
    </row>
    <row r="1342" spans="1:6" ht="12.75" thickBot="1">
      <c r="B1342" s="382" t="s">
        <v>745</v>
      </c>
      <c r="C1342" s="819">
        <f>NAV!E1249</f>
        <v>0</v>
      </c>
      <c r="D1342" s="820"/>
      <c r="F1342" s="217"/>
    </row>
    <row r="1343" spans="1:6" ht="12.75" thickBot="1">
      <c r="B1343" s="382" t="s">
        <v>965</v>
      </c>
      <c r="C1343" s="819">
        <f>NAV!E1250</f>
        <v>0</v>
      </c>
      <c r="D1343" s="820"/>
    </row>
    <row r="1344" spans="1:6" ht="12.75" thickBot="1">
      <c r="B1344" s="382" t="s">
        <v>744</v>
      </c>
      <c r="C1344" s="819">
        <f>NAV!E1251</f>
        <v>0</v>
      </c>
      <c r="D1344" s="820"/>
    </row>
    <row r="1345" spans="1:18" ht="12.75" thickBot="1">
      <c r="B1345" s="382" t="str">
        <f>NAV!C1252</f>
        <v>보유지분율(%)</v>
      </c>
      <c r="C1345" s="823">
        <f>NAV!D1252</f>
        <v>0</v>
      </c>
      <c r="D1345" s="824"/>
    </row>
    <row r="1346" spans="1:18" ht="12.75" thickBot="1">
      <c r="B1346" s="382" t="s">
        <v>746</v>
      </c>
      <c r="C1346" s="825">
        <f>NAV!E1252</f>
        <v>0</v>
      </c>
      <c r="D1346" s="826"/>
    </row>
    <row r="1352" spans="1:18">
      <c r="A1352" s="149">
        <f>A1314+1</f>
        <v>29</v>
      </c>
      <c r="B1352" s="399" t="str">
        <f>NAV!B1263</f>
        <v>SPC없음</v>
      </c>
      <c r="G1352" s="399" t="str">
        <f>B1352</f>
        <v>SPC없음</v>
      </c>
    </row>
    <row r="1353" spans="1:18">
      <c r="B1353" s="399" t="str">
        <f>NAV!C1264</f>
        <v>SPC없음</v>
      </c>
      <c r="G1353" s="399" t="str">
        <f>B1353</f>
        <v>SPC없음</v>
      </c>
    </row>
    <row r="1354" spans="1:18" ht="12.75" thickBot="1">
      <c r="B1354" s="215" t="s">
        <v>750</v>
      </c>
      <c r="C1354" s="216"/>
      <c r="D1354" s="216"/>
      <c r="E1354" s="216"/>
      <c r="F1354" s="216"/>
      <c r="G1354" s="215" t="s">
        <v>751</v>
      </c>
      <c r="H1354" s="216"/>
      <c r="I1354" s="216"/>
      <c r="K1354" s="215" t="s">
        <v>752</v>
      </c>
    </row>
    <row r="1355" spans="1:18" ht="12.75" thickBot="1">
      <c r="B1355" s="366" t="s">
        <v>27</v>
      </c>
      <c r="C1355" s="367" t="s">
        <v>28</v>
      </c>
      <c r="D1355" s="367" t="s">
        <v>29</v>
      </c>
      <c r="F1355" s="368" t="s">
        <v>3461</v>
      </c>
      <c r="G1355" s="353" t="str">
        <f>$G$74</f>
        <v>SPC명</v>
      </c>
      <c r="H1355" s="369" t="s">
        <v>3202</v>
      </c>
      <c r="I1355" s="369" t="s">
        <v>753</v>
      </c>
      <c r="J1355" s="368" t="s">
        <v>3461</v>
      </c>
      <c r="K1355" s="353" t="s">
        <v>3440</v>
      </c>
      <c r="L1355" s="353" t="str">
        <f>$L$74</f>
        <v>투자자산명</v>
      </c>
      <c r="M1355" s="358" t="s">
        <v>754</v>
      </c>
      <c r="N1355" s="358" t="s">
        <v>47</v>
      </c>
      <c r="O1355" s="369" t="s">
        <v>749</v>
      </c>
      <c r="P1355" s="400" t="s">
        <v>3460</v>
      </c>
      <c r="Q1355" s="370" t="s">
        <v>3463</v>
      </c>
      <c r="R1355" s="370" t="s">
        <v>6833</v>
      </c>
    </row>
    <row r="1356" spans="1:18" ht="12.75" thickBot="1">
      <c r="B1356" s="371" t="s">
        <v>3441</v>
      </c>
      <c r="C1356" s="372">
        <f>SUM(C1357:C1358)</f>
        <v>0</v>
      </c>
      <c r="D1356" s="372">
        <f>SUM(D1357:D1358)</f>
        <v>0</v>
      </c>
      <c r="F1356" s="149" t="str">
        <f>IF(G1356=0,"",COUNTA(G$1356:$G1356))</f>
        <v/>
      </c>
      <c r="G1356" s="373">
        <f>IF(NAV!L1269="SPC 없음",0,NAV!L1269)</f>
        <v>0</v>
      </c>
      <c r="H1356" s="374">
        <f>NAV!W1269</f>
        <v>0</v>
      </c>
      <c r="I1356" s="374" t="str">
        <f>NAV!S1269</f>
        <v>SPC 없음</v>
      </c>
      <c r="J1356" s="149" t="str">
        <f>IF(L1356=0,"",COUNTA(L$1356:$L1356)+COUNT($F$1356:$F$1361))</f>
        <v/>
      </c>
      <c r="K1356" s="373">
        <f>IF($B1353="SPC없음",0,$B1353)</f>
        <v>0</v>
      </c>
      <c r="L1356" s="375">
        <f>NAV!J1277</f>
        <v>0</v>
      </c>
      <c r="M1356" s="376">
        <f>NAV!N1277</f>
        <v>0</v>
      </c>
      <c r="N1356" s="376">
        <f>NAV!T1277</f>
        <v>0</v>
      </c>
      <c r="O1356" s="377">
        <f>IF(N1356="장부가액 준용","장부가액 준용",IF(N1356="취득원가 준용","취득원가 준용",NAV!R1277))</f>
        <v>0</v>
      </c>
      <c r="P1356" s="377">
        <f>NAV!W1277</f>
        <v>0</v>
      </c>
      <c r="Q1356" s="377">
        <f>NAV!S1277</f>
        <v>0</v>
      </c>
      <c r="R1356" s="737" t="str">
        <f>MID(NAV!U1277,FIND("(",NAV!U1277)+1,FIND(")", NAV!U1277)-FIND("(",NAV!U1277)-1)</f>
        <v>KRW</v>
      </c>
    </row>
    <row r="1357" spans="1:18" ht="12.75" thickBot="1">
      <c r="B1357" s="379" t="s">
        <v>3443</v>
      </c>
      <c r="C1357" s="380">
        <f>NAV!D1270</f>
        <v>0</v>
      </c>
      <c r="D1357" s="380">
        <f>NAV!E1270</f>
        <v>0</v>
      </c>
      <c r="F1357" s="149" t="str">
        <f>IF(G1357=0,"",COUNTA(G$1356:$G1357))</f>
        <v/>
      </c>
      <c r="G1357" s="373">
        <f>IF(NAV!L1270="SPC 없음",0,NAV!L1270)</f>
        <v>0</v>
      </c>
      <c r="H1357" s="374">
        <f>NAV!W1270</f>
        <v>0</v>
      </c>
      <c r="I1357" s="374" t="str">
        <f>NAV!S1270</f>
        <v>SPC 없음</v>
      </c>
      <c r="J1357" s="149" t="str">
        <f>IF(L1357=0,"",COUNTA(L$1356:$L1357)+COUNT($F$1356:$F$1361))</f>
        <v/>
      </c>
      <c r="K1357" s="373">
        <f t="shared" ref="K1357:K1366" si="167">K1356</f>
        <v>0</v>
      </c>
      <c r="L1357" s="375">
        <f>NAV!J1278</f>
        <v>0</v>
      </c>
      <c r="M1357" s="376">
        <f>NAV!N1278</f>
        <v>0</v>
      </c>
      <c r="N1357" s="376">
        <f>NAV!T1278</f>
        <v>0</v>
      </c>
      <c r="O1357" s="377">
        <f>IF(N1357="장부가액 준용","장부가액 준용",IF(N1357="취득원가 준용","취득원가 준용",NAV!R1278))</f>
        <v>0</v>
      </c>
      <c r="P1357" s="377">
        <f>NAV!W1278</f>
        <v>0</v>
      </c>
      <c r="Q1357" s="377">
        <f>NAV!S1278</f>
        <v>0</v>
      </c>
      <c r="R1357" s="737" t="str">
        <f>MID(NAV!U1278,FIND("(",NAV!U1278)+1,FIND(")", NAV!U1278)-FIND("(",NAV!U1278)-1)</f>
        <v>KRW</v>
      </c>
    </row>
    <row r="1358" spans="1:18" ht="12.75" thickBot="1">
      <c r="B1358" s="379" t="s">
        <v>156</v>
      </c>
      <c r="C1358" s="380">
        <f>NAV!D1271</f>
        <v>0</v>
      </c>
      <c r="D1358" s="380">
        <f>NAV!E1271</f>
        <v>0</v>
      </c>
      <c r="F1358" s="149" t="str">
        <f>IF(G1358=0,"",COUNTA(G$1356:$G1358))</f>
        <v/>
      </c>
      <c r="G1358" s="373">
        <f>IF(NAV!L1271="SPC 없음",0,NAV!L1271)</f>
        <v>0</v>
      </c>
      <c r="H1358" s="374">
        <f>NAV!W1271</f>
        <v>0</v>
      </c>
      <c r="I1358" s="374" t="str">
        <f>NAV!S1271</f>
        <v>SPC 없음</v>
      </c>
      <c r="J1358" s="149" t="str">
        <f>IF(L1358=0,"",COUNTA(L$1356:$L1358)+COUNT($F$1356:$F$1361))</f>
        <v/>
      </c>
      <c r="K1358" s="373">
        <f t="shared" si="167"/>
        <v>0</v>
      </c>
      <c r="L1358" s="375">
        <f>NAV!J1279</f>
        <v>0</v>
      </c>
      <c r="M1358" s="376">
        <f>NAV!N1279</f>
        <v>0</v>
      </c>
      <c r="N1358" s="376">
        <f>NAV!T1279</f>
        <v>0</v>
      </c>
      <c r="O1358" s="377">
        <f>IF(N1358="장부가액 준용","장부가액 준용",IF(N1358="취득원가 준용","취득원가 준용",NAV!R1279))</f>
        <v>0</v>
      </c>
      <c r="P1358" s="377">
        <f>NAV!W1279</f>
        <v>0</v>
      </c>
      <c r="Q1358" s="377">
        <f>NAV!S1279</f>
        <v>0</v>
      </c>
      <c r="R1358" s="737" t="str">
        <f>MID(NAV!U1279,FIND("(",NAV!U1279)+1,FIND(")", NAV!U1279)-FIND("(",NAV!U1279)-1)</f>
        <v>KRW</v>
      </c>
    </row>
    <row r="1359" spans="1:18" ht="12.75" thickBot="1">
      <c r="B1359" s="371" t="s">
        <v>3442</v>
      </c>
      <c r="C1359" s="372">
        <f>NAV!D1272</f>
        <v>0</v>
      </c>
      <c r="D1359" s="372">
        <f>NAV!E1272</f>
        <v>0</v>
      </c>
      <c r="F1359" s="149" t="str">
        <f>IF(G1359=0,"",COUNTA(G$1356:$G1359))</f>
        <v/>
      </c>
      <c r="G1359" s="373">
        <f>IF(NAV!L1272="SPC 없음",0,NAV!L1272)</f>
        <v>0</v>
      </c>
      <c r="H1359" s="374">
        <f>NAV!W1272</f>
        <v>0</v>
      </c>
      <c r="I1359" s="374" t="str">
        <f>NAV!S1272</f>
        <v>SPC 없음</v>
      </c>
      <c r="J1359" s="149" t="str">
        <f>IF(L1359=0,"",COUNTA(L$1356:$L1359)+COUNT($F$1356:$F$1361))</f>
        <v/>
      </c>
      <c r="K1359" s="373">
        <f t="shared" si="167"/>
        <v>0</v>
      </c>
      <c r="L1359" s="375">
        <f>NAV!J1280</f>
        <v>0</v>
      </c>
      <c r="M1359" s="376">
        <f>NAV!N1280</f>
        <v>0</v>
      </c>
      <c r="N1359" s="376">
        <f>NAV!T1280</f>
        <v>0</v>
      </c>
      <c r="O1359" s="377">
        <f>IF(N1359="장부가액 준용","장부가액 준용",IF(N1359="취득원가 준용","취득원가 준용",NAV!R1280))</f>
        <v>0</v>
      </c>
      <c r="P1359" s="377">
        <f>NAV!W1280</f>
        <v>0</v>
      </c>
      <c r="Q1359" s="377">
        <f>NAV!S1280</f>
        <v>0</v>
      </c>
      <c r="R1359" s="737" t="str">
        <f>MID(NAV!U1280,FIND("(",NAV!U1280)+1,FIND(")", NAV!U1280)-FIND("(",NAV!U1280)-1)</f>
        <v>KRW</v>
      </c>
    </row>
    <row r="1360" spans="1:18" ht="12.75" thickBot="1">
      <c r="A1360" s="149">
        <v>1</v>
      </c>
      <c r="B1360" s="381" t="str">
        <f>IFERROR(IF(F1356=A1360,VLOOKUP(A1360,$F$1355:$I$1366,2,0),VLOOKUP(A1360,$J$1355:$Q$1366,3,0)&amp;" "&amp;VLOOKUP(A1360,$J$1355:$Q$1366,4,0)),"")</f>
        <v/>
      </c>
      <c r="C1360" s="380" t="str">
        <f>IFERROR(IF(F1356=A1360,VLOOKUP(A1360,$F$1355:$I$1366,3,0),VLOOKUP(A1360,$J$1355:$Q$1366,7,0)),"")</f>
        <v/>
      </c>
      <c r="D1360" s="380" t="str">
        <f>IFERROR(IF(F1356=A1360,VLOOKUP(A1360,$F$1355:$I$1366,4,0),VLOOKUP(A1360,$J$1355:$Q$1366,8,0)),"")</f>
        <v/>
      </c>
      <c r="F1360" s="149" t="str">
        <f>IF(G1360=0,"",COUNTA(G$1356:$G1360))</f>
        <v/>
      </c>
      <c r="G1360" s="373">
        <f>IF(NAV!L1273="SPC 없음",0,NAV!L1273)</f>
        <v>0</v>
      </c>
      <c r="H1360" s="374">
        <f>NAV!W1273</f>
        <v>0</v>
      </c>
      <c r="I1360" s="374" t="str">
        <f>NAV!S1273</f>
        <v>SPC 없음</v>
      </c>
      <c r="J1360" s="149" t="str">
        <f>IF(L1360=0,"",COUNTA(L$1356:$L1360)+COUNT($F$1356:$F$1361))</f>
        <v/>
      </c>
      <c r="K1360" s="373">
        <f t="shared" si="167"/>
        <v>0</v>
      </c>
      <c r="L1360" s="375">
        <f>NAV!J1281</f>
        <v>0</v>
      </c>
      <c r="M1360" s="376">
        <f>NAV!N1281</f>
        <v>0</v>
      </c>
      <c r="N1360" s="376">
        <f>NAV!T1281</f>
        <v>0</v>
      </c>
      <c r="O1360" s="377">
        <f>IF(N1360="장부가액 준용","장부가액 준용",IF(N1360="취득원가 준용","취득원가 준용",NAV!R1281))</f>
        <v>0</v>
      </c>
      <c r="P1360" s="377">
        <f>NAV!W1281</f>
        <v>0</v>
      </c>
      <c r="Q1360" s="377">
        <f>NAV!S1281</f>
        <v>0</v>
      </c>
      <c r="R1360" s="737" t="str">
        <f>MID(NAV!U1281,FIND("(",NAV!U1281)+1,FIND(")", NAV!U1281)-FIND("(",NAV!U1281)-1)</f>
        <v>KRW</v>
      </c>
    </row>
    <row r="1361" spans="1:18" ht="12.75" thickBot="1">
      <c r="A1361" s="149">
        <f>A1360+1</f>
        <v>2</v>
      </c>
      <c r="B1361" s="381" t="str">
        <f t="shared" ref="B1361:B1376" si="168">IFERROR(IF(F1357=A1361,VLOOKUP(A1361,$F$1355:$I$1366,2,0),VLOOKUP(A1361,$J$1355:$Q$1366,3,0)&amp;" "&amp;VLOOKUP(A1361,$J$1355:$Q$1366,4,0)),"")</f>
        <v/>
      </c>
      <c r="C1361" s="380" t="str">
        <f t="shared" ref="C1361:C1376" si="169">IFERROR(IF(F1357=A1361,VLOOKUP(A1361,$F$1355:$I$1366,3,0),VLOOKUP(A1361,$J$1355:$Q$1366,7,0)),"")</f>
        <v/>
      </c>
      <c r="D1361" s="380" t="str">
        <f t="shared" ref="D1361:D1376" si="170">IFERROR(IF(F1357=A1361,VLOOKUP(A1361,$F$1355:$I$1366,4,0),VLOOKUP(A1361,$J$1355:$Q$1366,8,0)),"")</f>
        <v/>
      </c>
      <c r="F1361" s="149" t="str">
        <f>IF(G1361=0,"",COUNTA(G$1356:$G1361))</f>
        <v/>
      </c>
      <c r="G1361" s="373">
        <f>IF(NAV!L1274="SPC 없음",0,NAV!L1274)</f>
        <v>0</v>
      </c>
      <c r="H1361" s="374">
        <f>NAV!W1274</f>
        <v>0</v>
      </c>
      <c r="I1361" s="374" t="str">
        <f>NAV!S1274</f>
        <v>SPC 없음</v>
      </c>
      <c r="J1361" s="149" t="str">
        <f>IF(L1361=0,"",COUNTA(L$1356:$L1361)+COUNT($F$1356:$F$1361))</f>
        <v/>
      </c>
      <c r="K1361" s="373">
        <f t="shared" si="167"/>
        <v>0</v>
      </c>
      <c r="L1361" s="375">
        <f>NAV!J1282</f>
        <v>0</v>
      </c>
      <c r="M1361" s="376">
        <f>NAV!N1282</f>
        <v>0</v>
      </c>
      <c r="N1361" s="376">
        <f>NAV!T1282</f>
        <v>0</v>
      </c>
      <c r="O1361" s="377">
        <f>IF(N1361="장부가액 준용","장부가액 준용",IF(N1361="취득원가 준용","취득원가 준용",NAV!R1282))</f>
        <v>0</v>
      </c>
      <c r="P1361" s="377">
        <f>NAV!W1282</f>
        <v>0</v>
      </c>
      <c r="Q1361" s="377">
        <f>NAV!S1282</f>
        <v>0</v>
      </c>
      <c r="R1361" s="737" t="str">
        <f>MID(NAV!U1282,FIND("(",NAV!U1282)+1,FIND(")", NAV!U1282)-FIND("(",NAV!U1282)-1)</f>
        <v>KRW</v>
      </c>
    </row>
    <row r="1362" spans="1:18" ht="12.75" thickBot="1">
      <c r="A1362" s="149">
        <f t="shared" ref="A1362:A1376" si="171">A1361+1</f>
        <v>3</v>
      </c>
      <c r="B1362" s="381" t="str">
        <f t="shared" si="168"/>
        <v/>
      </c>
      <c r="C1362" s="380" t="str">
        <f t="shared" si="169"/>
        <v/>
      </c>
      <c r="D1362" s="380" t="str">
        <f t="shared" si="170"/>
        <v/>
      </c>
      <c r="J1362" s="149" t="str">
        <f>IF(L1362=0,"",COUNTA(L$1356:$L1362)+COUNT($F$1356:$F$1361))</f>
        <v/>
      </c>
      <c r="K1362" s="373">
        <f t="shared" si="167"/>
        <v>0</v>
      </c>
      <c r="L1362" s="375">
        <f>NAV!J1283</f>
        <v>0</v>
      </c>
      <c r="M1362" s="376">
        <f>NAV!N1283</f>
        <v>0</v>
      </c>
      <c r="N1362" s="376">
        <f>NAV!T1283</f>
        <v>0</v>
      </c>
      <c r="O1362" s="377">
        <f>IF(N1362="장부가액 준용","장부가액 준용",IF(N1362="취득원가 준용","취득원가 준용",NAV!R1283))</f>
        <v>0</v>
      </c>
      <c r="P1362" s="377">
        <f>NAV!W1283</f>
        <v>0</v>
      </c>
      <c r="Q1362" s="377">
        <f>NAV!S1283</f>
        <v>0</v>
      </c>
      <c r="R1362" s="737" t="str">
        <f>MID(NAV!U1283,FIND("(",NAV!U1283)+1,FIND(")", NAV!U1283)-FIND("(",NAV!U1283)-1)</f>
        <v>KRW</v>
      </c>
    </row>
    <row r="1363" spans="1:18" ht="12.75" thickBot="1">
      <c r="A1363" s="149">
        <f t="shared" si="171"/>
        <v>4</v>
      </c>
      <c r="B1363" s="381" t="str">
        <f t="shared" si="168"/>
        <v/>
      </c>
      <c r="C1363" s="380" t="str">
        <f t="shared" si="169"/>
        <v/>
      </c>
      <c r="D1363" s="380" t="str">
        <f t="shared" si="170"/>
        <v/>
      </c>
      <c r="J1363" s="149" t="str">
        <f>IF(L1363=0,"",COUNTA(L$1356:$L1363)+COUNT($F$1356:$F$1361))</f>
        <v/>
      </c>
      <c r="K1363" s="373">
        <f t="shared" si="167"/>
        <v>0</v>
      </c>
      <c r="L1363" s="375">
        <f>NAV!J1284</f>
        <v>0</v>
      </c>
      <c r="M1363" s="376">
        <f>NAV!N1284</f>
        <v>0</v>
      </c>
      <c r="N1363" s="376">
        <f>NAV!T1284</f>
        <v>0</v>
      </c>
      <c r="O1363" s="377">
        <f>IF(N1363="장부가액 준용","장부가액 준용",IF(N1363="취득원가 준용","취득원가 준용",NAV!R1284))</f>
        <v>0</v>
      </c>
      <c r="P1363" s="377">
        <f>NAV!W1284</f>
        <v>0</v>
      </c>
      <c r="Q1363" s="377">
        <f>NAV!S1284</f>
        <v>0</v>
      </c>
      <c r="R1363" s="737" t="str">
        <f>MID(NAV!U1284,FIND("(",NAV!U1284)+1,FIND(")", NAV!U1284)-FIND("(",NAV!U1284)-1)</f>
        <v>KRW</v>
      </c>
    </row>
    <row r="1364" spans="1:18" ht="12.75" thickBot="1">
      <c r="A1364" s="149">
        <f t="shared" si="171"/>
        <v>5</v>
      </c>
      <c r="B1364" s="381" t="str">
        <f t="shared" si="168"/>
        <v/>
      </c>
      <c r="C1364" s="380" t="str">
        <f t="shared" si="169"/>
        <v/>
      </c>
      <c r="D1364" s="380" t="str">
        <f t="shared" si="170"/>
        <v/>
      </c>
      <c r="J1364" s="149" t="str">
        <f>IF(L1364=0,"",COUNTA(L$1356:$L1364)+COUNT($F$1356:$F$1361))</f>
        <v/>
      </c>
      <c r="K1364" s="373">
        <f t="shared" si="167"/>
        <v>0</v>
      </c>
      <c r="L1364" s="375">
        <f>NAV!J1285</f>
        <v>0</v>
      </c>
      <c r="M1364" s="376">
        <f>NAV!N1285</f>
        <v>0</v>
      </c>
      <c r="N1364" s="376">
        <f>NAV!T1285</f>
        <v>0</v>
      </c>
      <c r="O1364" s="377">
        <f>IF(N1364="장부가액 준용","장부가액 준용",IF(N1364="취득원가 준용","취득원가 준용",NAV!R1285))</f>
        <v>0</v>
      </c>
      <c r="P1364" s="377">
        <f>NAV!W1285</f>
        <v>0</v>
      </c>
      <c r="Q1364" s="377">
        <f>NAV!S1285</f>
        <v>0</v>
      </c>
      <c r="R1364" s="737" t="str">
        <f>MID(NAV!U1285,FIND("(",NAV!U1285)+1,FIND(")", NAV!U1285)-FIND("(",NAV!U1285)-1)</f>
        <v>KRW</v>
      </c>
    </row>
    <row r="1365" spans="1:18" ht="12.75" thickBot="1">
      <c r="A1365" s="149">
        <f t="shared" si="171"/>
        <v>6</v>
      </c>
      <c r="B1365" s="381" t="str">
        <f t="shared" si="168"/>
        <v/>
      </c>
      <c r="C1365" s="380" t="str">
        <f t="shared" si="169"/>
        <v/>
      </c>
      <c r="D1365" s="380" t="str">
        <f t="shared" si="170"/>
        <v/>
      </c>
      <c r="J1365" s="149" t="str">
        <f>IF(L1365=0,"",COUNTA(L$1356:$L1365)+COUNT($F$1356:$F$1361))</f>
        <v/>
      </c>
      <c r="K1365" s="373">
        <f t="shared" si="167"/>
        <v>0</v>
      </c>
      <c r="L1365" s="375">
        <f>NAV!J1286</f>
        <v>0</v>
      </c>
      <c r="M1365" s="376">
        <f>NAV!N1286</f>
        <v>0</v>
      </c>
      <c r="N1365" s="376">
        <f>NAV!T1286</f>
        <v>0</v>
      </c>
      <c r="O1365" s="377">
        <f>IF(N1365="장부가액 준용","장부가액 준용",IF(N1365="취득원가 준용","취득원가 준용",NAV!R1286))</f>
        <v>0</v>
      </c>
      <c r="P1365" s="377">
        <f>NAV!W1286</f>
        <v>0</v>
      </c>
      <c r="Q1365" s="377">
        <f>NAV!S1286</f>
        <v>0</v>
      </c>
      <c r="R1365" s="737" t="str">
        <f>MID(NAV!U1286,FIND("(",NAV!U1286)+1,FIND(")", NAV!U1286)-FIND("(",NAV!U1286)-1)</f>
        <v>KRW</v>
      </c>
    </row>
    <row r="1366" spans="1:18" ht="12.75" thickBot="1">
      <c r="A1366" s="149">
        <f t="shared" si="171"/>
        <v>7</v>
      </c>
      <c r="B1366" s="381" t="str">
        <f t="shared" si="168"/>
        <v/>
      </c>
      <c r="C1366" s="380" t="str">
        <f t="shared" si="169"/>
        <v/>
      </c>
      <c r="D1366" s="380" t="str">
        <f t="shared" si="170"/>
        <v/>
      </c>
      <c r="J1366" s="149" t="str">
        <f>IF(L1366=0,"",COUNTA(L$1356:$L1366)+COUNT($F$1356:$F$1361))</f>
        <v/>
      </c>
      <c r="K1366" s="373">
        <f t="shared" si="167"/>
        <v>0</v>
      </c>
      <c r="L1366" s="375">
        <f>NAV!J1287</f>
        <v>0</v>
      </c>
      <c r="M1366" s="376">
        <f>NAV!N1287</f>
        <v>0</v>
      </c>
      <c r="N1366" s="376">
        <f>NAV!T1287</f>
        <v>0</v>
      </c>
      <c r="O1366" s="377">
        <f>IF(N1366="장부가액 준용","장부가액 준용",IF(N1366="취득원가 준용","취득원가 준용",NAV!R1287))</f>
        <v>0</v>
      </c>
      <c r="P1366" s="377">
        <f>NAV!W1287</f>
        <v>0</v>
      </c>
      <c r="Q1366" s="377">
        <f>NAV!S1287</f>
        <v>0</v>
      </c>
      <c r="R1366" s="737" t="str">
        <f>MID(NAV!U1287,FIND("(",NAV!U1287)+1,FIND(")", NAV!U1287)-FIND("(",NAV!U1287)-1)</f>
        <v>KRW</v>
      </c>
    </row>
    <row r="1367" spans="1:18" ht="12.75" hidden="1" customHeight="1" outlineLevel="1" thickBot="1">
      <c r="A1367" s="149">
        <f t="shared" si="171"/>
        <v>8</v>
      </c>
      <c r="B1367" s="381" t="str">
        <f t="shared" si="168"/>
        <v/>
      </c>
      <c r="C1367" s="380" t="str">
        <f t="shared" si="169"/>
        <v/>
      </c>
      <c r="D1367" s="380" t="str">
        <f t="shared" si="170"/>
        <v/>
      </c>
    </row>
    <row r="1368" spans="1:18" ht="12.75" hidden="1" customHeight="1" outlineLevel="1" thickBot="1">
      <c r="A1368" s="149">
        <f t="shared" si="171"/>
        <v>9</v>
      </c>
      <c r="B1368" s="381" t="str">
        <f t="shared" si="168"/>
        <v/>
      </c>
      <c r="C1368" s="380" t="str">
        <f t="shared" si="169"/>
        <v/>
      </c>
      <c r="D1368" s="380" t="str">
        <f t="shared" si="170"/>
        <v/>
      </c>
    </row>
    <row r="1369" spans="1:18" ht="12.75" hidden="1" customHeight="1" outlineLevel="1" thickBot="1">
      <c r="A1369" s="149">
        <f t="shared" si="171"/>
        <v>10</v>
      </c>
      <c r="B1369" s="381" t="str">
        <f t="shared" si="168"/>
        <v/>
      </c>
      <c r="C1369" s="380" t="str">
        <f t="shared" si="169"/>
        <v/>
      </c>
      <c r="D1369" s="380" t="str">
        <f t="shared" si="170"/>
        <v/>
      </c>
    </row>
    <row r="1370" spans="1:18" ht="12.75" hidden="1" customHeight="1" outlineLevel="1" thickBot="1">
      <c r="A1370" s="149">
        <f t="shared" si="171"/>
        <v>11</v>
      </c>
      <c r="B1370" s="381" t="str">
        <f t="shared" si="168"/>
        <v/>
      </c>
      <c r="C1370" s="380" t="str">
        <f t="shared" si="169"/>
        <v/>
      </c>
      <c r="D1370" s="380" t="str">
        <f t="shared" si="170"/>
        <v/>
      </c>
    </row>
    <row r="1371" spans="1:18" ht="12.75" hidden="1" customHeight="1" outlineLevel="1" thickBot="1">
      <c r="A1371" s="149">
        <f t="shared" si="171"/>
        <v>12</v>
      </c>
      <c r="B1371" s="381" t="str">
        <f t="shared" si="168"/>
        <v/>
      </c>
      <c r="C1371" s="380" t="str">
        <f t="shared" si="169"/>
        <v/>
      </c>
      <c r="D1371" s="380" t="str">
        <f t="shared" si="170"/>
        <v/>
      </c>
    </row>
    <row r="1372" spans="1:18" ht="12.75" hidden="1" customHeight="1" outlineLevel="1" thickBot="1">
      <c r="A1372" s="149">
        <f t="shared" si="171"/>
        <v>13</v>
      </c>
      <c r="B1372" s="381" t="str">
        <f t="shared" si="168"/>
        <v/>
      </c>
      <c r="C1372" s="380" t="str">
        <f t="shared" si="169"/>
        <v/>
      </c>
      <c r="D1372" s="380" t="str">
        <f t="shared" si="170"/>
        <v/>
      </c>
    </row>
    <row r="1373" spans="1:18" ht="12.75" hidden="1" customHeight="1" outlineLevel="1" thickBot="1">
      <c r="A1373" s="149">
        <f t="shared" si="171"/>
        <v>14</v>
      </c>
      <c r="B1373" s="381" t="str">
        <f t="shared" si="168"/>
        <v/>
      </c>
      <c r="C1373" s="380" t="str">
        <f t="shared" si="169"/>
        <v/>
      </c>
      <c r="D1373" s="380" t="str">
        <f t="shared" si="170"/>
        <v/>
      </c>
    </row>
    <row r="1374" spans="1:18" ht="12.75" hidden="1" customHeight="1" outlineLevel="1" thickBot="1">
      <c r="A1374" s="149">
        <f t="shared" si="171"/>
        <v>15</v>
      </c>
      <c r="B1374" s="381" t="str">
        <f t="shared" si="168"/>
        <v/>
      </c>
      <c r="C1374" s="380" t="str">
        <f t="shared" si="169"/>
        <v/>
      </c>
      <c r="D1374" s="380" t="str">
        <f t="shared" si="170"/>
        <v/>
      </c>
    </row>
    <row r="1375" spans="1:18" ht="12.75" hidden="1" customHeight="1" outlineLevel="1" thickBot="1">
      <c r="A1375" s="149">
        <f t="shared" si="171"/>
        <v>16</v>
      </c>
      <c r="B1375" s="381" t="str">
        <f t="shared" si="168"/>
        <v/>
      </c>
      <c r="C1375" s="380" t="str">
        <f t="shared" si="169"/>
        <v/>
      </c>
      <c r="D1375" s="380" t="str">
        <f t="shared" si="170"/>
        <v/>
      </c>
    </row>
    <row r="1376" spans="1:18" ht="12.75" hidden="1" customHeight="1" outlineLevel="1" thickBot="1">
      <c r="A1376" s="149">
        <f t="shared" si="171"/>
        <v>17</v>
      </c>
      <c r="B1376" s="381" t="str">
        <f t="shared" si="168"/>
        <v/>
      </c>
      <c r="C1376" s="380" t="str">
        <f t="shared" si="169"/>
        <v/>
      </c>
      <c r="D1376" s="380" t="str">
        <f t="shared" si="170"/>
        <v/>
      </c>
    </row>
    <row r="1377" spans="2:6" ht="12.75" collapsed="1" thickBot="1">
      <c r="B1377" s="382" t="s">
        <v>2</v>
      </c>
      <c r="C1377" s="372">
        <f>SUM(C1356,C1359)</f>
        <v>0</v>
      </c>
      <c r="D1377" s="383">
        <f>SUM(D1356,D1359)</f>
        <v>0</v>
      </c>
    </row>
    <row r="1378" spans="2:6" ht="12.75" thickBot="1">
      <c r="B1378" s="382" t="s">
        <v>30</v>
      </c>
      <c r="C1378" s="819">
        <f>NAV!E1282</f>
        <v>0</v>
      </c>
      <c r="D1378" s="820"/>
    </row>
    <row r="1379" spans="2:6" ht="12.75" thickBot="1">
      <c r="B1379" s="382" t="s">
        <v>31</v>
      </c>
      <c r="C1379" s="819">
        <f>D1377-C1378</f>
        <v>0</v>
      </c>
      <c r="D1379" s="820"/>
    </row>
    <row r="1380" spans="2:6" ht="12.75" thickBot="1">
      <c r="B1380" s="382" t="s">
        <v>745</v>
      </c>
      <c r="C1380" s="819">
        <f>NAV!E1287</f>
        <v>0</v>
      </c>
      <c r="D1380" s="820"/>
      <c r="F1380" s="217"/>
    </row>
    <row r="1381" spans="2:6" ht="12.75" thickBot="1">
      <c r="B1381" s="382" t="s">
        <v>965</v>
      </c>
      <c r="C1381" s="819">
        <f>NAV!E1288</f>
        <v>0</v>
      </c>
      <c r="D1381" s="820"/>
    </row>
    <row r="1382" spans="2:6" ht="12.75" thickBot="1">
      <c r="B1382" s="382" t="s">
        <v>744</v>
      </c>
      <c r="C1382" s="819">
        <f>NAV!E1289</f>
        <v>0</v>
      </c>
      <c r="D1382" s="820"/>
    </row>
    <row r="1383" spans="2:6" ht="12.75" thickBot="1">
      <c r="B1383" s="382" t="str">
        <f>NAV!C1290</f>
        <v>보유지분율(%)</v>
      </c>
      <c r="C1383" s="823">
        <f>NAV!D1290</f>
        <v>0</v>
      </c>
      <c r="D1383" s="824"/>
    </row>
    <row r="1384" spans="2:6" ht="12.75" thickBot="1">
      <c r="B1384" s="382" t="s">
        <v>746</v>
      </c>
      <c r="C1384" s="825">
        <f>NAV!E1290</f>
        <v>0</v>
      </c>
      <c r="D1384" s="826"/>
    </row>
  </sheetData>
  <mergeCells count="219">
    <mergeCell ref="C1384:D1384"/>
    <mergeCell ref="C1379:D1379"/>
    <mergeCell ref="C1380:D1380"/>
    <mergeCell ref="C1381:D1381"/>
    <mergeCell ref="C1382:D1382"/>
    <mergeCell ref="C1383:D1383"/>
    <mergeCell ref="C1343:D1343"/>
    <mergeCell ref="C1344:D1344"/>
    <mergeCell ref="C1345:D1345"/>
    <mergeCell ref="C1346:D1346"/>
    <mergeCell ref="C1378:D1378"/>
    <mergeCell ref="C1307:D1307"/>
    <mergeCell ref="C1308:D1308"/>
    <mergeCell ref="C1340:D1340"/>
    <mergeCell ref="C1341:D1341"/>
    <mergeCell ref="C1342:D1342"/>
    <mergeCell ref="C1302:D1302"/>
    <mergeCell ref="C1303:D1303"/>
    <mergeCell ref="C1304:D1304"/>
    <mergeCell ref="C1305:D1305"/>
    <mergeCell ref="C1306:D1306"/>
    <mergeCell ref="C1266:D1266"/>
    <mergeCell ref="C1267:D1267"/>
    <mergeCell ref="C1268:D1268"/>
    <mergeCell ref="C1269:D1269"/>
    <mergeCell ref="C1270:D1270"/>
    <mergeCell ref="C1230:D1230"/>
    <mergeCell ref="C1231:D1231"/>
    <mergeCell ref="C1232:D1232"/>
    <mergeCell ref="C1264:D1264"/>
    <mergeCell ref="C1265:D1265"/>
    <mergeCell ref="C1194:D1194"/>
    <mergeCell ref="C1226:D1226"/>
    <mergeCell ref="C1227:D1227"/>
    <mergeCell ref="C1228:D1228"/>
    <mergeCell ref="C1229:D1229"/>
    <mergeCell ref="C1189:D1189"/>
    <mergeCell ref="C1190:D1190"/>
    <mergeCell ref="C1191:D1191"/>
    <mergeCell ref="C1192:D1192"/>
    <mergeCell ref="C1193:D1193"/>
    <mergeCell ref="C1153:D1153"/>
    <mergeCell ref="C1154:D1154"/>
    <mergeCell ref="C1155:D1155"/>
    <mergeCell ref="C1156:D1156"/>
    <mergeCell ref="C1188:D1188"/>
    <mergeCell ref="C1117:D1117"/>
    <mergeCell ref="C1118:D1118"/>
    <mergeCell ref="C1150:D1150"/>
    <mergeCell ref="C1151:D1151"/>
    <mergeCell ref="C1152:D1152"/>
    <mergeCell ref="C1112:D1112"/>
    <mergeCell ref="C1113:D1113"/>
    <mergeCell ref="C1114:D1114"/>
    <mergeCell ref="C1115:D1115"/>
    <mergeCell ref="C1116:D1116"/>
    <mergeCell ref="C1076:D1076"/>
    <mergeCell ref="C1077:D1077"/>
    <mergeCell ref="C1078:D1078"/>
    <mergeCell ref="C1079:D1079"/>
    <mergeCell ref="C1080:D1080"/>
    <mergeCell ref="C1040:D1040"/>
    <mergeCell ref="C1041:D1041"/>
    <mergeCell ref="C1042:D1042"/>
    <mergeCell ref="C1074:D1074"/>
    <mergeCell ref="C1075:D1075"/>
    <mergeCell ref="C1004:D1004"/>
    <mergeCell ref="C1036:D1036"/>
    <mergeCell ref="C1037:D1037"/>
    <mergeCell ref="C1038:D1038"/>
    <mergeCell ref="C1039:D1039"/>
    <mergeCell ref="C999:D999"/>
    <mergeCell ref="C1000:D1000"/>
    <mergeCell ref="C1001:D1001"/>
    <mergeCell ref="C1002:D1002"/>
    <mergeCell ref="C1003:D1003"/>
    <mergeCell ref="C963:D963"/>
    <mergeCell ref="C964:D964"/>
    <mergeCell ref="C965:D965"/>
    <mergeCell ref="C966:D966"/>
    <mergeCell ref="C998:D998"/>
    <mergeCell ref="C927:D927"/>
    <mergeCell ref="C928:D928"/>
    <mergeCell ref="C960:D960"/>
    <mergeCell ref="C961:D961"/>
    <mergeCell ref="C962:D962"/>
    <mergeCell ref="C922:D922"/>
    <mergeCell ref="C923:D923"/>
    <mergeCell ref="C924:D924"/>
    <mergeCell ref="C925:D925"/>
    <mergeCell ref="C926:D926"/>
    <mergeCell ref="C886:D886"/>
    <mergeCell ref="C887:D887"/>
    <mergeCell ref="C888:D888"/>
    <mergeCell ref="C889:D889"/>
    <mergeCell ref="C890:D890"/>
    <mergeCell ref="C850:D850"/>
    <mergeCell ref="C851:D851"/>
    <mergeCell ref="C852:D852"/>
    <mergeCell ref="C884:D884"/>
    <mergeCell ref="C885:D885"/>
    <mergeCell ref="C814:D814"/>
    <mergeCell ref="C846:D846"/>
    <mergeCell ref="C847:D847"/>
    <mergeCell ref="C848:D848"/>
    <mergeCell ref="C849:D849"/>
    <mergeCell ref="C809:D809"/>
    <mergeCell ref="C810:D810"/>
    <mergeCell ref="C811:D811"/>
    <mergeCell ref="C812:D812"/>
    <mergeCell ref="C813:D813"/>
    <mergeCell ref="C773:D773"/>
    <mergeCell ref="C774:D774"/>
    <mergeCell ref="C775:D775"/>
    <mergeCell ref="C776:D776"/>
    <mergeCell ref="C808:D808"/>
    <mergeCell ref="C737:D737"/>
    <mergeCell ref="C738:D738"/>
    <mergeCell ref="C770:D770"/>
    <mergeCell ref="C771:D771"/>
    <mergeCell ref="C772:D772"/>
    <mergeCell ref="C732:D732"/>
    <mergeCell ref="C733:D733"/>
    <mergeCell ref="C734:D734"/>
    <mergeCell ref="C735:D735"/>
    <mergeCell ref="C736:D736"/>
    <mergeCell ref="C696:D696"/>
    <mergeCell ref="C697:D697"/>
    <mergeCell ref="C698:D698"/>
    <mergeCell ref="C699:D699"/>
    <mergeCell ref="C700:D700"/>
    <mergeCell ref="C660:D660"/>
    <mergeCell ref="C661:D661"/>
    <mergeCell ref="C662:D662"/>
    <mergeCell ref="C694:D694"/>
    <mergeCell ref="C695:D695"/>
    <mergeCell ref="C624:D624"/>
    <mergeCell ref="C656:D656"/>
    <mergeCell ref="C657:D657"/>
    <mergeCell ref="C658:D658"/>
    <mergeCell ref="C659:D659"/>
    <mergeCell ref="C619:D619"/>
    <mergeCell ref="C620:D620"/>
    <mergeCell ref="C621:D621"/>
    <mergeCell ref="C622:D622"/>
    <mergeCell ref="C623:D623"/>
    <mergeCell ref="C583:D583"/>
    <mergeCell ref="C584:D584"/>
    <mergeCell ref="C585:D585"/>
    <mergeCell ref="C586:D586"/>
    <mergeCell ref="C618:D618"/>
    <mergeCell ref="C547:D547"/>
    <mergeCell ref="C548:D548"/>
    <mergeCell ref="C580:D580"/>
    <mergeCell ref="C581:D581"/>
    <mergeCell ref="C582:D582"/>
    <mergeCell ref="C542:D542"/>
    <mergeCell ref="C543:D543"/>
    <mergeCell ref="C544:D544"/>
    <mergeCell ref="C545:D545"/>
    <mergeCell ref="C546:D546"/>
    <mergeCell ref="C506:D506"/>
    <mergeCell ref="C507:D507"/>
    <mergeCell ref="C508:D508"/>
    <mergeCell ref="C509:D509"/>
    <mergeCell ref="C510:D510"/>
    <mergeCell ref="C470:D470"/>
    <mergeCell ref="C471:D471"/>
    <mergeCell ref="C472:D472"/>
    <mergeCell ref="C504:D504"/>
    <mergeCell ref="C505:D505"/>
    <mergeCell ref="C434:D434"/>
    <mergeCell ref="C466:D466"/>
    <mergeCell ref="C467:D467"/>
    <mergeCell ref="C468:D468"/>
    <mergeCell ref="C469:D469"/>
    <mergeCell ref="C429:D429"/>
    <mergeCell ref="C430:D430"/>
    <mergeCell ref="C431:D431"/>
    <mergeCell ref="C432:D432"/>
    <mergeCell ref="C433:D433"/>
    <mergeCell ref="C395:D395"/>
    <mergeCell ref="C396:D396"/>
    <mergeCell ref="C390:D390"/>
    <mergeCell ref="C428:D428"/>
    <mergeCell ref="C391:D391"/>
    <mergeCell ref="C392:D392"/>
    <mergeCell ref="C393:D393"/>
    <mergeCell ref="C394:D394"/>
    <mergeCell ref="C358:D358"/>
    <mergeCell ref="C352:D352"/>
    <mergeCell ref="C261:D261"/>
    <mergeCell ref="C262:D262"/>
    <mergeCell ref="C263:D263"/>
    <mergeCell ref="C353:D353"/>
    <mergeCell ref="C354:D354"/>
    <mergeCell ref="C355:D355"/>
    <mergeCell ref="C356:D356"/>
    <mergeCell ref="C357:D357"/>
    <mergeCell ref="C314:D314"/>
    <mergeCell ref="C315:D315"/>
    <mergeCell ref="C319:D319"/>
    <mergeCell ref="C320:D320"/>
    <mergeCell ref="C317:D317"/>
    <mergeCell ref="C316:D316"/>
    <mergeCell ref="C318:D318"/>
    <mergeCell ref="I15:L17"/>
    <mergeCell ref="I18:L20"/>
    <mergeCell ref="I14:L14"/>
    <mergeCell ref="C267:D267"/>
    <mergeCell ref="B15:B16"/>
    <mergeCell ref="C265:D265"/>
    <mergeCell ref="C266:D266"/>
    <mergeCell ref="B70:C70"/>
    <mergeCell ref="C259:D259"/>
    <mergeCell ref="C260:D260"/>
    <mergeCell ref="C264:D264"/>
    <mergeCell ref="H15:H17"/>
    <mergeCell ref="H18:H20"/>
  </mergeCells>
  <phoneticPr fontId="7" type="noConversion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1D1A805-AFC1-43D1-BB01-C659F39C7DEA}">
            <xm:f>IF(개요!$B$6="VC",TRUE,FALSE)</xm:f>
            <x14:dxf>
              <fill>
                <patternFill patternType="lightUp"/>
              </fill>
              <border>
                <vertical/>
                <horizontal/>
              </border>
            </x14:dxf>
          </x14:cfRule>
          <xm:sqref>H15:L17</xm:sqref>
        </x14:conditionalFormatting>
        <x14:conditionalFormatting xmlns:xm="http://schemas.microsoft.com/office/excel/2006/main">
          <x14:cfRule type="expression" priority="1" id="{A62432AD-BA91-4D76-8255-FA5386E013F1}">
            <xm:f>IF(개요!$B$6="PEF",TRUE,FALSE)</xm:f>
            <x14:dxf>
              <fill>
                <patternFill patternType="lightUp"/>
              </fill>
              <border>
                <vertical/>
                <horizontal/>
              </border>
            </x14:dxf>
          </x14:cfRule>
          <xm:sqref>H18:L20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 tint="4.9989318521683403E-2"/>
  </sheetPr>
  <dimension ref="A1"/>
  <sheetViews>
    <sheetView showGridLines="0" zoomScale="70" zoomScaleNormal="70" workbookViewId="0"/>
  </sheetViews>
  <sheetFormatPr defaultRowHeight="13.5"/>
  <cols>
    <col min="1" max="16384" width="8.88671875" style="225"/>
  </cols>
  <sheetData/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4" tint="0.39997558519241921"/>
  </sheetPr>
  <dimension ref="A1:DL287"/>
  <sheetViews>
    <sheetView showGridLines="0" topLeftCell="A89" zoomScale="70" zoomScaleNormal="70" workbookViewId="0">
      <selection activeCell="G79" sqref="G79"/>
    </sheetView>
  </sheetViews>
  <sheetFormatPr defaultColWidth="11.77734375" defaultRowHeight="15" customHeight="1" outlineLevelRow="1" outlineLevelCol="1"/>
  <cols>
    <col min="1" max="1" width="2.6640625" style="18" customWidth="1"/>
    <col min="2" max="21" width="13.33203125" style="18" customWidth="1"/>
    <col min="22" max="102" width="13.33203125" style="18" hidden="1" customWidth="1" outlineLevel="1"/>
    <col min="103" max="103" width="13.33203125" style="18" customWidth="1" collapsed="1"/>
    <col min="104" max="116" width="11.77734375" style="18"/>
    <col min="117" max="16384" width="11.77734375" style="21"/>
  </cols>
  <sheetData>
    <row r="1" spans="1:116" ht="15" customHeight="1">
      <c r="B1" s="19"/>
      <c r="C1" s="20"/>
    </row>
    <row r="2" spans="1:116" ht="15" customHeight="1">
      <c r="B2" s="753" t="s">
        <v>3529</v>
      </c>
      <c r="C2" s="23"/>
    </row>
    <row r="3" spans="1:116" ht="15" customHeight="1" thickBot="1">
      <c r="B3" s="22"/>
      <c r="C3" s="23"/>
    </row>
    <row r="4" spans="1:116" ht="15" customHeight="1">
      <c r="B4" s="24" t="s">
        <v>3530</v>
      </c>
      <c r="C4" s="25"/>
      <c r="D4" s="26"/>
      <c r="E4" s="26"/>
      <c r="F4" s="27"/>
    </row>
    <row r="5" spans="1:116" ht="15" customHeight="1">
      <c r="B5" s="28" t="s">
        <v>3531</v>
      </c>
      <c r="C5" s="29"/>
      <c r="D5" s="30"/>
      <c r="E5" s="30"/>
      <c r="F5" s="31"/>
    </row>
    <row r="6" spans="1:116" ht="15" customHeight="1">
      <c r="B6" s="28" t="s">
        <v>3532</v>
      </c>
      <c r="C6" s="29"/>
      <c r="D6" s="30"/>
      <c r="E6" s="30"/>
      <c r="F6" s="31"/>
    </row>
    <row r="7" spans="1:116" ht="15" customHeight="1">
      <c r="B7" s="28" t="s">
        <v>3533</v>
      </c>
      <c r="C7" s="29"/>
      <c r="D7" s="30"/>
      <c r="E7" s="30"/>
      <c r="F7" s="31"/>
    </row>
    <row r="8" spans="1:116" ht="15" customHeight="1" thickBot="1">
      <c r="B8" s="32" t="s">
        <v>3534</v>
      </c>
      <c r="C8" s="33"/>
      <c r="D8" s="34"/>
      <c r="E8" s="34"/>
      <c r="F8" s="35"/>
    </row>
    <row r="9" spans="1:116" ht="15" customHeight="1">
      <c r="B9" s="22"/>
      <c r="C9" s="23"/>
    </row>
    <row r="10" spans="1:116" ht="15" customHeight="1">
      <c r="A10" s="128" t="s">
        <v>3594</v>
      </c>
      <c r="B10" s="128" t="s">
        <v>3535</v>
      </c>
      <c r="C10" s="128"/>
      <c r="D10" s="128"/>
      <c r="E10" s="128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8"/>
      <c r="T10" s="128"/>
      <c r="U10" s="128"/>
      <c r="V10" s="128"/>
      <c r="W10" s="128"/>
      <c r="X10" s="128"/>
      <c r="Y10" s="128"/>
      <c r="Z10" s="128"/>
      <c r="AA10" s="128"/>
      <c r="AB10" s="128"/>
      <c r="AC10" s="128"/>
      <c r="AD10" s="128"/>
      <c r="AE10" s="128"/>
      <c r="AF10" s="128"/>
      <c r="AG10" s="128"/>
      <c r="AH10" s="128"/>
      <c r="AI10" s="128"/>
      <c r="AJ10" s="128"/>
      <c r="AK10" s="128"/>
      <c r="AL10" s="128"/>
      <c r="AM10" s="128"/>
      <c r="AN10" s="128"/>
      <c r="AO10" s="128"/>
      <c r="AP10" s="128"/>
      <c r="AQ10" s="128"/>
      <c r="AR10" s="128"/>
      <c r="AS10" s="128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8"/>
      <c r="BE10" s="128"/>
      <c r="BF10" s="128"/>
      <c r="BG10" s="128"/>
      <c r="BH10" s="128"/>
      <c r="BI10" s="128"/>
      <c r="BJ10" s="128"/>
      <c r="BK10" s="128"/>
      <c r="BL10" s="128"/>
      <c r="BM10" s="128"/>
      <c r="BN10" s="128"/>
      <c r="BO10" s="128"/>
      <c r="BP10" s="128"/>
      <c r="BQ10" s="128"/>
      <c r="BR10" s="128"/>
      <c r="BS10" s="128"/>
      <c r="BT10" s="128"/>
      <c r="BU10" s="128"/>
      <c r="BV10" s="128"/>
      <c r="BW10" s="128"/>
      <c r="BX10" s="128"/>
      <c r="BY10" s="128"/>
      <c r="BZ10" s="128"/>
      <c r="CA10" s="128"/>
      <c r="CB10" s="128"/>
      <c r="CC10" s="128"/>
      <c r="CD10" s="128"/>
      <c r="CE10" s="128"/>
      <c r="CF10" s="128"/>
      <c r="CG10" s="128"/>
      <c r="CH10" s="128"/>
      <c r="CI10" s="128"/>
      <c r="CJ10" s="128"/>
      <c r="CK10" s="128"/>
      <c r="CL10" s="128"/>
      <c r="CM10" s="128"/>
      <c r="CN10" s="128"/>
      <c r="CO10" s="128"/>
      <c r="CP10" s="128"/>
      <c r="CQ10" s="128"/>
      <c r="CR10" s="128"/>
      <c r="CS10" s="128"/>
      <c r="CT10" s="128"/>
      <c r="CU10" s="128"/>
      <c r="CV10" s="128"/>
      <c r="CW10" s="128"/>
      <c r="CX10" s="128"/>
      <c r="CY10" s="128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</row>
    <row r="11" spans="1:116" ht="15" customHeight="1" thickBot="1"/>
    <row r="12" spans="1:116" ht="15" customHeight="1">
      <c r="B12" s="37" t="s">
        <v>3536</v>
      </c>
      <c r="C12" s="38" t="str">
        <f>NAV!C6</f>
        <v>포스코KAICI신기술사업투자조합제1호</v>
      </c>
      <c r="D12" s="38" t="s">
        <v>3537</v>
      </c>
      <c r="E12" s="39">
        <f>개요!C16</f>
        <v>1</v>
      </c>
      <c r="F12" s="38" t="s">
        <v>3538</v>
      </c>
      <c r="G12" s="40">
        <f>개요!C18</f>
        <v>7.0000000000000007E-2</v>
      </c>
    </row>
    <row r="13" spans="1:116" ht="15" customHeight="1">
      <c r="B13" s="41" t="s">
        <v>3539</v>
      </c>
      <c r="C13" s="42">
        <f>NAV!C7</f>
        <v>45473</v>
      </c>
      <c r="D13" s="43" t="s">
        <v>3540</v>
      </c>
      <c r="E13" s="43" t="str">
        <f>개요!C20</f>
        <v>YES</v>
      </c>
      <c r="F13" s="43" t="s">
        <v>3541</v>
      </c>
      <c r="G13" s="44">
        <f>개요!C24</f>
        <v>7.0000000000000007E-2</v>
      </c>
      <c r="I13" s="45"/>
      <c r="J13" s="45"/>
      <c r="K13" s="45"/>
      <c r="L13" s="45"/>
      <c r="M13" s="45"/>
      <c r="N13" s="45"/>
      <c r="O13" s="45"/>
      <c r="P13" s="45"/>
      <c r="Q13" s="45"/>
      <c r="R13" s="45"/>
    </row>
    <row r="14" spans="1:116" ht="15" customHeight="1">
      <c r="B14" s="46" t="s">
        <v>3542</v>
      </c>
      <c r="C14" s="47" t="str">
        <f>개요!C8</f>
        <v>흥국생명보험(지분증권), 미래컴퍼니</v>
      </c>
      <c r="D14" s="43" t="s">
        <v>3543</v>
      </c>
      <c r="E14" s="48">
        <f>개요!E26</f>
        <v>0.2</v>
      </c>
      <c r="F14" s="43" t="s">
        <v>3544</v>
      </c>
      <c r="G14" s="44">
        <f>개요!D24</f>
        <v>7.0000000000000007E-2</v>
      </c>
      <c r="L14" s="45"/>
      <c r="M14" s="45"/>
    </row>
    <row r="15" spans="1:116" ht="15" customHeight="1" thickBot="1">
      <c r="B15" s="49" t="s">
        <v>3545</v>
      </c>
      <c r="C15" s="50">
        <f>NAV!E32</f>
        <v>25871686234</v>
      </c>
      <c r="D15" s="51" t="s">
        <v>3546</v>
      </c>
      <c r="E15" s="52">
        <f>개요!C26</f>
        <v>0.8</v>
      </c>
      <c r="F15" s="51" t="s">
        <v>3547</v>
      </c>
      <c r="G15" s="53">
        <f>개요!E24</f>
        <v>7.0000000000000007E-2</v>
      </c>
    </row>
    <row r="16" spans="1:116" ht="15" customHeight="1" thickBot="1">
      <c r="B16" s="54"/>
    </row>
    <row r="17" spans="1:116" ht="15" customHeight="1">
      <c r="B17" s="37" t="s">
        <v>3548</v>
      </c>
      <c r="C17" s="55">
        <f t="shared" ref="C17:AH17" si="0">IFERROR(YEARFRAC(C21,$C$13,3),"-")</f>
        <v>2.9698630136986299</v>
      </c>
      <c r="D17" s="55" t="str">
        <f t="shared" si="0"/>
        <v>-</v>
      </c>
      <c r="E17" s="55" t="str">
        <f t="shared" si="0"/>
        <v>-</v>
      </c>
      <c r="F17" s="55" t="str">
        <f t="shared" si="0"/>
        <v>-</v>
      </c>
      <c r="G17" s="55" t="str">
        <f t="shared" si="0"/>
        <v>-</v>
      </c>
      <c r="H17" s="55" t="str">
        <f t="shared" si="0"/>
        <v>-</v>
      </c>
      <c r="I17" s="55" t="str">
        <f t="shared" si="0"/>
        <v>-</v>
      </c>
      <c r="J17" s="55" t="str">
        <f t="shared" si="0"/>
        <v>-</v>
      </c>
      <c r="K17" s="55" t="str">
        <f t="shared" si="0"/>
        <v>-</v>
      </c>
      <c r="L17" s="55" t="str">
        <f t="shared" si="0"/>
        <v>-</v>
      </c>
      <c r="M17" s="55" t="str">
        <f t="shared" si="0"/>
        <v>-</v>
      </c>
      <c r="N17" s="55" t="str">
        <f t="shared" si="0"/>
        <v>-</v>
      </c>
      <c r="O17" s="55" t="str">
        <f t="shared" si="0"/>
        <v>-</v>
      </c>
      <c r="P17" s="55" t="str">
        <f t="shared" si="0"/>
        <v>-</v>
      </c>
      <c r="Q17" s="55" t="str">
        <f t="shared" si="0"/>
        <v>-</v>
      </c>
      <c r="R17" s="55" t="str">
        <f t="shared" si="0"/>
        <v>-</v>
      </c>
      <c r="S17" s="55" t="str">
        <f t="shared" si="0"/>
        <v>-</v>
      </c>
      <c r="T17" s="55" t="str">
        <f t="shared" si="0"/>
        <v>-</v>
      </c>
      <c r="U17" s="56" t="str">
        <f t="shared" si="0"/>
        <v>-</v>
      </c>
      <c r="V17" s="55" t="str">
        <f t="shared" si="0"/>
        <v>-</v>
      </c>
      <c r="W17" s="55" t="str">
        <f t="shared" si="0"/>
        <v>-</v>
      </c>
      <c r="X17" s="55" t="str">
        <f t="shared" si="0"/>
        <v>-</v>
      </c>
      <c r="Y17" s="55" t="str">
        <f t="shared" si="0"/>
        <v>-</v>
      </c>
      <c r="Z17" s="55" t="str">
        <f t="shared" si="0"/>
        <v>-</v>
      </c>
      <c r="AA17" s="55" t="str">
        <f t="shared" si="0"/>
        <v>-</v>
      </c>
      <c r="AB17" s="55" t="str">
        <f t="shared" si="0"/>
        <v>-</v>
      </c>
      <c r="AC17" s="55" t="str">
        <f t="shared" si="0"/>
        <v>-</v>
      </c>
      <c r="AD17" s="55" t="str">
        <f t="shared" si="0"/>
        <v>-</v>
      </c>
      <c r="AE17" s="55" t="str">
        <f t="shared" si="0"/>
        <v>-</v>
      </c>
      <c r="AF17" s="55" t="str">
        <f t="shared" si="0"/>
        <v>-</v>
      </c>
      <c r="AG17" s="55" t="str">
        <f t="shared" si="0"/>
        <v>-</v>
      </c>
      <c r="AH17" s="55" t="str">
        <f t="shared" si="0"/>
        <v>-</v>
      </c>
      <c r="AI17" s="55" t="str">
        <f t="shared" ref="AI17:BN17" si="1">IFERROR(YEARFRAC(AI21,$C$13,3),"-")</f>
        <v>-</v>
      </c>
      <c r="AJ17" s="55" t="str">
        <f t="shared" si="1"/>
        <v>-</v>
      </c>
      <c r="AK17" s="55" t="str">
        <f t="shared" si="1"/>
        <v>-</v>
      </c>
      <c r="AL17" s="55" t="str">
        <f t="shared" si="1"/>
        <v>-</v>
      </c>
      <c r="AM17" s="55" t="str">
        <f t="shared" si="1"/>
        <v>-</v>
      </c>
      <c r="AN17" s="55" t="str">
        <f t="shared" si="1"/>
        <v>-</v>
      </c>
      <c r="AO17" s="55" t="str">
        <f t="shared" si="1"/>
        <v>-</v>
      </c>
      <c r="AP17" s="55" t="str">
        <f t="shared" si="1"/>
        <v>-</v>
      </c>
      <c r="AQ17" s="55" t="str">
        <f t="shared" si="1"/>
        <v>-</v>
      </c>
      <c r="AR17" s="55" t="str">
        <f t="shared" si="1"/>
        <v>-</v>
      </c>
      <c r="AS17" s="55" t="str">
        <f t="shared" si="1"/>
        <v>-</v>
      </c>
      <c r="AT17" s="55" t="str">
        <f t="shared" si="1"/>
        <v>-</v>
      </c>
      <c r="AU17" s="55" t="str">
        <f t="shared" si="1"/>
        <v>-</v>
      </c>
      <c r="AV17" s="55" t="str">
        <f t="shared" si="1"/>
        <v>-</v>
      </c>
      <c r="AW17" s="55" t="str">
        <f t="shared" si="1"/>
        <v>-</v>
      </c>
      <c r="AX17" s="55" t="str">
        <f t="shared" si="1"/>
        <v>-</v>
      </c>
      <c r="AY17" s="55" t="str">
        <f t="shared" si="1"/>
        <v>-</v>
      </c>
      <c r="AZ17" s="55" t="str">
        <f t="shared" si="1"/>
        <v>-</v>
      </c>
      <c r="BA17" s="55" t="str">
        <f t="shared" si="1"/>
        <v>-</v>
      </c>
      <c r="BB17" s="55" t="str">
        <f t="shared" si="1"/>
        <v>-</v>
      </c>
      <c r="BC17" s="55" t="str">
        <f t="shared" si="1"/>
        <v>-</v>
      </c>
      <c r="BD17" s="55" t="str">
        <f t="shared" si="1"/>
        <v>-</v>
      </c>
      <c r="BE17" s="55" t="str">
        <f t="shared" si="1"/>
        <v>-</v>
      </c>
      <c r="BF17" s="55" t="str">
        <f t="shared" si="1"/>
        <v>-</v>
      </c>
      <c r="BG17" s="55" t="str">
        <f t="shared" si="1"/>
        <v>-</v>
      </c>
      <c r="BH17" s="55" t="str">
        <f t="shared" si="1"/>
        <v>-</v>
      </c>
      <c r="BI17" s="55" t="str">
        <f t="shared" si="1"/>
        <v>-</v>
      </c>
      <c r="BJ17" s="55" t="str">
        <f t="shared" si="1"/>
        <v>-</v>
      </c>
      <c r="BK17" s="55" t="str">
        <f t="shared" si="1"/>
        <v>-</v>
      </c>
      <c r="BL17" s="55" t="str">
        <f t="shared" si="1"/>
        <v>-</v>
      </c>
      <c r="BM17" s="55" t="str">
        <f t="shared" si="1"/>
        <v>-</v>
      </c>
      <c r="BN17" s="55" t="str">
        <f t="shared" si="1"/>
        <v>-</v>
      </c>
      <c r="BO17" s="55" t="str">
        <f t="shared" ref="BO17:CX17" si="2">IFERROR(YEARFRAC(BO21,$C$13,3),"-")</f>
        <v>-</v>
      </c>
      <c r="BP17" s="55" t="str">
        <f t="shared" si="2"/>
        <v>-</v>
      </c>
      <c r="BQ17" s="55" t="str">
        <f t="shared" si="2"/>
        <v>-</v>
      </c>
      <c r="BR17" s="55" t="str">
        <f t="shared" si="2"/>
        <v>-</v>
      </c>
      <c r="BS17" s="55" t="str">
        <f t="shared" si="2"/>
        <v>-</v>
      </c>
      <c r="BT17" s="55" t="str">
        <f t="shared" si="2"/>
        <v>-</v>
      </c>
      <c r="BU17" s="55" t="str">
        <f t="shared" si="2"/>
        <v>-</v>
      </c>
      <c r="BV17" s="55" t="str">
        <f t="shared" si="2"/>
        <v>-</v>
      </c>
      <c r="BW17" s="55" t="str">
        <f t="shared" si="2"/>
        <v>-</v>
      </c>
      <c r="BX17" s="55" t="str">
        <f t="shared" si="2"/>
        <v>-</v>
      </c>
      <c r="BY17" s="55" t="str">
        <f t="shared" si="2"/>
        <v>-</v>
      </c>
      <c r="BZ17" s="55" t="str">
        <f t="shared" si="2"/>
        <v>-</v>
      </c>
      <c r="CA17" s="55" t="str">
        <f t="shared" si="2"/>
        <v>-</v>
      </c>
      <c r="CB17" s="55" t="str">
        <f t="shared" si="2"/>
        <v>-</v>
      </c>
      <c r="CC17" s="55" t="str">
        <f t="shared" si="2"/>
        <v>-</v>
      </c>
      <c r="CD17" s="55" t="str">
        <f t="shared" si="2"/>
        <v>-</v>
      </c>
      <c r="CE17" s="55" t="str">
        <f t="shared" si="2"/>
        <v>-</v>
      </c>
      <c r="CF17" s="55" t="str">
        <f t="shared" si="2"/>
        <v>-</v>
      </c>
      <c r="CG17" s="55" t="str">
        <f t="shared" si="2"/>
        <v>-</v>
      </c>
      <c r="CH17" s="55" t="str">
        <f t="shared" si="2"/>
        <v>-</v>
      </c>
      <c r="CI17" s="55" t="str">
        <f t="shared" si="2"/>
        <v>-</v>
      </c>
      <c r="CJ17" s="55" t="str">
        <f t="shared" si="2"/>
        <v>-</v>
      </c>
      <c r="CK17" s="55" t="str">
        <f t="shared" si="2"/>
        <v>-</v>
      </c>
      <c r="CL17" s="55" t="str">
        <f t="shared" si="2"/>
        <v>-</v>
      </c>
      <c r="CM17" s="55" t="str">
        <f t="shared" si="2"/>
        <v>-</v>
      </c>
      <c r="CN17" s="55" t="str">
        <f t="shared" si="2"/>
        <v>-</v>
      </c>
      <c r="CO17" s="55" t="str">
        <f t="shared" si="2"/>
        <v>-</v>
      </c>
      <c r="CP17" s="55" t="str">
        <f t="shared" si="2"/>
        <v>-</v>
      </c>
      <c r="CQ17" s="55" t="str">
        <f t="shared" si="2"/>
        <v>-</v>
      </c>
      <c r="CR17" s="55" t="str">
        <f t="shared" si="2"/>
        <v>-</v>
      </c>
      <c r="CS17" s="55" t="str">
        <f t="shared" si="2"/>
        <v>-</v>
      </c>
      <c r="CT17" s="55" t="str">
        <f t="shared" si="2"/>
        <v>-</v>
      </c>
      <c r="CU17" s="55" t="str">
        <f t="shared" si="2"/>
        <v>-</v>
      </c>
      <c r="CV17" s="55" t="str">
        <f t="shared" si="2"/>
        <v>-</v>
      </c>
      <c r="CW17" s="55" t="str">
        <f t="shared" si="2"/>
        <v>-</v>
      </c>
      <c r="CX17" s="56" t="str">
        <f t="shared" si="2"/>
        <v>-</v>
      </c>
    </row>
    <row r="18" spans="1:116" ht="15" customHeight="1" thickBot="1">
      <c r="B18" s="49" t="s">
        <v>3549</v>
      </c>
      <c r="C18" s="57">
        <f>IFERROR((1+$G$12)^C17,"-")</f>
        <v>1.2225476482234192</v>
      </c>
      <c r="D18" s="57" t="str">
        <f t="shared" ref="D18:BO18" si="3">IFERROR((1+$G$12)^D17,"-")</f>
        <v>-</v>
      </c>
      <c r="E18" s="57" t="str">
        <f t="shared" si="3"/>
        <v>-</v>
      </c>
      <c r="F18" s="57" t="str">
        <f t="shared" si="3"/>
        <v>-</v>
      </c>
      <c r="G18" s="57" t="str">
        <f t="shared" si="3"/>
        <v>-</v>
      </c>
      <c r="H18" s="57" t="str">
        <f t="shared" si="3"/>
        <v>-</v>
      </c>
      <c r="I18" s="57" t="str">
        <f t="shared" si="3"/>
        <v>-</v>
      </c>
      <c r="J18" s="57" t="str">
        <f t="shared" si="3"/>
        <v>-</v>
      </c>
      <c r="K18" s="57" t="str">
        <f t="shared" si="3"/>
        <v>-</v>
      </c>
      <c r="L18" s="57" t="str">
        <f t="shared" si="3"/>
        <v>-</v>
      </c>
      <c r="M18" s="57" t="str">
        <f t="shared" si="3"/>
        <v>-</v>
      </c>
      <c r="N18" s="57" t="str">
        <f t="shared" si="3"/>
        <v>-</v>
      </c>
      <c r="O18" s="57" t="str">
        <f t="shared" si="3"/>
        <v>-</v>
      </c>
      <c r="P18" s="57" t="str">
        <f t="shared" si="3"/>
        <v>-</v>
      </c>
      <c r="Q18" s="57" t="str">
        <f t="shared" si="3"/>
        <v>-</v>
      </c>
      <c r="R18" s="57" t="str">
        <f t="shared" si="3"/>
        <v>-</v>
      </c>
      <c r="S18" s="57" t="str">
        <f t="shared" si="3"/>
        <v>-</v>
      </c>
      <c r="T18" s="57" t="str">
        <f t="shared" si="3"/>
        <v>-</v>
      </c>
      <c r="U18" s="58" t="str">
        <f t="shared" si="3"/>
        <v>-</v>
      </c>
      <c r="V18" s="57" t="str">
        <f t="shared" si="3"/>
        <v>-</v>
      </c>
      <c r="W18" s="57" t="str">
        <f t="shared" si="3"/>
        <v>-</v>
      </c>
      <c r="X18" s="57" t="str">
        <f t="shared" si="3"/>
        <v>-</v>
      </c>
      <c r="Y18" s="57" t="str">
        <f t="shared" si="3"/>
        <v>-</v>
      </c>
      <c r="Z18" s="57" t="str">
        <f t="shared" si="3"/>
        <v>-</v>
      </c>
      <c r="AA18" s="57" t="str">
        <f t="shared" si="3"/>
        <v>-</v>
      </c>
      <c r="AB18" s="57" t="str">
        <f t="shared" si="3"/>
        <v>-</v>
      </c>
      <c r="AC18" s="57" t="str">
        <f t="shared" si="3"/>
        <v>-</v>
      </c>
      <c r="AD18" s="57" t="str">
        <f t="shared" si="3"/>
        <v>-</v>
      </c>
      <c r="AE18" s="57" t="str">
        <f t="shared" si="3"/>
        <v>-</v>
      </c>
      <c r="AF18" s="57" t="str">
        <f t="shared" si="3"/>
        <v>-</v>
      </c>
      <c r="AG18" s="57" t="str">
        <f t="shared" si="3"/>
        <v>-</v>
      </c>
      <c r="AH18" s="57" t="str">
        <f t="shared" si="3"/>
        <v>-</v>
      </c>
      <c r="AI18" s="57" t="str">
        <f t="shared" si="3"/>
        <v>-</v>
      </c>
      <c r="AJ18" s="57" t="str">
        <f t="shared" si="3"/>
        <v>-</v>
      </c>
      <c r="AK18" s="57" t="str">
        <f t="shared" si="3"/>
        <v>-</v>
      </c>
      <c r="AL18" s="57" t="str">
        <f t="shared" si="3"/>
        <v>-</v>
      </c>
      <c r="AM18" s="57" t="str">
        <f t="shared" si="3"/>
        <v>-</v>
      </c>
      <c r="AN18" s="57" t="str">
        <f t="shared" si="3"/>
        <v>-</v>
      </c>
      <c r="AO18" s="57" t="str">
        <f t="shared" si="3"/>
        <v>-</v>
      </c>
      <c r="AP18" s="57" t="str">
        <f t="shared" si="3"/>
        <v>-</v>
      </c>
      <c r="AQ18" s="57" t="str">
        <f t="shared" si="3"/>
        <v>-</v>
      </c>
      <c r="AR18" s="57" t="str">
        <f t="shared" si="3"/>
        <v>-</v>
      </c>
      <c r="AS18" s="57" t="str">
        <f t="shared" si="3"/>
        <v>-</v>
      </c>
      <c r="AT18" s="57" t="str">
        <f t="shared" si="3"/>
        <v>-</v>
      </c>
      <c r="AU18" s="57" t="str">
        <f t="shared" si="3"/>
        <v>-</v>
      </c>
      <c r="AV18" s="57" t="str">
        <f t="shared" si="3"/>
        <v>-</v>
      </c>
      <c r="AW18" s="57" t="str">
        <f t="shared" si="3"/>
        <v>-</v>
      </c>
      <c r="AX18" s="57" t="str">
        <f t="shared" si="3"/>
        <v>-</v>
      </c>
      <c r="AY18" s="57" t="str">
        <f t="shared" si="3"/>
        <v>-</v>
      </c>
      <c r="AZ18" s="57" t="str">
        <f t="shared" si="3"/>
        <v>-</v>
      </c>
      <c r="BA18" s="57" t="str">
        <f t="shared" si="3"/>
        <v>-</v>
      </c>
      <c r="BB18" s="57" t="str">
        <f t="shared" si="3"/>
        <v>-</v>
      </c>
      <c r="BC18" s="57" t="str">
        <f t="shared" si="3"/>
        <v>-</v>
      </c>
      <c r="BD18" s="57" t="str">
        <f t="shared" si="3"/>
        <v>-</v>
      </c>
      <c r="BE18" s="57" t="str">
        <f t="shared" si="3"/>
        <v>-</v>
      </c>
      <c r="BF18" s="57" t="str">
        <f t="shared" si="3"/>
        <v>-</v>
      </c>
      <c r="BG18" s="57" t="str">
        <f t="shared" si="3"/>
        <v>-</v>
      </c>
      <c r="BH18" s="57" t="str">
        <f t="shared" si="3"/>
        <v>-</v>
      </c>
      <c r="BI18" s="57" t="str">
        <f t="shared" si="3"/>
        <v>-</v>
      </c>
      <c r="BJ18" s="57" t="str">
        <f t="shared" si="3"/>
        <v>-</v>
      </c>
      <c r="BK18" s="57" t="str">
        <f t="shared" si="3"/>
        <v>-</v>
      </c>
      <c r="BL18" s="57" t="str">
        <f t="shared" si="3"/>
        <v>-</v>
      </c>
      <c r="BM18" s="57" t="str">
        <f t="shared" si="3"/>
        <v>-</v>
      </c>
      <c r="BN18" s="57" t="str">
        <f t="shared" si="3"/>
        <v>-</v>
      </c>
      <c r="BO18" s="57" t="str">
        <f t="shared" si="3"/>
        <v>-</v>
      </c>
      <c r="BP18" s="57" t="str">
        <f t="shared" ref="BP18:CX18" si="4">IFERROR((1+$G$12)^BP17,"-")</f>
        <v>-</v>
      </c>
      <c r="BQ18" s="57" t="str">
        <f t="shared" si="4"/>
        <v>-</v>
      </c>
      <c r="BR18" s="57" t="str">
        <f t="shared" si="4"/>
        <v>-</v>
      </c>
      <c r="BS18" s="57" t="str">
        <f t="shared" si="4"/>
        <v>-</v>
      </c>
      <c r="BT18" s="57" t="str">
        <f t="shared" si="4"/>
        <v>-</v>
      </c>
      <c r="BU18" s="57" t="str">
        <f t="shared" si="4"/>
        <v>-</v>
      </c>
      <c r="BV18" s="57" t="str">
        <f t="shared" si="4"/>
        <v>-</v>
      </c>
      <c r="BW18" s="57" t="str">
        <f t="shared" si="4"/>
        <v>-</v>
      </c>
      <c r="BX18" s="57" t="str">
        <f t="shared" si="4"/>
        <v>-</v>
      </c>
      <c r="BY18" s="57" t="str">
        <f t="shared" si="4"/>
        <v>-</v>
      </c>
      <c r="BZ18" s="57" t="str">
        <f t="shared" si="4"/>
        <v>-</v>
      </c>
      <c r="CA18" s="57" t="str">
        <f t="shared" si="4"/>
        <v>-</v>
      </c>
      <c r="CB18" s="57" t="str">
        <f t="shared" si="4"/>
        <v>-</v>
      </c>
      <c r="CC18" s="57" t="str">
        <f t="shared" si="4"/>
        <v>-</v>
      </c>
      <c r="CD18" s="57" t="str">
        <f t="shared" si="4"/>
        <v>-</v>
      </c>
      <c r="CE18" s="57" t="str">
        <f t="shared" si="4"/>
        <v>-</v>
      </c>
      <c r="CF18" s="57" t="str">
        <f t="shared" si="4"/>
        <v>-</v>
      </c>
      <c r="CG18" s="57" t="str">
        <f t="shared" si="4"/>
        <v>-</v>
      </c>
      <c r="CH18" s="57" t="str">
        <f t="shared" si="4"/>
        <v>-</v>
      </c>
      <c r="CI18" s="57" t="str">
        <f t="shared" si="4"/>
        <v>-</v>
      </c>
      <c r="CJ18" s="57" t="str">
        <f t="shared" si="4"/>
        <v>-</v>
      </c>
      <c r="CK18" s="57" t="str">
        <f t="shared" si="4"/>
        <v>-</v>
      </c>
      <c r="CL18" s="57" t="str">
        <f t="shared" si="4"/>
        <v>-</v>
      </c>
      <c r="CM18" s="57" t="str">
        <f t="shared" si="4"/>
        <v>-</v>
      </c>
      <c r="CN18" s="57" t="str">
        <f t="shared" si="4"/>
        <v>-</v>
      </c>
      <c r="CO18" s="57" t="str">
        <f t="shared" si="4"/>
        <v>-</v>
      </c>
      <c r="CP18" s="57" t="str">
        <f t="shared" si="4"/>
        <v>-</v>
      </c>
      <c r="CQ18" s="57" t="str">
        <f t="shared" si="4"/>
        <v>-</v>
      </c>
      <c r="CR18" s="57" t="str">
        <f t="shared" si="4"/>
        <v>-</v>
      </c>
      <c r="CS18" s="57" t="str">
        <f t="shared" si="4"/>
        <v>-</v>
      </c>
      <c r="CT18" s="57" t="str">
        <f t="shared" si="4"/>
        <v>-</v>
      </c>
      <c r="CU18" s="57" t="str">
        <f t="shared" si="4"/>
        <v>-</v>
      </c>
      <c r="CV18" s="57" t="str">
        <f t="shared" si="4"/>
        <v>-</v>
      </c>
      <c r="CW18" s="57" t="str">
        <f t="shared" si="4"/>
        <v>-</v>
      </c>
      <c r="CX18" s="58" t="str">
        <f t="shared" si="4"/>
        <v>-</v>
      </c>
    </row>
    <row r="19" spans="1:116" ht="15" customHeight="1" thickBot="1">
      <c r="B19" s="54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</row>
    <row r="20" spans="1:116" ht="15" customHeight="1">
      <c r="A20" s="833"/>
      <c r="B20" s="831" t="s">
        <v>3595</v>
      </c>
      <c r="C20" s="129" t="str">
        <f>IF(개요!S6="","-",개요!S6)</f>
        <v>최초출자</v>
      </c>
      <c r="D20" s="129" t="str">
        <f>IF(개요!T6="","-",개요!T6)</f>
        <v>-</v>
      </c>
      <c r="E20" s="129" t="str">
        <f>IF(개요!U6="","-",개요!U6)</f>
        <v>-</v>
      </c>
      <c r="F20" s="129" t="str">
        <f>IF(개요!V6="","-",개요!V6)</f>
        <v>-</v>
      </c>
      <c r="G20" s="129" t="str">
        <f>IF(개요!W6="","-",개요!W6)</f>
        <v>-</v>
      </c>
      <c r="H20" s="129" t="str">
        <f>IF(개요!X6="","-",개요!X6)</f>
        <v>-</v>
      </c>
      <c r="I20" s="129" t="str">
        <f>IF(개요!Y6="","-",개요!Y6)</f>
        <v>-</v>
      </c>
      <c r="J20" s="129" t="str">
        <f>IF(개요!Z6="","-",개요!Z6)</f>
        <v>-</v>
      </c>
      <c r="K20" s="129" t="str">
        <f>IF(개요!AA6="","-",개요!AA6)</f>
        <v>-</v>
      </c>
      <c r="L20" s="129" t="str">
        <f>IF(개요!AB6="","-",개요!AB6)</f>
        <v>-</v>
      </c>
      <c r="M20" s="129" t="str">
        <f>IF(개요!AC6="","-",개요!AC6)</f>
        <v>-</v>
      </c>
      <c r="N20" s="129" t="str">
        <f>IF(개요!AD6="","-",개요!AD6)</f>
        <v>-</v>
      </c>
      <c r="O20" s="129" t="str">
        <f>IF(개요!AE6="","-",개요!AE6)</f>
        <v>-</v>
      </c>
      <c r="P20" s="129" t="str">
        <f>IF(개요!AF6="","-",개요!AF6)</f>
        <v>-</v>
      </c>
      <c r="Q20" s="129" t="str">
        <f>IF(개요!AG6="","-",개요!AG6)</f>
        <v>-</v>
      </c>
      <c r="R20" s="129" t="str">
        <f>IF(개요!AH6="","-",개요!AH6)</f>
        <v>-</v>
      </c>
      <c r="S20" s="129" t="str">
        <f>IF(개요!AI6="","-",개요!AI6)</f>
        <v>-</v>
      </c>
      <c r="T20" s="129" t="str">
        <f>IF(개요!AJ6="","-",개요!AJ6)</f>
        <v>-</v>
      </c>
      <c r="U20" s="129" t="str">
        <f>IF(개요!AK6="","-",개요!AK6)</f>
        <v>-</v>
      </c>
      <c r="V20" s="129" t="str">
        <f>IF(개요!AL6="","-",개요!AL6)</f>
        <v>-</v>
      </c>
      <c r="W20" s="129" t="str">
        <f>IF(개요!AM6="","-",개요!AM6)</f>
        <v>-</v>
      </c>
      <c r="X20" s="129" t="str">
        <f>IF(개요!AN6="","-",개요!AN6)</f>
        <v>-</v>
      </c>
      <c r="Y20" s="129" t="str">
        <f>IF(개요!AO6="","-",개요!AO6)</f>
        <v>-</v>
      </c>
      <c r="Z20" s="129" t="str">
        <f>IF(개요!AP6="","-",개요!AP6)</f>
        <v>-</v>
      </c>
      <c r="AA20" s="129" t="str">
        <f>IF(개요!AQ6="","-",개요!AQ6)</f>
        <v>-</v>
      </c>
      <c r="AB20" s="129" t="str">
        <f>IF(개요!AR6="","-",개요!AR6)</f>
        <v>-</v>
      </c>
      <c r="AC20" s="129" t="str">
        <f>IF(개요!AS6="","-",개요!AS6)</f>
        <v>-</v>
      </c>
      <c r="AD20" s="129" t="str">
        <f>IF(개요!AT6="","-",개요!AT6)</f>
        <v>-</v>
      </c>
      <c r="AE20" s="129" t="str">
        <f>IF(개요!AU6="","-",개요!AU6)</f>
        <v>-</v>
      </c>
      <c r="AF20" s="129" t="str">
        <f>IF(개요!AV6="","-",개요!AV6)</f>
        <v>-</v>
      </c>
      <c r="AG20" s="129" t="str">
        <f>IF(개요!AW6="","-",개요!AW6)</f>
        <v>-</v>
      </c>
      <c r="AH20" s="129" t="str">
        <f>IF(개요!AX6="","-",개요!AX6)</f>
        <v>-</v>
      </c>
      <c r="AI20" s="129" t="str">
        <f>IF(개요!AY6="","-",개요!AY6)</f>
        <v>-</v>
      </c>
      <c r="AJ20" s="129" t="str">
        <f>IF(개요!AZ6="","-",개요!AZ6)</f>
        <v>-</v>
      </c>
      <c r="AK20" s="129" t="str">
        <f>IF(개요!BA6="","-",개요!BA6)</f>
        <v>-</v>
      </c>
      <c r="AL20" s="129" t="str">
        <f>IF(개요!BB6="","-",개요!BB6)</f>
        <v>-</v>
      </c>
      <c r="AM20" s="129" t="str">
        <f>IF(개요!BC6="","-",개요!BC6)</f>
        <v>-</v>
      </c>
      <c r="AN20" s="129" t="str">
        <f>IF(개요!BD6="","-",개요!BD6)</f>
        <v>-</v>
      </c>
      <c r="AO20" s="129" t="str">
        <f>IF(개요!BE6="","-",개요!BE6)</f>
        <v>-</v>
      </c>
      <c r="AP20" s="129" t="str">
        <f>IF(개요!BF6="","-",개요!BF6)</f>
        <v>-</v>
      </c>
      <c r="AQ20" s="129" t="str">
        <f>IF(개요!BG6="","-",개요!BG6)</f>
        <v>-</v>
      </c>
      <c r="AR20" s="129" t="str">
        <f>IF(개요!BH6="","-",개요!BH6)</f>
        <v>-</v>
      </c>
      <c r="AS20" s="129" t="str">
        <f>IF(개요!BI6="","-",개요!BI6)</f>
        <v>-</v>
      </c>
      <c r="AT20" s="129" t="str">
        <f>IF(개요!BJ6="","-",개요!BJ6)</f>
        <v>-</v>
      </c>
      <c r="AU20" s="129" t="str">
        <f>IF(개요!BK6="","-",개요!BK6)</f>
        <v>-</v>
      </c>
      <c r="AV20" s="129" t="str">
        <f>IF(개요!BL6="","-",개요!BL6)</f>
        <v>-</v>
      </c>
      <c r="AW20" s="129" t="str">
        <f>IF(개요!BM6="","-",개요!BM6)</f>
        <v>-</v>
      </c>
      <c r="AX20" s="129" t="str">
        <f>IF(개요!BN6="","-",개요!BN6)</f>
        <v>-</v>
      </c>
      <c r="AY20" s="129" t="str">
        <f>IF(개요!BO6="","-",개요!BO6)</f>
        <v>-</v>
      </c>
      <c r="AZ20" s="129" t="str">
        <f>IF(개요!BP6="","-",개요!BP6)</f>
        <v>-</v>
      </c>
      <c r="BA20" s="129" t="str">
        <f>IF(개요!BQ6="","-",개요!BQ6)</f>
        <v>-</v>
      </c>
      <c r="BB20" s="129" t="str">
        <f>IF(개요!BR6="","-",개요!BR6)</f>
        <v>-</v>
      </c>
      <c r="BC20" s="129" t="str">
        <f>IF(개요!BS6="","-",개요!BS6)</f>
        <v>-</v>
      </c>
      <c r="BD20" s="129" t="str">
        <f>IF(개요!BT6="","-",개요!BT6)</f>
        <v>-</v>
      </c>
      <c r="BE20" s="129" t="str">
        <f>IF(개요!BU6="","-",개요!BU6)</f>
        <v>-</v>
      </c>
      <c r="BF20" s="129" t="str">
        <f>IF(개요!BV6="","-",개요!BV6)</f>
        <v>-</v>
      </c>
      <c r="BG20" s="129" t="str">
        <f>IF(개요!BW6="","-",개요!BW6)</f>
        <v>-</v>
      </c>
      <c r="BH20" s="129" t="str">
        <f>IF(개요!BX6="","-",개요!BX6)</f>
        <v>-</v>
      </c>
      <c r="BI20" s="129" t="str">
        <f>IF(개요!BY6="","-",개요!BY6)</f>
        <v>-</v>
      </c>
      <c r="BJ20" s="129" t="str">
        <f>IF(개요!BZ6="","-",개요!BZ6)</f>
        <v>-</v>
      </c>
      <c r="BK20" s="129" t="str">
        <f>IF(개요!CA6="","-",개요!CA6)</f>
        <v>-</v>
      </c>
      <c r="BL20" s="129" t="str">
        <f>IF(개요!CB6="","-",개요!CB6)</f>
        <v>-</v>
      </c>
      <c r="BM20" s="129" t="str">
        <f>IF(개요!CC6="","-",개요!CC6)</f>
        <v>-</v>
      </c>
      <c r="BN20" s="129" t="str">
        <f>IF(개요!CD6="","-",개요!CD6)</f>
        <v>-</v>
      </c>
      <c r="BO20" s="129" t="str">
        <f>IF(개요!CE6="","-",개요!CE6)</f>
        <v>-</v>
      </c>
      <c r="BP20" s="129" t="str">
        <f>IF(개요!CF6="","-",개요!CF6)</f>
        <v>-</v>
      </c>
      <c r="BQ20" s="129" t="str">
        <f>IF(개요!CG6="","-",개요!CG6)</f>
        <v>-</v>
      </c>
      <c r="BR20" s="129" t="str">
        <f>IF(개요!CH6="","-",개요!CH6)</f>
        <v>-</v>
      </c>
      <c r="BS20" s="129" t="str">
        <f>IF(개요!CI6="","-",개요!CI6)</f>
        <v>-</v>
      </c>
      <c r="BT20" s="129" t="str">
        <f>IF(개요!CJ6="","-",개요!CJ6)</f>
        <v>-</v>
      </c>
      <c r="BU20" s="129" t="str">
        <f>IF(개요!CK6="","-",개요!CK6)</f>
        <v>-</v>
      </c>
      <c r="BV20" s="129" t="str">
        <f>IF(개요!CL6="","-",개요!CL6)</f>
        <v>-</v>
      </c>
      <c r="BW20" s="129" t="str">
        <f>IF(개요!CM6="","-",개요!CM6)</f>
        <v>-</v>
      </c>
      <c r="BX20" s="129" t="str">
        <f>IF(개요!CN6="","-",개요!CN6)</f>
        <v>-</v>
      </c>
      <c r="BY20" s="129" t="str">
        <f>IF(개요!CO6="","-",개요!CO6)</f>
        <v>-</v>
      </c>
      <c r="BZ20" s="129" t="str">
        <f>IF(개요!CP6="","-",개요!CP6)</f>
        <v>-</v>
      </c>
      <c r="CA20" s="129" t="str">
        <f>IF(개요!CQ6="","-",개요!CQ6)</f>
        <v>-</v>
      </c>
      <c r="CB20" s="129" t="str">
        <f>IF(개요!CR6="","-",개요!CR6)</f>
        <v>-</v>
      </c>
      <c r="CC20" s="129" t="str">
        <f>IF(개요!CS6="","-",개요!CS6)</f>
        <v>-</v>
      </c>
      <c r="CD20" s="129" t="str">
        <f>IF(개요!CT6="","-",개요!CT6)</f>
        <v>-</v>
      </c>
      <c r="CE20" s="129" t="str">
        <f>IF(개요!CU6="","-",개요!CU6)</f>
        <v>-</v>
      </c>
      <c r="CF20" s="129" t="str">
        <f>IF(개요!CV6="","-",개요!CV6)</f>
        <v>-</v>
      </c>
      <c r="CG20" s="129" t="str">
        <f>IF(개요!CW6="","-",개요!CW6)</f>
        <v>-</v>
      </c>
      <c r="CH20" s="129" t="str">
        <f>IF(개요!CX6="","-",개요!CX6)</f>
        <v>-</v>
      </c>
      <c r="CI20" s="129" t="str">
        <f>IF(개요!CY6="","-",개요!CY6)</f>
        <v>-</v>
      </c>
      <c r="CJ20" s="129" t="str">
        <f>IF(개요!CZ6="","-",개요!CZ6)</f>
        <v>-</v>
      </c>
      <c r="CK20" s="129" t="str">
        <f>IF(개요!DA6="","-",개요!DA6)</f>
        <v>-</v>
      </c>
      <c r="CL20" s="129" t="str">
        <f>IF(개요!DB6="","-",개요!DB6)</f>
        <v>-</v>
      </c>
      <c r="CM20" s="129" t="str">
        <f>IF(개요!DC6="","-",개요!DC6)</f>
        <v>-</v>
      </c>
      <c r="CN20" s="129" t="str">
        <f>IF(개요!DD6="","-",개요!DD6)</f>
        <v>-</v>
      </c>
      <c r="CO20" s="129" t="str">
        <f>IF(개요!DE6="","-",개요!DE6)</f>
        <v>-</v>
      </c>
      <c r="CP20" s="129" t="str">
        <f>IF(개요!DF6="","-",개요!DF6)</f>
        <v>-</v>
      </c>
      <c r="CQ20" s="129" t="str">
        <f>IF(개요!DG6="","-",개요!DG6)</f>
        <v>-</v>
      </c>
      <c r="CR20" s="129" t="str">
        <f>IF(개요!DH6="","-",개요!DH6)</f>
        <v>-</v>
      </c>
      <c r="CS20" s="129" t="str">
        <f>IF(개요!DI6="","-",개요!DI6)</f>
        <v>-</v>
      </c>
      <c r="CT20" s="129" t="str">
        <f>IF(개요!DJ6="","-",개요!DJ6)</f>
        <v>-</v>
      </c>
      <c r="CU20" s="129" t="str">
        <f>IF(개요!DK6="","-",개요!DK6)</f>
        <v>-</v>
      </c>
      <c r="CV20" s="129" t="str">
        <f>IF(개요!DL6="","-",개요!DL6)</f>
        <v>-</v>
      </c>
      <c r="CW20" s="129" t="str">
        <f>IF(개요!DM6="","-",개요!DM6)</f>
        <v>-</v>
      </c>
      <c r="CX20" s="129" t="str">
        <f>IF(개요!DN6="","-",개요!DN6)</f>
        <v>-</v>
      </c>
      <c r="CY20" s="829" t="s">
        <v>3593</v>
      </c>
      <c r="DB20" s="21"/>
      <c r="DC20" s="21"/>
      <c r="DD20" s="21"/>
      <c r="DE20" s="60"/>
      <c r="DF20" s="54"/>
      <c r="DG20" s="54"/>
      <c r="DH20" s="54"/>
      <c r="DI20" s="54"/>
      <c r="DJ20" s="54"/>
      <c r="DK20" s="54"/>
      <c r="DL20" s="54"/>
    </row>
    <row r="21" spans="1:116" ht="15" customHeight="1" thickBot="1">
      <c r="A21" s="833"/>
      <c r="B21" s="832"/>
      <c r="C21" s="130">
        <f>IF(개요!S7="","-",개요!S7)</f>
        <v>44389</v>
      </c>
      <c r="D21" s="130" t="str">
        <f>IF(개요!T7="","-",개요!T7)</f>
        <v>-</v>
      </c>
      <c r="E21" s="130" t="str">
        <f>IF(개요!U7="","-",개요!U7)</f>
        <v>-</v>
      </c>
      <c r="F21" s="130" t="str">
        <f>IF(개요!V7="","-",개요!V7)</f>
        <v>-</v>
      </c>
      <c r="G21" s="130" t="str">
        <f>IF(개요!W7="","-",개요!W7)</f>
        <v>-</v>
      </c>
      <c r="H21" s="130" t="str">
        <f>IF(개요!X7="","-",개요!X7)</f>
        <v>-</v>
      </c>
      <c r="I21" s="130" t="str">
        <f>IF(개요!Y7="","-",개요!Y7)</f>
        <v>-</v>
      </c>
      <c r="J21" s="130" t="str">
        <f>IF(개요!Z7="","-",개요!Z7)</f>
        <v>-</v>
      </c>
      <c r="K21" s="130" t="str">
        <f>IF(개요!AA7="","-",개요!AA7)</f>
        <v>-</v>
      </c>
      <c r="L21" s="130" t="str">
        <f>IF(개요!AB7="","-",개요!AB7)</f>
        <v>-</v>
      </c>
      <c r="M21" s="130" t="str">
        <f>IF(개요!AC7="","-",개요!AC7)</f>
        <v>-</v>
      </c>
      <c r="N21" s="130" t="str">
        <f>IF(개요!AD7="","-",개요!AD7)</f>
        <v>-</v>
      </c>
      <c r="O21" s="130" t="str">
        <f>IF(개요!AE7="","-",개요!AE7)</f>
        <v>-</v>
      </c>
      <c r="P21" s="130" t="str">
        <f>IF(개요!AF7="","-",개요!AF7)</f>
        <v>-</v>
      </c>
      <c r="Q21" s="130" t="str">
        <f>IF(개요!AG7="","-",개요!AG7)</f>
        <v>-</v>
      </c>
      <c r="R21" s="130" t="str">
        <f>IF(개요!AH7="","-",개요!AH7)</f>
        <v>-</v>
      </c>
      <c r="S21" s="130" t="str">
        <f>IF(개요!AI7="","-",개요!AI7)</f>
        <v>-</v>
      </c>
      <c r="T21" s="130" t="str">
        <f>IF(개요!AJ7="","-",개요!AJ7)</f>
        <v>-</v>
      </c>
      <c r="U21" s="130" t="str">
        <f>IF(개요!AK7="","-",개요!AK7)</f>
        <v>-</v>
      </c>
      <c r="V21" s="130" t="str">
        <f>IF(개요!AL7="","-",개요!AL7)</f>
        <v>-</v>
      </c>
      <c r="W21" s="130" t="str">
        <f>IF(개요!AM7="","-",개요!AM7)</f>
        <v>-</v>
      </c>
      <c r="X21" s="130" t="str">
        <f>IF(개요!AN7="","-",개요!AN7)</f>
        <v>-</v>
      </c>
      <c r="Y21" s="130" t="str">
        <f>IF(개요!AO7="","-",개요!AO7)</f>
        <v>-</v>
      </c>
      <c r="Z21" s="130" t="str">
        <f>IF(개요!AP7="","-",개요!AP7)</f>
        <v>-</v>
      </c>
      <c r="AA21" s="130" t="str">
        <f>IF(개요!AQ7="","-",개요!AQ7)</f>
        <v>-</v>
      </c>
      <c r="AB21" s="130" t="str">
        <f>IF(개요!AR7="","-",개요!AR7)</f>
        <v>-</v>
      </c>
      <c r="AC21" s="130" t="str">
        <f>IF(개요!AS7="","-",개요!AS7)</f>
        <v>-</v>
      </c>
      <c r="AD21" s="130" t="str">
        <f>IF(개요!AT7="","-",개요!AT7)</f>
        <v>-</v>
      </c>
      <c r="AE21" s="130" t="str">
        <f>IF(개요!AU7="","-",개요!AU7)</f>
        <v>-</v>
      </c>
      <c r="AF21" s="130" t="str">
        <f>IF(개요!AV7="","-",개요!AV7)</f>
        <v>-</v>
      </c>
      <c r="AG21" s="130" t="str">
        <f>IF(개요!AW7="","-",개요!AW7)</f>
        <v>-</v>
      </c>
      <c r="AH21" s="130" t="str">
        <f>IF(개요!AX7="","-",개요!AX7)</f>
        <v>-</v>
      </c>
      <c r="AI21" s="130" t="str">
        <f>IF(개요!AY7="","-",개요!AY7)</f>
        <v>-</v>
      </c>
      <c r="AJ21" s="130" t="str">
        <f>IF(개요!AZ7="","-",개요!AZ7)</f>
        <v>-</v>
      </c>
      <c r="AK21" s="130" t="str">
        <f>IF(개요!BA7="","-",개요!BA7)</f>
        <v>-</v>
      </c>
      <c r="AL21" s="130" t="str">
        <f>IF(개요!BB7="","-",개요!BB7)</f>
        <v>-</v>
      </c>
      <c r="AM21" s="130" t="str">
        <f>IF(개요!BC7="","-",개요!BC7)</f>
        <v>-</v>
      </c>
      <c r="AN21" s="130" t="str">
        <f>IF(개요!BD7="","-",개요!BD7)</f>
        <v>-</v>
      </c>
      <c r="AO21" s="130" t="str">
        <f>IF(개요!BE7="","-",개요!BE7)</f>
        <v>-</v>
      </c>
      <c r="AP21" s="130" t="str">
        <f>IF(개요!BF7="","-",개요!BF7)</f>
        <v>-</v>
      </c>
      <c r="AQ21" s="130" t="str">
        <f>IF(개요!BG7="","-",개요!BG7)</f>
        <v>-</v>
      </c>
      <c r="AR21" s="130" t="str">
        <f>IF(개요!BH7="","-",개요!BH7)</f>
        <v>-</v>
      </c>
      <c r="AS21" s="130" t="str">
        <f>IF(개요!BI7="","-",개요!BI7)</f>
        <v>-</v>
      </c>
      <c r="AT21" s="130" t="str">
        <f>IF(개요!BJ7="","-",개요!BJ7)</f>
        <v>-</v>
      </c>
      <c r="AU21" s="130" t="str">
        <f>IF(개요!BK7="","-",개요!BK7)</f>
        <v>-</v>
      </c>
      <c r="AV21" s="130" t="str">
        <f>IF(개요!BL7="","-",개요!BL7)</f>
        <v>-</v>
      </c>
      <c r="AW21" s="130" t="str">
        <f>IF(개요!BM7="","-",개요!BM7)</f>
        <v>-</v>
      </c>
      <c r="AX21" s="130" t="str">
        <f>IF(개요!BN7="","-",개요!BN7)</f>
        <v>-</v>
      </c>
      <c r="AY21" s="130" t="str">
        <f>IF(개요!BO7="","-",개요!BO7)</f>
        <v>-</v>
      </c>
      <c r="AZ21" s="130" t="str">
        <f>IF(개요!BP7="","-",개요!BP7)</f>
        <v>-</v>
      </c>
      <c r="BA21" s="130" t="str">
        <f>IF(개요!BQ7="","-",개요!BQ7)</f>
        <v>-</v>
      </c>
      <c r="BB21" s="130" t="str">
        <f>IF(개요!BR7="","-",개요!BR7)</f>
        <v>-</v>
      </c>
      <c r="BC21" s="130" t="str">
        <f>IF(개요!BS7="","-",개요!BS7)</f>
        <v>-</v>
      </c>
      <c r="BD21" s="130" t="str">
        <f>IF(개요!BT7="","-",개요!BT7)</f>
        <v>-</v>
      </c>
      <c r="BE21" s="130" t="str">
        <f>IF(개요!BU7="","-",개요!BU7)</f>
        <v>-</v>
      </c>
      <c r="BF21" s="130" t="str">
        <f>IF(개요!BV7="","-",개요!BV7)</f>
        <v>-</v>
      </c>
      <c r="BG21" s="130" t="str">
        <f>IF(개요!BW7="","-",개요!BW7)</f>
        <v>-</v>
      </c>
      <c r="BH21" s="130" t="str">
        <f>IF(개요!BX7="","-",개요!BX7)</f>
        <v>-</v>
      </c>
      <c r="BI21" s="130" t="str">
        <f>IF(개요!BY7="","-",개요!BY7)</f>
        <v>-</v>
      </c>
      <c r="BJ21" s="130" t="str">
        <f>IF(개요!BZ7="","-",개요!BZ7)</f>
        <v>-</v>
      </c>
      <c r="BK21" s="130" t="str">
        <f>IF(개요!CA7="","-",개요!CA7)</f>
        <v>-</v>
      </c>
      <c r="BL21" s="130" t="str">
        <f>IF(개요!CB7="","-",개요!CB7)</f>
        <v>-</v>
      </c>
      <c r="BM21" s="130" t="str">
        <f>IF(개요!CC7="","-",개요!CC7)</f>
        <v>-</v>
      </c>
      <c r="BN21" s="130" t="str">
        <f>IF(개요!CD7="","-",개요!CD7)</f>
        <v>-</v>
      </c>
      <c r="BO21" s="130" t="str">
        <f>IF(개요!CE7="","-",개요!CE7)</f>
        <v>-</v>
      </c>
      <c r="BP21" s="130" t="str">
        <f>IF(개요!CF7="","-",개요!CF7)</f>
        <v>-</v>
      </c>
      <c r="BQ21" s="130" t="str">
        <f>IF(개요!CG7="","-",개요!CG7)</f>
        <v>-</v>
      </c>
      <c r="BR21" s="130" t="str">
        <f>IF(개요!CH7="","-",개요!CH7)</f>
        <v>-</v>
      </c>
      <c r="BS21" s="130" t="str">
        <f>IF(개요!CI7="","-",개요!CI7)</f>
        <v>-</v>
      </c>
      <c r="BT21" s="130" t="str">
        <f>IF(개요!CJ7="","-",개요!CJ7)</f>
        <v>-</v>
      </c>
      <c r="BU21" s="130" t="str">
        <f>IF(개요!CK7="","-",개요!CK7)</f>
        <v>-</v>
      </c>
      <c r="BV21" s="130" t="str">
        <f>IF(개요!CL7="","-",개요!CL7)</f>
        <v>-</v>
      </c>
      <c r="BW21" s="130" t="str">
        <f>IF(개요!CM7="","-",개요!CM7)</f>
        <v>-</v>
      </c>
      <c r="BX21" s="130" t="str">
        <f>IF(개요!CN7="","-",개요!CN7)</f>
        <v>-</v>
      </c>
      <c r="BY21" s="130" t="str">
        <f>IF(개요!CO7="","-",개요!CO7)</f>
        <v>-</v>
      </c>
      <c r="BZ21" s="130" t="str">
        <f>IF(개요!CP7="","-",개요!CP7)</f>
        <v>-</v>
      </c>
      <c r="CA21" s="130" t="str">
        <f>IF(개요!CQ7="","-",개요!CQ7)</f>
        <v>-</v>
      </c>
      <c r="CB21" s="130" t="str">
        <f>IF(개요!CR7="","-",개요!CR7)</f>
        <v>-</v>
      </c>
      <c r="CC21" s="130" t="str">
        <f>IF(개요!CS7="","-",개요!CS7)</f>
        <v>-</v>
      </c>
      <c r="CD21" s="130" t="str">
        <f>IF(개요!CT7="","-",개요!CT7)</f>
        <v>-</v>
      </c>
      <c r="CE21" s="130" t="str">
        <f>IF(개요!CU7="","-",개요!CU7)</f>
        <v>-</v>
      </c>
      <c r="CF21" s="130" t="str">
        <f>IF(개요!CV7="","-",개요!CV7)</f>
        <v>-</v>
      </c>
      <c r="CG21" s="130" t="str">
        <f>IF(개요!CW7="","-",개요!CW7)</f>
        <v>-</v>
      </c>
      <c r="CH21" s="130" t="str">
        <f>IF(개요!CX7="","-",개요!CX7)</f>
        <v>-</v>
      </c>
      <c r="CI21" s="130" t="str">
        <f>IF(개요!CY7="","-",개요!CY7)</f>
        <v>-</v>
      </c>
      <c r="CJ21" s="130" t="str">
        <f>IF(개요!CZ7="","-",개요!CZ7)</f>
        <v>-</v>
      </c>
      <c r="CK21" s="130" t="str">
        <f>IF(개요!DA7="","-",개요!DA7)</f>
        <v>-</v>
      </c>
      <c r="CL21" s="130" t="str">
        <f>IF(개요!DB7="","-",개요!DB7)</f>
        <v>-</v>
      </c>
      <c r="CM21" s="130" t="str">
        <f>IF(개요!DC7="","-",개요!DC7)</f>
        <v>-</v>
      </c>
      <c r="CN21" s="130" t="str">
        <f>IF(개요!DD7="","-",개요!DD7)</f>
        <v>-</v>
      </c>
      <c r="CO21" s="130" t="str">
        <f>IF(개요!DE7="","-",개요!DE7)</f>
        <v>-</v>
      </c>
      <c r="CP21" s="130" t="str">
        <f>IF(개요!DF7="","-",개요!DF7)</f>
        <v>-</v>
      </c>
      <c r="CQ21" s="130" t="str">
        <f>IF(개요!DG7="","-",개요!DG7)</f>
        <v>-</v>
      </c>
      <c r="CR21" s="130" t="str">
        <f>IF(개요!DH7="","-",개요!DH7)</f>
        <v>-</v>
      </c>
      <c r="CS21" s="130" t="str">
        <f>IF(개요!DI7="","-",개요!DI7)</f>
        <v>-</v>
      </c>
      <c r="CT21" s="130" t="str">
        <f>IF(개요!DJ7="","-",개요!DJ7)</f>
        <v>-</v>
      </c>
      <c r="CU21" s="130" t="str">
        <f>IF(개요!DK7="","-",개요!DK7)</f>
        <v>-</v>
      </c>
      <c r="CV21" s="130" t="str">
        <f>IF(개요!DL7="","-",개요!DL7)</f>
        <v>-</v>
      </c>
      <c r="CW21" s="130" t="str">
        <f>IF(개요!DM7="","-",개요!DM7)</f>
        <v>-</v>
      </c>
      <c r="CX21" s="130" t="str">
        <f>IF(개요!DN7="","-",개요!DN7)</f>
        <v>-</v>
      </c>
      <c r="CY21" s="830"/>
      <c r="DB21" s="21"/>
      <c r="DC21" s="21"/>
      <c r="DD21" s="21"/>
      <c r="DE21" s="61"/>
      <c r="DF21" s="62"/>
      <c r="DG21" s="60"/>
      <c r="DH21" s="62"/>
      <c r="DI21" s="62"/>
      <c r="DJ21" s="62"/>
      <c r="DK21" s="62"/>
      <c r="DL21" s="62"/>
    </row>
    <row r="22" spans="1:116" ht="15" customHeight="1">
      <c r="A22" s="54">
        <v>1</v>
      </c>
      <c r="B22" s="63" t="str">
        <f>IF(개요!M8=0,"",개요!M8)</f>
        <v>코리아에셋투자증권㈜</v>
      </c>
      <c r="C22" s="64">
        <f>IF(개요!S8=0,"",개요!S8)</f>
        <v>-50000000</v>
      </c>
      <c r="D22" s="64" t="str">
        <f>IF(개요!T8=0,"",개요!T8)</f>
        <v/>
      </c>
      <c r="E22" s="64" t="str">
        <f>IF(개요!U8=0,"",개요!U8)</f>
        <v/>
      </c>
      <c r="F22" s="64" t="str">
        <f>IF(개요!V8=0,"",개요!V8)</f>
        <v/>
      </c>
      <c r="G22" s="64" t="str">
        <f>IF(개요!W8=0,"",개요!W8)</f>
        <v/>
      </c>
      <c r="H22" s="64" t="str">
        <f>IF(개요!X8=0,"",개요!X8)</f>
        <v/>
      </c>
      <c r="I22" s="64" t="str">
        <f>IF(개요!Y8=0,"",개요!Y8)</f>
        <v/>
      </c>
      <c r="J22" s="64" t="str">
        <f>IF(개요!Z8=0,"",개요!Z8)</f>
        <v/>
      </c>
      <c r="K22" s="64" t="str">
        <f>IF(개요!AA8=0,"",개요!AA8)</f>
        <v/>
      </c>
      <c r="L22" s="64" t="str">
        <f>IF(개요!AB8=0,"",개요!AB8)</f>
        <v/>
      </c>
      <c r="M22" s="64" t="str">
        <f>IF(개요!AC8=0,"",개요!AC8)</f>
        <v/>
      </c>
      <c r="N22" s="64" t="str">
        <f>IF(개요!AD8=0,"",개요!AD8)</f>
        <v/>
      </c>
      <c r="O22" s="64" t="str">
        <f>IF(개요!AE8=0,"",개요!AE8)</f>
        <v/>
      </c>
      <c r="P22" s="64" t="str">
        <f>IF(개요!AF8=0,"",개요!AF8)</f>
        <v/>
      </c>
      <c r="Q22" s="64" t="str">
        <f>IF(개요!AG8=0,"",개요!AG8)</f>
        <v/>
      </c>
      <c r="R22" s="64" t="str">
        <f>IF(개요!AH8=0,"",개요!AH8)</f>
        <v/>
      </c>
      <c r="S22" s="64" t="str">
        <f>IF(개요!AI8=0,"",개요!AI8)</f>
        <v/>
      </c>
      <c r="T22" s="64" t="str">
        <f>IF(개요!AJ8=0,"",개요!AJ8)</f>
        <v/>
      </c>
      <c r="U22" s="64" t="str">
        <f>IF(개요!AK8=0,"",개요!AK8)</f>
        <v/>
      </c>
      <c r="V22" s="64" t="str">
        <f>IF(개요!AL8=0,"",개요!AL8)</f>
        <v/>
      </c>
      <c r="W22" s="64" t="str">
        <f>IF(개요!AM8=0,"",개요!AM8)</f>
        <v/>
      </c>
      <c r="X22" s="64" t="str">
        <f>IF(개요!AN8=0,"",개요!AN8)</f>
        <v/>
      </c>
      <c r="Y22" s="64" t="str">
        <f>IF(개요!AO8=0,"",개요!AO8)</f>
        <v/>
      </c>
      <c r="Z22" s="64" t="str">
        <f>IF(개요!AP8=0,"",개요!AP8)</f>
        <v/>
      </c>
      <c r="AA22" s="64" t="str">
        <f>IF(개요!AQ8=0,"",개요!AQ8)</f>
        <v/>
      </c>
      <c r="AB22" s="64" t="str">
        <f>IF(개요!AR8=0,"",개요!AR8)</f>
        <v/>
      </c>
      <c r="AC22" s="64" t="str">
        <f>IF(개요!AS8=0,"",개요!AS8)</f>
        <v/>
      </c>
      <c r="AD22" s="64" t="str">
        <f>IF(개요!AT8=0,"",개요!AT8)</f>
        <v/>
      </c>
      <c r="AE22" s="64" t="str">
        <f>IF(개요!AU8=0,"",개요!AU8)</f>
        <v/>
      </c>
      <c r="AF22" s="64" t="str">
        <f>IF(개요!AV8=0,"",개요!AV8)</f>
        <v/>
      </c>
      <c r="AG22" s="64" t="str">
        <f>IF(개요!AW8=0,"",개요!AW8)</f>
        <v/>
      </c>
      <c r="AH22" s="64" t="str">
        <f>IF(개요!AX8=0,"",개요!AX8)</f>
        <v/>
      </c>
      <c r="AI22" s="64" t="str">
        <f>IF(개요!AY8=0,"",개요!AY8)</f>
        <v/>
      </c>
      <c r="AJ22" s="64" t="str">
        <f>IF(개요!AZ8=0,"",개요!AZ8)</f>
        <v/>
      </c>
      <c r="AK22" s="64" t="str">
        <f>IF(개요!BA8=0,"",개요!BA8)</f>
        <v/>
      </c>
      <c r="AL22" s="64" t="str">
        <f>IF(개요!BB8=0,"",개요!BB8)</f>
        <v/>
      </c>
      <c r="AM22" s="64" t="str">
        <f>IF(개요!BC8=0,"",개요!BC8)</f>
        <v/>
      </c>
      <c r="AN22" s="64" t="str">
        <f>IF(개요!BD8=0,"",개요!BD8)</f>
        <v/>
      </c>
      <c r="AO22" s="64" t="str">
        <f>IF(개요!BE8=0,"",개요!BE8)</f>
        <v/>
      </c>
      <c r="AP22" s="64" t="str">
        <f>IF(개요!BF8=0,"",개요!BF8)</f>
        <v/>
      </c>
      <c r="AQ22" s="64" t="str">
        <f>IF(개요!BG8=0,"",개요!BG8)</f>
        <v/>
      </c>
      <c r="AR22" s="64" t="str">
        <f>IF(개요!BH8=0,"",개요!BH8)</f>
        <v/>
      </c>
      <c r="AS22" s="64" t="str">
        <f>IF(개요!BI8=0,"",개요!BI8)</f>
        <v/>
      </c>
      <c r="AT22" s="64" t="str">
        <f>IF(개요!BJ8=0,"",개요!BJ8)</f>
        <v/>
      </c>
      <c r="AU22" s="64" t="str">
        <f>IF(개요!BK8=0,"",개요!BK8)</f>
        <v/>
      </c>
      <c r="AV22" s="64" t="str">
        <f>IF(개요!BL8=0,"",개요!BL8)</f>
        <v/>
      </c>
      <c r="AW22" s="64" t="str">
        <f>IF(개요!BM8=0,"",개요!BM8)</f>
        <v/>
      </c>
      <c r="AX22" s="64" t="str">
        <f>IF(개요!BN8=0,"",개요!BN8)</f>
        <v/>
      </c>
      <c r="AY22" s="64" t="str">
        <f>IF(개요!BO8=0,"",개요!BO8)</f>
        <v/>
      </c>
      <c r="AZ22" s="64" t="str">
        <f>IF(개요!BP8=0,"",개요!BP8)</f>
        <v/>
      </c>
      <c r="BA22" s="64" t="str">
        <f>IF(개요!BQ8=0,"",개요!BQ8)</f>
        <v/>
      </c>
      <c r="BB22" s="64" t="str">
        <f>IF(개요!BR8=0,"",개요!BR8)</f>
        <v/>
      </c>
      <c r="BC22" s="64" t="str">
        <f>IF(개요!BS8=0,"",개요!BS8)</f>
        <v/>
      </c>
      <c r="BD22" s="64" t="str">
        <f>IF(개요!BT8=0,"",개요!BT8)</f>
        <v/>
      </c>
      <c r="BE22" s="64" t="str">
        <f>IF(개요!BU8=0,"",개요!BU8)</f>
        <v/>
      </c>
      <c r="BF22" s="64" t="str">
        <f>IF(개요!BV8=0,"",개요!BV8)</f>
        <v/>
      </c>
      <c r="BG22" s="64" t="str">
        <f>IF(개요!BW8=0,"",개요!BW8)</f>
        <v/>
      </c>
      <c r="BH22" s="64" t="str">
        <f>IF(개요!BX8=0,"",개요!BX8)</f>
        <v/>
      </c>
      <c r="BI22" s="64" t="str">
        <f>IF(개요!BY8=0,"",개요!BY8)</f>
        <v/>
      </c>
      <c r="BJ22" s="64" t="str">
        <f>IF(개요!BZ8=0,"",개요!BZ8)</f>
        <v/>
      </c>
      <c r="BK22" s="64" t="str">
        <f>IF(개요!CA8=0,"",개요!CA8)</f>
        <v/>
      </c>
      <c r="BL22" s="64" t="str">
        <f>IF(개요!CB8=0,"",개요!CB8)</f>
        <v/>
      </c>
      <c r="BM22" s="64" t="str">
        <f>IF(개요!CC8=0,"",개요!CC8)</f>
        <v/>
      </c>
      <c r="BN22" s="64" t="str">
        <f>IF(개요!CD8=0,"",개요!CD8)</f>
        <v/>
      </c>
      <c r="BO22" s="64" t="str">
        <f>IF(개요!CE8=0,"",개요!CE8)</f>
        <v/>
      </c>
      <c r="BP22" s="64" t="str">
        <f>IF(개요!CF8=0,"",개요!CF8)</f>
        <v/>
      </c>
      <c r="BQ22" s="64" t="str">
        <f>IF(개요!CG8=0,"",개요!CG8)</f>
        <v/>
      </c>
      <c r="BR22" s="64" t="str">
        <f>IF(개요!CH8=0,"",개요!CH8)</f>
        <v/>
      </c>
      <c r="BS22" s="64" t="str">
        <f>IF(개요!CI8=0,"",개요!CI8)</f>
        <v/>
      </c>
      <c r="BT22" s="64" t="str">
        <f>IF(개요!CJ8=0,"",개요!CJ8)</f>
        <v/>
      </c>
      <c r="BU22" s="64" t="str">
        <f>IF(개요!CK8=0,"",개요!CK8)</f>
        <v/>
      </c>
      <c r="BV22" s="64" t="str">
        <f>IF(개요!CL8=0,"",개요!CL8)</f>
        <v/>
      </c>
      <c r="BW22" s="64" t="str">
        <f>IF(개요!CM8=0,"",개요!CM8)</f>
        <v/>
      </c>
      <c r="BX22" s="64" t="str">
        <f>IF(개요!CN8=0,"",개요!CN8)</f>
        <v/>
      </c>
      <c r="BY22" s="64" t="str">
        <f>IF(개요!CO8=0,"",개요!CO8)</f>
        <v/>
      </c>
      <c r="BZ22" s="64" t="str">
        <f>IF(개요!CP8=0,"",개요!CP8)</f>
        <v/>
      </c>
      <c r="CA22" s="64" t="str">
        <f>IF(개요!CQ8=0,"",개요!CQ8)</f>
        <v/>
      </c>
      <c r="CB22" s="64" t="str">
        <f>IF(개요!CR8=0,"",개요!CR8)</f>
        <v/>
      </c>
      <c r="CC22" s="64" t="str">
        <f>IF(개요!CS8=0,"",개요!CS8)</f>
        <v/>
      </c>
      <c r="CD22" s="64" t="str">
        <f>IF(개요!CT8=0,"",개요!CT8)</f>
        <v/>
      </c>
      <c r="CE22" s="64" t="str">
        <f>IF(개요!CU8=0,"",개요!CU8)</f>
        <v/>
      </c>
      <c r="CF22" s="64" t="str">
        <f>IF(개요!CV8=0,"",개요!CV8)</f>
        <v/>
      </c>
      <c r="CG22" s="64" t="str">
        <f>IF(개요!CW8=0,"",개요!CW8)</f>
        <v/>
      </c>
      <c r="CH22" s="64" t="str">
        <f>IF(개요!CX8=0,"",개요!CX8)</f>
        <v/>
      </c>
      <c r="CI22" s="64" t="str">
        <f>IF(개요!CY8=0,"",개요!CY8)</f>
        <v/>
      </c>
      <c r="CJ22" s="64" t="str">
        <f>IF(개요!CZ8=0,"",개요!CZ8)</f>
        <v/>
      </c>
      <c r="CK22" s="64" t="str">
        <f>IF(개요!DA8=0,"",개요!DA8)</f>
        <v/>
      </c>
      <c r="CL22" s="64" t="str">
        <f>IF(개요!DB8=0,"",개요!DB8)</f>
        <v/>
      </c>
      <c r="CM22" s="64" t="str">
        <f>IF(개요!DC8=0,"",개요!DC8)</f>
        <v/>
      </c>
      <c r="CN22" s="64" t="str">
        <f>IF(개요!DD8=0,"",개요!DD8)</f>
        <v/>
      </c>
      <c r="CO22" s="64" t="str">
        <f>IF(개요!DE8=0,"",개요!DE8)</f>
        <v/>
      </c>
      <c r="CP22" s="64" t="str">
        <f>IF(개요!DF8=0,"",개요!DF8)</f>
        <v/>
      </c>
      <c r="CQ22" s="64" t="str">
        <f>IF(개요!DG8=0,"",개요!DG8)</f>
        <v/>
      </c>
      <c r="CR22" s="64" t="str">
        <f>IF(개요!DH8=0,"",개요!DH8)</f>
        <v/>
      </c>
      <c r="CS22" s="64" t="str">
        <f>IF(개요!DI8=0,"",개요!DI8)</f>
        <v/>
      </c>
      <c r="CT22" s="64" t="str">
        <f>IF(개요!DJ8=0,"",개요!DJ8)</f>
        <v/>
      </c>
      <c r="CU22" s="64" t="str">
        <f>IF(개요!DK8=0,"",개요!DK8)</f>
        <v/>
      </c>
      <c r="CV22" s="64" t="str">
        <f>IF(개요!DL8=0,"",개요!DL8)</f>
        <v/>
      </c>
      <c r="CW22" s="64" t="str">
        <f>IF(개요!DM8=0,"",개요!DM8)</f>
        <v/>
      </c>
      <c r="CX22" s="64" t="str">
        <f>IF(개요!DN8=0,"",개요!DN8)</f>
        <v/>
      </c>
      <c r="CY22" s="65">
        <f t="shared" ref="CY22:CY53" si="5">IF(-SUMPRODUCT(C22:CX22,$C$18:$CX$18)=0,"",-SUMPRODUCT(C22:CX22,$C$18:$CX$18))</f>
        <v>61127382.411170959</v>
      </c>
      <c r="CZ22" s="66"/>
      <c r="DB22" s="21"/>
      <c r="DC22" s="21"/>
      <c r="DD22" s="21"/>
      <c r="DE22" s="67"/>
      <c r="DF22" s="68"/>
      <c r="DG22" s="67"/>
      <c r="DH22" s="67"/>
      <c r="DI22" s="69"/>
      <c r="DJ22" s="69"/>
      <c r="DK22" s="69"/>
      <c r="DL22" s="69"/>
    </row>
    <row r="23" spans="1:116" ht="15" customHeight="1">
      <c r="A23" s="54">
        <v>2</v>
      </c>
      <c r="B23" s="63" t="str">
        <f>IF(개요!M9=0,"",개요!M9)</f>
        <v>창인파트너스㈜</v>
      </c>
      <c r="C23" s="64">
        <f>IF(개요!S9=0,"",개요!S9)</f>
        <v>-50000000</v>
      </c>
      <c r="D23" s="64" t="str">
        <f>IF(개요!T9=0,"",개요!T9)</f>
        <v/>
      </c>
      <c r="E23" s="64" t="str">
        <f>IF(개요!U9=0,"",개요!U9)</f>
        <v/>
      </c>
      <c r="F23" s="64" t="str">
        <f>IF(개요!V9=0,"",개요!V9)</f>
        <v/>
      </c>
      <c r="G23" s="64" t="str">
        <f>IF(개요!W9=0,"",개요!W9)</f>
        <v/>
      </c>
      <c r="H23" s="64" t="str">
        <f>IF(개요!X9=0,"",개요!X9)</f>
        <v/>
      </c>
      <c r="I23" s="64" t="str">
        <f>IF(개요!Y9=0,"",개요!Y9)</f>
        <v/>
      </c>
      <c r="J23" s="64" t="str">
        <f>IF(개요!Z9=0,"",개요!Z9)</f>
        <v/>
      </c>
      <c r="K23" s="64" t="str">
        <f>IF(개요!AA9=0,"",개요!AA9)</f>
        <v/>
      </c>
      <c r="L23" s="64" t="str">
        <f>IF(개요!AB9=0,"",개요!AB9)</f>
        <v/>
      </c>
      <c r="M23" s="64" t="str">
        <f>IF(개요!AC9=0,"",개요!AC9)</f>
        <v/>
      </c>
      <c r="N23" s="64" t="str">
        <f>IF(개요!AD9=0,"",개요!AD9)</f>
        <v/>
      </c>
      <c r="O23" s="64" t="str">
        <f>IF(개요!AE9=0,"",개요!AE9)</f>
        <v/>
      </c>
      <c r="P23" s="64" t="str">
        <f>IF(개요!AF9=0,"",개요!AF9)</f>
        <v/>
      </c>
      <c r="Q23" s="64" t="str">
        <f>IF(개요!AG9=0,"",개요!AG9)</f>
        <v/>
      </c>
      <c r="R23" s="64" t="str">
        <f>IF(개요!AH9=0,"",개요!AH9)</f>
        <v/>
      </c>
      <c r="S23" s="64" t="str">
        <f>IF(개요!AI9=0,"",개요!AI9)</f>
        <v/>
      </c>
      <c r="T23" s="64" t="str">
        <f>IF(개요!AJ9=0,"",개요!AJ9)</f>
        <v/>
      </c>
      <c r="U23" s="64" t="str">
        <f>IF(개요!AK9=0,"",개요!AK9)</f>
        <v/>
      </c>
      <c r="V23" s="64" t="str">
        <f>IF(개요!AL9=0,"",개요!AL9)</f>
        <v/>
      </c>
      <c r="W23" s="64" t="str">
        <f>IF(개요!AM9=0,"",개요!AM9)</f>
        <v/>
      </c>
      <c r="X23" s="64" t="str">
        <f>IF(개요!AN9=0,"",개요!AN9)</f>
        <v/>
      </c>
      <c r="Y23" s="64" t="str">
        <f>IF(개요!AO9=0,"",개요!AO9)</f>
        <v/>
      </c>
      <c r="Z23" s="64" t="str">
        <f>IF(개요!AP9=0,"",개요!AP9)</f>
        <v/>
      </c>
      <c r="AA23" s="64" t="str">
        <f>IF(개요!AQ9=0,"",개요!AQ9)</f>
        <v/>
      </c>
      <c r="AB23" s="64" t="str">
        <f>IF(개요!AR9=0,"",개요!AR9)</f>
        <v/>
      </c>
      <c r="AC23" s="64" t="str">
        <f>IF(개요!AS9=0,"",개요!AS9)</f>
        <v/>
      </c>
      <c r="AD23" s="64" t="str">
        <f>IF(개요!AT9=0,"",개요!AT9)</f>
        <v/>
      </c>
      <c r="AE23" s="64" t="str">
        <f>IF(개요!AU9=0,"",개요!AU9)</f>
        <v/>
      </c>
      <c r="AF23" s="64" t="str">
        <f>IF(개요!AV9=0,"",개요!AV9)</f>
        <v/>
      </c>
      <c r="AG23" s="64" t="str">
        <f>IF(개요!AW9=0,"",개요!AW9)</f>
        <v/>
      </c>
      <c r="AH23" s="64" t="str">
        <f>IF(개요!AX9=0,"",개요!AX9)</f>
        <v/>
      </c>
      <c r="AI23" s="64" t="str">
        <f>IF(개요!AY9=0,"",개요!AY9)</f>
        <v/>
      </c>
      <c r="AJ23" s="64" t="str">
        <f>IF(개요!AZ9=0,"",개요!AZ9)</f>
        <v/>
      </c>
      <c r="AK23" s="64" t="str">
        <f>IF(개요!BA9=0,"",개요!BA9)</f>
        <v/>
      </c>
      <c r="AL23" s="64" t="str">
        <f>IF(개요!BB9=0,"",개요!BB9)</f>
        <v/>
      </c>
      <c r="AM23" s="64" t="str">
        <f>IF(개요!BC9=0,"",개요!BC9)</f>
        <v/>
      </c>
      <c r="AN23" s="64" t="str">
        <f>IF(개요!BD9=0,"",개요!BD9)</f>
        <v/>
      </c>
      <c r="AO23" s="64" t="str">
        <f>IF(개요!BE9=0,"",개요!BE9)</f>
        <v/>
      </c>
      <c r="AP23" s="64" t="str">
        <f>IF(개요!BF9=0,"",개요!BF9)</f>
        <v/>
      </c>
      <c r="AQ23" s="64" t="str">
        <f>IF(개요!BG9=0,"",개요!BG9)</f>
        <v/>
      </c>
      <c r="AR23" s="64" t="str">
        <f>IF(개요!BH9=0,"",개요!BH9)</f>
        <v/>
      </c>
      <c r="AS23" s="64" t="str">
        <f>IF(개요!BI9=0,"",개요!BI9)</f>
        <v/>
      </c>
      <c r="AT23" s="64" t="str">
        <f>IF(개요!BJ9=0,"",개요!BJ9)</f>
        <v/>
      </c>
      <c r="AU23" s="64" t="str">
        <f>IF(개요!BK9=0,"",개요!BK9)</f>
        <v/>
      </c>
      <c r="AV23" s="64" t="str">
        <f>IF(개요!BL9=0,"",개요!BL9)</f>
        <v/>
      </c>
      <c r="AW23" s="64" t="str">
        <f>IF(개요!BM9=0,"",개요!BM9)</f>
        <v/>
      </c>
      <c r="AX23" s="64" t="str">
        <f>IF(개요!BN9=0,"",개요!BN9)</f>
        <v/>
      </c>
      <c r="AY23" s="64" t="str">
        <f>IF(개요!BO9=0,"",개요!BO9)</f>
        <v/>
      </c>
      <c r="AZ23" s="64" t="str">
        <f>IF(개요!BP9=0,"",개요!BP9)</f>
        <v/>
      </c>
      <c r="BA23" s="64" t="str">
        <f>IF(개요!BQ9=0,"",개요!BQ9)</f>
        <v/>
      </c>
      <c r="BB23" s="64" t="str">
        <f>IF(개요!BR9=0,"",개요!BR9)</f>
        <v/>
      </c>
      <c r="BC23" s="64" t="str">
        <f>IF(개요!BS9=0,"",개요!BS9)</f>
        <v/>
      </c>
      <c r="BD23" s="64" t="str">
        <f>IF(개요!BT9=0,"",개요!BT9)</f>
        <v/>
      </c>
      <c r="BE23" s="64" t="str">
        <f>IF(개요!BU9=0,"",개요!BU9)</f>
        <v/>
      </c>
      <c r="BF23" s="64" t="str">
        <f>IF(개요!BV9=0,"",개요!BV9)</f>
        <v/>
      </c>
      <c r="BG23" s="64" t="str">
        <f>IF(개요!BW9=0,"",개요!BW9)</f>
        <v/>
      </c>
      <c r="BH23" s="64" t="str">
        <f>IF(개요!BX9=0,"",개요!BX9)</f>
        <v/>
      </c>
      <c r="BI23" s="64" t="str">
        <f>IF(개요!BY9=0,"",개요!BY9)</f>
        <v/>
      </c>
      <c r="BJ23" s="64" t="str">
        <f>IF(개요!BZ9=0,"",개요!BZ9)</f>
        <v/>
      </c>
      <c r="BK23" s="64" t="str">
        <f>IF(개요!CA9=0,"",개요!CA9)</f>
        <v/>
      </c>
      <c r="BL23" s="64" t="str">
        <f>IF(개요!CB9=0,"",개요!CB9)</f>
        <v/>
      </c>
      <c r="BM23" s="64" t="str">
        <f>IF(개요!CC9=0,"",개요!CC9)</f>
        <v/>
      </c>
      <c r="BN23" s="64" t="str">
        <f>IF(개요!CD9=0,"",개요!CD9)</f>
        <v/>
      </c>
      <c r="BO23" s="64" t="str">
        <f>IF(개요!CE9=0,"",개요!CE9)</f>
        <v/>
      </c>
      <c r="BP23" s="64" t="str">
        <f>IF(개요!CF9=0,"",개요!CF9)</f>
        <v/>
      </c>
      <c r="BQ23" s="64" t="str">
        <f>IF(개요!CG9=0,"",개요!CG9)</f>
        <v/>
      </c>
      <c r="BR23" s="64" t="str">
        <f>IF(개요!CH9=0,"",개요!CH9)</f>
        <v/>
      </c>
      <c r="BS23" s="64" t="str">
        <f>IF(개요!CI9=0,"",개요!CI9)</f>
        <v/>
      </c>
      <c r="BT23" s="64" t="str">
        <f>IF(개요!CJ9=0,"",개요!CJ9)</f>
        <v/>
      </c>
      <c r="BU23" s="64" t="str">
        <f>IF(개요!CK9=0,"",개요!CK9)</f>
        <v/>
      </c>
      <c r="BV23" s="64" t="str">
        <f>IF(개요!CL9=0,"",개요!CL9)</f>
        <v/>
      </c>
      <c r="BW23" s="64" t="str">
        <f>IF(개요!CM9=0,"",개요!CM9)</f>
        <v/>
      </c>
      <c r="BX23" s="64" t="str">
        <f>IF(개요!CN9=0,"",개요!CN9)</f>
        <v/>
      </c>
      <c r="BY23" s="64" t="str">
        <f>IF(개요!CO9=0,"",개요!CO9)</f>
        <v/>
      </c>
      <c r="BZ23" s="64" t="str">
        <f>IF(개요!CP9=0,"",개요!CP9)</f>
        <v/>
      </c>
      <c r="CA23" s="64" t="str">
        <f>IF(개요!CQ9=0,"",개요!CQ9)</f>
        <v/>
      </c>
      <c r="CB23" s="64" t="str">
        <f>IF(개요!CR9=0,"",개요!CR9)</f>
        <v/>
      </c>
      <c r="CC23" s="64" t="str">
        <f>IF(개요!CS9=0,"",개요!CS9)</f>
        <v/>
      </c>
      <c r="CD23" s="64" t="str">
        <f>IF(개요!CT9=0,"",개요!CT9)</f>
        <v/>
      </c>
      <c r="CE23" s="64" t="str">
        <f>IF(개요!CU9=0,"",개요!CU9)</f>
        <v/>
      </c>
      <c r="CF23" s="64" t="str">
        <f>IF(개요!CV9=0,"",개요!CV9)</f>
        <v/>
      </c>
      <c r="CG23" s="64" t="str">
        <f>IF(개요!CW9=0,"",개요!CW9)</f>
        <v/>
      </c>
      <c r="CH23" s="64" t="str">
        <f>IF(개요!CX9=0,"",개요!CX9)</f>
        <v/>
      </c>
      <c r="CI23" s="64" t="str">
        <f>IF(개요!CY9=0,"",개요!CY9)</f>
        <v/>
      </c>
      <c r="CJ23" s="64" t="str">
        <f>IF(개요!CZ9=0,"",개요!CZ9)</f>
        <v/>
      </c>
      <c r="CK23" s="64" t="str">
        <f>IF(개요!DA9=0,"",개요!DA9)</f>
        <v/>
      </c>
      <c r="CL23" s="64" t="str">
        <f>IF(개요!DB9=0,"",개요!DB9)</f>
        <v/>
      </c>
      <c r="CM23" s="64" t="str">
        <f>IF(개요!DC9=0,"",개요!DC9)</f>
        <v/>
      </c>
      <c r="CN23" s="64" t="str">
        <f>IF(개요!DD9=0,"",개요!DD9)</f>
        <v/>
      </c>
      <c r="CO23" s="64" t="str">
        <f>IF(개요!DE9=0,"",개요!DE9)</f>
        <v/>
      </c>
      <c r="CP23" s="64" t="str">
        <f>IF(개요!DF9=0,"",개요!DF9)</f>
        <v/>
      </c>
      <c r="CQ23" s="64" t="str">
        <f>IF(개요!DG9=0,"",개요!DG9)</f>
        <v/>
      </c>
      <c r="CR23" s="64" t="str">
        <f>IF(개요!DH9=0,"",개요!DH9)</f>
        <v/>
      </c>
      <c r="CS23" s="64" t="str">
        <f>IF(개요!DI9=0,"",개요!DI9)</f>
        <v/>
      </c>
      <c r="CT23" s="64" t="str">
        <f>IF(개요!DJ9=0,"",개요!DJ9)</f>
        <v/>
      </c>
      <c r="CU23" s="64" t="str">
        <f>IF(개요!DK9=0,"",개요!DK9)</f>
        <v/>
      </c>
      <c r="CV23" s="64" t="str">
        <f>IF(개요!DL9=0,"",개요!DL9)</f>
        <v/>
      </c>
      <c r="CW23" s="64" t="str">
        <f>IF(개요!DM9=0,"",개요!DM9)</f>
        <v/>
      </c>
      <c r="CX23" s="64" t="str">
        <f>IF(개요!DN9=0,"",개요!DN9)</f>
        <v/>
      </c>
      <c r="CY23" s="65">
        <f t="shared" si="5"/>
        <v>61127382.411170959</v>
      </c>
      <c r="DB23" s="21"/>
      <c r="DC23" s="21"/>
      <c r="DD23" s="21"/>
      <c r="DE23" s="67"/>
      <c r="DF23" s="68"/>
      <c r="DG23" s="67"/>
      <c r="DH23" s="67"/>
      <c r="DI23" s="69"/>
      <c r="DJ23" s="69"/>
      <c r="DK23" s="69"/>
      <c r="DL23" s="69"/>
    </row>
    <row r="24" spans="1:116" ht="15" customHeight="1">
      <c r="A24" s="54">
        <v>3</v>
      </c>
      <c r="B24" s="63" t="str">
        <f>IF(개요!M10=0,"",개요!M10)</f>
        <v>P펀드</v>
      </c>
      <c r="C24" s="64">
        <f>IF(개요!S10=0,"",개요!S10)</f>
        <v>-6000000000</v>
      </c>
      <c r="D24" s="64" t="str">
        <f>IF(개요!T10=0,"",개요!T10)</f>
        <v/>
      </c>
      <c r="E24" s="64" t="str">
        <f>IF(개요!U10=0,"",개요!U10)</f>
        <v/>
      </c>
      <c r="F24" s="64" t="str">
        <f>IF(개요!V10=0,"",개요!V10)</f>
        <v/>
      </c>
      <c r="G24" s="64" t="str">
        <f>IF(개요!W10=0,"",개요!W10)</f>
        <v/>
      </c>
      <c r="H24" s="64" t="str">
        <f>IF(개요!X10=0,"",개요!X10)</f>
        <v/>
      </c>
      <c r="I24" s="64" t="str">
        <f>IF(개요!Y10=0,"",개요!Y10)</f>
        <v/>
      </c>
      <c r="J24" s="64" t="str">
        <f>IF(개요!Z10=0,"",개요!Z10)</f>
        <v/>
      </c>
      <c r="K24" s="64" t="str">
        <f>IF(개요!AA10=0,"",개요!AA10)</f>
        <v/>
      </c>
      <c r="L24" s="64" t="str">
        <f>IF(개요!AB10=0,"",개요!AB10)</f>
        <v/>
      </c>
      <c r="M24" s="64" t="str">
        <f>IF(개요!AC10=0,"",개요!AC10)</f>
        <v/>
      </c>
      <c r="N24" s="64" t="str">
        <f>IF(개요!AD10=0,"",개요!AD10)</f>
        <v/>
      </c>
      <c r="O24" s="64" t="str">
        <f>IF(개요!AE10=0,"",개요!AE10)</f>
        <v/>
      </c>
      <c r="P24" s="64" t="str">
        <f>IF(개요!AF10=0,"",개요!AF10)</f>
        <v/>
      </c>
      <c r="Q24" s="64" t="str">
        <f>IF(개요!AG10=0,"",개요!AG10)</f>
        <v/>
      </c>
      <c r="R24" s="64" t="str">
        <f>IF(개요!AH10=0,"",개요!AH10)</f>
        <v/>
      </c>
      <c r="S24" s="64" t="str">
        <f>IF(개요!AI10=0,"",개요!AI10)</f>
        <v/>
      </c>
      <c r="T24" s="64" t="str">
        <f>IF(개요!AJ10=0,"",개요!AJ10)</f>
        <v/>
      </c>
      <c r="U24" s="64" t="str">
        <f>IF(개요!AK10=0,"",개요!AK10)</f>
        <v/>
      </c>
      <c r="V24" s="64" t="str">
        <f>IF(개요!AL10=0,"",개요!AL10)</f>
        <v/>
      </c>
      <c r="W24" s="64" t="str">
        <f>IF(개요!AM10=0,"",개요!AM10)</f>
        <v/>
      </c>
      <c r="X24" s="64" t="str">
        <f>IF(개요!AN10=0,"",개요!AN10)</f>
        <v/>
      </c>
      <c r="Y24" s="64" t="str">
        <f>IF(개요!AO10=0,"",개요!AO10)</f>
        <v/>
      </c>
      <c r="Z24" s="64" t="str">
        <f>IF(개요!AP10=0,"",개요!AP10)</f>
        <v/>
      </c>
      <c r="AA24" s="64" t="str">
        <f>IF(개요!AQ10=0,"",개요!AQ10)</f>
        <v/>
      </c>
      <c r="AB24" s="64" t="str">
        <f>IF(개요!AR10=0,"",개요!AR10)</f>
        <v/>
      </c>
      <c r="AC24" s="64" t="str">
        <f>IF(개요!AS10=0,"",개요!AS10)</f>
        <v/>
      </c>
      <c r="AD24" s="64" t="str">
        <f>IF(개요!AT10=0,"",개요!AT10)</f>
        <v/>
      </c>
      <c r="AE24" s="64" t="str">
        <f>IF(개요!AU10=0,"",개요!AU10)</f>
        <v/>
      </c>
      <c r="AF24" s="64" t="str">
        <f>IF(개요!AV10=0,"",개요!AV10)</f>
        <v/>
      </c>
      <c r="AG24" s="64" t="str">
        <f>IF(개요!AW10=0,"",개요!AW10)</f>
        <v/>
      </c>
      <c r="AH24" s="64" t="str">
        <f>IF(개요!AX10=0,"",개요!AX10)</f>
        <v/>
      </c>
      <c r="AI24" s="64" t="str">
        <f>IF(개요!AY10=0,"",개요!AY10)</f>
        <v/>
      </c>
      <c r="AJ24" s="64" t="str">
        <f>IF(개요!AZ10=0,"",개요!AZ10)</f>
        <v/>
      </c>
      <c r="AK24" s="64" t="str">
        <f>IF(개요!BA10=0,"",개요!BA10)</f>
        <v/>
      </c>
      <c r="AL24" s="64" t="str">
        <f>IF(개요!BB10=0,"",개요!BB10)</f>
        <v/>
      </c>
      <c r="AM24" s="64" t="str">
        <f>IF(개요!BC10=0,"",개요!BC10)</f>
        <v/>
      </c>
      <c r="AN24" s="64" t="str">
        <f>IF(개요!BD10=0,"",개요!BD10)</f>
        <v/>
      </c>
      <c r="AO24" s="64" t="str">
        <f>IF(개요!BE10=0,"",개요!BE10)</f>
        <v/>
      </c>
      <c r="AP24" s="64" t="str">
        <f>IF(개요!BF10=0,"",개요!BF10)</f>
        <v/>
      </c>
      <c r="AQ24" s="64" t="str">
        <f>IF(개요!BG10=0,"",개요!BG10)</f>
        <v/>
      </c>
      <c r="AR24" s="64" t="str">
        <f>IF(개요!BH10=0,"",개요!BH10)</f>
        <v/>
      </c>
      <c r="AS24" s="64" t="str">
        <f>IF(개요!BI10=0,"",개요!BI10)</f>
        <v/>
      </c>
      <c r="AT24" s="64" t="str">
        <f>IF(개요!BJ10=0,"",개요!BJ10)</f>
        <v/>
      </c>
      <c r="AU24" s="64" t="str">
        <f>IF(개요!BK10=0,"",개요!BK10)</f>
        <v/>
      </c>
      <c r="AV24" s="64" t="str">
        <f>IF(개요!BL10=0,"",개요!BL10)</f>
        <v/>
      </c>
      <c r="AW24" s="64" t="str">
        <f>IF(개요!BM10=0,"",개요!BM10)</f>
        <v/>
      </c>
      <c r="AX24" s="64" t="str">
        <f>IF(개요!BN10=0,"",개요!BN10)</f>
        <v/>
      </c>
      <c r="AY24" s="64" t="str">
        <f>IF(개요!BO10=0,"",개요!BO10)</f>
        <v/>
      </c>
      <c r="AZ24" s="64" t="str">
        <f>IF(개요!BP10=0,"",개요!BP10)</f>
        <v/>
      </c>
      <c r="BA24" s="64" t="str">
        <f>IF(개요!BQ10=0,"",개요!BQ10)</f>
        <v/>
      </c>
      <c r="BB24" s="64" t="str">
        <f>IF(개요!BR10=0,"",개요!BR10)</f>
        <v/>
      </c>
      <c r="BC24" s="64" t="str">
        <f>IF(개요!BS10=0,"",개요!BS10)</f>
        <v/>
      </c>
      <c r="BD24" s="64" t="str">
        <f>IF(개요!BT10=0,"",개요!BT10)</f>
        <v/>
      </c>
      <c r="BE24" s="64" t="str">
        <f>IF(개요!BU10=0,"",개요!BU10)</f>
        <v/>
      </c>
      <c r="BF24" s="64" t="str">
        <f>IF(개요!BV10=0,"",개요!BV10)</f>
        <v/>
      </c>
      <c r="BG24" s="64" t="str">
        <f>IF(개요!BW10=0,"",개요!BW10)</f>
        <v/>
      </c>
      <c r="BH24" s="64" t="str">
        <f>IF(개요!BX10=0,"",개요!BX10)</f>
        <v/>
      </c>
      <c r="BI24" s="64" t="str">
        <f>IF(개요!BY10=0,"",개요!BY10)</f>
        <v/>
      </c>
      <c r="BJ24" s="64" t="str">
        <f>IF(개요!BZ10=0,"",개요!BZ10)</f>
        <v/>
      </c>
      <c r="BK24" s="64" t="str">
        <f>IF(개요!CA10=0,"",개요!CA10)</f>
        <v/>
      </c>
      <c r="BL24" s="64" t="str">
        <f>IF(개요!CB10=0,"",개요!CB10)</f>
        <v/>
      </c>
      <c r="BM24" s="64" t="str">
        <f>IF(개요!CC10=0,"",개요!CC10)</f>
        <v/>
      </c>
      <c r="BN24" s="64" t="str">
        <f>IF(개요!CD10=0,"",개요!CD10)</f>
        <v/>
      </c>
      <c r="BO24" s="64" t="str">
        <f>IF(개요!CE10=0,"",개요!CE10)</f>
        <v/>
      </c>
      <c r="BP24" s="64" t="str">
        <f>IF(개요!CF10=0,"",개요!CF10)</f>
        <v/>
      </c>
      <c r="BQ24" s="64" t="str">
        <f>IF(개요!CG10=0,"",개요!CG10)</f>
        <v/>
      </c>
      <c r="BR24" s="64" t="str">
        <f>IF(개요!CH10=0,"",개요!CH10)</f>
        <v/>
      </c>
      <c r="BS24" s="64" t="str">
        <f>IF(개요!CI10=0,"",개요!CI10)</f>
        <v/>
      </c>
      <c r="BT24" s="64" t="str">
        <f>IF(개요!CJ10=0,"",개요!CJ10)</f>
        <v/>
      </c>
      <c r="BU24" s="64" t="str">
        <f>IF(개요!CK10=0,"",개요!CK10)</f>
        <v/>
      </c>
      <c r="BV24" s="64" t="str">
        <f>IF(개요!CL10=0,"",개요!CL10)</f>
        <v/>
      </c>
      <c r="BW24" s="64" t="str">
        <f>IF(개요!CM10=0,"",개요!CM10)</f>
        <v/>
      </c>
      <c r="BX24" s="64" t="str">
        <f>IF(개요!CN10=0,"",개요!CN10)</f>
        <v/>
      </c>
      <c r="BY24" s="64" t="str">
        <f>IF(개요!CO10=0,"",개요!CO10)</f>
        <v/>
      </c>
      <c r="BZ24" s="64" t="str">
        <f>IF(개요!CP10=0,"",개요!CP10)</f>
        <v/>
      </c>
      <c r="CA24" s="64" t="str">
        <f>IF(개요!CQ10=0,"",개요!CQ10)</f>
        <v/>
      </c>
      <c r="CB24" s="64" t="str">
        <f>IF(개요!CR10=0,"",개요!CR10)</f>
        <v/>
      </c>
      <c r="CC24" s="64" t="str">
        <f>IF(개요!CS10=0,"",개요!CS10)</f>
        <v/>
      </c>
      <c r="CD24" s="64" t="str">
        <f>IF(개요!CT10=0,"",개요!CT10)</f>
        <v/>
      </c>
      <c r="CE24" s="64" t="str">
        <f>IF(개요!CU10=0,"",개요!CU10)</f>
        <v/>
      </c>
      <c r="CF24" s="64" t="str">
        <f>IF(개요!CV10=0,"",개요!CV10)</f>
        <v/>
      </c>
      <c r="CG24" s="64" t="str">
        <f>IF(개요!CW10=0,"",개요!CW10)</f>
        <v/>
      </c>
      <c r="CH24" s="64" t="str">
        <f>IF(개요!CX10=0,"",개요!CX10)</f>
        <v/>
      </c>
      <c r="CI24" s="64" t="str">
        <f>IF(개요!CY10=0,"",개요!CY10)</f>
        <v/>
      </c>
      <c r="CJ24" s="64" t="str">
        <f>IF(개요!CZ10=0,"",개요!CZ10)</f>
        <v/>
      </c>
      <c r="CK24" s="64" t="str">
        <f>IF(개요!DA10=0,"",개요!DA10)</f>
        <v/>
      </c>
      <c r="CL24" s="64" t="str">
        <f>IF(개요!DB10=0,"",개요!DB10)</f>
        <v/>
      </c>
      <c r="CM24" s="64" t="str">
        <f>IF(개요!DC10=0,"",개요!DC10)</f>
        <v/>
      </c>
      <c r="CN24" s="64" t="str">
        <f>IF(개요!DD10=0,"",개요!DD10)</f>
        <v/>
      </c>
      <c r="CO24" s="64" t="str">
        <f>IF(개요!DE10=0,"",개요!DE10)</f>
        <v/>
      </c>
      <c r="CP24" s="64" t="str">
        <f>IF(개요!DF10=0,"",개요!DF10)</f>
        <v/>
      </c>
      <c r="CQ24" s="64" t="str">
        <f>IF(개요!DG10=0,"",개요!DG10)</f>
        <v/>
      </c>
      <c r="CR24" s="64" t="str">
        <f>IF(개요!DH10=0,"",개요!DH10)</f>
        <v/>
      </c>
      <c r="CS24" s="64" t="str">
        <f>IF(개요!DI10=0,"",개요!DI10)</f>
        <v/>
      </c>
      <c r="CT24" s="64" t="str">
        <f>IF(개요!DJ10=0,"",개요!DJ10)</f>
        <v/>
      </c>
      <c r="CU24" s="64" t="str">
        <f>IF(개요!DK10=0,"",개요!DK10)</f>
        <v/>
      </c>
      <c r="CV24" s="64" t="str">
        <f>IF(개요!DL10=0,"",개요!DL10)</f>
        <v/>
      </c>
      <c r="CW24" s="64" t="str">
        <f>IF(개요!DM10=0,"",개요!DM10)</f>
        <v/>
      </c>
      <c r="CX24" s="64" t="str">
        <f>IF(개요!DN10=0,"",개요!DN10)</f>
        <v/>
      </c>
      <c r="CY24" s="65">
        <f t="shared" si="5"/>
        <v>7335285889.3405151</v>
      </c>
      <c r="DB24" s="21"/>
      <c r="DC24" s="21"/>
      <c r="DD24" s="21"/>
      <c r="DE24" s="67"/>
      <c r="DF24" s="68"/>
      <c r="DG24" s="67"/>
      <c r="DH24" s="67"/>
      <c r="DI24" s="69"/>
      <c r="DJ24" s="69"/>
      <c r="DK24" s="69"/>
      <c r="DL24" s="69"/>
    </row>
    <row r="25" spans="1:116" ht="15" customHeight="1">
      <c r="A25" s="54">
        <v>4</v>
      </c>
      <c r="B25" s="63" t="str">
        <f>IF(개요!M11=0,"",개요!M11)</f>
        <v>M사</v>
      </c>
      <c r="C25" s="64">
        <f>IF(개요!S11=0,"",개요!S11)</f>
        <v>-1000000000</v>
      </c>
      <c r="D25" s="64" t="str">
        <f>IF(개요!T11=0,"",개요!T11)</f>
        <v/>
      </c>
      <c r="E25" s="64" t="str">
        <f>IF(개요!U11=0,"",개요!U11)</f>
        <v/>
      </c>
      <c r="F25" s="64" t="str">
        <f>IF(개요!V11=0,"",개요!V11)</f>
        <v/>
      </c>
      <c r="G25" s="64" t="str">
        <f>IF(개요!W11=0,"",개요!W11)</f>
        <v/>
      </c>
      <c r="H25" s="64" t="str">
        <f>IF(개요!X11=0,"",개요!X11)</f>
        <v/>
      </c>
      <c r="I25" s="64" t="str">
        <f>IF(개요!Y11=0,"",개요!Y11)</f>
        <v/>
      </c>
      <c r="J25" s="64" t="str">
        <f>IF(개요!Z11=0,"",개요!Z11)</f>
        <v/>
      </c>
      <c r="K25" s="64" t="str">
        <f>IF(개요!AA11=0,"",개요!AA11)</f>
        <v/>
      </c>
      <c r="L25" s="64" t="str">
        <f>IF(개요!AB11=0,"",개요!AB11)</f>
        <v/>
      </c>
      <c r="M25" s="64" t="str">
        <f>IF(개요!AC11=0,"",개요!AC11)</f>
        <v/>
      </c>
      <c r="N25" s="64" t="str">
        <f>IF(개요!AD11=0,"",개요!AD11)</f>
        <v/>
      </c>
      <c r="O25" s="64" t="str">
        <f>IF(개요!AE11=0,"",개요!AE11)</f>
        <v/>
      </c>
      <c r="P25" s="64" t="str">
        <f>IF(개요!AF11=0,"",개요!AF11)</f>
        <v/>
      </c>
      <c r="Q25" s="64" t="str">
        <f>IF(개요!AG11=0,"",개요!AG11)</f>
        <v/>
      </c>
      <c r="R25" s="64" t="str">
        <f>IF(개요!AH11=0,"",개요!AH11)</f>
        <v/>
      </c>
      <c r="S25" s="64" t="str">
        <f>IF(개요!AI11=0,"",개요!AI11)</f>
        <v/>
      </c>
      <c r="T25" s="64" t="str">
        <f>IF(개요!AJ11=0,"",개요!AJ11)</f>
        <v/>
      </c>
      <c r="U25" s="64" t="str">
        <f>IF(개요!AK11=0,"",개요!AK11)</f>
        <v/>
      </c>
      <c r="V25" s="64" t="str">
        <f>IF(개요!AL11=0,"",개요!AL11)</f>
        <v/>
      </c>
      <c r="W25" s="64" t="str">
        <f>IF(개요!AM11=0,"",개요!AM11)</f>
        <v/>
      </c>
      <c r="X25" s="64" t="str">
        <f>IF(개요!AN11=0,"",개요!AN11)</f>
        <v/>
      </c>
      <c r="Y25" s="64" t="str">
        <f>IF(개요!AO11=0,"",개요!AO11)</f>
        <v/>
      </c>
      <c r="Z25" s="64" t="str">
        <f>IF(개요!AP11=0,"",개요!AP11)</f>
        <v/>
      </c>
      <c r="AA25" s="64" t="str">
        <f>IF(개요!AQ11=0,"",개요!AQ11)</f>
        <v/>
      </c>
      <c r="AB25" s="64" t="str">
        <f>IF(개요!AR11=0,"",개요!AR11)</f>
        <v/>
      </c>
      <c r="AC25" s="64" t="str">
        <f>IF(개요!AS11=0,"",개요!AS11)</f>
        <v/>
      </c>
      <c r="AD25" s="64" t="str">
        <f>IF(개요!AT11=0,"",개요!AT11)</f>
        <v/>
      </c>
      <c r="AE25" s="64" t="str">
        <f>IF(개요!AU11=0,"",개요!AU11)</f>
        <v/>
      </c>
      <c r="AF25" s="64" t="str">
        <f>IF(개요!AV11=0,"",개요!AV11)</f>
        <v/>
      </c>
      <c r="AG25" s="64" t="str">
        <f>IF(개요!AW11=0,"",개요!AW11)</f>
        <v/>
      </c>
      <c r="AH25" s="64" t="str">
        <f>IF(개요!AX11=0,"",개요!AX11)</f>
        <v/>
      </c>
      <c r="AI25" s="64" t="str">
        <f>IF(개요!AY11=0,"",개요!AY11)</f>
        <v/>
      </c>
      <c r="AJ25" s="64" t="str">
        <f>IF(개요!AZ11=0,"",개요!AZ11)</f>
        <v/>
      </c>
      <c r="AK25" s="64" t="str">
        <f>IF(개요!BA11=0,"",개요!BA11)</f>
        <v/>
      </c>
      <c r="AL25" s="64" t="str">
        <f>IF(개요!BB11=0,"",개요!BB11)</f>
        <v/>
      </c>
      <c r="AM25" s="64" t="str">
        <f>IF(개요!BC11=0,"",개요!BC11)</f>
        <v/>
      </c>
      <c r="AN25" s="64" t="str">
        <f>IF(개요!BD11=0,"",개요!BD11)</f>
        <v/>
      </c>
      <c r="AO25" s="64" t="str">
        <f>IF(개요!BE11=0,"",개요!BE11)</f>
        <v/>
      </c>
      <c r="AP25" s="64" t="str">
        <f>IF(개요!BF11=0,"",개요!BF11)</f>
        <v/>
      </c>
      <c r="AQ25" s="64" t="str">
        <f>IF(개요!BG11=0,"",개요!BG11)</f>
        <v/>
      </c>
      <c r="AR25" s="64" t="str">
        <f>IF(개요!BH11=0,"",개요!BH11)</f>
        <v/>
      </c>
      <c r="AS25" s="64" t="str">
        <f>IF(개요!BI11=0,"",개요!BI11)</f>
        <v/>
      </c>
      <c r="AT25" s="64" t="str">
        <f>IF(개요!BJ11=0,"",개요!BJ11)</f>
        <v/>
      </c>
      <c r="AU25" s="64" t="str">
        <f>IF(개요!BK11=0,"",개요!BK11)</f>
        <v/>
      </c>
      <c r="AV25" s="64" t="str">
        <f>IF(개요!BL11=0,"",개요!BL11)</f>
        <v/>
      </c>
      <c r="AW25" s="64" t="str">
        <f>IF(개요!BM11=0,"",개요!BM11)</f>
        <v/>
      </c>
      <c r="AX25" s="64" t="str">
        <f>IF(개요!BN11=0,"",개요!BN11)</f>
        <v/>
      </c>
      <c r="AY25" s="64" t="str">
        <f>IF(개요!BO11=0,"",개요!BO11)</f>
        <v/>
      </c>
      <c r="AZ25" s="64" t="str">
        <f>IF(개요!BP11=0,"",개요!BP11)</f>
        <v/>
      </c>
      <c r="BA25" s="64" t="str">
        <f>IF(개요!BQ11=0,"",개요!BQ11)</f>
        <v/>
      </c>
      <c r="BB25" s="64" t="str">
        <f>IF(개요!BR11=0,"",개요!BR11)</f>
        <v/>
      </c>
      <c r="BC25" s="64" t="str">
        <f>IF(개요!BS11=0,"",개요!BS11)</f>
        <v/>
      </c>
      <c r="BD25" s="64" t="str">
        <f>IF(개요!BT11=0,"",개요!BT11)</f>
        <v/>
      </c>
      <c r="BE25" s="64" t="str">
        <f>IF(개요!BU11=0,"",개요!BU11)</f>
        <v/>
      </c>
      <c r="BF25" s="64" t="str">
        <f>IF(개요!BV11=0,"",개요!BV11)</f>
        <v/>
      </c>
      <c r="BG25" s="64" t="str">
        <f>IF(개요!BW11=0,"",개요!BW11)</f>
        <v/>
      </c>
      <c r="BH25" s="64" t="str">
        <f>IF(개요!BX11=0,"",개요!BX11)</f>
        <v/>
      </c>
      <c r="BI25" s="64" t="str">
        <f>IF(개요!BY11=0,"",개요!BY11)</f>
        <v/>
      </c>
      <c r="BJ25" s="64" t="str">
        <f>IF(개요!BZ11=0,"",개요!BZ11)</f>
        <v/>
      </c>
      <c r="BK25" s="64" t="str">
        <f>IF(개요!CA11=0,"",개요!CA11)</f>
        <v/>
      </c>
      <c r="BL25" s="64" t="str">
        <f>IF(개요!CB11=0,"",개요!CB11)</f>
        <v/>
      </c>
      <c r="BM25" s="64" t="str">
        <f>IF(개요!CC11=0,"",개요!CC11)</f>
        <v/>
      </c>
      <c r="BN25" s="64" t="str">
        <f>IF(개요!CD11=0,"",개요!CD11)</f>
        <v/>
      </c>
      <c r="BO25" s="64" t="str">
        <f>IF(개요!CE11=0,"",개요!CE11)</f>
        <v/>
      </c>
      <c r="BP25" s="64" t="str">
        <f>IF(개요!CF11=0,"",개요!CF11)</f>
        <v/>
      </c>
      <c r="BQ25" s="64" t="str">
        <f>IF(개요!CG11=0,"",개요!CG11)</f>
        <v/>
      </c>
      <c r="BR25" s="64" t="str">
        <f>IF(개요!CH11=0,"",개요!CH11)</f>
        <v/>
      </c>
      <c r="BS25" s="64" t="str">
        <f>IF(개요!CI11=0,"",개요!CI11)</f>
        <v/>
      </c>
      <c r="BT25" s="64" t="str">
        <f>IF(개요!CJ11=0,"",개요!CJ11)</f>
        <v/>
      </c>
      <c r="BU25" s="64" t="str">
        <f>IF(개요!CK11=0,"",개요!CK11)</f>
        <v/>
      </c>
      <c r="BV25" s="64" t="str">
        <f>IF(개요!CL11=0,"",개요!CL11)</f>
        <v/>
      </c>
      <c r="BW25" s="64" t="str">
        <f>IF(개요!CM11=0,"",개요!CM11)</f>
        <v/>
      </c>
      <c r="BX25" s="64" t="str">
        <f>IF(개요!CN11=0,"",개요!CN11)</f>
        <v/>
      </c>
      <c r="BY25" s="64" t="str">
        <f>IF(개요!CO11=0,"",개요!CO11)</f>
        <v/>
      </c>
      <c r="BZ25" s="64" t="str">
        <f>IF(개요!CP11=0,"",개요!CP11)</f>
        <v/>
      </c>
      <c r="CA25" s="64" t="str">
        <f>IF(개요!CQ11=0,"",개요!CQ11)</f>
        <v/>
      </c>
      <c r="CB25" s="64" t="str">
        <f>IF(개요!CR11=0,"",개요!CR11)</f>
        <v/>
      </c>
      <c r="CC25" s="64" t="str">
        <f>IF(개요!CS11=0,"",개요!CS11)</f>
        <v/>
      </c>
      <c r="CD25" s="64" t="str">
        <f>IF(개요!CT11=0,"",개요!CT11)</f>
        <v/>
      </c>
      <c r="CE25" s="64" t="str">
        <f>IF(개요!CU11=0,"",개요!CU11)</f>
        <v/>
      </c>
      <c r="CF25" s="64" t="str">
        <f>IF(개요!CV11=0,"",개요!CV11)</f>
        <v/>
      </c>
      <c r="CG25" s="64" t="str">
        <f>IF(개요!CW11=0,"",개요!CW11)</f>
        <v/>
      </c>
      <c r="CH25" s="64" t="str">
        <f>IF(개요!CX11=0,"",개요!CX11)</f>
        <v/>
      </c>
      <c r="CI25" s="64" t="str">
        <f>IF(개요!CY11=0,"",개요!CY11)</f>
        <v/>
      </c>
      <c r="CJ25" s="64" t="str">
        <f>IF(개요!CZ11=0,"",개요!CZ11)</f>
        <v/>
      </c>
      <c r="CK25" s="64" t="str">
        <f>IF(개요!DA11=0,"",개요!DA11)</f>
        <v/>
      </c>
      <c r="CL25" s="64" t="str">
        <f>IF(개요!DB11=0,"",개요!DB11)</f>
        <v/>
      </c>
      <c r="CM25" s="64" t="str">
        <f>IF(개요!DC11=0,"",개요!DC11)</f>
        <v/>
      </c>
      <c r="CN25" s="64" t="str">
        <f>IF(개요!DD11=0,"",개요!DD11)</f>
        <v/>
      </c>
      <c r="CO25" s="64" t="str">
        <f>IF(개요!DE11=0,"",개요!DE11)</f>
        <v/>
      </c>
      <c r="CP25" s="64" t="str">
        <f>IF(개요!DF11=0,"",개요!DF11)</f>
        <v/>
      </c>
      <c r="CQ25" s="64" t="str">
        <f>IF(개요!DG11=0,"",개요!DG11)</f>
        <v/>
      </c>
      <c r="CR25" s="64" t="str">
        <f>IF(개요!DH11=0,"",개요!DH11)</f>
        <v/>
      </c>
      <c r="CS25" s="64" t="str">
        <f>IF(개요!DI11=0,"",개요!DI11)</f>
        <v/>
      </c>
      <c r="CT25" s="64" t="str">
        <f>IF(개요!DJ11=0,"",개요!DJ11)</f>
        <v/>
      </c>
      <c r="CU25" s="64" t="str">
        <f>IF(개요!DK11=0,"",개요!DK11)</f>
        <v/>
      </c>
      <c r="CV25" s="64" t="str">
        <f>IF(개요!DL11=0,"",개요!DL11)</f>
        <v/>
      </c>
      <c r="CW25" s="64" t="str">
        <f>IF(개요!DM11=0,"",개요!DM11)</f>
        <v/>
      </c>
      <c r="CX25" s="64" t="str">
        <f>IF(개요!DN11=0,"",개요!DN11)</f>
        <v/>
      </c>
      <c r="CY25" s="65">
        <f t="shared" si="5"/>
        <v>1222547648.2234192</v>
      </c>
      <c r="DB25" s="21"/>
      <c r="DC25" s="21"/>
      <c r="DD25" s="21"/>
      <c r="DE25" s="67"/>
      <c r="DF25" s="68"/>
      <c r="DG25" s="67"/>
      <c r="DH25" s="67"/>
      <c r="DI25" s="69"/>
      <c r="DJ25" s="69"/>
      <c r="DK25" s="69"/>
      <c r="DL25" s="69"/>
    </row>
    <row r="26" spans="1:116" ht="15" customHeight="1">
      <c r="A26" s="54">
        <v>5</v>
      </c>
      <c r="B26" s="63" t="str">
        <f>IF(개요!M12=0,"",개요!M12)</f>
        <v>흥국생명보험㈜</v>
      </c>
      <c r="C26" s="64">
        <f>IF(개요!S12=0,"",개요!S12)</f>
        <v>-1000000000</v>
      </c>
      <c r="D26" s="64" t="str">
        <f>IF(개요!T12=0,"",개요!T12)</f>
        <v/>
      </c>
      <c r="E26" s="64" t="str">
        <f>IF(개요!U12=0,"",개요!U12)</f>
        <v/>
      </c>
      <c r="F26" s="64" t="str">
        <f>IF(개요!V12=0,"",개요!V12)</f>
        <v/>
      </c>
      <c r="G26" s="64" t="str">
        <f>IF(개요!W12=0,"",개요!W12)</f>
        <v/>
      </c>
      <c r="H26" s="64" t="str">
        <f>IF(개요!X12=0,"",개요!X12)</f>
        <v/>
      </c>
      <c r="I26" s="64" t="str">
        <f>IF(개요!Y12=0,"",개요!Y12)</f>
        <v/>
      </c>
      <c r="J26" s="64" t="str">
        <f>IF(개요!Z12=0,"",개요!Z12)</f>
        <v/>
      </c>
      <c r="K26" s="64" t="str">
        <f>IF(개요!AA12=0,"",개요!AA12)</f>
        <v/>
      </c>
      <c r="L26" s="64" t="str">
        <f>IF(개요!AB12=0,"",개요!AB12)</f>
        <v/>
      </c>
      <c r="M26" s="64" t="str">
        <f>IF(개요!AC12=0,"",개요!AC12)</f>
        <v/>
      </c>
      <c r="N26" s="64" t="str">
        <f>IF(개요!AD12=0,"",개요!AD12)</f>
        <v/>
      </c>
      <c r="O26" s="64" t="str">
        <f>IF(개요!AE12=0,"",개요!AE12)</f>
        <v/>
      </c>
      <c r="P26" s="64" t="str">
        <f>IF(개요!AF12=0,"",개요!AF12)</f>
        <v/>
      </c>
      <c r="Q26" s="64" t="str">
        <f>IF(개요!AG12=0,"",개요!AG12)</f>
        <v/>
      </c>
      <c r="R26" s="64" t="str">
        <f>IF(개요!AH12=0,"",개요!AH12)</f>
        <v/>
      </c>
      <c r="S26" s="64" t="str">
        <f>IF(개요!AI12=0,"",개요!AI12)</f>
        <v/>
      </c>
      <c r="T26" s="64" t="str">
        <f>IF(개요!AJ12=0,"",개요!AJ12)</f>
        <v/>
      </c>
      <c r="U26" s="64" t="str">
        <f>IF(개요!AK12=0,"",개요!AK12)</f>
        <v/>
      </c>
      <c r="V26" s="64" t="str">
        <f>IF(개요!AL12=0,"",개요!AL12)</f>
        <v/>
      </c>
      <c r="W26" s="64" t="str">
        <f>IF(개요!AM12=0,"",개요!AM12)</f>
        <v/>
      </c>
      <c r="X26" s="64" t="str">
        <f>IF(개요!AN12=0,"",개요!AN12)</f>
        <v/>
      </c>
      <c r="Y26" s="64" t="str">
        <f>IF(개요!AO12=0,"",개요!AO12)</f>
        <v/>
      </c>
      <c r="Z26" s="64" t="str">
        <f>IF(개요!AP12=0,"",개요!AP12)</f>
        <v/>
      </c>
      <c r="AA26" s="64" t="str">
        <f>IF(개요!AQ12=0,"",개요!AQ12)</f>
        <v/>
      </c>
      <c r="AB26" s="64" t="str">
        <f>IF(개요!AR12=0,"",개요!AR12)</f>
        <v/>
      </c>
      <c r="AC26" s="64" t="str">
        <f>IF(개요!AS12=0,"",개요!AS12)</f>
        <v/>
      </c>
      <c r="AD26" s="64" t="str">
        <f>IF(개요!AT12=0,"",개요!AT12)</f>
        <v/>
      </c>
      <c r="AE26" s="64" t="str">
        <f>IF(개요!AU12=0,"",개요!AU12)</f>
        <v/>
      </c>
      <c r="AF26" s="64" t="str">
        <f>IF(개요!AV12=0,"",개요!AV12)</f>
        <v/>
      </c>
      <c r="AG26" s="64" t="str">
        <f>IF(개요!AW12=0,"",개요!AW12)</f>
        <v/>
      </c>
      <c r="AH26" s="64" t="str">
        <f>IF(개요!AX12=0,"",개요!AX12)</f>
        <v/>
      </c>
      <c r="AI26" s="64" t="str">
        <f>IF(개요!AY12=0,"",개요!AY12)</f>
        <v/>
      </c>
      <c r="AJ26" s="64" t="str">
        <f>IF(개요!AZ12=0,"",개요!AZ12)</f>
        <v/>
      </c>
      <c r="AK26" s="64" t="str">
        <f>IF(개요!BA12=0,"",개요!BA12)</f>
        <v/>
      </c>
      <c r="AL26" s="64" t="str">
        <f>IF(개요!BB12=0,"",개요!BB12)</f>
        <v/>
      </c>
      <c r="AM26" s="64" t="str">
        <f>IF(개요!BC12=0,"",개요!BC12)</f>
        <v/>
      </c>
      <c r="AN26" s="64" t="str">
        <f>IF(개요!BD12=0,"",개요!BD12)</f>
        <v/>
      </c>
      <c r="AO26" s="64" t="str">
        <f>IF(개요!BE12=0,"",개요!BE12)</f>
        <v/>
      </c>
      <c r="AP26" s="64" t="str">
        <f>IF(개요!BF12=0,"",개요!BF12)</f>
        <v/>
      </c>
      <c r="AQ26" s="64" t="str">
        <f>IF(개요!BG12=0,"",개요!BG12)</f>
        <v/>
      </c>
      <c r="AR26" s="64" t="str">
        <f>IF(개요!BH12=0,"",개요!BH12)</f>
        <v/>
      </c>
      <c r="AS26" s="64" t="str">
        <f>IF(개요!BI12=0,"",개요!BI12)</f>
        <v/>
      </c>
      <c r="AT26" s="64" t="str">
        <f>IF(개요!BJ12=0,"",개요!BJ12)</f>
        <v/>
      </c>
      <c r="AU26" s="64" t="str">
        <f>IF(개요!BK12=0,"",개요!BK12)</f>
        <v/>
      </c>
      <c r="AV26" s="64" t="str">
        <f>IF(개요!BL12=0,"",개요!BL12)</f>
        <v/>
      </c>
      <c r="AW26" s="64" t="str">
        <f>IF(개요!BM12=0,"",개요!BM12)</f>
        <v/>
      </c>
      <c r="AX26" s="64" t="str">
        <f>IF(개요!BN12=0,"",개요!BN12)</f>
        <v/>
      </c>
      <c r="AY26" s="64" t="str">
        <f>IF(개요!BO12=0,"",개요!BO12)</f>
        <v/>
      </c>
      <c r="AZ26" s="64" t="str">
        <f>IF(개요!BP12=0,"",개요!BP12)</f>
        <v/>
      </c>
      <c r="BA26" s="64" t="str">
        <f>IF(개요!BQ12=0,"",개요!BQ12)</f>
        <v/>
      </c>
      <c r="BB26" s="64" t="str">
        <f>IF(개요!BR12=0,"",개요!BR12)</f>
        <v/>
      </c>
      <c r="BC26" s="64" t="str">
        <f>IF(개요!BS12=0,"",개요!BS12)</f>
        <v/>
      </c>
      <c r="BD26" s="64" t="str">
        <f>IF(개요!BT12=0,"",개요!BT12)</f>
        <v/>
      </c>
      <c r="BE26" s="64" t="str">
        <f>IF(개요!BU12=0,"",개요!BU12)</f>
        <v/>
      </c>
      <c r="BF26" s="64" t="str">
        <f>IF(개요!BV12=0,"",개요!BV12)</f>
        <v/>
      </c>
      <c r="BG26" s="64" t="str">
        <f>IF(개요!BW12=0,"",개요!BW12)</f>
        <v/>
      </c>
      <c r="BH26" s="64" t="str">
        <f>IF(개요!BX12=0,"",개요!BX12)</f>
        <v/>
      </c>
      <c r="BI26" s="64" t="str">
        <f>IF(개요!BY12=0,"",개요!BY12)</f>
        <v/>
      </c>
      <c r="BJ26" s="64" t="str">
        <f>IF(개요!BZ12=0,"",개요!BZ12)</f>
        <v/>
      </c>
      <c r="BK26" s="64" t="str">
        <f>IF(개요!CA12=0,"",개요!CA12)</f>
        <v/>
      </c>
      <c r="BL26" s="64" t="str">
        <f>IF(개요!CB12=0,"",개요!CB12)</f>
        <v/>
      </c>
      <c r="BM26" s="64" t="str">
        <f>IF(개요!CC12=0,"",개요!CC12)</f>
        <v/>
      </c>
      <c r="BN26" s="64" t="str">
        <f>IF(개요!CD12=0,"",개요!CD12)</f>
        <v/>
      </c>
      <c r="BO26" s="64" t="str">
        <f>IF(개요!CE12=0,"",개요!CE12)</f>
        <v/>
      </c>
      <c r="BP26" s="64" t="str">
        <f>IF(개요!CF12=0,"",개요!CF12)</f>
        <v/>
      </c>
      <c r="BQ26" s="64" t="str">
        <f>IF(개요!CG12=0,"",개요!CG12)</f>
        <v/>
      </c>
      <c r="BR26" s="64" t="str">
        <f>IF(개요!CH12=0,"",개요!CH12)</f>
        <v/>
      </c>
      <c r="BS26" s="64" t="str">
        <f>IF(개요!CI12=0,"",개요!CI12)</f>
        <v/>
      </c>
      <c r="BT26" s="64" t="str">
        <f>IF(개요!CJ12=0,"",개요!CJ12)</f>
        <v/>
      </c>
      <c r="BU26" s="64" t="str">
        <f>IF(개요!CK12=0,"",개요!CK12)</f>
        <v/>
      </c>
      <c r="BV26" s="64" t="str">
        <f>IF(개요!CL12=0,"",개요!CL12)</f>
        <v/>
      </c>
      <c r="BW26" s="64" t="str">
        <f>IF(개요!CM12=0,"",개요!CM12)</f>
        <v/>
      </c>
      <c r="BX26" s="64" t="str">
        <f>IF(개요!CN12=0,"",개요!CN12)</f>
        <v/>
      </c>
      <c r="BY26" s="64" t="str">
        <f>IF(개요!CO12=0,"",개요!CO12)</f>
        <v/>
      </c>
      <c r="BZ26" s="64" t="str">
        <f>IF(개요!CP12=0,"",개요!CP12)</f>
        <v/>
      </c>
      <c r="CA26" s="64" t="str">
        <f>IF(개요!CQ12=0,"",개요!CQ12)</f>
        <v/>
      </c>
      <c r="CB26" s="64" t="str">
        <f>IF(개요!CR12=0,"",개요!CR12)</f>
        <v/>
      </c>
      <c r="CC26" s="64" t="str">
        <f>IF(개요!CS12=0,"",개요!CS12)</f>
        <v/>
      </c>
      <c r="CD26" s="64" t="str">
        <f>IF(개요!CT12=0,"",개요!CT12)</f>
        <v/>
      </c>
      <c r="CE26" s="64" t="str">
        <f>IF(개요!CU12=0,"",개요!CU12)</f>
        <v/>
      </c>
      <c r="CF26" s="64" t="str">
        <f>IF(개요!CV12=0,"",개요!CV12)</f>
        <v/>
      </c>
      <c r="CG26" s="64" t="str">
        <f>IF(개요!CW12=0,"",개요!CW12)</f>
        <v/>
      </c>
      <c r="CH26" s="64" t="str">
        <f>IF(개요!CX12=0,"",개요!CX12)</f>
        <v/>
      </c>
      <c r="CI26" s="64" t="str">
        <f>IF(개요!CY12=0,"",개요!CY12)</f>
        <v/>
      </c>
      <c r="CJ26" s="64" t="str">
        <f>IF(개요!CZ12=0,"",개요!CZ12)</f>
        <v/>
      </c>
      <c r="CK26" s="64" t="str">
        <f>IF(개요!DA12=0,"",개요!DA12)</f>
        <v/>
      </c>
      <c r="CL26" s="64" t="str">
        <f>IF(개요!DB12=0,"",개요!DB12)</f>
        <v/>
      </c>
      <c r="CM26" s="64" t="str">
        <f>IF(개요!DC12=0,"",개요!DC12)</f>
        <v/>
      </c>
      <c r="CN26" s="64" t="str">
        <f>IF(개요!DD12=0,"",개요!DD12)</f>
        <v/>
      </c>
      <c r="CO26" s="64" t="str">
        <f>IF(개요!DE12=0,"",개요!DE12)</f>
        <v/>
      </c>
      <c r="CP26" s="64" t="str">
        <f>IF(개요!DF12=0,"",개요!DF12)</f>
        <v/>
      </c>
      <c r="CQ26" s="64" t="str">
        <f>IF(개요!DG12=0,"",개요!DG12)</f>
        <v/>
      </c>
      <c r="CR26" s="64" t="str">
        <f>IF(개요!DH12=0,"",개요!DH12)</f>
        <v/>
      </c>
      <c r="CS26" s="64" t="str">
        <f>IF(개요!DI12=0,"",개요!DI12)</f>
        <v/>
      </c>
      <c r="CT26" s="64" t="str">
        <f>IF(개요!DJ12=0,"",개요!DJ12)</f>
        <v/>
      </c>
      <c r="CU26" s="64" t="str">
        <f>IF(개요!DK12=0,"",개요!DK12)</f>
        <v/>
      </c>
      <c r="CV26" s="64" t="str">
        <f>IF(개요!DL12=0,"",개요!DL12)</f>
        <v/>
      </c>
      <c r="CW26" s="64" t="str">
        <f>IF(개요!DM12=0,"",개요!DM12)</f>
        <v/>
      </c>
      <c r="CX26" s="64" t="str">
        <f>IF(개요!DN12=0,"",개요!DN12)</f>
        <v/>
      </c>
      <c r="CY26" s="65">
        <f t="shared" si="5"/>
        <v>1222547648.2234192</v>
      </c>
      <c r="DB26" s="21"/>
      <c r="DC26" s="21"/>
      <c r="DD26" s="21"/>
      <c r="DE26" s="67"/>
      <c r="DF26" s="68"/>
      <c r="DG26" s="67"/>
      <c r="DH26" s="67"/>
      <c r="DI26" s="69"/>
      <c r="DJ26" s="69"/>
      <c r="DK26" s="69"/>
      <c r="DL26" s="69"/>
    </row>
    <row r="27" spans="1:116" ht="15" customHeight="1">
      <c r="A27" s="54">
        <v>6</v>
      </c>
      <c r="B27" s="63" t="str">
        <f>IF(개요!M13=0,"",개요!M13)</f>
        <v>M사</v>
      </c>
      <c r="C27" s="64">
        <f>IF(개요!S13=0,"",개요!S13)</f>
        <v>-1000000000</v>
      </c>
      <c r="D27" s="64" t="str">
        <f>IF(개요!T13=0,"",개요!T13)</f>
        <v/>
      </c>
      <c r="E27" s="64" t="str">
        <f>IF(개요!U13=0,"",개요!U13)</f>
        <v/>
      </c>
      <c r="F27" s="64" t="str">
        <f>IF(개요!V13=0,"",개요!V13)</f>
        <v/>
      </c>
      <c r="G27" s="64" t="str">
        <f>IF(개요!W13=0,"",개요!W13)</f>
        <v/>
      </c>
      <c r="H27" s="64" t="str">
        <f>IF(개요!X13=0,"",개요!X13)</f>
        <v/>
      </c>
      <c r="I27" s="64" t="str">
        <f>IF(개요!Y13=0,"",개요!Y13)</f>
        <v/>
      </c>
      <c r="J27" s="64" t="str">
        <f>IF(개요!Z13=0,"",개요!Z13)</f>
        <v/>
      </c>
      <c r="K27" s="64" t="str">
        <f>IF(개요!AA13=0,"",개요!AA13)</f>
        <v/>
      </c>
      <c r="L27" s="64" t="str">
        <f>IF(개요!AB13=0,"",개요!AB13)</f>
        <v/>
      </c>
      <c r="M27" s="64" t="str">
        <f>IF(개요!AC13=0,"",개요!AC13)</f>
        <v/>
      </c>
      <c r="N27" s="64" t="str">
        <f>IF(개요!AD13=0,"",개요!AD13)</f>
        <v/>
      </c>
      <c r="O27" s="64" t="str">
        <f>IF(개요!AE13=0,"",개요!AE13)</f>
        <v/>
      </c>
      <c r="P27" s="64" t="str">
        <f>IF(개요!AF13=0,"",개요!AF13)</f>
        <v/>
      </c>
      <c r="Q27" s="64" t="str">
        <f>IF(개요!AG13=0,"",개요!AG13)</f>
        <v/>
      </c>
      <c r="R27" s="64" t="str">
        <f>IF(개요!AH13=0,"",개요!AH13)</f>
        <v/>
      </c>
      <c r="S27" s="64" t="str">
        <f>IF(개요!AI13=0,"",개요!AI13)</f>
        <v/>
      </c>
      <c r="T27" s="64" t="str">
        <f>IF(개요!AJ13=0,"",개요!AJ13)</f>
        <v/>
      </c>
      <c r="U27" s="64" t="str">
        <f>IF(개요!AK13=0,"",개요!AK13)</f>
        <v/>
      </c>
      <c r="V27" s="64" t="str">
        <f>IF(개요!AL13=0,"",개요!AL13)</f>
        <v/>
      </c>
      <c r="W27" s="64" t="str">
        <f>IF(개요!AM13=0,"",개요!AM13)</f>
        <v/>
      </c>
      <c r="X27" s="64" t="str">
        <f>IF(개요!AN13=0,"",개요!AN13)</f>
        <v/>
      </c>
      <c r="Y27" s="64" t="str">
        <f>IF(개요!AO13=0,"",개요!AO13)</f>
        <v/>
      </c>
      <c r="Z27" s="64" t="str">
        <f>IF(개요!AP13=0,"",개요!AP13)</f>
        <v/>
      </c>
      <c r="AA27" s="64" t="str">
        <f>IF(개요!AQ13=0,"",개요!AQ13)</f>
        <v/>
      </c>
      <c r="AB27" s="64" t="str">
        <f>IF(개요!AR13=0,"",개요!AR13)</f>
        <v/>
      </c>
      <c r="AC27" s="64" t="str">
        <f>IF(개요!AS13=0,"",개요!AS13)</f>
        <v/>
      </c>
      <c r="AD27" s="64" t="str">
        <f>IF(개요!AT13=0,"",개요!AT13)</f>
        <v/>
      </c>
      <c r="AE27" s="64" t="str">
        <f>IF(개요!AU13=0,"",개요!AU13)</f>
        <v/>
      </c>
      <c r="AF27" s="64" t="str">
        <f>IF(개요!AV13=0,"",개요!AV13)</f>
        <v/>
      </c>
      <c r="AG27" s="64" t="str">
        <f>IF(개요!AW13=0,"",개요!AW13)</f>
        <v/>
      </c>
      <c r="AH27" s="64" t="str">
        <f>IF(개요!AX13=0,"",개요!AX13)</f>
        <v/>
      </c>
      <c r="AI27" s="64" t="str">
        <f>IF(개요!AY13=0,"",개요!AY13)</f>
        <v/>
      </c>
      <c r="AJ27" s="64" t="str">
        <f>IF(개요!AZ13=0,"",개요!AZ13)</f>
        <v/>
      </c>
      <c r="AK27" s="64" t="str">
        <f>IF(개요!BA13=0,"",개요!BA13)</f>
        <v/>
      </c>
      <c r="AL27" s="64" t="str">
        <f>IF(개요!BB13=0,"",개요!BB13)</f>
        <v/>
      </c>
      <c r="AM27" s="64" t="str">
        <f>IF(개요!BC13=0,"",개요!BC13)</f>
        <v/>
      </c>
      <c r="AN27" s="64" t="str">
        <f>IF(개요!BD13=0,"",개요!BD13)</f>
        <v/>
      </c>
      <c r="AO27" s="64" t="str">
        <f>IF(개요!BE13=0,"",개요!BE13)</f>
        <v/>
      </c>
      <c r="AP27" s="64" t="str">
        <f>IF(개요!BF13=0,"",개요!BF13)</f>
        <v/>
      </c>
      <c r="AQ27" s="64" t="str">
        <f>IF(개요!BG13=0,"",개요!BG13)</f>
        <v/>
      </c>
      <c r="AR27" s="64" t="str">
        <f>IF(개요!BH13=0,"",개요!BH13)</f>
        <v/>
      </c>
      <c r="AS27" s="64" t="str">
        <f>IF(개요!BI13=0,"",개요!BI13)</f>
        <v/>
      </c>
      <c r="AT27" s="64" t="str">
        <f>IF(개요!BJ13=0,"",개요!BJ13)</f>
        <v/>
      </c>
      <c r="AU27" s="64" t="str">
        <f>IF(개요!BK13=0,"",개요!BK13)</f>
        <v/>
      </c>
      <c r="AV27" s="64" t="str">
        <f>IF(개요!BL13=0,"",개요!BL13)</f>
        <v/>
      </c>
      <c r="AW27" s="64" t="str">
        <f>IF(개요!BM13=0,"",개요!BM13)</f>
        <v/>
      </c>
      <c r="AX27" s="64" t="str">
        <f>IF(개요!BN13=0,"",개요!BN13)</f>
        <v/>
      </c>
      <c r="AY27" s="64" t="str">
        <f>IF(개요!BO13=0,"",개요!BO13)</f>
        <v/>
      </c>
      <c r="AZ27" s="64" t="str">
        <f>IF(개요!BP13=0,"",개요!BP13)</f>
        <v/>
      </c>
      <c r="BA27" s="64" t="str">
        <f>IF(개요!BQ13=0,"",개요!BQ13)</f>
        <v/>
      </c>
      <c r="BB27" s="64" t="str">
        <f>IF(개요!BR13=0,"",개요!BR13)</f>
        <v/>
      </c>
      <c r="BC27" s="64" t="str">
        <f>IF(개요!BS13=0,"",개요!BS13)</f>
        <v/>
      </c>
      <c r="BD27" s="64" t="str">
        <f>IF(개요!BT13=0,"",개요!BT13)</f>
        <v/>
      </c>
      <c r="BE27" s="64" t="str">
        <f>IF(개요!BU13=0,"",개요!BU13)</f>
        <v/>
      </c>
      <c r="BF27" s="64" t="str">
        <f>IF(개요!BV13=0,"",개요!BV13)</f>
        <v/>
      </c>
      <c r="BG27" s="64" t="str">
        <f>IF(개요!BW13=0,"",개요!BW13)</f>
        <v/>
      </c>
      <c r="BH27" s="64" t="str">
        <f>IF(개요!BX13=0,"",개요!BX13)</f>
        <v/>
      </c>
      <c r="BI27" s="64" t="str">
        <f>IF(개요!BY13=0,"",개요!BY13)</f>
        <v/>
      </c>
      <c r="BJ27" s="64" t="str">
        <f>IF(개요!BZ13=0,"",개요!BZ13)</f>
        <v/>
      </c>
      <c r="BK27" s="64" t="str">
        <f>IF(개요!CA13=0,"",개요!CA13)</f>
        <v/>
      </c>
      <c r="BL27" s="64" t="str">
        <f>IF(개요!CB13=0,"",개요!CB13)</f>
        <v/>
      </c>
      <c r="BM27" s="64" t="str">
        <f>IF(개요!CC13=0,"",개요!CC13)</f>
        <v/>
      </c>
      <c r="BN27" s="64" t="str">
        <f>IF(개요!CD13=0,"",개요!CD13)</f>
        <v/>
      </c>
      <c r="BO27" s="64" t="str">
        <f>IF(개요!CE13=0,"",개요!CE13)</f>
        <v/>
      </c>
      <c r="BP27" s="64" t="str">
        <f>IF(개요!CF13=0,"",개요!CF13)</f>
        <v/>
      </c>
      <c r="BQ27" s="64" t="str">
        <f>IF(개요!CG13=0,"",개요!CG13)</f>
        <v/>
      </c>
      <c r="BR27" s="64" t="str">
        <f>IF(개요!CH13=0,"",개요!CH13)</f>
        <v/>
      </c>
      <c r="BS27" s="64" t="str">
        <f>IF(개요!CI13=0,"",개요!CI13)</f>
        <v/>
      </c>
      <c r="BT27" s="64" t="str">
        <f>IF(개요!CJ13=0,"",개요!CJ13)</f>
        <v/>
      </c>
      <c r="BU27" s="64" t="str">
        <f>IF(개요!CK13=0,"",개요!CK13)</f>
        <v/>
      </c>
      <c r="BV27" s="64" t="str">
        <f>IF(개요!CL13=0,"",개요!CL13)</f>
        <v/>
      </c>
      <c r="BW27" s="64" t="str">
        <f>IF(개요!CM13=0,"",개요!CM13)</f>
        <v/>
      </c>
      <c r="BX27" s="64" t="str">
        <f>IF(개요!CN13=0,"",개요!CN13)</f>
        <v/>
      </c>
      <c r="BY27" s="64" t="str">
        <f>IF(개요!CO13=0,"",개요!CO13)</f>
        <v/>
      </c>
      <c r="BZ27" s="64" t="str">
        <f>IF(개요!CP13=0,"",개요!CP13)</f>
        <v/>
      </c>
      <c r="CA27" s="64" t="str">
        <f>IF(개요!CQ13=0,"",개요!CQ13)</f>
        <v/>
      </c>
      <c r="CB27" s="64" t="str">
        <f>IF(개요!CR13=0,"",개요!CR13)</f>
        <v/>
      </c>
      <c r="CC27" s="64" t="str">
        <f>IF(개요!CS13=0,"",개요!CS13)</f>
        <v/>
      </c>
      <c r="CD27" s="64" t="str">
        <f>IF(개요!CT13=0,"",개요!CT13)</f>
        <v/>
      </c>
      <c r="CE27" s="64" t="str">
        <f>IF(개요!CU13=0,"",개요!CU13)</f>
        <v/>
      </c>
      <c r="CF27" s="64" t="str">
        <f>IF(개요!CV13=0,"",개요!CV13)</f>
        <v/>
      </c>
      <c r="CG27" s="64" t="str">
        <f>IF(개요!CW13=0,"",개요!CW13)</f>
        <v/>
      </c>
      <c r="CH27" s="64" t="str">
        <f>IF(개요!CX13=0,"",개요!CX13)</f>
        <v/>
      </c>
      <c r="CI27" s="64" t="str">
        <f>IF(개요!CY13=0,"",개요!CY13)</f>
        <v/>
      </c>
      <c r="CJ27" s="64" t="str">
        <f>IF(개요!CZ13=0,"",개요!CZ13)</f>
        <v/>
      </c>
      <c r="CK27" s="64" t="str">
        <f>IF(개요!DA13=0,"",개요!DA13)</f>
        <v/>
      </c>
      <c r="CL27" s="64" t="str">
        <f>IF(개요!DB13=0,"",개요!DB13)</f>
        <v/>
      </c>
      <c r="CM27" s="64" t="str">
        <f>IF(개요!DC13=0,"",개요!DC13)</f>
        <v/>
      </c>
      <c r="CN27" s="64" t="str">
        <f>IF(개요!DD13=0,"",개요!DD13)</f>
        <v/>
      </c>
      <c r="CO27" s="64" t="str">
        <f>IF(개요!DE13=0,"",개요!DE13)</f>
        <v/>
      </c>
      <c r="CP27" s="64" t="str">
        <f>IF(개요!DF13=0,"",개요!DF13)</f>
        <v/>
      </c>
      <c r="CQ27" s="64" t="str">
        <f>IF(개요!DG13=0,"",개요!DG13)</f>
        <v/>
      </c>
      <c r="CR27" s="64" t="str">
        <f>IF(개요!DH13=0,"",개요!DH13)</f>
        <v/>
      </c>
      <c r="CS27" s="64" t="str">
        <f>IF(개요!DI13=0,"",개요!DI13)</f>
        <v/>
      </c>
      <c r="CT27" s="64" t="str">
        <f>IF(개요!DJ13=0,"",개요!DJ13)</f>
        <v/>
      </c>
      <c r="CU27" s="64" t="str">
        <f>IF(개요!DK13=0,"",개요!DK13)</f>
        <v/>
      </c>
      <c r="CV27" s="64" t="str">
        <f>IF(개요!DL13=0,"",개요!DL13)</f>
        <v/>
      </c>
      <c r="CW27" s="64" t="str">
        <f>IF(개요!DM13=0,"",개요!DM13)</f>
        <v/>
      </c>
      <c r="CX27" s="64" t="str">
        <f>IF(개요!DN13=0,"",개요!DN13)</f>
        <v/>
      </c>
      <c r="CY27" s="65">
        <f t="shared" si="5"/>
        <v>1222547648.2234192</v>
      </c>
      <c r="DB27" s="21"/>
      <c r="DC27" s="21"/>
      <c r="DD27" s="21"/>
      <c r="DE27" s="67"/>
      <c r="DF27" s="68"/>
      <c r="DG27" s="67"/>
      <c r="DH27" s="67"/>
      <c r="DI27" s="69"/>
      <c r="DJ27" s="69"/>
      <c r="DK27" s="69"/>
      <c r="DL27" s="69"/>
    </row>
    <row r="28" spans="1:116" ht="15" customHeight="1">
      <c r="A28" s="54">
        <v>7</v>
      </c>
      <c r="B28" s="63" t="str">
        <f>IF(개요!M14=0,"",개요!M14)</f>
        <v>김OO</v>
      </c>
      <c r="C28" s="64">
        <f>IF(개요!S14=0,"",개요!S14)</f>
        <v>-400000000</v>
      </c>
      <c r="D28" s="64" t="str">
        <f>IF(개요!T14=0,"",개요!T14)</f>
        <v/>
      </c>
      <c r="E28" s="64" t="str">
        <f>IF(개요!U14=0,"",개요!U14)</f>
        <v/>
      </c>
      <c r="F28" s="64" t="str">
        <f>IF(개요!V14=0,"",개요!V14)</f>
        <v/>
      </c>
      <c r="G28" s="64" t="str">
        <f>IF(개요!W14=0,"",개요!W14)</f>
        <v/>
      </c>
      <c r="H28" s="64" t="str">
        <f>IF(개요!X14=0,"",개요!X14)</f>
        <v/>
      </c>
      <c r="I28" s="64" t="str">
        <f>IF(개요!Y14=0,"",개요!Y14)</f>
        <v/>
      </c>
      <c r="J28" s="64" t="str">
        <f>IF(개요!Z14=0,"",개요!Z14)</f>
        <v/>
      </c>
      <c r="K28" s="64" t="str">
        <f>IF(개요!AA14=0,"",개요!AA14)</f>
        <v/>
      </c>
      <c r="L28" s="64" t="str">
        <f>IF(개요!AB14=0,"",개요!AB14)</f>
        <v/>
      </c>
      <c r="M28" s="64" t="str">
        <f>IF(개요!AC14=0,"",개요!AC14)</f>
        <v/>
      </c>
      <c r="N28" s="64" t="str">
        <f>IF(개요!AD14=0,"",개요!AD14)</f>
        <v/>
      </c>
      <c r="O28" s="64" t="str">
        <f>IF(개요!AE14=0,"",개요!AE14)</f>
        <v/>
      </c>
      <c r="P28" s="64" t="str">
        <f>IF(개요!AF14=0,"",개요!AF14)</f>
        <v/>
      </c>
      <c r="Q28" s="64" t="str">
        <f>IF(개요!AG14=0,"",개요!AG14)</f>
        <v/>
      </c>
      <c r="R28" s="64" t="str">
        <f>IF(개요!AH14=0,"",개요!AH14)</f>
        <v/>
      </c>
      <c r="S28" s="64" t="str">
        <f>IF(개요!AI14=0,"",개요!AI14)</f>
        <v/>
      </c>
      <c r="T28" s="64" t="str">
        <f>IF(개요!AJ14=0,"",개요!AJ14)</f>
        <v/>
      </c>
      <c r="U28" s="64" t="str">
        <f>IF(개요!AK14=0,"",개요!AK14)</f>
        <v/>
      </c>
      <c r="V28" s="64" t="str">
        <f>IF(개요!AL14=0,"",개요!AL14)</f>
        <v/>
      </c>
      <c r="W28" s="64" t="str">
        <f>IF(개요!AM14=0,"",개요!AM14)</f>
        <v/>
      </c>
      <c r="X28" s="64" t="str">
        <f>IF(개요!AN14=0,"",개요!AN14)</f>
        <v/>
      </c>
      <c r="Y28" s="64" t="str">
        <f>IF(개요!AO14=0,"",개요!AO14)</f>
        <v/>
      </c>
      <c r="Z28" s="64" t="str">
        <f>IF(개요!AP14=0,"",개요!AP14)</f>
        <v/>
      </c>
      <c r="AA28" s="64" t="str">
        <f>IF(개요!AQ14=0,"",개요!AQ14)</f>
        <v/>
      </c>
      <c r="AB28" s="64" t="str">
        <f>IF(개요!AR14=0,"",개요!AR14)</f>
        <v/>
      </c>
      <c r="AC28" s="64" t="str">
        <f>IF(개요!AS14=0,"",개요!AS14)</f>
        <v/>
      </c>
      <c r="AD28" s="64" t="str">
        <f>IF(개요!AT14=0,"",개요!AT14)</f>
        <v/>
      </c>
      <c r="AE28" s="64" t="str">
        <f>IF(개요!AU14=0,"",개요!AU14)</f>
        <v/>
      </c>
      <c r="AF28" s="64" t="str">
        <f>IF(개요!AV14=0,"",개요!AV14)</f>
        <v/>
      </c>
      <c r="AG28" s="64" t="str">
        <f>IF(개요!AW14=0,"",개요!AW14)</f>
        <v/>
      </c>
      <c r="AH28" s="64" t="str">
        <f>IF(개요!AX14=0,"",개요!AX14)</f>
        <v/>
      </c>
      <c r="AI28" s="64" t="str">
        <f>IF(개요!AY14=0,"",개요!AY14)</f>
        <v/>
      </c>
      <c r="AJ28" s="64" t="str">
        <f>IF(개요!AZ14=0,"",개요!AZ14)</f>
        <v/>
      </c>
      <c r="AK28" s="64" t="str">
        <f>IF(개요!BA14=0,"",개요!BA14)</f>
        <v/>
      </c>
      <c r="AL28" s="64" t="str">
        <f>IF(개요!BB14=0,"",개요!BB14)</f>
        <v/>
      </c>
      <c r="AM28" s="64" t="str">
        <f>IF(개요!BC14=0,"",개요!BC14)</f>
        <v/>
      </c>
      <c r="AN28" s="64" t="str">
        <f>IF(개요!BD14=0,"",개요!BD14)</f>
        <v/>
      </c>
      <c r="AO28" s="64" t="str">
        <f>IF(개요!BE14=0,"",개요!BE14)</f>
        <v/>
      </c>
      <c r="AP28" s="64" t="str">
        <f>IF(개요!BF14=0,"",개요!BF14)</f>
        <v/>
      </c>
      <c r="AQ28" s="64" t="str">
        <f>IF(개요!BG14=0,"",개요!BG14)</f>
        <v/>
      </c>
      <c r="AR28" s="64" t="str">
        <f>IF(개요!BH14=0,"",개요!BH14)</f>
        <v/>
      </c>
      <c r="AS28" s="64" t="str">
        <f>IF(개요!BI14=0,"",개요!BI14)</f>
        <v/>
      </c>
      <c r="AT28" s="64" t="str">
        <f>IF(개요!BJ14=0,"",개요!BJ14)</f>
        <v/>
      </c>
      <c r="AU28" s="64" t="str">
        <f>IF(개요!BK14=0,"",개요!BK14)</f>
        <v/>
      </c>
      <c r="AV28" s="64" t="str">
        <f>IF(개요!BL14=0,"",개요!BL14)</f>
        <v/>
      </c>
      <c r="AW28" s="64" t="str">
        <f>IF(개요!BM14=0,"",개요!BM14)</f>
        <v/>
      </c>
      <c r="AX28" s="64" t="str">
        <f>IF(개요!BN14=0,"",개요!BN14)</f>
        <v/>
      </c>
      <c r="AY28" s="64" t="str">
        <f>IF(개요!BO14=0,"",개요!BO14)</f>
        <v/>
      </c>
      <c r="AZ28" s="64" t="str">
        <f>IF(개요!BP14=0,"",개요!BP14)</f>
        <v/>
      </c>
      <c r="BA28" s="64" t="str">
        <f>IF(개요!BQ14=0,"",개요!BQ14)</f>
        <v/>
      </c>
      <c r="BB28" s="64" t="str">
        <f>IF(개요!BR14=0,"",개요!BR14)</f>
        <v/>
      </c>
      <c r="BC28" s="64" t="str">
        <f>IF(개요!BS14=0,"",개요!BS14)</f>
        <v/>
      </c>
      <c r="BD28" s="64" t="str">
        <f>IF(개요!BT14=0,"",개요!BT14)</f>
        <v/>
      </c>
      <c r="BE28" s="64" t="str">
        <f>IF(개요!BU14=0,"",개요!BU14)</f>
        <v/>
      </c>
      <c r="BF28" s="64" t="str">
        <f>IF(개요!BV14=0,"",개요!BV14)</f>
        <v/>
      </c>
      <c r="BG28" s="64" t="str">
        <f>IF(개요!BW14=0,"",개요!BW14)</f>
        <v/>
      </c>
      <c r="BH28" s="64" t="str">
        <f>IF(개요!BX14=0,"",개요!BX14)</f>
        <v/>
      </c>
      <c r="BI28" s="64" t="str">
        <f>IF(개요!BY14=0,"",개요!BY14)</f>
        <v/>
      </c>
      <c r="BJ28" s="64" t="str">
        <f>IF(개요!BZ14=0,"",개요!BZ14)</f>
        <v/>
      </c>
      <c r="BK28" s="64" t="str">
        <f>IF(개요!CA14=0,"",개요!CA14)</f>
        <v/>
      </c>
      <c r="BL28" s="64" t="str">
        <f>IF(개요!CB14=0,"",개요!CB14)</f>
        <v/>
      </c>
      <c r="BM28" s="64" t="str">
        <f>IF(개요!CC14=0,"",개요!CC14)</f>
        <v/>
      </c>
      <c r="BN28" s="64" t="str">
        <f>IF(개요!CD14=0,"",개요!CD14)</f>
        <v/>
      </c>
      <c r="BO28" s="64" t="str">
        <f>IF(개요!CE14=0,"",개요!CE14)</f>
        <v/>
      </c>
      <c r="BP28" s="64" t="str">
        <f>IF(개요!CF14=0,"",개요!CF14)</f>
        <v/>
      </c>
      <c r="BQ28" s="64" t="str">
        <f>IF(개요!CG14=0,"",개요!CG14)</f>
        <v/>
      </c>
      <c r="BR28" s="64" t="str">
        <f>IF(개요!CH14=0,"",개요!CH14)</f>
        <v/>
      </c>
      <c r="BS28" s="64" t="str">
        <f>IF(개요!CI14=0,"",개요!CI14)</f>
        <v/>
      </c>
      <c r="BT28" s="64" t="str">
        <f>IF(개요!CJ14=0,"",개요!CJ14)</f>
        <v/>
      </c>
      <c r="BU28" s="64" t="str">
        <f>IF(개요!CK14=0,"",개요!CK14)</f>
        <v/>
      </c>
      <c r="BV28" s="64" t="str">
        <f>IF(개요!CL14=0,"",개요!CL14)</f>
        <v/>
      </c>
      <c r="BW28" s="64" t="str">
        <f>IF(개요!CM14=0,"",개요!CM14)</f>
        <v/>
      </c>
      <c r="BX28" s="64" t="str">
        <f>IF(개요!CN14=0,"",개요!CN14)</f>
        <v/>
      </c>
      <c r="BY28" s="64" t="str">
        <f>IF(개요!CO14=0,"",개요!CO14)</f>
        <v/>
      </c>
      <c r="BZ28" s="64" t="str">
        <f>IF(개요!CP14=0,"",개요!CP14)</f>
        <v/>
      </c>
      <c r="CA28" s="64" t="str">
        <f>IF(개요!CQ14=0,"",개요!CQ14)</f>
        <v/>
      </c>
      <c r="CB28" s="64" t="str">
        <f>IF(개요!CR14=0,"",개요!CR14)</f>
        <v/>
      </c>
      <c r="CC28" s="64" t="str">
        <f>IF(개요!CS14=0,"",개요!CS14)</f>
        <v/>
      </c>
      <c r="CD28" s="64" t="str">
        <f>IF(개요!CT14=0,"",개요!CT14)</f>
        <v/>
      </c>
      <c r="CE28" s="64" t="str">
        <f>IF(개요!CU14=0,"",개요!CU14)</f>
        <v/>
      </c>
      <c r="CF28" s="64" t="str">
        <f>IF(개요!CV14=0,"",개요!CV14)</f>
        <v/>
      </c>
      <c r="CG28" s="64" t="str">
        <f>IF(개요!CW14=0,"",개요!CW14)</f>
        <v/>
      </c>
      <c r="CH28" s="64" t="str">
        <f>IF(개요!CX14=0,"",개요!CX14)</f>
        <v/>
      </c>
      <c r="CI28" s="64" t="str">
        <f>IF(개요!CY14=0,"",개요!CY14)</f>
        <v/>
      </c>
      <c r="CJ28" s="64" t="str">
        <f>IF(개요!CZ14=0,"",개요!CZ14)</f>
        <v/>
      </c>
      <c r="CK28" s="64" t="str">
        <f>IF(개요!DA14=0,"",개요!DA14)</f>
        <v/>
      </c>
      <c r="CL28" s="64" t="str">
        <f>IF(개요!DB14=0,"",개요!DB14)</f>
        <v/>
      </c>
      <c r="CM28" s="64" t="str">
        <f>IF(개요!DC14=0,"",개요!DC14)</f>
        <v/>
      </c>
      <c r="CN28" s="64" t="str">
        <f>IF(개요!DD14=0,"",개요!DD14)</f>
        <v/>
      </c>
      <c r="CO28" s="64" t="str">
        <f>IF(개요!DE14=0,"",개요!DE14)</f>
        <v/>
      </c>
      <c r="CP28" s="64" t="str">
        <f>IF(개요!DF14=0,"",개요!DF14)</f>
        <v/>
      </c>
      <c r="CQ28" s="64" t="str">
        <f>IF(개요!DG14=0,"",개요!DG14)</f>
        <v/>
      </c>
      <c r="CR28" s="64" t="str">
        <f>IF(개요!DH14=0,"",개요!DH14)</f>
        <v/>
      </c>
      <c r="CS28" s="64" t="str">
        <f>IF(개요!DI14=0,"",개요!DI14)</f>
        <v/>
      </c>
      <c r="CT28" s="64" t="str">
        <f>IF(개요!DJ14=0,"",개요!DJ14)</f>
        <v/>
      </c>
      <c r="CU28" s="64" t="str">
        <f>IF(개요!DK14=0,"",개요!DK14)</f>
        <v/>
      </c>
      <c r="CV28" s="64" t="str">
        <f>IF(개요!DL14=0,"",개요!DL14)</f>
        <v/>
      </c>
      <c r="CW28" s="64" t="str">
        <f>IF(개요!DM14=0,"",개요!DM14)</f>
        <v/>
      </c>
      <c r="CX28" s="64" t="str">
        <f>IF(개요!DN14=0,"",개요!DN14)</f>
        <v/>
      </c>
      <c r="CY28" s="65">
        <f t="shared" si="5"/>
        <v>489019059.28936768</v>
      </c>
      <c r="DB28" s="21"/>
      <c r="DC28" s="21"/>
      <c r="DD28" s="21"/>
      <c r="DE28" s="67"/>
      <c r="DF28" s="68"/>
      <c r="DG28" s="67"/>
      <c r="DH28" s="67"/>
      <c r="DI28" s="69"/>
      <c r="DJ28" s="69"/>
      <c r="DK28" s="69"/>
      <c r="DL28" s="69"/>
    </row>
    <row r="29" spans="1:116" ht="15" customHeight="1">
      <c r="A29" s="54">
        <v>8</v>
      </c>
      <c r="B29" s="63" t="str">
        <f>IF(개요!M15=0,"",개요!M15)</f>
        <v>손OO</v>
      </c>
      <c r="C29" s="64">
        <f>IF(개요!S15=0,"",개요!S15)</f>
        <v>-250000000</v>
      </c>
      <c r="D29" s="64" t="str">
        <f>IF(개요!T15=0,"",개요!T15)</f>
        <v/>
      </c>
      <c r="E29" s="64" t="str">
        <f>IF(개요!U15=0,"",개요!U15)</f>
        <v/>
      </c>
      <c r="F29" s="64" t="str">
        <f>IF(개요!V15=0,"",개요!V15)</f>
        <v/>
      </c>
      <c r="G29" s="64" t="str">
        <f>IF(개요!W15=0,"",개요!W15)</f>
        <v/>
      </c>
      <c r="H29" s="64" t="str">
        <f>IF(개요!X15=0,"",개요!X15)</f>
        <v/>
      </c>
      <c r="I29" s="64" t="str">
        <f>IF(개요!Y15=0,"",개요!Y15)</f>
        <v/>
      </c>
      <c r="J29" s="64" t="str">
        <f>IF(개요!Z15=0,"",개요!Z15)</f>
        <v/>
      </c>
      <c r="K29" s="64" t="str">
        <f>IF(개요!AA15=0,"",개요!AA15)</f>
        <v/>
      </c>
      <c r="L29" s="64" t="str">
        <f>IF(개요!AB15=0,"",개요!AB15)</f>
        <v/>
      </c>
      <c r="M29" s="64" t="str">
        <f>IF(개요!AC15=0,"",개요!AC15)</f>
        <v/>
      </c>
      <c r="N29" s="64" t="str">
        <f>IF(개요!AD15=0,"",개요!AD15)</f>
        <v/>
      </c>
      <c r="O29" s="64" t="str">
        <f>IF(개요!AE15=0,"",개요!AE15)</f>
        <v/>
      </c>
      <c r="P29" s="64" t="str">
        <f>IF(개요!AF15=0,"",개요!AF15)</f>
        <v/>
      </c>
      <c r="Q29" s="64" t="str">
        <f>IF(개요!AG15=0,"",개요!AG15)</f>
        <v/>
      </c>
      <c r="R29" s="64" t="str">
        <f>IF(개요!AH15=0,"",개요!AH15)</f>
        <v/>
      </c>
      <c r="S29" s="64" t="str">
        <f>IF(개요!AI15=0,"",개요!AI15)</f>
        <v/>
      </c>
      <c r="T29" s="64" t="str">
        <f>IF(개요!AJ15=0,"",개요!AJ15)</f>
        <v/>
      </c>
      <c r="U29" s="64" t="str">
        <f>IF(개요!AK15=0,"",개요!AK15)</f>
        <v/>
      </c>
      <c r="V29" s="64" t="str">
        <f>IF(개요!AL15=0,"",개요!AL15)</f>
        <v/>
      </c>
      <c r="W29" s="64" t="str">
        <f>IF(개요!AM15=0,"",개요!AM15)</f>
        <v/>
      </c>
      <c r="X29" s="64" t="str">
        <f>IF(개요!AN15=0,"",개요!AN15)</f>
        <v/>
      </c>
      <c r="Y29" s="64" t="str">
        <f>IF(개요!AO15=0,"",개요!AO15)</f>
        <v/>
      </c>
      <c r="Z29" s="64" t="str">
        <f>IF(개요!AP15=0,"",개요!AP15)</f>
        <v/>
      </c>
      <c r="AA29" s="64" t="str">
        <f>IF(개요!AQ15=0,"",개요!AQ15)</f>
        <v/>
      </c>
      <c r="AB29" s="64" t="str">
        <f>IF(개요!AR15=0,"",개요!AR15)</f>
        <v/>
      </c>
      <c r="AC29" s="64" t="str">
        <f>IF(개요!AS15=0,"",개요!AS15)</f>
        <v/>
      </c>
      <c r="AD29" s="64" t="str">
        <f>IF(개요!AT15=0,"",개요!AT15)</f>
        <v/>
      </c>
      <c r="AE29" s="64" t="str">
        <f>IF(개요!AU15=0,"",개요!AU15)</f>
        <v/>
      </c>
      <c r="AF29" s="64" t="str">
        <f>IF(개요!AV15=0,"",개요!AV15)</f>
        <v/>
      </c>
      <c r="AG29" s="64" t="str">
        <f>IF(개요!AW15=0,"",개요!AW15)</f>
        <v/>
      </c>
      <c r="AH29" s="64" t="str">
        <f>IF(개요!AX15=0,"",개요!AX15)</f>
        <v/>
      </c>
      <c r="AI29" s="64" t="str">
        <f>IF(개요!AY15=0,"",개요!AY15)</f>
        <v/>
      </c>
      <c r="AJ29" s="64" t="str">
        <f>IF(개요!AZ15=0,"",개요!AZ15)</f>
        <v/>
      </c>
      <c r="AK29" s="64" t="str">
        <f>IF(개요!BA15=0,"",개요!BA15)</f>
        <v/>
      </c>
      <c r="AL29" s="64" t="str">
        <f>IF(개요!BB15=0,"",개요!BB15)</f>
        <v/>
      </c>
      <c r="AM29" s="64" t="str">
        <f>IF(개요!BC15=0,"",개요!BC15)</f>
        <v/>
      </c>
      <c r="AN29" s="64" t="str">
        <f>IF(개요!BD15=0,"",개요!BD15)</f>
        <v/>
      </c>
      <c r="AO29" s="64" t="str">
        <f>IF(개요!BE15=0,"",개요!BE15)</f>
        <v/>
      </c>
      <c r="AP29" s="64" t="str">
        <f>IF(개요!BF15=0,"",개요!BF15)</f>
        <v/>
      </c>
      <c r="AQ29" s="64" t="str">
        <f>IF(개요!BG15=0,"",개요!BG15)</f>
        <v/>
      </c>
      <c r="AR29" s="64" t="str">
        <f>IF(개요!BH15=0,"",개요!BH15)</f>
        <v/>
      </c>
      <c r="AS29" s="64" t="str">
        <f>IF(개요!BI15=0,"",개요!BI15)</f>
        <v/>
      </c>
      <c r="AT29" s="64" t="str">
        <f>IF(개요!BJ15=0,"",개요!BJ15)</f>
        <v/>
      </c>
      <c r="AU29" s="64" t="str">
        <f>IF(개요!BK15=0,"",개요!BK15)</f>
        <v/>
      </c>
      <c r="AV29" s="64" t="str">
        <f>IF(개요!BL15=0,"",개요!BL15)</f>
        <v/>
      </c>
      <c r="AW29" s="64" t="str">
        <f>IF(개요!BM15=0,"",개요!BM15)</f>
        <v/>
      </c>
      <c r="AX29" s="64" t="str">
        <f>IF(개요!BN15=0,"",개요!BN15)</f>
        <v/>
      </c>
      <c r="AY29" s="64" t="str">
        <f>IF(개요!BO15=0,"",개요!BO15)</f>
        <v/>
      </c>
      <c r="AZ29" s="64" t="str">
        <f>IF(개요!BP15=0,"",개요!BP15)</f>
        <v/>
      </c>
      <c r="BA29" s="64" t="str">
        <f>IF(개요!BQ15=0,"",개요!BQ15)</f>
        <v/>
      </c>
      <c r="BB29" s="64" t="str">
        <f>IF(개요!BR15=0,"",개요!BR15)</f>
        <v/>
      </c>
      <c r="BC29" s="64" t="str">
        <f>IF(개요!BS15=0,"",개요!BS15)</f>
        <v/>
      </c>
      <c r="BD29" s="64" t="str">
        <f>IF(개요!BT15=0,"",개요!BT15)</f>
        <v/>
      </c>
      <c r="BE29" s="64" t="str">
        <f>IF(개요!BU15=0,"",개요!BU15)</f>
        <v/>
      </c>
      <c r="BF29" s="64" t="str">
        <f>IF(개요!BV15=0,"",개요!BV15)</f>
        <v/>
      </c>
      <c r="BG29" s="64" t="str">
        <f>IF(개요!BW15=0,"",개요!BW15)</f>
        <v/>
      </c>
      <c r="BH29" s="64" t="str">
        <f>IF(개요!BX15=0,"",개요!BX15)</f>
        <v/>
      </c>
      <c r="BI29" s="64" t="str">
        <f>IF(개요!BY15=0,"",개요!BY15)</f>
        <v/>
      </c>
      <c r="BJ29" s="64" t="str">
        <f>IF(개요!BZ15=0,"",개요!BZ15)</f>
        <v/>
      </c>
      <c r="BK29" s="64" t="str">
        <f>IF(개요!CA15=0,"",개요!CA15)</f>
        <v/>
      </c>
      <c r="BL29" s="64" t="str">
        <f>IF(개요!CB15=0,"",개요!CB15)</f>
        <v/>
      </c>
      <c r="BM29" s="64" t="str">
        <f>IF(개요!CC15=0,"",개요!CC15)</f>
        <v/>
      </c>
      <c r="BN29" s="64" t="str">
        <f>IF(개요!CD15=0,"",개요!CD15)</f>
        <v/>
      </c>
      <c r="BO29" s="64" t="str">
        <f>IF(개요!CE15=0,"",개요!CE15)</f>
        <v/>
      </c>
      <c r="BP29" s="64" t="str">
        <f>IF(개요!CF15=0,"",개요!CF15)</f>
        <v/>
      </c>
      <c r="BQ29" s="64" t="str">
        <f>IF(개요!CG15=0,"",개요!CG15)</f>
        <v/>
      </c>
      <c r="BR29" s="64" t="str">
        <f>IF(개요!CH15=0,"",개요!CH15)</f>
        <v/>
      </c>
      <c r="BS29" s="64" t="str">
        <f>IF(개요!CI15=0,"",개요!CI15)</f>
        <v/>
      </c>
      <c r="BT29" s="64" t="str">
        <f>IF(개요!CJ15=0,"",개요!CJ15)</f>
        <v/>
      </c>
      <c r="BU29" s="64" t="str">
        <f>IF(개요!CK15=0,"",개요!CK15)</f>
        <v/>
      </c>
      <c r="BV29" s="64" t="str">
        <f>IF(개요!CL15=0,"",개요!CL15)</f>
        <v/>
      </c>
      <c r="BW29" s="64" t="str">
        <f>IF(개요!CM15=0,"",개요!CM15)</f>
        <v/>
      </c>
      <c r="BX29" s="64" t="str">
        <f>IF(개요!CN15=0,"",개요!CN15)</f>
        <v/>
      </c>
      <c r="BY29" s="64" t="str">
        <f>IF(개요!CO15=0,"",개요!CO15)</f>
        <v/>
      </c>
      <c r="BZ29" s="64" t="str">
        <f>IF(개요!CP15=0,"",개요!CP15)</f>
        <v/>
      </c>
      <c r="CA29" s="64" t="str">
        <f>IF(개요!CQ15=0,"",개요!CQ15)</f>
        <v/>
      </c>
      <c r="CB29" s="64" t="str">
        <f>IF(개요!CR15=0,"",개요!CR15)</f>
        <v/>
      </c>
      <c r="CC29" s="64" t="str">
        <f>IF(개요!CS15=0,"",개요!CS15)</f>
        <v/>
      </c>
      <c r="CD29" s="64" t="str">
        <f>IF(개요!CT15=0,"",개요!CT15)</f>
        <v/>
      </c>
      <c r="CE29" s="64" t="str">
        <f>IF(개요!CU15=0,"",개요!CU15)</f>
        <v/>
      </c>
      <c r="CF29" s="64" t="str">
        <f>IF(개요!CV15=0,"",개요!CV15)</f>
        <v/>
      </c>
      <c r="CG29" s="64" t="str">
        <f>IF(개요!CW15=0,"",개요!CW15)</f>
        <v/>
      </c>
      <c r="CH29" s="64" t="str">
        <f>IF(개요!CX15=0,"",개요!CX15)</f>
        <v/>
      </c>
      <c r="CI29" s="64" t="str">
        <f>IF(개요!CY15=0,"",개요!CY15)</f>
        <v/>
      </c>
      <c r="CJ29" s="64" t="str">
        <f>IF(개요!CZ15=0,"",개요!CZ15)</f>
        <v/>
      </c>
      <c r="CK29" s="64" t="str">
        <f>IF(개요!DA15=0,"",개요!DA15)</f>
        <v/>
      </c>
      <c r="CL29" s="64" t="str">
        <f>IF(개요!DB15=0,"",개요!DB15)</f>
        <v/>
      </c>
      <c r="CM29" s="64" t="str">
        <f>IF(개요!DC15=0,"",개요!DC15)</f>
        <v/>
      </c>
      <c r="CN29" s="64" t="str">
        <f>IF(개요!DD15=0,"",개요!DD15)</f>
        <v/>
      </c>
      <c r="CO29" s="64" t="str">
        <f>IF(개요!DE15=0,"",개요!DE15)</f>
        <v/>
      </c>
      <c r="CP29" s="64" t="str">
        <f>IF(개요!DF15=0,"",개요!DF15)</f>
        <v/>
      </c>
      <c r="CQ29" s="64" t="str">
        <f>IF(개요!DG15=0,"",개요!DG15)</f>
        <v/>
      </c>
      <c r="CR29" s="64" t="str">
        <f>IF(개요!DH15=0,"",개요!DH15)</f>
        <v/>
      </c>
      <c r="CS29" s="64" t="str">
        <f>IF(개요!DI15=0,"",개요!DI15)</f>
        <v/>
      </c>
      <c r="CT29" s="64" t="str">
        <f>IF(개요!DJ15=0,"",개요!DJ15)</f>
        <v/>
      </c>
      <c r="CU29" s="64" t="str">
        <f>IF(개요!DK15=0,"",개요!DK15)</f>
        <v/>
      </c>
      <c r="CV29" s="64" t="str">
        <f>IF(개요!DL15=0,"",개요!DL15)</f>
        <v/>
      </c>
      <c r="CW29" s="64" t="str">
        <f>IF(개요!DM15=0,"",개요!DM15)</f>
        <v/>
      </c>
      <c r="CX29" s="64" t="str">
        <f>IF(개요!DN15=0,"",개요!DN15)</f>
        <v/>
      </c>
      <c r="CY29" s="65">
        <f t="shared" si="5"/>
        <v>305636912.0558548</v>
      </c>
      <c r="DB29" s="21"/>
      <c r="DC29" s="21"/>
      <c r="DD29" s="21"/>
      <c r="DE29" s="67"/>
      <c r="DF29" s="68"/>
      <c r="DG29" s="67"/>
      <c r="DH29" s="67"/>
      <c r="DI29" s="69"/>
      <c r="DJ29" s="69"/>
      <c r="DK29" s="69"/>
      <c r="DL29" s="69"/>
    </row>
    <row r="30" spans="1:116" ht="15" customHeight="1">
      <c r="A30" s="54">
        <v>9</v>
      </c>
      <c r="B30" s="63" t="str">
        <f>IF(개요!M16=0,"",개요!M16)</f>
        <v>임OO</v>
      </c>
      <c r="C30" s="64">
        <f>IF(개요!S16=0,"",개요!S16)</f>
        <v>-250000000</v>
      </c>
      <c r="D30" s="64" t="str">
        <f>IF(개요!T16=0,"",개요!T16)</f>
        <v/>
      </c>
      <c r="E30" s="64" t="str">
        <f>IF(개요!U16=0,"",개요!U16)</f>
        <v/>
      </c>
      <c r="F30" s="64" t="str">
        <f>IF(개요!V16=0,"",개요!V16)</f>
        <v/>
      </c>
      <c r="G30" s="64" t="str">
        <f>IF(개요!W16=0,"",개요!W16)</f>
        <v/>
      </c>
      <c r="H30" s="64" t="str">
        <f>IF(개요!X16=0,"",개요!X16)</f>
        <v/>
      </c>
      <c r="I30" s="64" t="str">
        <f>IF(개요!Y16=0,"",개요!Y16)</f>
        <v/>
      </c>
      <c r="J30" s="64" t="str">
        <f>IF(개요!Z16=0,"",개요!Z16)</f>
        <v/>
      </c>
      <c r="K30" s="64" t="str">
        <f>IF(개요!AA16=0,"",개요!AA16)</f>
        <v/>
      </c>
      <c r="L30" s="64" t="str">
        <f>IF(개요!AB16=0,"",개요!AB16)</f>
        <v/>
      </c>
      <c r="M30" s="64" t="str">
        <f>IF(개요!AC16=0,"",개요!AC16)</f>
        <v/>
      </c>
      <c r="N30" s="64" t="str">
        <f>IF(개요!AD16=0,"",개요!AD16)</f>
        <v/>
      </c>
      <c r="O30" s="64" t="str">
        <f>IF(개요!AE16=0,"",개요!AE16)</f>
        <v/>
      </c>
      <c r="P30" s="64" t="str">
        <f>IF(개요!AF16=0,"",개요!AF16)</f>
        <v/>
      </c>
      <c r="Q30" s="64" t="str">
        <f>IF(개요!AG16=0,"",개요!AG16)</f>
        <v/>
      </c>
      <c r="R30" s="64" t="str">
        <f>IF(개요!AH16=0,"",개요!AH16)</f>
        <v/>
      </c>
      <c r="S30" s="64" t="str">
        <f>IF(개요!AI16=0,"",개요!AI16)</f>
        <v/>
      </c>
      <c r="T30" s="64" t="str">
        <f>IF(개요!AJ16=0,"",개요!AJ16)</f>
        <v/>
      </c>
      <c r="U30" s="64" t="str">
        <f>IF(개요!AK16=0,"",개요!AK16)</f>
        <v/>
      </c>
      <c r="V30" s="64" t="str">
        <f>IF(개요!AL16=0,"",개요!AL16)</f>
        <v/>
      </c>
      <c r="W30" s="64" t="str">
        <f>IF(개요!AM16=0,"",개요!AM16)</f>
        <v/>
      </c>
      <c r="X30" s="64" t="str">
        <f>IF(개요!AN16=0,"",개요!AN16)</f>
        <v/>
      </c>
      <c r="Y30" s="64" t="str">
        <f>IF(개요!AO16=0,"",개요!AO16)</f>
        <v/>
      </c>
      <c r="Z30" s="64" t="str">
        <f>IF(개요!AP16=0,"",개요!AP16)</f>
        <v/>
      </c>
      <c r="AA30" s="64" t="str">
        <f>IF(개요!AQ16=0,"",개요!AQ16)</f>
        <v/>
      </c>
      <c r="AB30" s="64" t="str">
        <f>IF(개요!AR16=0,"",개요!AR16)</f>
        <v/>
      </c>
      <c r="AC30" s="64" t="str">
        <f>IF(개요!AS16=0,"",개요!AS16)</f>
        <v/>
      </c>
      <c r="AD30" s="64" t="str">
        <f>IF(개요!AT16=0,"",개요!AT16)</f>
        <v/>
      </c>
      <c r="AE30" s="64" t="str">
        <f>IF(개요!AU16=0,"",개요!AU16)</f>
        <v/>
      </c>
      <c r="AF30" s="64" t="str">
        <f>IF(개요!AV16=0,"",개요!AV16)</f>
        <v/>
      </c>
      <c r="AG30" s="64" t="str">
        <f>IF(개요!AW16=0,"",개요!AW16)</f>
        <v/>
      </c>
      <c r="AH30" s="64" t="str">
        <f>IF(개요!AX16=0,"",개요!AX16)</f>
        <v/>
      </c>
      <c r="AI30" s="64" t="str">
        <f>IF(개요!AY16=0,"",개요!AY16)</f>
        <v/>
      </c>
      <c r="AJ30" s="64" t="str">
        <f>IF(개요!AZ16=0,"",개요!AZ16)</f>
        <v/>
      </c>
      <c r="AK30" s="64" t="str">
        <f>IF(개요!BA16=0,"",개요!BA16)</f>
        <v/>
      </c>
      <c r="AL30" s="64" t="str">
        <f>IF(개요!BB16=0,"",개요!BB16)</f>
        <v/>
      </c>
      <c r="AM30" s="64" t="str">
        <f>IF(개요!BC16=0,"",개요!BC16)</f>
        <v/>
      </c>
      <c r="AN30" s="64" t="str">
        <f>IF(개요!BD16=0,"",개요!BD16)</f>
        <v/>
      </c>
      <c r="AO30" s="64" t="str">
        <f>IF(개요!BE16=0,"",개요!BE16)</f>
        <v/>
      </c>
      <c r="AP30" s="64" t="str">
        <f>IF(개요!BF16=0,"",개요!BF16)</f>
        <v/>
      </c>
      <c r="AQ30" s="64" t="str">
        <f>IF(개요!BG16=0,"",개요!BG16)</f>
        <v/>
      </c>
      <c r="AR30" s="64" t="str">
        <f>IF(개요!BH16=0,"",개요!BH16)</f>
        <v/>
      </c>
      <c r="AS30" s="64" t="str">
        <f>IF(개요!BI16=0,"",개요!BI16)</f>
        <v/>
      </c>
      <c r="AT30" s="64" t="str">
        <f>IF(개요!BJ16=0,"",개요!BJ16)</f>
        <v/>
      </c>
      <c r="AU30" s="64" t="str">
        <f>IF(개요!BK16=0,"",개요!BK16)</f>
        <v/>
      </c>
      <c r="AV30" s="64" t="str">
        <f>IF(개요!BL16=0,"",개요!BL16)</f>
        <v/>
      </c>
      <c r="AW30" s="64" t="str">
        <f>IF(개요!BM16=0,"",개요!BM16)</f>
        <v/>
      </c>
      <c r="AX30" s="64" t="str">
        <f>IF(개요!BN16=0,"",개요!BN16)</f>
        <v/>
      </c>
      <c r="AY30" s="64" t="str">
        <f>IF(개요!BO16=0,"",개요!BO16)</f>
        <v/>
      </c>
      <c r="AZ30" s="64" t="str">
        <f>IF(개요!BP16=0,"",개요!BP16)</f>
        <v/>
      </c>
      <c r="BA30" s="64" t="str">
        <f>IF(개요!BQ16=0,"",개요!BQ16)</f>
        <v/>
      </c>
      <c r="BB30" s="64" t="str">
        <f>IF(개요!BR16=0,"",개요!BR16)</f>
        <v/>
      </c>
      <c r="BC30" s="64" t="str">
        <f>IF(개요!BS16=0,"",개요!BS16)</f>
        <v/>
      </c>
      <c r="BD30" s="64" t="str">
        <f>IF(개요!BT16=0,"",개요!BT16)</f>
        <v/>
      </c>
      <c r="BE30" s="64" t="str">
        <f>IF(개요!BU16=0,"",개요!BU16)</f>
        <v/>
      </c>
      <c r="BF30" s="64" t="str">
        <f>IF(개요!BV16=0,"",개요!BV16)</f>
        <v/>
      </c>
      <c r="BG30" s="64" t="str">
        <f>IF(개요!BW16=0,"",개요!BW16)</f>
        <v/>
      </c>
      <c r="BH30" s="64" t="str">
        <f>IF(개요!BX16=0,"",개요!BX16)</f>
        <v/>
      </c>
      <c r="BI30" s="64" t="str">
        <f>IF(개요!BY16=0,"",개요!BY16)</f>
        <v/>
      </c>
      <c r="BJ30" s="64" t="str">
        <f>IF(개요!BZ16=0,"",개요!BZ16)</f>
        <v/>
      </c>
      <c r="BK30" s="64" t="str">
        <f>IF(개요!CA16=0,"",개요!CA16)</f>
        <v/>
      </c>
      <c r="BL30" s="64" t="str">
        <f>IF(개요!CB16=0,"",개요!CB16)</f>
        <v/>
      </c>
      <c r="BM30" s="64" t="str">
        <f>IF(개요!CC16=0,"",개요!CC16)</f>
        <v/>
      </c>
      <c r="BN30" s="64" t="str">
        <f>IF(개요!CD16=0,"",개요!CD16)</f>
        <v/>
      </c>
      <c r="BO30" s="64" t="str">
        <f>IF(개요!CE16=0,"",개요!CE16)</f>
        <v/>
      </c>
      <c r="BP30" s="64" t="str">
        <f>IF(개요!CF16=0,"",개요!CF16)</f>
        <v/>
      </c>
      <c r="BQ30" s="64" t="str">
        <f>IF(개요!CG16=0,"",개요!CG16)</f>
        <v/>
      </c>
      <c r="BR30" s="64" t="str">
        <f>IF(개요!CH16=0,"",개요!CH16)</f>
        <v/>
      </c>
      <c r="BS30" s="64" t="str">
        <f>IF(개요!CI16=0,"",개요!CI16)</f>
        <v/>
      </c>
      <c r="BT30" s="64" t="str">
        <f>IF(개요!CJ16=0,"",개요!CJ16)</f>
        <v/>
      </c>
      <c r="BU30" s="64" t="str">
        <f>IF(개요!CK16=0,"",개요!CK16)</f>
        <v/>
      </c>
      <c r="BV30" s="64" t="str">
        <f>IF(개요!CL16=0,"",개요!CL16)</f>
        <v/>
      </c>
      <c r="BW30" s="64" t="str">
        <f>IF(개요!CM16=0,"",개요!CM16)</f>
        <v/>
      </c>
      <c r="BX30" s="64" t="str">
        <f>IF(개요!CN16=0,"",개요!CN16)</f>
        <v/>
      </c>
      <c r="BY30" s="64" t="str">
        <f>IF(개요!CO16=0,"",개요!CO16)</f>
        <v/>
      </c>
      <c r="BZ30" s="64" t="str">
        <f>IF(개요!CP16=0,"",개요!CP16)</f>
        <v/>
      </c>
      <c r="CA30" s="64" t="str">
        <f>IF(개요!CQ16=0,"",개요!CQ16)</f>
        <v/>
      </c>
      <c r="CB30" s="64" t="str">
        <f>IF(개요!CR16=0,"",개요!CR16)</f>
        <v/>
      </c>
      <c r="CC30" s="64" t="str">
        <f>IF(개요!CS16=0,"",개요!CS16)</f>
        <v/>
      </c>
      <c r="CD30" s="64" t="str">
        <f>IF(개요!CT16=0,"",개요!CT16)</f>
        <v/>
      </c>
      <c r="CE30" s="64" t="str">
        <f>IF(개요!CU16=0,"",개요!CU16)</f>
        <v/>
      </c>
      <c r="CF30" s="64" t="str">
        <f>IF(개요!CV16=0,"",개요!CV16)</f>
        <v/>
      </c>
      <c r="CG30" s="64" t="str">
        <f>IF(개요!CW16=0,"",개요!CW16)</f>
        <v/>
      </c>
      <c r="CH30" s="64" t="str">
        <f>IF(개요!CX16=0,"",개요!CX16)</f>
        <v/>
      </c>
      <c r="CI30" s="64" t="str">
        <f>IF(개요!CY16=0,"",개요!CY16)</f>
        <v/>
      </c>
      <c r="CJ30" s="64" t="str">
        <f>IF(개요!CZ16=0,"",개요!CZ16)</f>
        <v/>
      </c>
      <c r="CK30" s="64" t="str">
        <f>IF(개요!DA16=0,"",개요!DA16)</f>
        <v/>
      </c>
      <c r="CL30" s="64" t="str">
        <f>IF(개요!DB16=0,"",개요!DB16)</f>
        <v/>
      </c>
      <c r="CM30" s="64" t="str">
        <f>IF(개요!DC16=0,"",개요!DC16)</f>
        <v/>
      </c>
      <c r="CN30" s="64" t="str">
        <f>IF(개요!DD16=0,"",개요!DD16)</f>
        <v/>
      </c>
      <c r="CO30" s="64" t="str">
        <f>IF(개요!DE16=0,"",개요!DE16)</f>
        <v/>
      </c>
      <c r="CP30" s="64" t="str">
        <f>IF(개요!DF16=0,"",개요!DF16)</f>
        <v/>
      </c>
      <c r="CQ30" s="64" t="str">
        <f>IF(개요!DG16=0,"",개요!DG16)</f>
        <v/>
      </c>
      <c r="CR30" s="64" t="str">
        <f>IF(개요!DH16=0,"",개요!DH16)</f>
        <v/>
      </c>
      <c r="CS30" s="64" t="str">
        <f>IF(개요!DI16=0,"",개요!DI16)</f>
        <v/>
      </c>
      <c r="CT30" s="64" t="str">
        <f>IF(개요!DJ16=0,"",개요!DJ16)</f>
        <v/>
      </c>
      <c r="CU30" s="64" t="str">
        <f>IF(개요!DK16=0,"",개요!DK16)</f>
        <v/>
      </c>
      <c r="CV30" s="64" t="str">
        <f>IF(개요!DL16=0,"",개요!DL16)</f>
        <v/>
      </c>
      <c r="CW30" s="64" t="str">
        <f>IF(개요!DM16=0,"",개요!DM16)</f>
        <v/>
      </c>
      <c r="CX30" s="64" t="str">
        <f>IF(개요!DN16=0,"",개요!DN16)</f>
        <v/>
      </c>
      <c r="CY30" s="65">
        <f t="shared" si="5"/>
        <v>305636912.0558548</v>
      </c>
      <c r="DB30" s="21"/>
      <c r="DC30" s="21"/>
      <c r="DD30" s="21"/>
      <c r="DE30" s="67"/>
      <c r="DF30" s="68"/>
      <c r="DG30" s="67"/>
      <c r="DH30" s="67"/>
      <c r="DI30" s="69"/>
      <c r="DJ30" s="69"/>
      <c r="DK30" s="69"/>
      <c r="DL30" s="69"/>
    </row>
    <row r="31" spans="1:116" ht="15" customHeight="1" thickBot="1">
      <c r="A31" s="54">
        <v>10</v>
      </c>
      <c r="B31" s="63" t="str">
        <f>IF(개요!M17=0,"",개요!M17)</f>
        <v>최OO</v>
      </c>
      <c r="C31" s="64">
        <f>IF(개요!S17=0,"",개요!S17)</f>
        <v>-250000000</v>
      </c>
      <c r="D31" s="64" t="str">
        <f>IF(개요!T17=0,"",개요!T17)</f>
        <v/>
      </c>
      <c r="E31" s="64" t="str">
        <f>IF(개요!U17=0,"",개요!U17)</f>
        <v/>
      </c>
      <c r="F31" s="64" t="str">
        <f>IF(개요!V17=0,"",개요!V17)</f>
        <v/>
      </c>
      <c r="G31" s="64" t="str">
        <f>IF(개요!W17=0,"",개요!W17)</f>
        <v/>
      </c>
      <c r="H31" s="64" t="str">
        <f>IF(개요!X17=0,"",개요!X17)</f>
        <v/>
      </c>
      <c r="I31" s="64" t="str">
        <f>IF(개요!Y17=0,"",개요!Y17)</f>
        <v/>
      </c>
      <c r="J31" s="64" t="str">
        <f>IF(개요!Z17=0,"",개요!Z17)</f>
        <v/>
      </c>
      <c r="K31" s="64" t="str">
        <f>IF(개요!AA17=0,"",개요!AA17)</f>
        <v/>
      </c>
      <c r="L31" s="64" t="str">
        <f>IF(개요!AB17=0,"",개요!AB17)</f>
        <v/>
      </c>
      <c r="M31" s="64" t="str">
        <f>IF(개요!AC17=0,"",개요!AC17)</f>
        <v/>
      </c>
      <c r="N31" s="64" t="str">
        <f>IF(개요!AD17=0,"",개요!AD17)</f>
        <v/>
      </c>
      <c r="O31" s="64" t="str">
        <f>IF(개요!AE17=0,"",개요!AE17)</f>
        <v/>
      </c>
      <c r="P31" s="64" t="str">
        <f>IF(개요!AF17=0,"",개요!AF17)</f>
        <v/>
      </c>
      <c r="Q31" s="64" t="str">
        <f>IF(개요!AG17=0,"",개요!AG17)</f>
        <v/>
      </c>
      <c r="R31" s="64" t="str">
        <f>IF(개요!AH17=0,"",개요!AH17)</f>
        <v/>
      </c>
      <c r="S31" s="64" t="str">
        <f>IF(개요!AI17=0,"",개요!AI17)</f>
        <v/>
      </c>
      <c r="T31" s="64" t="str">
        <f>IF(개요!AJ17=0,"",개요!AJ17)</f>
        <v/>
      </c>
      <c r="U31" s="64" t="str">
        <f>IF(개요!AK17=0,"",개요!AK17)</f>
        <v/>
      </c>
      <c r="V31" s="64" t="str">
        <f>IF(개요!AL17=0,"",개요!AL17)</f>
        <v/>
      </c>
      <c r="W31" s="64" t="str">
        <f>IF(개요!AM17=0,"",개요!AM17)</f>
        <v/>
      </c>
      <c r="X31" s="64" t="str">
        <f>IF(개요!AN17=0,"",개요!AN17)</f>
        <v/>
      </c>
      <c r="Y31" s="64" t="str">
        <f>IF(개요!AO17=0,"",개요!AO17)</f>
        <v/>
      </c>
      <c r="Z31" s="64" t="str">
        <f>IF(개요!AP17=0,"",개요!AP17)</f>
        <v/>
      </c>
      <c r="AA31" s="64" t="str">
        <f>IF(개요!AQ17=0,"",개요!AQ17)</f>
        <v/>
      </c>
      <c r="AB31" s="64" t="str">
        <f>IF(개요!AR17=0,"",개요!AR17)</f>
        <v/>
      </c>
      <c r="AC31" s="64" t="str">
        <f>IF(개요!AS17=0,"",개요!AS17)</f>
        <v/>
      </c>
      <c r="AD31" s="64" t="str">
        <f>IF(개요!AT17=0,"",개요!AT17)</f>
        <v/>
      </c>
      <c r="AE31" s="64" t="str">
        <f>IF(개요!AU17=0,"",개요!AU17)</f>
        <v/>
      </c>
      <c r="AF31" s="64" t="str">
        <f>IF(개요!AV17=0,"",개요!AV17)</f>
        <v/>
      </c>
      <c r="AG31" s="64" t="str">
        <f>IF(개요!AW17=0,"",개요!AW17)</f>
        <v/>
      </c>
      <c r="AH31" s="64" t="str">
        <f>IF(개요!AX17=0,"",개요!AX17)</f>
        <v/>
      </c>
      <c r="AI31" s="64" t="str">
        <f>IF(개요!AY17=0,"",개요!AY17)</f>
        <v/>
      </c>
      <c r="AJ31" s="64" t="str">
        <f>IF(개요!AZ17=0,"",개요!AZ17)</f>
        <v/>
      </c>
      <c r="AK31" s="64" t="str">
        <f>IF(개요!BA17=0,"",개요!BA17)</f>
        <v/>
      </c>
      <c r="AL31" s="64" t="str">
        <f>IF(개요!BB17=0,"",개요!BB17)</f>
        <v/>
      </c>
      <c r="AM31" s="64" t="str">
        <f>IF(개요!BC17=0,"",개요!BC17)</f>
        <v/>
      </c>
      <c r="AN31" s="64" t="str">
        <f>IF(개요!BD17=0,"",개요!BD17)</f>
        <v/>
      </c>
      <c r="AO31" s="64" t="str">
        <f>IF(개요!BE17=0,"",개요!BE17)</f>
        <v/>
      </c>
      <c r="AP31" s="64" t="str">
        <f>IF(개요!BF17=0,"",개요!BF17)</f>
        <v/>
      </c>
      <c r="AQ31" s="64" t="str">
        <f>IF(개요!BG17=0,"",개요!BG17)</f>
        <v/>
      </c>
      <c r="AR31" s="64" t="str">
        <f>IF(개요!BH17=0,"",개요!BH17)</f>
        <v/>
      </c>
      <c r="AS31" s="64" t="str">
        <f>IF(개요!BI17=0,"",개요!BI17)</f>
        <v/>
      </c>
      <c r="AT31" s="64" t="str">
        <f>IF(개요!BJ17=0,"",개요!BJ17)</f>
        <v/>
      </c>
      <c r="AU31" s="64" t="str">
        <f>IF(개요!BK17=0,"",개요!BK17)</f>
        <v/>
      </c>
      <c r="AV31" s="64" t="str">
        <f>IF(개요!BL17=0,"",개요!BL17)</f>
        <v/>
      </c>
      <c r="AW31" s="64" t="str">
        <f>IF(개요!BM17=0,"",개요!BM17)</f>
        <v/>
      </c>
      <c r="AX31" s="64" t="str">
        <f>IF(개요!BN17=0,"",개요!BN17)</f>
        <v/>
      </c>
      <c r="AY31" s="64" t="str">
        <f>IF(개요!BO17=0,"",개요!BO17)</f>
        <v/>
      </c>
      <c r="AZ31" s="64" t="str">
        <f>IF(개요!BP17=0,"",개요!BP17)</f>
        <v/>
      </c>
      <c r="BA31" s="64" t="str">
        <f>IF(개요!BQ17=0,"",개요!BQ17)</f>
        <v/>
      </c>
      <c r="BB31" s="64" t="str">
        <f>IF(개요!BR17=0,"",개요!BR17)</f>
        <v/>
      </c>
      <c r="BC31" s="64" t="str">
        <f>IF(개요!BS17=0,"",개요!BS17)</f>
        <v/>
      </c>
      <c r="BD31" s="64" t="str">
        <f>IF(개요!BT17=0,"",개요!BT17)</f>
        <v/>
      </c>
      <c r="BE31" s="64" t="str">
        <f>IF(개요!BU17=0,"",개요!BU17)</f>
        <v/>
      </c>
      <c r="BF31" s="64" t="str">
        <f>IF(개요!BV17=0,"",개요!BV17)</f>
        <v/>
      </c>
      <c r="BG31" s="64" t="str">
        <f>IF(개요!BW17=0,"",개요!BW17)</f>
        <v/>
      </c>
      <c r="BH31" s="64" t="str">
        <f>IF(개요!BX17=0,"",개요!BX17)</f>
        <v/>
      </c>
      <c r="BI31" s="64" t="str">
        <f>IF(개요!BY17=0,"",개요!BY17)</f>
        <v/>
      </c>
      <c r="BJ31" s="64" t="str">
        <f>IF(개요!BZ17=0,"",개요!BZ17)</f>
        <v/>
      </c>
      <c r="BK31" s="64" t="str">
        <f>IF(개요!CA17=0,"",개요!CA17)</f>
        <v/>
      </c>
      <c r="BL31" s="64" t="str">
        <f>IF(개요!CB17=0,"",개요!CB17)</f>
        <v/>
      </c>
      <c r="BM31" s="64" t="str">
        <f>IF(개요!CC17=0,"",개요!CC17)</f>
        <v/>
      </c>
      <c r="BN31" s="64" t="str">
        <f>IF(개요!CD17=0,"",개요!CD17)</f>
        <v/>
      </c>
      <c r="BO31" s="64" t="str">
        <f>IF(개요!CE17=0,"",개요!CE17)</f>
        <v/>
      </c>
      <c r="BP31" s="64" t="str">
        <f>IF(개요!CF17=0,"",개요!CF17)</f>
        <v/>
      </c>
      <c r="BQ31" s="64" t="str">
        <f>IF(개요!CG17=0,"",개요!CG17)</f>
        <v/>
      </c>
      <c r="BR31" s="64" t="str">
        <f>IF(개요!CH17=0,"",개요!CH17)</f>
        <v/>
      </c>
      <c r="BS31" s="64" t="str">
        <f>IF(개요!CI17=0,"",개요!CI17)</f>
        <v/>
      </c>
      <c r="BT31" s="64" t="str">
        <f>IF(개요!CJ17=0,"",개요!CJ17)</f>
        <v/>
      </c>
      <c r="BU31" s="64" t="str">
        <f>IF(개요!CK17=0,"",개요!CK17)</f>
        <v/>
      </c>
      <c r="BV31" s="64" t="str">
        <f>IF(개요!CL17=0,"",개요!CL17)</f>
        <v/>
      </c>
      <c r="BW31" s="64" t="str">
        <f>IF(개요!CM17=0,"",개요!CM17)</f>
        <v/>
      </c>
      <c r="BX31" s="64" t="str">
        <f>IF(개요!CN17=0,"",개요!CN17)</f>
        <v/>
      </c>
      <c r="BY31" s="64" t="str">
        <f>IF(개요!CO17=0,"",개요!CO17)</f>
        <v/>
      </c>
      <c r="BZ31" s="64" t="str">
        <f>IF(개요!CP17=0,"",개요!CP17)</f>
        <v/>
      </c>
      <c r="CA31" s="64" t="str">
        <f>IF(개요!CQ17=0,"",개요!CQ17)</f>
        <v/>
      </c>
      <c r="CB31" s="64" t="str">
        <f>IF(개요!CR17=0,"",개요!CR17)</f>
        <v/>
      </c>
      <c r="CC31" s="64" t="str">
        <f>IF(개요!CS17=0,"",개요!CS17)</f>
        <v/>
      </c>
      <c r="CD31" s="64" t="str">
        <f>IF(개요!CT17=0,"",개요!CT17)</f>
        <v/>
      </c>
      <c r="CE31" s="64" t="str">
        <f>IF(개요!CU17=0,"",개요!CU17)</f>
        <v/>
      </c>
      <c r="CF31" s="64" t="str">
        <f>IF(개요!CV17=0,"",개요!CV17)</f>
        <v/>
      </c>
      <c r="CG31" s="64" t="str">
        <f>IF(개요!CW17=0,"",개요!CW17)</f>
        <v/>
      </c>
      <c r="CH31" s="64" t="str">
        <f>IF(개요!CX17=0,"",개요!CX17)</f>
        <v/>
      </c>
      <c r="CI31" s="64" t="str">
        <f>IF(개요!CY17=0,"",개요!CY17)</f>
        <v/>
      </c>
      <c r="CJ31" s="64" t="str">
        <f>IF(개요!CZ17=0,"",개요!CZ17)</f>
        <v/>
      </c>
      <c r="CK31" s="64" t="str">
        <f>IF(개요!DA17=0,"",개요!DA17)</f>
        <v/>
      </c>
      <c r="CL31" s="64" t="str">
        <f>IF(개요!DB17=0,"",개요!DB17)</f>
        <v/>
      </c>
      <c r="CM31" s="64" t="str">
        <f>IF(개요!DC17=0,"",개요!DC17)</f>
        <v/>
      </c>
      <c r="CN31" s="64" t="str">
        <f>IF(개요!DD17=0,"",개요!DD17)</f>
        <v/>
      </c>
      <c r="CO31" s="64" t="str">
        <f>IF(개요!DE17=0,"",개요!DE17)</f>
        <v/>
      </c>
      <c r="CP31" s="64" t="str">
        <f>IF(개요!DF17=0,"",개요!DF17)</f>
        <v/>
      </c>
      <c r="CQ31" s="64" t="str">
        <f>IF(개요!DG17=0,"",개요!DG17)</f>
        <v/>
      </c>
      <c r="CR31" s="64" t="str">
        <f>IF(개요!DH17=0,"",개요!DH17)</f>
        <v/>
      </c>
      <c r="CS31" s="64" t="str">
        <f>IF(개요!DI17=0,"",개요!DI17)</f>
        <v/>
      </c>
      <c r="CT31" s="64" t="str">
        <f>IF(개요!DJ17=0,"",개요!DJ17)</f>
        <v/>
      </c>
      <c r="CU31" s="64" t="str">
        <f>IF(개요!DK17=0,"",개요!DK17)</f>
        <v/>
      </c>
      <c r="CV31" s="64" t="str">
        <f>IF(개요!DL17=0,"",개요!DL17)</f>
        <v/>
      </c>
      <c r="CW31" s="64" t="str">
        <f>IF(개요!DM17=0,"",개요!DM17)</f>
        <v/>
      </c>
      <c r="CX31" s="64" t="str">
        <f>IF(개요!DN17=0,"",개요!DN17)</f>
        <v/>
      </c>
      <c r="CY31" s="65">
        <f t="shared" si="5"/>
        <v>305636912.0558548</v>
      </c>
      <c r="DB31" s="21"/>
      <c r="DC31" s="21"/>
      <c r="DD31" s="21"/>
      <c r="DE31" s="67"/>
      <c r="DF31" s="68"/>
      <c r="DG31" s="67"/>
      <c r="DH31" s="67"/>
      <c r="DI31" s="69"/>
      <c r="DJ31" s="69"/>
      <c r="DK31" s="69"/>
      <c r="DL31" s="69"/>
    </row>
    <row r="32" spans="1:116" ht="15" hidden="1" customHeight="1" outlineLevel="1">
      <c r="A32" s="54">
        <v>11</v>
      </c>
      <c r="B32" s="63" t="str">
        <f>IF(개요!M18=0,"",개요!M18)</f>
        <v>한OO</v>
      </c>
      <c r="C32" s="64">
        <f>IF(개요!S18=0,"",개요!S18)</f>
        <v>-250000000</v>
      </c>
      <c r="D32" s="64" t="str">
        <f>IF(개요!T18=0,"",개요!T18)</f>
        <v/>
      </c>
      <c r="E32" s="64" t="str">
        <f>IF(개요!U18=0,"",개요!U18)</f>
        <v/>
      </c>
      <c r="F32" s="64" t="str">
        <f>IF(개요!V18=0,"",개요!V18)</f>
        <v/>
      </c>
      <c r="G32" s="64" t="str">
        <f>IF(개요!W18=0,"",개요!W18)</f>
        <v/>
      </c>
      <c r="H32" s="64" t="str">
        <f>IF(개요!X18=0,"",개요!X18)</f>
        <v/>
      </c>
      <c r="I32" s="64" t="str">
        <f>IF(개요!Y18=0,"",개요!Y18)</f>
        <v/>
      </c>
      <c r="J32" s="64" t="str">
        <f>IF(개요!Z18=0,"",개요!Z18)</f>
        <v/>
      </c>
      <c r="K32" s="64" t="str">
        <f>IF(개요!AA18=0,"",개요!AA18)</f>
        <v/>
      </c>
      <c r="L32" s="64" t="str">
        <f>IF(개요!AB18=0,"",개요!AB18)</f>
        <v/>
      </c>
      <c r="M32" s="64" t="str">
        <f>IF(개요!AC18=0,"",개요!AC18)</f>
        <v/>
      </c>
      <c r="N32" s="64" t="str">
        <f>IF(개요!AD18=0,"",개요!AD18)</f>
        <v/>
      </c>
      <c r="O32" s="64" t="str">
        <f>IF(개요!AE18=0,"",개요!AE18)</f>
        <v/>
      </c>
      <c r="P32" s="64" t="str">
        <f>IF(개요!AF18=0,"",개요!AF18)</f>
        <v/>
      </c>
      <c r="Q32" s="64" t="str">
        <f>IF(개요!AG18=0,"",개요!AG18)</f>
        <v/>
      </c>
      <c r="R32" s="64" t="str">
        <f>IF(개요!AH18=0,"",개요!AH18)</f>
        <v/>
      </c>
      <c r="S32" s="64" t="str">
        <f>IF(개요!AI18=0,"",개요!AI18)</f>
        <v/>
      </c>
      <c r="T32" s="64" t="str">
        <f>IF(개요!AJ18=0,"",개요!AJ18)</f>
        <v/>
      </c>
      <c r="U32" s="64" t="str">
        <f>IF(개요!AK18=0,"",개요!AK18)</f>
        <v/>
      </c>
      <c r="V32" s="64" t="str">
        <f>IF(개요!AL18=0,"",개요!AL18)</f>
        <v/>
      </c>
      <c r="W32" s="64" t="str">
        <f>IF(개요!AM18=0,"",개요!AM18)</f>
        <v/>
      </c>
      <c r="X32" s="64" t="str">
        <f>IF(개요!AN18=0,"",개요!AN18)</f>
        <v/>
      </c>
      <c r="Y32" s="64" t="str">
        <f>IF(개요!AO18=0,"",개요!AO18)</f>
        <v/>
      </c>
      <c r="Z32" s="64" t="str">
        <f>IF(개요!AP18=0,"",개요!AP18)</f>
        <v/>
      </c>
      <c r="AA32" s="64" t="str">
        <f>IF(개요!AQ18=0,"",개요!AQ18)</f>
        <v/>
      </c>
      <c r="AB32" s="64" t="str">
        <f>IF(개요!AR18=0,"",개요!AR18)</f>
        <v/>
      </c>
      <c r="AC32" s="64" t="str">
        <f>IF(개요!AS18=0,"",개요!AS18)</f>
        <v/>
      </c>
      <c r="AD32" s="64" t="str">
        <f>IF(개요!AT18=0,"",개요!AT18)</f>
        <v/>
      </c>
      <c r="AE32" s="64" t="str">
        <f>IF(개요!AU18=0,"",개요!AU18)</f>
        <v/>
      </c>
      <c r="AF32" s="64" t="str">
        <f>IF(개요!AV18=0,"",개요!AV18)</f>
        <v/>
      </c>
      <c r="AG32" s="64" t="str">
        <f>IF(개요!AW18=0,"",개요!AW18)</f>
        <v/>
      </c>
      <c r="AH32" s="64" t="str">
        <f>IF(개요!AX18=0,"",개요!AX18)</f>
        <v/>
      </c>
      <c r="AI32" s="64" t="str">
        <f>IF(개요!AY18=0,"",개요!AY18)</f>
        <v/>
      </c>
      <c r="AJ32" s="64" t="str">
        <f>IF(개요!AZ18=0,"",개요!AZ18)</f>
        <v/>
      </c>
      <c r="AK32" s="64" t="str">
        <f>IF(개요!BA18=0,"",개요!BA18)</f>
        <v/>
      </c>
      <c r="AL32" s="64" t="str">
        <f>IF(개요!BB18=0,"",개요!BB18)</f>
        <v/>
      </c>
      <c r="AM32" s="64" t="str">
        <f>IF(개요!BC18=0,"",개요!BC18)</f>
        <v/>
      </c>
      <c r="AN32" s="64" t="str">
        <f>IF(개요!BD18=0,"",개요!BD18)</f>
        <v/>
      </c>
      <c r="AO32" s="64" t="str">
        <f>IF(개요!BE18=0,"",개요!BE18)</f>
        <v/>
      </c>
      <c r="AP32" s="64" t="str">
        <f>IF(개요!BF18=0,"",개요!BF18)</f>
        <v/>
      </c>
      <c r="AQ32" s="64" t="str">
        <f>IF(개요!BG18=0,"",개요!BG18)</f>
        <v/>
      </c>
      <c r="AR32" s="64" t="str">
        <f>IF(개요!BH18=0,"",개요!BH18)</f>
        <v/>
      </c>
      <c r="AS32" s="64" t="str">
        <f>IF(개요!BI18=0,"",개요!BI18)</f>
        <v/>
      </c>
      <c r="AT32" s="64" t="str">
        <f>IF(개요!BJ18=0,"",개요!BJ18)</f>
        <v/>
      </c>
      <c r="AU32" s="64" t="str">
        <f>IF(개요!BK18=0,"",개요!BK18)</f>
        <v/>
      </c>
      <c r="AV32" s="64" t="str">
        <f>IF(개요!BL18=0,"",개요!BL18)</f>
        <v/>
      </c>
      <c r="AW32" s="64" t="str">
        <f>IF(개요!BM18=0,"",개요!BM18)</f>
        <v/>
      </c>
      <c r="AX32" s="64" t="str">
        <f>IF(개요!BN18=0,"",개요!BN18)</f>
        <v/>
      </c>
      <c r="AY32" s="64" t="str">
        <f>IF(개요!BO18=0,"",개요!BO18)</f>
        <v/>
      </c>
      <c r="AZ32" s="64" t="str">
        <f>IF(개요!BP18=0,"",개요!BP18)</f>
        <v/>
      </c>
      <c r="BA32" s="64" t="str">
        <f>IF(개요!BQ18=0,"",개요!BQ18)</f>
        <v/>
      </c>
      <c r="BB32" s="64" t="str">
        <f>IF(개요!BR18=0,"",개요!BR18)</f>
        <v/>
      </c>
      <c r="BC32" s="64" t="str">
        <f>IF(개요!BS18=0,"",개요!BS18)</f>
        <v/>
      </c>
      <c r="BD32" s="64" t="str">
        <f>IF(개요!BT18=0,"",개요!BT18)</f>
        <v/>
      </c>
      <c r="BE32" s="64" t="str">
        <f>IF(개요!BU18=0,"",개요!BU18)</f>
        <v/>
      </c>
      <c r="BF32" s="64" t="str">
        <f>IF(개요!BV18=0,"",개요!BV18)</f>
        <v/>
      </c>
      <c r="BG32" s="64" t="str">
        <f>IF(개요!BW18=0,"",개요!BW18)</f>
        <v/>
      </c>
      <c r="BH32" s="64" t="str">
        <f>IF(개요!BX18=0,"",개요!BX18)</f>
        <v/>
      </c>
      <c r="BI32" s="64" t="str">
        <f>IF(개요!BY18=0,"",개요!BY18)</f>
        <v/>
      </c>
      <c r="BJ32" s="64" t="str">
        <f>IF(개요!BZ18=0,"",개요!BZ18)</f>
        <v/>
      </c>
      <c r="BK32" s="64" t="str">
        <f>IF(개요!CA18=0,"",개요!CA18)</f>
        <v/>
      </c>
      <c r="BL32" s="64" t="str">
        <f>IF(개요!CB18=0,"",개요!CB18)</f>
        <v/>
      </c>
      <c r="BM32" s="64" t="str">
        <f>IF(개요!CC18=0,"",개요!CC18)</f>
        <v/>
      </c>
      <c r="BN32" s="64" t="str">
        <f>IF(개요!CD18=0,"",개요!CD18)</f>
        <v/>
      </c>
      <c r="BO32" s="64" t="str">
        <f>IF(개요!CE18=0,"",개요!CE18)</f>
        <v/>
      </c>
      <c r="BP32" s="64" t="str">
        <f>IF(개요!CF18=0,"",개요!CF18)</f>
        <v/>
      </c>
      <c r="BQ32" s="64" t="str">
        <f>IF(개요!CG18=0,"",개요!CG18)</f>
        <v/>
      </c>
      <c r="BR32" s="64" t="str">
        <f>IF(개요!CH18=0,"",개요!CH18)</f>
        <v/>
      </c>
      <c r="BS32" s="64" t="str">
        <f>IF(개요!CI18=0,"",개요!CI18)</f>
        <v/>
      </c>
      <c r="BT32" s="64" t="str">
        <f>IF(개요!CJ18=0,"",개요!CJ18)</f>
        <v/>
      </c>
      <c r="BU32" s="64" t="str">
        <f>IF(개요!CK18=0,"",개요!CK18)</f>
        <v/>
      </c>
      <c r="BV32" s="64" t="str">
        <f>IF(개요!CL18=0,"",개요!CL18)</f>
        <v/>
      </c>
      <c r="BW32" s="64" t="str">
        <f>IF(개요!CM18=0,"",개요!CM18)</f>
        <v/>
      </c>
      <c r="BX32" s="64" t="str">
        <f>IF(개요!CN18=0,"",개요!CN18)</f>
        <v/>
      </c>
      <c r="BY32" s="64" t="str">
        <f>IF(개요!CO18=0,"",개요!CO18)</f>
        <v/>
      </c>
      <c r="BZ32" s="64" t="str">
        <f>IF(개요!CP18=0,"",개요!CP18)</f>
        <v/>
      </c>
      <c r="CA32" s="64" t="str">
        <f>IF(개요!CQ18=0,"",개요!CQ18)</f>
        <v/>
      </c>
      <c r="CB32" s="64" t="str">
        <f>IF(개요!CR18=0,"",개요!CR18)</f>
        <v/>
      </c>
      <c r="CC32" s="64" t="str">
        <f>IF(개요!CS18=0,"",개요!CS18)</f>
        <v/>
      </c>
      <c r="CD32" s="64" t="str">
        <f>IF(개요!CT18=0,"",개요!CT18)</f>
        <v/>
      </c>
      <c r="CE32" s="64" t="str">
        <f>IF(개요!CU18=0,"",개요!CU18)</f>
        <v/>
      </c>
      <c r="CF32" s="64" t="str">
        <f>IF(개요!CV18=0,"",개요!CV18)</f>
        <v/>
      </c>
      <c r="CG32" s="64" t="str">
        <f>IF(개요!CW18=0,"",개요!CW18)</f>
        <v/>
      </c>
      <c r="CH32" s="64" t="str">
        <f>IF(개요!CX18=0,"",개요!CX18)</f>
        <v/>
      </c>
      <c r="CI32" s="64" t="str">
        <f>IF(개요!CY18=0,"",개요!CY18)</f>
        <v/>
      </c>
      <c r="CJ32" s="64" t="str">
        <f>IF(개요!CZ18=0,"",개요!CZ18)</f>
        <v/>
      </c>
      <c r="CK32" s="64" t="str">
        <f>IF(개요!DA18=0,"",개요!DA18)</f>
        <v/>
      </c>
      <c r="CL32" s="64" t="str">
        <f>IF(개요!DB18=0,"",개요!DB18)</f>
        <v/>
      </c>
      <c r="CM32" s="64" t="str">
        <f>IF(개요!DC18=0,"",개요!DC18)</f>
        <v/>
      </c>
      <c r="CN32" s="64" t="str">
        <f>IF(개요!DD18=0,"",개요!DD18)</f>
        <v/>
      </c>
      <c r="CO32" s="64" t="str">
        <f>IF(개요!DE18=0,"",개요!DE18)</f>
        <v/>
      </c>
      <c r="CP32" s="64" t="str">
        <f>IF(개요!DF18=0,"",개요!DF18)</f>
        <v/>
      </c>
      <c r="CQ32" s="64" t="str">
        <f>IF(개요!DG18=0,"",개요!DG18)</f>
        <v/>
      </c>
      <c r="CR32" s="64" t="str">
        <f>IF(개요!DH18=0,"",개요!DH18)</f>
        <v/>
      </c>
      <c r="CS32" s="64" t="str">
        <f>IF(개요!DI18=0,"",개요!DI18)</f>
        <v/>
      </c>
      <c r="CT32" s="64" t="str">
        <f>IF(개요!DJ18=0,"",개요!DJ18)</f>
        <v/>
      </c>
      <c r="CU32" s="64" t="str">
        <f>IF(개요!DK18=0,"",개요!DK18)</f>
        <v/>
      </c>
      <c r="CV32" s="64" t="str">
        <f>IF(개요!DL18=0,"",개요!DL18)</f>
        <v/>
      </c>
      <c r="CW32" s="64" t="str">
        <f>IF(개요!DM18=0,"",개요!DM18)</f>
        <v/>
      </c>
      <c r="CX32" s="64" t="str">
        <f>IF(개요!DN18=0,"",개요!DN18)</f>
        <v/>
      </c>
      <c r="CY32" s="65">
        <f t="shared" si="5"/>
        <v>305636912.0558548</v>
      </c>
      <c r="DB32" s="21"/>
      <c r="DC32" s="21"/>
      <c r="DD32" s="21"/>
      <c r="DE32" s="67"/>
      <c r="DF32" s="68"/>
      <c r="DG32" s="67"/>
      <c r="DH32" s="67"/>
      <c r="DI32" s="69"/>
      <c r="DJ32" s="69"/>
      <c r="DK32" s="69"/>
      <c r="DL32" s="69"/>
    </row>
    <row r="33" spans="1:116" ht="15" hidden="1" customHeight="1" outlineLevel="1">
      <c r="A33" s="54">
        <v>12</v>
      </c>
      <c r="B33" s="63" t="str">
        <f>IF(개요!M19=0,"",개요!M19)</f>
        <v/>
      </c>
      <c r="C33" s="64" t="str">
        <f>IF(개요!S19=0,"",개요!S19)</f>
        <v/>
      </c>
      <c r="D33" s="64" t="str">
        <f>IF(개요!T19=0,"",개요!T19)</f>
        <v/>
      </c>
      <c r="E33" s="64" t="str">
        <f>IF(개요!U19=0,"",개요!U19)</f>
        <v/>
      </c>
      <c r="F33" s="64" t="str">
        <f>IF(개요!V19=0,"",개요!V19)</f>
        <v/>
      </c>
      <c r="G33" s="64" t="str">
        <f>IF(개요!W19=0,"",개요!W19)</f>
        <v/>
      </c>
      <c r="H33" s="64" t="str">
        <f>IF(개요!X19=0,"",개요!X19)</f>
        <v/>
      </c>
      <c r="I33" s="64" t="str">
        <f>IF(개요!Y19=0,"",개요!Y19)</f>
        <v/>
      </c>
      <c r="J33" s="64" t="str">
        <f>IF(개요!Z19=0,"",개요!Z19)</f>
        <v/>
      </c>
      <c r="K33" s="64" t="str">
        <f>IF(개요!AA19=0,"",개요!AA19)</f>
        <v/>
      </c>
      <c r="L33" s="64" t="str">
        <f>IF(개요!AB19=0,"",개요!AB19)</f>
        <v/>
      </c>
      <c r="M33" s="64" t="str">
        <f>IF(개요!AC19=0,"",개요!AC19)</f>
        <v/>
      </c>
      <c r="N33" s="64" t="str">
        <f>IF(개요!AD19=0,"",개요!AD19)</f>
        <v/>
      </c>
      <c r="O33" s="64" t="str">
        <f>IF(개요!AE19=0,"",개요!AE19)</f>
        <v/>
      </c>
      <c r="P33" s="64" t="str">
        <f>IF(개요!AF19=0,"",개요!AF19)</f>
        <v/>
      </c>
      <c r="Q33" s="64" t="str">
        <f>IF(개요!AG19=0,"",개요!AG19)</f>
        <v/>
      </c>
      <c r="R33" s="64" t="str">
        <f>IF(개요!AH19=0,"",개요!AH19)</f>
        <v/>
      </c>
      <c r="S33" s="64" t="str">
        <f>IF(개요!AI19=0,"",개요!AI19)</f>
        <v/>
      </c>
      <c r="T33" s="64" t="str">
        <f>IF(개요!AJ19=0,"",개요!AJ19)</f>
        <v/>
      </c>
      <c r="U33" s="64" t="str">
        <f>IF(개요!AK19=0,"",개요!AK19)</f>
        <v/>
      </c>
      <c r="V33" s="64" t="str">
        <f>IF(개요!AL19=0,"",개요!AL19)</f>
        <v/>
      </c>
      <c r="W33" s="64" t="str">
        <f>IF(개요!AM19=0,"",개요!AM19)</f>
        <v/>
      </c>
      <c r="X33" s="64" t="str">
        <f>IF(개요!AN19=0,"",개요!AN19)</f>
        <v/>
      </c>
      <c r="Y33" s="64" t="str">
        <f>IF(개요!AO19=0,"",개요!AO19)</f>
        <v/>
      </c>
      <c r="Z33" s="64" t="str">
        <f>IF(개요!AP19=0,"",개요!AP19)</f>
        <v/>
      </c>
      <c r="AA33" s="64" t="str">
        <f>IF(개요!AQ19=0,"",개요!AQ19)</f>
        <v/>
      </c>
      <c r="AB33" s="64" t="str">
        <f>IF(개요!AR19=0,"",개요!AR19)</f>
        <v/>
      </c>
      <c r="AC33" s="64" t="str">
        <f>IF(개요!AS19=0,"",개요!AS19)</f>
        <v/>
      </c>
      <c r="AD33" s="64" t="str">
        <f>IF(개요!AT19=0,"",개요!AT19)</f>
        <v/>
      </c>
      <c r="AE33" s="64" t="str">
        <f>IF(개요!AU19=0,"",개요!AU19)</f>
        <v/>
      </c>
      <c r="AF33" s="64" t="str">
        <f>IF(개요!AV19=0,"",개요!AV19)</f>
        <v/>
      </c>
      <c r="AG33" s="64" t="str">
        <f>IF(개요!AW19=0,"",개요!AW19)</f>
        <v/>
      </c>
      <c r="AH33" s="64" t="str">
        <f>IF(개요!AX19=0,"",개요!AX19)</f>
        <v/>
      </c>
      <c r="AI33" s="64" t="str">
        <f>IF(개요!AY19=0,"",개요!AY19)</f>
        <v/>
      </c>
      <c r="AJ33" s="64" t="str">
        <f>IF(개요!AZ19=0,"",개요!AZ19)</f>
        <v/>
      </c>
      <c r="AK33" s="64" t="str">
        <f>IF(개요!BA19=0,"",개요!BA19)</f>
        <v/>
      </c>
      <c r="AL33" s="64" t="str">
        <f>IF(개요!BB19=0,"",개요!BB19)</f>
        <v/>
      </c>
      <c r="AM33" s="64" t="str">
        <f>IF(개요!BC19=0,"",개요!BC19)</f>
        <v/>
      </c>
      <c r="AN33" s="64" t="str">
        <f>IF(개요!BD19=0,"",개요!BD19)</f>
        <v/>
      </c>
      <c r="AO33" s="64" t="str">
        <f>IF(개요!BE19=0,"",개요!BE19)</f>
        <v/>
      </c>
      <c r="AP33" s="64" t="str">
        <f>IF(개요!BF19=0,"",개요!BF19)</f>
        <v/>
      </c>
      <c r="AQ33" s="64" t="str">
        <f>IF(개요!BG19=0,"",개요!BG19)</f>
        <v/>
      </c>
      <c r="AR33" s="64" t="str">
        <f>IF(개요!BH19=0,"",개요!BH19)</f>
        <v/>
      </c>
      <c r="AS33" s="64" t="str">
        <f>IF(개요!BI19=0,"",개요!BI19)</f>
        <v/>
      </c>
      <c r="AT33" s="64" t="str">
        <f>IF(개요!BJ19=0,"",개요!BJ19)</f>
        <v/>
      </c>
      <c r="AU33" s="64" t="str">
        <f>IF(개요!BK19=0,"",개요!BK19)</f>
        <v/>
      </c>
      <c r="AV33" s="64" t="str">
        <f>IF(개요!BL19=0,"",개요!BL19)</f>
        <v/>
      </c>
      <c r="AW33" s="64" t="str">
        <f>IF(개요!BM19=0,"",개요!BM19)</f>
        <v/>
      </c>
      <c r="AX33" s="64" t="str">
        <f>IF(개요!BN19=0,"",개요!BN19)</f>
        <v/>
      </c>
      <c r="AY33" s="64" t="str">
        <f>IF(개요!BO19=0,"",개요!BO19)</f>
        <v/>
      </c>
      <c r="AZ33" s="64" t="str">
        <f>IF(개요!BP19=0,"",개요!BP19)</f>
        <v/>
      </c>
      <c r="BA33" s="64" t="str">
        <f>IF(개요!BQ19=0,"",개요!BQ19)</f>
        <v/>
      </c>
      <c r="BB33" s="64" t="str">
        <f>IF(개요!BR19=0,"",개요!BR19)</f>
        <v/>
      </c>
      <c r="BC33" s="64" t="str">
        <f>IF(개요!BS19=0,"",개요!BS19)</f>
        <v/>
      </c>
      <c r="BD33" s="64" t="str">
        <f>IF(개요!BT19=0,"",개요!BT19)</f>
        <v/>
      </c>
      <c r="BE33" s="64" t="str">
        <f>IF(개요!BU19=0,"",개요!BU19)</f>
        <v/>
      </c>
      <c r="BF33" s="64" t="str">
        <f>IF(개요!BV19=0,"",개요!BV19)</f>
        <v/>
      </c>
      <c r="BG33" s="64" t="str">
        <f>IF(개요!BW19=0,"",개요!BW19)</f>
        <v/>
      </c>
      <c r="BH33" s="64" t="str">
        <f>IF(개요!BX19=0,"",개요!BX19)</f>
        <v/>
      </c>
      <c r="BI33" s="64" t="str">
        <f>IF(개요!BY19=0,"",개요!BY19)</f>
        <v/>
      </c>
      <c r="BJ33" s="64" t="str">
        <f>IF(개요!BZ19=0,"",개요!BZ19)</f>
        <v/>
      </c>
      <c r="BK33" s="64" t="str">
        <f>IF(개요!CA19=0,"",개요!CA19)</f>
        <v/>
      </c>
      <c r="BL33" s="64" t="str">
        <f>IF(개요!CB19=0,"",개요!CB19)</f>
        <v/>
      </c>
      <c r="BM33" s="64" t="str">
        <f>IF(개요!CC19=0,"",개요!CC19)</f>
        <v/>
      </c>
      <c r="BN33" s="64" t="str">
        <f>IF(개요!CD19=0,"",개요!CD19)</f>
        <v/>
      </c>
      <c r="BO33" s="64" t="str">
        <f>IF(개요!CE19=0,"",개요!CE19)</f>
        <v/>
      </c>
      <c r="BP33" s="64" t="str">
        <f>IF(개요!CF19=0,"",개요!CF19)</f>
        <v/>
      </c>
      <c r="BQ33" s="64" t="str">
        <f>IF(개요!CG19=0,"",개요!CG19)</f>
        <v/>
      </c>
      <c r="BR33" s="64" t="str">
        <f>IF(개요!CH19=0,"",개요!CH19)</f>
        <v/>
      </c>
      <c r="BS33" s="64" t="str">
        <f>IF(개요!CI19=0,"",개요!CI19)</f>
        <v/>
      </c>
      <c r="BT33" s="64" t="str">
        <f>IF(개요!CJ19=0,"",개요!CJ19)</f>
        <v/>
      </c>
      <c r="BU33" s="64" t="str">
        <f>IF(개요!CK19=0,"",개요!CK19)</f>
        <v/>
      </c>
      <c r="BV33" s="64" t="str">
        <f>IF(개요!CL19=0,"",개요!CL19)</f>
        <v/>
      </c>
      <c r="BW33" s="64" t="str">
        <f>IF(개요!CM19=0,"",개요!CM19)</f>
        <v/>
      </c>
      <c r="BX33" s="64" t="str">
        <f>IF(개요!CN19=0,"",개요!CN19)</f>
        <v/>
      </c>
      <c r="BY33" s="64" t="str">
        <f>IF(개요!CO19=0,"",개요!CO19)</f>
        <v/>
      </c>
      <c r="BZ33" s="64" t="str">
        <f>IF(개요!CP19=0,"",개요!CP19)</f>
        <v/>
      </c>
      <c r="CA33" s="64" t="str">
        <f>IF(개요!CQ19=0,"",개요!CQ19)</f>
        <v/>
      </c>
      <c r="CB33" s="64" t="str">
        <f>IF(개요!CR19=0,"",개요!CR19)</f>
        <v/>
      </c>
      <c r="CC33" s="64" t="str">
        <f>IF(개요!CS19=0,"",개요!CS19)</f>
        <v/>
      </c>
      <c r="CD33" s="64" t="str">
        <f>IF(개요!CT19=0,"",개요!CT19)</f>
        <v/>
      </c>
      <c r="CE33" s="64" t="str">
        <f>IF(개요!CU19=0,"",개요!CU19)</f>
        <v/>
      </c>
      <c r="CF33" s="64" t="str">
        <f>IF(개요!CV19=0,"",개요!CV19)</f>
        <v/>
      </c>
      <c r="CG33" s="64" t="str">
        <f>IF(개요!CW19=0,"",개요!CW19)</f>
        <v/>
      </c>
      <c r="CH33" s="64" t="str">
        <f>IF(개요!CX19=0,"",개요!CX19)</f>
        <v/>
      </c>
      <c r="CI33" s="64" t="str">
        <f>IF(개요!CY19=0,"",개요!CY19)</f>
        <v/>
      </c>
      <c r="CJ33" s="64" t="str">
        <f>IF(개요!CZ19=0,"",개요!CZ19)</f>
        <v/>
      </c>
      <c r="CK33" s="64" t="str">
        <f>IF(개요!DA19=0,"",개요!DA19)</f>
        <v/>
      </c>
      <c r="CL33" s="64" t="str">
        <f>IF(개요!DB19=0,"",개요!DB19)</f>
        <v/>
      </c>
      <c r="CM33" s="64" t="str">
        <f>IF(개요!DC19=0,"",개요!DC19)</f>
        <v/>
      </c>
      <c r="CN33" s="64" t="str">
        <f>IF(개요!DD19=0,"",개요!DD19)</f>
        <v/>
      </c>
      <c r="CO33" s="64" t="str">
        <f>IF(개요!DE19=0,"",개요!DE19)</f>
        <v/>
      </c>
      <c r="CP33" s="64" t="str">
        <f>IF(개요!DF19=0,"",개요!DF19)</f>
        <v/>
      </c>
      <c r="CQ33" s="64" t="str">
        <f>IF(개요!DG19=0,"",개요!DG19)</f>
        <v/>
      </c>
      <c r="CR33" s="64" t="str">
        <f>IF(개요!DH19=0,"",개요!DH19)</f>
        <v/>
      </c>
      <c r="CS33" s="64" t="str">
        <f>IF(개요!DI19=0,"",개요!DI19)</f>
        <v/>
      </c>
      <c r="CT33" s="64" t="str">
        <f>IF(개요!DJ19=0,"",개요!DJ19)</f>
        <v/>
      </c>
      <c r="CU33" s="64" t="str">
        <f>IF(개요!DK19=0,"",개요!DK19)</f>
        <v/>
      </c>
      <c r="CV33" s="64" t="str">
        <f>IF(개요!DL19=0,"",개요!DL19)</f>
        <v/>
      </c>
      <c r="CW33" s="64" t="str">
        <f>IF(개요!DM19=0,"",개요!DM19)</f>
        <v/>
      </c>
      <c r="CX33" s="64" t="str">
        <f>IF(개요!DN19=0,"",개요!DN19)</f>
        <v/>
      </c>
      <c r="CY33" s="65" t="str">
        <f t="shared" si="5"/>
        <v/>
      </c>
      <c r="DB33" s="21"/>
      <c r="DC33" s="21"/>
      <c r="DD33" s="21"/>
      <c r="DE33" s="67"/>
      <c r="DF33" s="68"/>
      <c r="DG33" s="67"/>
      <c r="DH33" s="67"/>
      <c r="DI33" s="69"/>
      <c r="DJ33" s="69"/>
      <c r="DK33" s="69"/>
      <c r="DL33" s="69"/>
    </row>
    <row r="34" spans="1:116" ht="15" hidden="1" customHeight="1" outlineLevel="1">
      <c r="A34" s="54">
        <v>13</v>
      </c>
      <c r="B34" s="63" t="str">
        <f>IF(개요!M20=0,"",개요!M20)</f>
        <v/>
      </c>
      <c r="C34" s="64" t="str">
        <f>IF(개요!S20=0,"",개요!S20)</f>
        <v/>
      </c>
      <c r="D34" s="64" t="str">
        <f>IF(개요!T20=0,"",개요!T20)</f>
        <v/>
      </c>
      <c r="E34" s="64" t="str">
        <f>IF(개요!U20=0,"",개요!U20)</f>
        <v/>
      </c>
      <c r="F34" s="64" t="str">
        <f>IF(개요!V20=0,"",개요!V20)</f>
        <v/>
      </c>
      <c r="G34" s="64" t="str">
        <f>IF(개요!W20=0,"",개요!W20)</f>
        <v/>
      </c>
      <c r="H34" s="64" t="str">
        <f>IF(개요!X20=0,"",개요!X20)</f>
        <v/>
      </c>
      <c r="I34" s="64" t="str">
        <f>IF(개요!Y20=0,"",개요!Y20)</f>
        <v/>
      </c>
      <c r="J34" s="64" t="str">
        <f>IF(개요!Z20=0,"",개요!Z20)</f>
        <v/>
      </c>
      <c r="K34" s="64" t="str">
        <f>IF(개요!AA20=0,"",개요!AA20)</f>
        <v/>
      </c>
      <c r="L34" s="64" t="str">
        <f>IF(개요!AB20=0,"",개요!AB20)</f>
        <v/>
      </c>
      <c r="M34" s="64" t="str">
        <f>IF(개요!AC20=0,"",개요!AC20)</f>
        <v/>
      </c>
      <c r="N34" s="64" t="str">
        <f>IF(개요!AD20=0,"",개요!AD20)</f>
        <v/>
      </c>
      <c r="O34" s="64" t="str">
        <f>IF(개요!AE20=0,"",개요!AE20)</f>
        <v/>
      </c>
      <c r="P34" s="64" t="str">
        <f>IF(개요!AF20=0,"",개요!AF20)</f>
        <v/>
      </c>
      <c r="Q34" s="64" t="str">
        <f>IF(개요!AG20=0,"",개요!AG20)</f>
        <v/>
      </c>
      <c r="R34" s="64" t="str">
        <f>IF(개요!AH20=0,"",개요!AH20)</f>
        <v/>
      </c>
      <c r="S34" s="64" t="str">
        <f>IF(개요!AI20=0,"",개요!AI20)</f>
        <v/>
      </c>
      <c r="T34" s="64" t="str">
        <f>IF(개요!AJ20=0,"",개요!AJ20)</f>
        <v/>
      </c>
      <c r="U34" s="64" t="str">
        <f>IF(개요!AK20=0,"",개요!AK20)</f>
        <v/>
      </c>
      <c r="V34" s="64" t="str">
        <f>IF(개요!AL20=0,"",개요!AL20)</f>
        <v/>
      </c>
      <c r="W34" s="64" t="str">
        <f>IF(개요!AM20=0,"",개요!AM20)</f>
        <v/>
      </c>
      <c r="X34" s="64" t="str">
        <f>IF(개요!AN20=0,"",개요!AN20)</f>
        <v/>
      </c>
      <c r="Y34" s="64" t="str">
        <f>IF(개요!AO20=0,"",개요!AO20)</f>
        <v/>
      </c>
      <c r="Z34" s="64" t="str">
        <f>IF(개요!AP20=0,"",개요!AP20)</f>
        <v/>
      </c>
      <c r="AA34" s="64" t="str">
        <f>IF(개요!AQ20=0,"",개요!AQ20)</f>
        <v/>
      </c>
      <c r="AB34" s="64" t="str">
        <f>IF(개요!AR20=0,"",개요!AR20)</f>
        <v/>
      </c>
      <c r="AC34" s="64" t="str">
        <f>IF(개요!AS20=0,"",개요!AS20)</f>
        <v/>
      </c>
      <c r="AD34" s="64" t="str">
        <f>IF(개요!AT20=0,"",개요!AT20)</f>
        <v/>
      </c>
      <c r="AE34" s="64" t="str">
        <f>IF(개요!AU20=0,"",개요!AU20)</f>
        <v/>
      </c>
      <c r="AF34" s="64" t="str">
        <f>IF(개요!AV20=0,"",개요!AV20)</f>
        <v/>
      </c>
      <c r="AG34" s="64" t="str">
        <f>IF(개요!AW20=0,"",개요!AW20)</f>
        <v/>
      </c>
      <c r="AH34" s="64" t="str">
        <f>IF(개요!AX20=0,"",개요!AX20)</f>
        <v/>
      </c>
      <c r="AI34" s="64" t="str">
        <f>IF(개요!AY20=0,"",개요!AY20)</f>
        <v/>
      </c>
      <c r="AJ34" s="64" t="str">
        <f>IF(개요!AZ20=0,"",개요!AZ20)</f>
        <v/>
      </c>
      <c r="AK34" s="64" t="str">
        <f>IF(개요!BA20=0,"",개요!BA20)</f>
        <v/>
      </c>
      <c r="AL34" s="64" t="str">
        <f>IF(개요!BB20=0,"",개요!BB20)</f>
        <v/>
      </c>
      <c r="AM34" s="64" t="str">
        <f>IF(개요!BC20=0,"",개요!BC20)</f>
        <v/>
      </c>
      <c r="AN34" s="64" t="str">
        <f>IF(개요!BD20=0,"",개요!BD20)</f>
        <v/>
      </c>
      <c r="AO34" s="64" t="str">
        <f>IF(개요!BE20=0,"",개요!BE20)</f>
        <v/>
      </c>
      <c r="AP34" s="64" t="str">
        <f>IF(개요!BF20=0,"",개요!BF20)</f>
        <v/>
      </c>
      <c r="AQ34" s="64" t="str">
        <f>IF(개요!BG20=0,"",개요!BG20)</f>
        <v/>
      </c>
      <c r="AR34" s="64" t="str">
        <f>IF(개요!BH20=0,"",개요!BH20)</f>
        <v/>
      </c>
      <c r="AS34" s="64" t="str">
        <f>IF(개요!BI20=0,"",개요!BI20)</f>
        <v/>
      </c>
      <c r="AT34" s="64" t="str">
        <f>IF(개요!BJ20=0,"",개요!BJ20)</f>
        <v/>
      </c>
      <c r="AU34" s="64" t="str">
        <f>IF(개요!BK20=0,"",개요!BK20)</f>
        <v/>
      </c>
      <c r="AV34" s="64" t="str">
        <f>IF(개요!BL20=0,"",개요!BL20)</f>
        <v/>
      </c>
      <c r="AW34" s="64" t="str">
        <f>IF(개요!BM20=0,"",개요!BM20)</f>
        <v/>
      </c>
      <c r="AX34" s="64" t="str">
        <f>IF(개요!BN20=0,"",개요!BN20)</f>
        <v/>
      </c>
      <c r="AY34" s="64" t="str">
        <f>IF(개요!BO20=0,"",개요!BO20)</f>
        <v/>
      </c>
      <c r="AZ34" s="64" t="str">
        <f>IF(개요!BP20=0,"",개요!BP20)</f>
        <v/>
      </c>
      <c r="BA34" s="64" t="str">
        <f>IF(개요!BQ20=0,"",개요!BQ20)</f>
        <v/>
      </c>
      <c r="BB34" s="64" t="str">
        <f>IF(개요!BR20=0,"",개요!BR20)</f>
        <v/>
      </c>
      <c r="BC34" s="64" t="str">
        <f>IF(개요!BS20=0,"",개요!BS20)</f>
        <v/>
      </c>
      <c r="BD34" s="64" t="str">
        <f>IF(개요!BT20=0,"",개요!BT20)</f>
        <v/>
      </c>
      <c r="BE34" s="64" t="str">
        <f>IF(개요!BU20=0,"",개요!BU20)</f>
        <v/>
      </c>
      <c r="BF34" s="64" t="str">
        <f>IF(개요!BV20=0,"",개요!BV20)</f>
        <v/>
      </c>
      <c r="BG34" s="64" t="str">
        <f>IF(개요!BW20=0,"",개요!BW20)</f>
        <v/>
      </c>
      <c r="BH34" s="64" t="str">
        <f>IF(개요!BX20=0,"",개요!BX20)</f>
        <v/>
      </c>
      <c r="BI34" s="64" t="str">
        <f>IF(개요!BY20=0,"",개요!BY20)</f>
        <v/>
      </c>
      <c r="BJ34" s="64" t="str">
        <f>IF(개요!BZ20=0,"",개요!BZ20)</f>
        <v/>
      </c>
      <c r="BK34" s="64" t="str">
        <f>IF(개요!CA20=0,"",개요!CA20)</f>
        <v/>
      </c>
      <c r="BL34" s="64" t="str">
        <f>IF(개요!CB20=0,"",개요!CB20)</f>
        <v/>
      </c>
      <c r="BM34" s="64" t="str">
        <f>IF(개요!CC20=0,"",개요!CC20)</f>
        <v/>
      </c>
      <c r="BN34" s="64" t="str">
        <f>IF(개요!CD20=0,"",개요!CD20)</f>
        <v/>
      </c>
      <c r="BO34" s="64" t="str">
        <f>IF(개요!CE20=0,"",개요!CE20)</f>
        <v/>
      </c>
      <c r="BP34" s="64" t="str">
        <f>IF(개요!CF20=0,"",개요!CF20)</f>
        <v/>
      </c>
      <c r="BQ34" s="64" t="str">
        <f>IF(개요!CG20=0,"",개요!CG20)</f>
        <v/>
      </c>
      <c r="BR34" s="64" t="str">
        <f>IF(개요!CH20=0,"",개요!CH20)</f>
        <v/>
      </c>
      <c r="BS34" s="64" t="str">
        <f>IF(개요!CI20=0,"",개요!CI20)</f>
        <v/>
      </c>
      <c r="BT34" s="64" t="str">
        <f>IF(개요!CJ20=0,"",개요!CJ20)</f>
        <v/>
      </c>
      <c r="BU34" s="64" t="str">
        <f>IF(개요!CK20=0,"",개요!CK20)</f>
        <v/>
      </c>
      <c r="BV34" s="64" t="str">
        <f>IF(개요!CL20=0,"",개요!CL20)</f>
        <v/>
      </c>
      <c r="BW34" s="64" t="str">
        <f>IF(개요!CM20=0,"",개요!CM20)</f>
        <v/>
      </c>
      <c r="BX34" s="64" t="str">
        <f>IF(개요!CN20=0,"",개요!CN20)</f>
        <v/>
      </c>
      <c r="BY34" s="64" t="str">
        <f>IF(개요!CO20=0,"",개요!CO20)</f>
        <v/>
      </c>
      <c r="BZ34" s="64" t="str">
        <f>IF(개요!CP20=0,"",개요!CP20)</f>
        <v/>
      </c>
      <c r="CA34" s="64" t="str">
        <f>IF(개요!CQ20=0,"",개요!CQ20)</f>
        <v/>
      </c>
      <c r="CB34" s="64" t="str">
        <f>IF(개요!CR20=0,"",개요!CR20)</f>
        <v/>
      </c>
      <c r="CC34" s="64" t="str">
        <f>IF(개요!CS20=0,"",개요!CS20)</f>
        <v/>
      </c>
      <c r="CD34" s="64" t="str">
        <f>IF(개요!CT20=0,"",개요!CT20)</f>
        <v/>
      </c>
      <c r="CE34" s="64" t="str">
        <f>IF(개요!CU20=0,"",개요!CU20)</f>
        <v/>
      </c>
      <c r="CF34" s="64" t="str">
        <f>IF(개요!CV20=0,"",개요!CV20)</f>
        <v/>
      </c>
      <c r="CG34" s="64" t="str">
        <f>IF(개요!CW20=0,"",개요!CW20)</f>
        <v/>
      </c>
      <c r="CH34" s="64" t="str">
        <f>IF(개요!CX20=0,"",개요!CX20)</f>
        <v/>
      </c>
      <c r="CI34" s="64" t="str">
        <f>IF(개요!CY20=0,"",개요!CY20)</f>
        <v/>
      </c>
      <c r="CJ34" s="64" t="str">
        <f>IF(개요!CZ20=0,"",개요!CZ20)</f>
        <v/>
      </c>
      <c r="CK34" s="64" t="str">
        <f>IF(개요!DA20=0,"",개요!DA20)</f>
        <v/>
      </c>
      <c r="CL34" s="64" t="str">
        <f>IF(개요!DB20=0,"",개요!DB20)</f>
        <v/>
      </c>
      <c r="CM34" s="64" t="str">
        <f>IF(개요!DC20=0,"",개요!DC20)</f>
        <v/>
      </c>
      <c r="CN34" s="64" t="str">
        <f>IF(개요!DD20=0,"",개요!DD20)</f>
        <v/>
      </c>
      <c r="CO34" s="64" t="str">
        <f>IF(개요!DE20=0,"",개요!DE20)</f>
        <v/>
      </c>
      <c r="CP34" s="64" t="str">
        <f>IF(개요!DF20=0,"",개요!DF20)</f>
        <v/>
      </c>
      <c r="CQ34" s="64" t="str">
        <f>IF(개요!DG20=0,"",개요!DG20)</f>
        <v/>
      </c>
      <c r="CR34" s="64" t="str">
        <f>IF(개요!DH20=0,"",개요!DH20)</f>
        <v/>
      </c>
      <c r="CS34" s="64" t="str">
        <f>IF(개요!DI20=0,"",개요!DI20)</f>
        <v/>
      </c>
      <c r="CT34" s="64" t="str">
        <f>IF(개요!DJ20=0,"",개요!DJ20)</f>
        <v/>
      </c>
      <c r="CU34" s="64" t="str">
        <f>IF(개요!DK20=0,"",개요!DK20)</f>
        <v/>
      </c>
      <c r="CV34" s="64" t="str">
        <f>IF(개요!DL20=0,"",개요!DL20)</f>
        <v/>
      </c>
      <c r="CW34" s="64" t="str">
        <f>IF(개요!DM20=0,"",개요!DM20)</f>
        <v/>
      </c>
      <c r="CX34" s="64" t="str">
        <f>IF(개요!DN20=0,"",개요!DN20)</f>
        <v/>
      </c>
      <c r="CY34" s="65" t="str">
        <f t="shared" si="5"/>
        <v/>
      </c>
      <c r="DB34" s="21"/>
      <c r="DC34" s="21"/>
      <c r="DD34" s="21"/>
      <c r="DE34" s="67"/>
      <c r="DF34" s="68"/>
      <c r="DG34" s="67"/>
      <c r="DH34" s="67"/>
      <c r="DI34" s="69"/>
      <c r="DJ34" s="69"/>
      <c r="DK34" s="69"/>
      <c r="DL34" s="69"/>
    </row>
    <row r="35" spans="1:116" ht="15" hidden="1" customHeight="1" outlineLevel="1">
      <c r="A35" s="54">
        <v>14</v>
      </c>
      <c r="B35" s="63" t="str">
        <f>IF(개요!M21=0,"",개요!M21)</f>
        <v/>
      </c>
      <c r="C35" s="64" t="str">
        <f>IF(개요!S21=0,"",개요!S21)</f>
        <v/>
      </c>
      <c r="D35" s="64" t="str">
        <f>IF(개요!T21=0,"",개요!T21)</f>
        <v/>
      </c>
      <c r="E35" s="64" t="str">
        <f>IF(개요!U21=0,"",개요!U21)</f>
        <v/>
      </c>
      <c r="F35" s="64" t="str">
        <f>IF(개요!V21=0,"",개요!V21)</f>
        <v/>
      </c>
      <c r="G35" s="64" t="str">
        <f>IF(개요!W21=0,"",개요!W21)</f>
        <v/>
      </c>
      <c r="H35" s="64" t="str">
        <f>IF(개요!X21=0,"",개요!X21)</f>
        <v/>
      </c>
      <c r="I35" s="64" t="str">
        <f>IF(개요!Y21=0,"",개요!Y21)</f>
        <v/>
      </c>
      <c r="J35" s="64" t="str">
        <f>IF(개요!Z21=0,"",개요!Z21)</f>
        <v/>
      </c>
      <c r="K35" s="64" t="str">
        <f>IF(개요!AA21=0,"",개요!AA21)</f>
        <v/>
      </c>
      <c r="L35" s="64" t="str">
        <f>IF(개요!AB21=0,"",개요!AB21)</f>
        <v/>
      </c>
      <c r="M35" s="64" t="str">
        <f>IF(개요!AC21=0,"",개요!AC21)</f>
        <v/>
      </c>
      <c r="N35" s="64" t="str">
        <f>IF(개요!AD21=0,"",개요!AD21)</f>
        <v/>
      </c>
      <c r="O35" s="64" t="str">
        <f>IF(개요!AE21=0,"",개요!AE21)</f>
        <v/>
      </c>
      <c r="P35" s="64" t="str">
        <f>IF(개요!AF21=0,"",개요!AF21)</f>
        <v/>
      </c>
      <c r="Q35" s="64" t="str">
        <f>IF(개요!AG21=0,"",개요!AG21)</f>
        <v/>
      </c>
      <c r="R35" s="64" t="str">
        <f>IF(개요!AH21=0,"",개요!AH21)</f>
        <v/>
      </c>
      <c r="S35" s="64" t="str">
        <f>IF(개요!AI21=0,"",개요!AI21)</f>
        <v/>
      </c>
      <c r="T35" s="64" t="str">
        <f>IF(개요!AJ21=0,"",개요!AJ21)</f>
        <v/>
      </c>
      <c r="U35" s="64" t="str">
        <f>IF(개요!AK21=0,"",개요!AK21)</f>
        <v/>
      </c>
      <c r="V35" s="64" t="str">
        <f>IF(개요!AL21=0,"",개요!AL21)</f>
        <v/>
      </c>
      <c r="W35" s="64" t="str">
        <f>IF(개요!AM21=0,"",개요!AM21)</f>
        <v/>
      </c>
      <c r="X35" s="64" t="str">
        <f>IF(개요!AN21=0,"",개요!AN21)</f>
        <v/>
      </c>
      <c r="Y35" s="64" t="str">
        <f>IF(개요!AO21=0,"",개요!AO21)</f>
        <v/>
      </c>
      <c r="Z35" s="64" t="str">
        <f>IF(개요!AP21=0,"",개요!AP21)</f>
        <v/>
      </c>
      <c r="AA35" s="64" t="str">
        <f>IF(개요!AQ21=0,"",개요!AQ21)</f>
        <v/>
      </c>
      <c r="AB35" s="64" t="str">
        <f>IF(개요!AR21=0,"",개요!AR21)</f>
        <v/>
      </c>
      <c r="AC35" s="64" t="str">
        <f>IF(개요!AS21=0,"",개요!AS21)</f>
        <v/>
      </c>
      <c r="AD35" s="64" t="str">
        <f>IF(개요!AT21=0,"",개요!AT21)</f>
        <v/>
      </c>
      <c r="AE35" s="64" t="str">
        <f>IF(개요!AU21=0,"",개요!AU21)</f>
        <v/>
      </c>
      <c r="AF35" s="64" t="str">
        <f>IF(개요!AV21=0,"",개요!AV21)</f>
        <v/>
      </c>
      <c r="AG35" s="64" t="str">
        <f>IF(개요!AW21=0,"",개요!AW21)</f>
        <v/>
      </c>
      <c r="AH35" s="64" t="str">
        <f>IF(개요!AX21=0,"",개요!AX21)</f>
        <v/>
      </c>
      <c r="AI35" s="64" t="str">
        <f>IF(개요!AY21=0,"",개요!AY21)</f>
        <v/>
      </c>
      <c r="AJ35" s="64" t="str">
        <f>IF(개요!AZ21=0,"",개요!AZ21)</f>
        <v/>
      </c>
      <c r="AK35" s="64" t="str">
        <f>IF(개요!BA21=0,"",개요!BA21)</f>
        <v/>
      </c>
      <c r="AL35" s="64" t="str">
        <f>IF(개요!BB21=0,"",개요!BB21)</f>
        <v/>
      </c>
      <c r="AM35" s="64" t="str">
        <f>IF(개요!BC21=0,"",개요!BC21)</f>
        <v/>
      </c>
      <c r="AN35" s="64" t="str">
        <f>IF(개요!BD21=0,"",개요!BD21)</f>
        <v/>
      </c>
      <c r="AO35" s="64" t="str">
        <f>IF(개요!BE21=0,"",개요!BE21)</f>
        <v/>
      </c>
      <c r="AP35" s="64" t="str">
        <f>IF(개요!BF21=0,"",개요!BF21)</f>
        <v/>
      </c>
      <c r="AQ35" s="64" t="str">
        <f>IF(개요!BG21=0,"",개요!BG21)</f>
        <v/>
      </c>
      <c r="AR35" s="64" t="str">
        <f>IF(개요!BH21=0,"",개요!BH21)</f>
        <v/>
      </c>
      <c r="AS35" s="64" t="str">
        <f>IF(개요!BI21=0,"",개요!BI21)</f>
        <v/>
      </c>
      <c r="AT35" s="64" t="str">
        <f>IF(개요!BJ21=0,"",개요!BJ21)</f>
        <v/>
      </c>
      <c r="AU35" s="64" t="str">
        <f>IF(개요!BK21=0,"",개요!BK21)</f>
        <v/>
      </c>
      <c r="AV35" s="64" t="str">
        <f>IF(개요!BL21=0,"",개요!BL21)</f>
        <v/>
      </c>
      <c r="AW35" s="64" t="str">
        <f>IF(개요!BM21=0,"",개요!BM21)</f>
        <v/>
      </c>
      <c r="AX35" s="64" t="str">
        <f>IF(개요!BN21=0,"",개요!BN21)</f>
        <v/>
      </c>
      <c r="AY35" s="64" t="str">
        <f>IF(개요!BO21=0,"",개요!BO21)</f>
        <v/>
      </c>
      <c r="AZ35" s="64" t="str">
        <f>IF(개요!BP21=0,"",개요!BP21)</f>
        <v/>
      </c>
      <c r="BA35" s="64" t="str">
        <f>IF(개요!BQ21=0,"",개요!BQ21)</f>
        <v/>
      </c>
      <c r="BB35" s="64" t="str">
        <f>IF(개요!BR21=0,"",개요!BR21)</f>
        <v/>
      </c>
      <c r="BC35" s="64" t="str">
        <f>IF(개요!BS21=0,"",개요!BS21)</f>
        <v/>
      </c>
      <c r="BD35" s="64" t="str">
        <f>IF(개요!BT21=0,"",개요!BT21)</f>
        <v/>
      </c>
      <c r="BE35" s="64" t="str">
        <f>IF(개요!BU21=0,"",개요!BU21)</f>
        <v/>
      </c>
      <c r="BF35" s="64" t="str">
        <f>IF(개요!BV21=0,"",개요!BV21)</f>
        <v/>
      </c>
      <c r="BG35" s="64" t="str">
        <f>IF(개요!BW21=0,"",개요!BW21)</f>
        <v/>
      </c>
      <c r="BH35" s="64" t="str">
        <f>IF(개요!BX21=0,"",개요!BX21)</f>
        <v/>
      </c>
      <c r="BI35" s="64" t="str">
        <f>IF(개요!BY21=0,"",개요!BY21)</f>
        <v/>
      </c>
      <c r="BJ35" s="64" t="str">
        <f>IF(개요!BZ21=0,"",개요!BZ21)</f>
        <v/>
      </c>
      <c r="BK35" s="64" t="str">
        <f>IF(개요!CA21=0,"",개요!CA21)</f>
        <v/>
      </c>
      <c r="BL35" s="64" t="str">
        <f>IF(개요!CB21=0,"",개요!CB21)</f>
        <v/>
      </c>
      <c r="BM35" s="64" t="str">
        <f>IF(개요!CC21=0,"",개요!CC21)</f>
        <v/>
      </c>
      <c r="BN35" s="64" t="str">
        <f>IF(개요!CD21=0,"",개요!CD21)</f>
        <v/>
      </c>
      <c r="BO35" s="64" t="str">
        <f>IF(개요!CE21=0,"",개요!CE21)</f>
        <v/>
      </c>
      <c r="BP35" s="64" t="str">
        <f>IF(개요!CF21=0,"",개요!CF21)</f>
        <v/>
      </c>
      <c r="BQ35" s="64" t="str">
        <f>IF(개요!CG21=0,"",개요!CG21)</f>
        <v/>
      </c>
      <c r="BR35" s="64" t="str">
        <f>IF(개요!CH21=0,"",개요!CH21)</f>
        <v/>
      </c>
      <c r="BS35" s="64" t="str">
        <f>IF(개요!CI21=0,"",개요!CI21)</f>
        <v/>
      </c>
      <c r="BT35" s="64" t="str">
        <f>IF(개요!CJ21=0,"",개요!CJ21)</f>
        <v/>
      </c>
      <c r="BU35" s="64" t="str">
        <f>IF(개요!CK21=0,"",개요!CK21)</f>
        <v/>
      </c>
      <c r="BV35" s="64" t="str">
        <f>IF(개요!CL21=0,"",개요!CL21)</f>
        <v/>
      </c>
      <c r="BW35" s="64" t="str">
        <f>IF(개요!CM21=0,"",개요!CM21)</f>
        <v/>
      </c>
      <c r="BX35" s="64" t="str">
        <f>IF(개요!CN21=0,"",개요!CN21)</f>
        <v/>
      </c>
      <c r="BY35" s="64" t="str">
        <f>IF(개요!CO21=0,"",개요!CO21)</f>
        <v/>
      </c>
      <c r="BZ35" s="64" t="str">
        <f>IF(개요!CP21=0,"",개요!CP21)</f>
        <v/>
      </c>
      <c r="CA35" s="64" t="str">
        <f>IF(개요!CQ21=0,"",개요!CQ21)</f>
        <v/>
      </c>
      <c r="CB35" s="64" t="str">
        <f>IF(개요!CR21=0,"",개요!CR21)</f>
        <v/>
      </c>
      <c r="CC35" s="64" t="str">
        <f>IF(개요!CS21=0,"",개요!CS21)</f>
        <v/>
      </c>
      <c r="CD35" s="64" t="str">
        <f>IF(개요!CT21=0,"",개요!CT21)</f>
        <v/>
      </c>
      <c r="CE35" s="64" t="str">
        <f>IF(개요!CU21=0,"",개요!CU21)</f>
        <v/>
      </c>
      <c r="CF35" s="64" t="str">
        <f>IF(개요!CV21=0,"",개요!CV21)</f>
        <v/>
      </c>
      <c r="CG35" s="64" t="str">
        <f>IF(개요!CW21=0,"",개요!CW21)</f>
        <v/>
      </c>
      <c r="CH35" s="64" t="str">
        <f>IF(개요!CX21=0,"",개요!CX21)</f>
        <v/>
      </c>
      <c r="CI35" s="64" t="str">
        <f>IF(개요!CY21=0,"",개요!CY21)</f>
        <v/>
      </c>
      <c r="CJ35" s="64" t="str">
        <f>IF(개요!CZ21=0,"",개요!CZ21)</f>
        <v/>
      </c>
      <c r="CK35" s="64" t="str">
        <f>IF(개요!DA21=0,"",개요!DA21)</f>
        <v/>
      </c>
      <c r="CL35" s="64" t="str">
        <f>IF(개요!DB21=0,"",개요!DB21)</f>
        <v/>
      </c>
      <c r="CM35" s="64" t="str">
        <f>IF(개요!DC21=0,"",개요!DC21)</f>
        <v/>
      </c>
      <c r="CN35" s="64" t="str">
        <f>IF(개요!DD21=0,"",개요!DD21)</f>
        <v/>
      </c>
      <c r="CO35" s="64" t="str">
        <f>IF(개요!DE21=0,"",개요!DE21)</f>
        <v/>
      </c>
      <c r="CP35" s="64" t="str">
        <f>IF(개요!DF21=0,"",개요!DF21)</f>
        <v/>
      </c>
      <c r="CQ35" s="64" t="str">
        <f>IF(개요!DG21=0,"",개요!DG21)</f>
        <v/>
      </c>
      <c r="CR35" s="64" t="str">
        <f>IF(개요!DH21=0,"",개요!DH21)</f>
        <v/>
      </c>
      <c r="CS35" s="64" t="str">
        <f>IF(개요!DI21=0,"",개요!DI21)</f>
        <v/>
      </c>
      <c r="CT35" s="64" t="str">
        <f>IF(개요!DJ21=0,"",개요!DJ21)</f>
        <v/>
      </c>
      <c r="CU35" s="64" t="str">
        <f>IF(개요!DK21=0,"",개요!DK21)</f>
        <v/>
      </c>
      <c r="CV35" s="64" t="str">
        <f>IF(개요!DL21=0,"",개요!DL21)</f>
        <v/>
      </c>
      <c r="CW35" s="64" t="str">
        <f>IF(개요!DM21=0,"",개요!DM21)</f>
        <v/>
      </c>
      <c r="CX35" s="64" t="str">
        <f>IF(개요!DN21=0,"",개요!DN21)</f>
        <v/>
      </c>
      <c r="CY35" s="65" t="str">
        <f t="shared" si="5"/>
        <v/>
      </c>
      <c r="DB35" s="21"/>
      <c r="DC35" s="21"/>
      <c r="DD35" s="21"/>
      <c r="DE35" s="67"/>
      <c r="DF35" s="68"/>
      <c r="DG35" s="67"/>
      <c r="DH35" s="67"/>
      <c r="DI35" s="69"/>
      <c r="DJ35" s="69"/>
      <c r="DK35" s="69"/>
      <c r="DL35" s="69"/>
    </row>
    <row r="36" spans="1:116" ht="15" hidden="1" customHeight="1" outlineLevel="1">
      <c r="A36" s="54">
        <v>15</v>
      </c>
      <c r="B36" s="63" t="str">
        <f>IF(개요!M22=0,"",개요!M22)</f>
        <v/>
      </c>
      <c r="C36" s="64" t="str">
        <f>IF(개요!S22=0,"",개요!S22)</f>
        <v/>
      </c>
      <c r="D36" s="64" t="str">
        <f>IF(개요!T22=0,"",개요!T22)</f>
        <v/>
      </c>
      <c r="E36" s="64" t="str">
        <f>IF(개요!U22=0,"",개요!U22)</f>
        <v/>
      </c>
      <c r="F36" s="64" t="str">
        <f>IF(개요!V22=0,"",개요!V22)</f>
        <v/>
      </c>
      <c r="G36" s="64" t="str">
        <f>IF(개요!W22=0,"",개요!W22)</f>
        <v/>
      </c>
      <c r="H36" s="64" t="str">
        <f>IF(개요!X22=0,"",개요!X22)</f>
        <v/>
      </c>
      <c r="I36" s="64" t="str">
        <f>IF(개요!Y22=0,"",개요!Y22)</f>
        <v/>
      </c>
      <c r="J36" s="64" t="str">
        <f>IF(개요!Z22=0,"",개요!Z22)</f>
        <v/>
      </c>
      <c r="K36" s="64" t="str">
        <f>IF(개요!AA22=0,"",개요!AA22)</f>
        <v/>
      </c>
      <c r="L36" s="64" t="str">
        <f>IF(개요!AB22=0,"",개요!AB22)</f>
        <v/>
      </c>
      <c r="M36" s="64" t="str">
        <f>IF(개요!AC22=0,"",개요!AC22)</f>
        <v/>
      </c>
      <c r="N36" s="64" t="str">
        <f>IF(개요!AD22=0,"",개요!AD22)</f>
        <v/>
      </c>
      <c r="O36" s="64" t="str">
        <f>IF(개요!AE22=0,"",개요!AE22)</f>
        <v/>
      </c>
      <c r="P36" s="64" t="str">
        <f>IF(개요!AF22=0,"",개요!AF22)</f>
        <v/>
      </c>
      <c r="Q36" s="64" t="str">
        <f>IF(개요!AG22=0,"",개요!AG22)</f>
        <v/>
      </c>
      <c r="R36" s="64" t="str">
        <f>IF(개요!AH22=0,"",개요!AH22)</f>
        <v/>
      </c>
      <c r="S36" s="64" t="str">
        <f>IF(개요!AI22=0,"",개요!AI22)</f>
        <v/>
      </c>
      <c r="T36" s="64" t="str">
        <f>IF(개요!AJ22=0,"",개요!AJ22)</f>
        <v/>
      </c>
      <c r="U36" s="64" t="str">
        <f>IF(개요!AK22=0,"",개요!AK22)</f>
        <v/>
      </c>
      <c r="V36" s="64" t="str">
        <f>IF(개요!AL22=0,"",개요!AL22)</f>
        <v/>
      </c>
      <c r="W36" s="64" t="str">
        <f>IF(개요!AM22=0,"",개요!AM22)</f>
        <v/>
      </c>
      <c r="X36" s="64" t="str">
        <f>IF(개요!AN22=0,"",개요!AN22)</f>
        <v/>
      </c>
      <c r="Y36" s="64" t="str">
        <f>IF(개요!AO22=0,"",개요!AO22)</f>
        <v/>
      </c>
      <c r="Z36" s="64" t="str">
        <f>IF(개요!AP22=0,"",개요!AP22)</f>
        <v/>
      </c>
      <c r="AA36" s="64" t="str">
        <f>IF(개요!AQ22=0,"",개요!AQ22)</f>
        <v/>
      </c>
      <c r="AB36" s="64" t="str">
        <f>IF(개요!AR22=0,"",개요!AR22)</f>
        <v/>
      </c>
      <c r="AC36" s="64" t="str">
        <f>IF(개요!AS22=0,"",개요!AS22)</f>
        <v/>
      </c>
      <c r="AD36" s="64" t="str">
        <f>IF(개요!AT22=0,"",개요!AT22)</f>
        <v/>
      </c>
      <c r="AE36" s="64" t="str">
        <f>IF(개요!AU22=0,"",개요!AU22)</f>
        <v/>
      </c>
      <c r="AF36" s="64" t="str">
        <f>IF(개요!AV22=0,"",개요!AV22)</f>
        <v/>
      </c>
      <c r="AG36" s="64" t="str">
        <f>IF(개요!AW22=0,"",개요!AW22)</f>
        <v/>
      </c>
      <c r="AH36" s="64" t="str">
        <f>IF(개요!AX22=0,"",개요!AX22)</f>
        <v/>
      </c>
      <c r="AI36" s="64" t="str">
        <f>IF(개요!AY22=0,"",개요!AY22)</f>
        <v/>
      </c>
      <c r="AJ36" s="64" t="str">
        <f>IF(개요!AZ22=0,"",개요!AZ22)</f>
        <v/>
      </c>
      <c r="AK36" s="64" t="str">
        <f>IF(개요!BA22=0,"",개요!BA22)</f>
        <v/>
      </c>
      <c r="AL36" s="64" t="str">
        <f>IF(개요!BB22=0,"",개요!BB22)</f>
        <v/>
      </c>
      <c r="AM36" s="64" t="str">
        <f>IF(개요!BC22=0,"",개요!BC22)</f>
        <v/>
      </c>
      <c r="AN36" s="64" t="str">
        <f>IF(개요!BD22=0,"",개요!BD22)</f>
        <v/>
      </c>
      <c r="AO36" s="64" t="str">
        <f>IF(개요!BE22=0,"",개요!BE22)</f>
        <v/>
      </c>
      <c r="AP36" s="64" t="str">
        <f>IF(개요!BF22=0,"",개요!BF22)</f>
        <v/>
      </c>
      <c r="AQ36" s="64" t="str">
        <f>IF(개요!BG22=0,"",개요!BG22)</f>
        <v/>
      </c>
      <c r="AR36" s="64" t="str">
        <f>IF(개요!BH22=0,"",개요!BH22)</f>
        <v/>
      </c>
      <c r="AS36" s="64" t="str">
        <f>IF(개요!BI22=0,"",개요!BI22)</f>
        <v/>
      </c>
      <c r="AT36" s="64" t="str">
        <f>IF(개요!BJ22=0,"",개요!BJ22)</f>
        <v/>
      </c>
      <c r="AU36" s="64" t="str">
        <f>IF(개요!BK22=0,"",개요!BK22)</f>
        <v/>
      </c>
      <c r="AV36" s="64" t="str">
        <f>IF(개요!BL22=0,"",개요!BL22)</f>
        <v/>
      </c>
      <c r="AW36" s="64" t="str">
        <f>IF(개요!BM22=0,"",개요!BM22)</f>
        <v/>
      </c>
      <c r="AX36" s="64" t="str">
        <f>IF(개요!BN22=0,"",개요!BN22)</f>
        <v/>
      </c>
      <c r="AY36" s="64" t="str">
        <f>IF(개요!BO22=0,"",개요!BO22)</f>
        <v/>
      </c>
      <c r="AZ36" s="64" t="str">
        <f>IF(개요!BP22=0,"",개요!BP22)</f>
        <v/>
      </c>
      <c r="BA36" s="64" t="str">
        <f>IF(개요!BQ22=0,"",개요!BQ22)</f>
        <v/>
      </c>
      <c r="BB36" s="64" t="str">
        <f>IF(개요!BR22=0,"",개요!BR22)</f>
        <v/>
      </c>
      <c r="BC36" s="64" t="str">
        <f>IF(개요!BS22=0,"",개요!BS22)</f>
        <v/>
      </c>
      <c r="BD36" s="64" t="str">
        <f>IF(개요!BT22=0,"",개요!BT22)</f>
        <v/>
      </c>
      <c r="BE36" s="64" t="str">
        <f>IF(개요!BU22=0,"",개요!BU22)</f>
        <v/>
      </c>
      <c r="BF36" s="64" t="str">
        <f>IF(개요!BV22=0,"",개요!BV22)</f>
        <v/>
      </c>
      <c r="BG36" s="64" t="str">
        <f>IF(개요!BW22=0,"",개요!BW22)</f>
        <v/>
      </c>
      <c r="BH36" s="64" t="str">
        <f>IF(개요!BX22=0,"",개요!BX22)</f>
        <v/>
      </c>
      <c r="BI36" s="64" t="str">
        <f>IF(개요!BY22=0,"",개요!BY22)</f>
        <v/>
      </c>
      <c r="BJ36" s="64" t="str">
        <f>IF(개요!BZ22=0,"",개요!BZ22)</f>
        <v/>
      </c>
      <c r="BK36" s="64" t="str">
        <f>IF(개요!CA22=0,"",개요!CA22)</f>
        <v/>
      </c>
      <c r="BL36" s="64" t="str">
        <f>IF(개요!CB22=0,"",개요!CB22)</f>
        <v/>
      </c>
      <c r="BM36" s="64" t="str">
        <f>IF(개요!CC22=0,"",개요!CC22)</f>
        <v/>
      </c>
      <c r="BN36" s="64" t="str">
        <f>IF(개요!CD22=0,"",개요!CD22)</f>
        <v/>
      </c>
      <c r="BO36" s="64" t="str">
        <f>IF(개요!CE22=0,"",개요!CE22)</f>
        <v/>
      </c>
      <c r="BP36" s="64" t="str">
        <f>IF(개요!CF22=0,"",개요!CF22)</f>
        <v/>
      </c>
      <c r="BQ36" s="64" t="str">
        <f>IF(개요!CG22=0,"",개요!CG22)</f>
        <v/>
      </c>
      <c r="BR36" s="64" t="str">
        <f>IF(개요!CH22=0,"",개요!CH22)</f>
        <v/>
      </c>
      <c r="BS36" s="64" t="str">
        <f>IF(개요!CI22=0,"",개요!CI22)</f>
        <v/>
      </c>
      <c r="BT36" s="64" t="str">
        <f>IF(개요!CJ22=0,"",개요!CJ22)</f>
        <v/>
      </c>
      <c r="BU36" s="64" t="str">
        <f>IF(개요!CK22=0,"",개요!CK22)</f>
        <v/>
      </c>
      <c r="BV36" s="64" t="str">
        <f>IF(개요!CL22=0,"",개요!CL22)</f>
        <v/>
      </c>
      <c r="BW36" s="64" t="str">
        <f>IF(개요!CM22=0,"",개요!CM22)</f>
        <v/>
      </c>
      <c r="BX36" s="64" t="str">
        <f>IF(개요!CN22=0,"",개요!CN22)</f>
        <v/>
      </c>
      <c r="BY36" s="64" t="str">
        <f>IF(개요!CO22=0,"",개요!CO22)</f>
        <v/>
      </c>
      <c r="BZ36" s="64" t="str">
        <f>IF(개요!CP22=0,"",개요!CP22)</f>
        <v/>
      </c>
      <c r="CA36" s="64" t="str">
        <f>IF(개요!CQ22=0,"",개요!CQ22)</f>
        <v/>
      </c>
      <c r="CB36" s="64" t="str">
        <f>IF(개요!CR22=0,"",개요!CR22)</f>
        <v/>
      </c>
      <c r="CC36" s="64" t="str">
        <f>IF(개요!CS22=0,"",개요!CS22)</f>
        <v/>
      </c>
      <c r="CD36" s="64" t="str">
        <f>IF(개요!CT22=0,"",개요!CT22)</f>
        <v/>
      </c>
      <c r="CE36" s="64" t="str">
        <f>IF(개요!CU22=0,"",개요!CU22)</f>
        <v/>
      </c>
      <c r="CF36" s="64" t="str">
        <f>IF(개요!CV22=0,"",개요!CV22)</f>
        <v/>
      </c>
      <c r="CG36" s="64" t="str">
        <f>IF(개요!CW22=0,"",개요!CW22)</f>
        <v/>
      </c>
      <c r="CH36" s="64" t="str">
        <f>IF(개요!CX22=0,"",개요!CX22)</f>
        <v/>
      </c>
      <c r="CI36" s="64" t="str">
        <f>IF(개요!CY22=0,"",개요!CY22)</f>
        <v/>
      </c>
      <c r="CJ36" s="64" t="str">
        <f>IF(개요!CZ22=0,"",개요!CZ22)</f>
        <v/>
      </c>
      <c r="CK36" s="64" t="str">
        <f>IF(개요!DA22=0,"",개요!DA22)</f>
        <v/>
      </c>
      <c r="CL36" s="64" t="str">
        <f>IF(개요!DB22=0,"",개요!DB22)</f>
        <v/>
      </c>
      <c r="CM36" s="64" t="str">
        <f>IF(개요!DC22=0,"",개요!DC22)</f>
        <v/>
      </c>
      <c r="CN36" s="64" t="str">
        <f>IF(개요!DD22=0,"",개요!DD22)</f>
        <v/>
      </c>
      <c r="CO36" s="64" t="str">
        <f>IF(개요!DE22=0,"",개요!DE22)</f>
        <v/>
      </c>
      <c r="CP36" s="64" t="str">
        <f>IF(개요!DF22=0,"",개요!DF22)</f>
        <v/>
      </c>
      <c r="CQ36" s="64" t="str">
        <f>IF(개요!DG22=0,"",개요!DG22)</f>
        <v/>
      </c>
      <c r="CR36" s="64" t="str">
        <f>IF(개요!DH22=0,"",개요!DH22)</f>
        <v/>
      </c>
      <c r="CS36" s="64" t="str">
        <f>IF(개요!DI22=0,"",개요!DI22)</f>
        <v/>
      </c>
      <c r="CT36" s="64" t="str">
        <f>IF(개요!DJ22=0,"",개요!DJ22)</f>
        <v/>
      </c>
      <c r="CU36" s="64" t="str">
        <f>IF(개요!DK22=0,"",개요!DK22)</f>
        <v/>
      </c>
      <c r="CV36" s="64" t="str">
        <f>IF(개요!DL22=0,"",개요!DL22)</f>
        <v/>
      </c>
      <c r="CW36" s="64" t="str">
        <f>IF(개요!DM22=0,"",개요!DM22)</f>
        <v/>
      </c>
      <c r="CX36" s="64" t="str">
        <f>IF(개요!DN22=0,"",개요!DN22)</f>
        <v/>
      </c>
      <c r="CY36" s="65" t="str">
        <f t="shared" si="5"/>
        <v/>
      </c>
      <c r="DB36" s="21"/>
      <c r="DC36" s="21"/>
      <c r="DD36" s="21"/>
      <c r="DE36" s="67"/>
      <c r="DF36" s="68"/>
      <c r="DG36" s="67"/>
      <c r="DH36" s="67"/>
      <c r="DI36" s="69"/>
      <c r="DJ36" s="69"/>
      <c r="DK36" s="69"/>
      <c r="DL36" s="69"/>
    </row>
    <row r="37" spans="1:116" ht="15" hidden="1" customHeight="1" outlineLevel="1">
      <c r="A37" s="54">
        <v>16</v>
      </c>
      <c r="B37" s="63" t="str">
        <f>IF(개요!M23=0,"",개요!M23)</f>
        <v/>
      </c>
      <c r="C37" s="64" t="str">
        <f>IF(개요!S23=0,"",개요!S23)</f>
        <v/>
      </c>
      <c r="D37" s="64" t="str">
        <f>IF(개요!T23=0,"",개요!T23)</f>
        <v/>
      </c>
      <c r="E37" s="64" t="str">
        <f>IF(개요!U23=0,"",개요!U23)</f>
        <v/>
      </c>
      <c r="F37" s="64" t="str">
        <f>IF(개요!V23=0,"",개요!V23)</f>
        <v/>
      </c>
      <c r="G37" s="64" t="str">
        <f>IF(개요!W23=0,"",개요!W23)</f>
        <v/>
      </c>
      <c r="H37" s="64" t="str">
        <f>IF(개요!X23=0,"",개요!X23)</f>
        <v/>
      </c>
      <c r="I37" s="64" t="str">
        <f>IF(개요!Y23=0,"",개요!Y23)</f>
        <v/>
      </c>
      <c r="J37" s="64" t="str">
        <f>IF(개요!Z23=0,"",개요!Z23)</f>
        <v/>
      </c>
      <c r="K37" s="64" t="str">
        <f>IF(개요!AA23=0,"",개요!AA23)</f>
        <v/>
      </c>
      <c r="L37" s="64" t="str">
        <f>IF(개요!AB23=0,"",개요!AB23)</f>
        <v/>
      </c>
      <c r="M37" s="64" t="str">
        <f>IF(개요!AC23=0,"",개요!AC23)</f>
        <v/>
      </c>
      <c r="N37" s="64" t="str">
        <f>IF(개요!AD23=0,"",개요!AD23)</f>
        <v/>
      </c>
      <c r="O37" s="64" t="str">
        <f>IF(개요!AE23=0,"",개요!AE23)</f>
        <v/>
      </c>
      <c r="P37" s="64" t="str">
        <f>IF(개요!AF23=0,"",개요!AF23)</f>
        <v/>
      </c>
      <c r="Q37" s="64" t="str">
        <f>IF(개요!AG23=0,"",개요!AG23)</f>
        <v/>
      </c>
      <c r="R37" s="64" t="str">
        <f>IF(개요!AH23=0,"",개요!AH23)</f>
        <v/>
      </c>
      <c r="S37" s="64" t="str">
        <f>IF(개요!AI23=0,"",개요!AI23)</f>
        <v/>
      </c>
      <c r="T37" s="64" t="str">
        <f>IF(개요!AJ23=0,"",개요!AJ23)</f>
        <v/>
      </c>
      <c r="U37" s="64" t="str">
        <f>IF(개요!AK23=0,"",개요!AK23)</f>
        <v/>
      </c>
      <c r="V37" s="64" t="str">
        <f>IF(개요!AL23=0,"",개요!AL23)</f>
        <v/>
      </c>
      <c r="W37" s="64" t="str">
        <f>IF(개요!AM23=0,"",개요!AM23)</f>
        <v/>
      </c>
      <c r="X37" s="64" t="str">
        <f>IF(개요!AN23=0,"",개요!AN23)</f>
        <v/>
      </c>
      <c r="Y37" s="64" t="str">
        <f>IF(개요!AO23=0,"",개요!AO23)</f>
        <v/>
      </c>
      <c r="Z37" s="64" t="str">
        <f>IF(개요!AP23=0,"",개요!AP23)</f>
        <v/>
      </c>
      <c r="AA37" s="64" t="str">
        <f>IF(개요!AQ23=0,"",개요!AQ23)</f>
        <v/>
      </c>
      <c r="AB37" s="64" t="str">
        <f>IF(개요!AR23=0,"",개요!AR23)</f>
        <v/>
      </c>
      <c r="AC37" s="64" t="str">
        <f>IF(개요!AS23=0,"",개요!AS23)</f>
        <v/>
      </c>
      <c r="AD37" s="64" t="str">
        <f>IF(개요!AT23=0,"",개요!AT23)</f>
        <v/>
      </c>
      <c r="AE37" s="64" t="str">
        <f>IF(개요!AU23=0,"",개요!AU23)</f>
        <v/>
      </c>
      <c r="AF37" s="64" t="str">
        <f>IF(개요!AV23=0,"",개요!AV23)</f>
        <v/>
      </c>
      <c r="AG37" s="64" t="str">
        <f>IF(개요!AW23=0,"",개요!AW23)</f>
        <v/>
      </c>
      <c r="AH37" s="64" t="str">
        <f>IF(개요!AX23=0,"",개요!AX23)</f>
        <v/>
      </c>
      <c r="AI37" s="64" t="str">
        <f>IF(개요!AY23=0,"",개요!AY23)</f>
        <v/>
      </c>
      <c r="AJ37" s="64" t="str">
        <f>IF(개요!AZ23=0,"",개요!AZ23)</f>
        <v/>
      </c>
      <c r="AK37" s="64" t="str">
        <f>IF(개요!BA23=0,"",개요!BA23)</f>
        <v/>
      </c>
      <c r="AL37" s="64" t="str">
        <f>IF(개요!BB23=0,"",개요!BB23)</f>
        <v/>
      </c>
      <c r="AM37" s="64" t="str">
        <f>IF(개요!BC23=0,"",개요!BC23)</f>
        <v/>
      </c>
      <c r="AN37" s="64" t="str">
        <f>IF(개요!BD23=0,"",개요!BD23)</f>
        <v/>
      </c>
      <c r="AO37" s="64" t="str">
        <f>IF(개요!BE23=0,"",개요!BE23)</f>
        <v/>
      </c>
      <c r="AP37" s="64" t="str">
        <f>IF(개요!BF23=0,"",개요!BF23)</f>
        <v/>
      </c>
      <c r="AQ37" s="64" t="str">
        <f>IF(개요!BG23=0,"",개요!BG23)</f>
        <v/>
      </c>
      <c r="AR37" s="64" t="str">
        <f>IF(개요!BH23=0,"",개요!BH23)</f>
        <v/>
      </c>
      <c r="AS37" s="64" t="str">
        <f>IF(개요!BI23=0,"",개요!BI23)</f>
        <v/>
      </c>
      <c r="AT37" s="64" t="str">
        <f>IF(개요!BJ23=0,"",개요!BJ23)</f>
        <v/>
      </c>
      <c r="AU37" s="64" t="str">
        <f>IF(개요!BK23=0,"",개요!BK23)</f>
        <v/>
      </c>
      <c r="AV37" s="64" t="str">
        <f>IF(개요!BL23=0,"",개요!BL23)</f>
        <v/>
      </c>
      <c r="AW37" s="64" t="str">
        <f>IF(개요!BM23=0,"",개요!BM23)</f>
        <v/>
      </c>
      <c r="AX37" s="64" t="str">
        <f>IF(개요!BN23=0,"",개요!BN23)</f>
        <v/>
      </c>
      <c r="AY37" s="64" t="str">
        <f>IF(개요!BO23=0,"",개요!BO23)</f>
        <v/>
      </c>
      <c r="AZ37" s="64" t="str">
        <f>IF(개요!BP23=0,"",개요!BP23)</f>
        <v/>
      </c>
      <c r="BA37" s="64" t="str">
        <f>IF(개요!BQ23=0,"",개요!BQ23)</f>
        <v/>
      </c>
      <c r="BB37" s="64" t="str">
        <f>IF(개요!BR23=0,"",개요!BR23)</f>
        <v/>
      </c>
      <c r="BC37" s="64" t="str">
        <f>IF(개요!BS23=0,"",개요!BS23)</f>
        <v/>
      </c>
      <c r="BD37" s="64" t="str">
        <f>IF(개요!BT23=0,"",개요!BT23)</f>
        <v/>
      </c>
      <c r="BE37" s="64" t="str">
        <f>IF(개요!BU23=0,"",개요!BU23)</f>
        <v/>
      </c>
      <c r="BF37" s="64" t="str">
        <f>IF(개요!BV23=0,"",개요!BV23)</f>
        <v/>
      </c>
      <c r="BG37" s="64" t="str">
        <f>IF(개요!BW23=0,"",개요!BW23)</f>
        <v/>
      </c>
      <c r="BH37" s="64" t="str">
        <f>IF(개요!BX23=0,"",개요!BX23)</f>
        <v/>
      </c>
      <c r="BI37" s="64" t="str">
        <f>IF(개요!BY23=0,"",개요!BY23)</f>
        <v/>
      </c>
      <c r="BJ37" s="64" t="str">
        <f>IF(개요!BZ23=0,"",개요!BZ23)</f>
        <v/>
      </c>
      <c r="BK37" s="64" t="str">
        <f>IF(개요!CA23=0,"",개요!CA23)</f>
        <v/>
      </c>
      <c r="BL37" s="64" t="str">
        <f>IF(개요!CB23=0,"",개요!CB23)</f>
        <v/>
      </c>
      <c r="BM37" s="64" t="str">
        <f>IF(개요!CC23=0,"",개요!CC23)</f>
        <v/>
      </c>
      <c r="BN37" s="64" t="str">
        <f>IF(개요!CD23=0,"",개요!CD23)</f>
        <v/>
      </c>
      <c r="BO37" s="64" t="str">
        <f>IF(개요!CE23=0,"",개요!CE23)</f>
        <v/>
      </c>
      <c r="BP37" s="64" t="str">
        <f>IF(개요!CF23=0,"",개요!CF23)</f>
        <v/>
      </c>
      <c r="BQ37" s="64" t="str">
        <f>IF(개요!CG23=0,"",개요!CG23)</f>
        <v/>
      </c>
      <c r="BR37" s="64" t="str">
        <f>IF(개요!CH23=0,"",개요!CH23)</f>
        <v/>
      </c>
      <c r="BS37" s="64" t="str">
        <f>IF(개요!CI23=0,"",개요!CI23)</f>
        <v/>
      </c>
      <c r="BT37" s="64" t="str">
        <f>IF(개요!CJ23=0,"",개요!CJ23)</f>
        <v/>
      </c>
      <c r="BU37" s="64" t="str">
        <f>IF(개요!CK23=0,"",개요!CK23)</f>
        <v/>
      </c>
      <c r="BV37" s="64" t="str">
        <f>IF(개요!CL23=0,"",개요!CL23)</f>
        <v/>
      </c>
      <c r="BW37" s="64" t="str">
        <f>IF(개요!CM23=0,"",개요!CM23)</f>
        <v/>
      </c>
      <c r="BX37" s="64" t="str">
        <f>IF(개요!CN23=0,"",개요!CN23)</f>
        <v/>
      </c>
      <c r="BY37" s="64" t="str">
        <f>IF(개요!CO23=0,"",개요!CO23)</f>
        <v/>
      </c>
      <c r="BZ37" s="64" t="str">
        <f>IF(개요!CP23=0,"",개요!CP23)</f>
        <v/>
      </c>
      <c r="CA37" s="64" t="str">
        <f>IF(개요!CQ23=0,"",개요!CQ23)</f>
        <v/>
      </c>
      <c r="CB37" s="64" t="str">
        <f>IF(개요!CR23=0,"",개요!CR23)</f>
        <v/>
      </c>
      <c r="CC37" s="64" t="str">
        <f>IF(개요!CS23=0,"",개요!CS23)</f>
        <v/>
      </c>
      <c r="CD37" s="64" t="str">
        <f>IF(개요!CT23=0,"",개요!CT23)</f>
        <v/>
      </c>
      <c r="CE37" s="64" t="str">
        <f>IF(개요!CU23=0,"",개요!CU23)</f>
        <v/>
      </c>
      <c r="CF37" s="64" t="str">
        <f>IF(개요!CV23=0,"",개요!CV23)</f>
        <v/>
      </c>
      <c r="CG37" s="64" t="str">
        <f>IF(개요!CW23=0,"",개요!CW23)</f>
        <v/>
      </c>
      <c r="CH37" s="64" t="str">
        <f>IF(개요!CX23=0,"",개요!CX23)</f>
        <v/>
      </c>
      <c r="CI37" s="64" t="str">
        <f>IF(개요!CY23=0,"",개요!CY23)</f>
        <v/>
      </c>
      <c r="CJ37" s="64" t="str">
        <f>IF(개요!CZ23=0,"",개요!CZ23)</f>
        <v/>
      </c>
      <c r="CK37" s="64" t="str">
        <f>IF(개요!DA23=0,"",개요!DA23)</f>
        <v/>
      </c>
      <c r="CL37" s="64" t="str">
        <f>IF(개요!DB23=0,"",개요!DB23)</f>
        <v/>
      </c>
      <c r="CM37" s="64" t="str">
        <f>IF(개요!DC23=0,"",개요!DC23)</f>
        <v/>
      </c>
      <c r="CN37" s="64" t="str">
        <f>IF(개요!DD23=0,"",개요!DD23)</f>
        <v/>
      </c>
      <c r="CO37" s="64" t="str">
        <f>IF(개요!DE23=0,"",개요!DE23)</f>
        <v/>
      </c>
      <c r="CP37" s="64" t="str">
        <f>IF(개요!DF23=0,"",개요!DF23)</f>
        <v/>
      </c>
      <c r="CQ37" s="64" t="str">
        <f>IF(개요!DG23=0,"",개요!DG23)</f>
        <v/>
      </c>
      <c r="CR37" s="64" t="str">
        <f>IF(개요!DH23=0,"",개요!DH23)</f>
        <v/>
      </c>
      <c r="CS37" s="64" t="str">
        <f>IF(개요!DI23=0,"",개요!DI23)</f>
        <v/>
      </c>
      <c r="CT37" s="64" t="str">
        <f>IF(개요!DJ23=0,"",개요!DJ23)</f>
        <v/>
      </c>
      <c r="CU37" s="64" t="str">
        <f>IF(개요!DK23=0,"",개요!DK23)</f>
        <v/>
      </c>
      <c r="CV37" s="64" t="str">
        <f>IF(개요!DL23=0,"",개요!DL23)</f>
        <v/>
      </c>
      <c r="CW37" s="64" t="str">
        <f>IF(개요!DM23=0,"",개요!DM23)</f>
        <v/>
      </c>
      <c r="CX37" s="64" t="str">
        <f>IF(개요!DN23=0,"",개요!DN23)</f>
        <v/>
      </c>
      <c r="CY37" s="65" t="str">
        <f t="shared" si="5"/>
        <v/>
      </c>
      <c r="DB37" s="21"/>
      <c r="DC37" s="21"/>
      <c r="DD37" s="21"/>
      <c r="DE37" s="67"/>
      <c r="DF37" s="68"/>
      <c r="DG37" s="67"/>
      <c r="DH37" s="67"/>
      <c r="DI37" s="69"/>
      <c r="DJ37" s="69"/>
      <c r="DK37" s="69"/>
      <c r="DL37" s="69"/>
    </row>
    <row r="38" spans="1:116" ht="15" hidden="1" customHeight="1" outlineLevel="1">
      <c r="A38" s="54">
        <v>17</v>
      </c>
      <c r="B38" s="63" t="str">
        <f>IF(개요!M24=0,"",개요!M24)</f>
        <v/>
      </c>
      <c r="C38" s="64" t="str">
        <f>IF(개요!S24=0,"",개요!S24)</f>
        <v/>
      </c>
      <c r="D38" s="64" t="str">
        <f>IF(개요!T24=0,"",개요!T24)</f>
        <v/>
      </c>
      <c r="E38" s="64" t="str">
        <f>IF(개요!U24=0,"",개요!U24)</f>
        <v/>
      </c>
      <c r="F38" s="64" t="str">
        <f>IF(개요!V24=0,"",개요!V24)</f>
        <v/>
      </c>
      <c r="G38" s="64" t="str">
        <f>IF(개요!W24=0,"",개요!W24)</f>
        <v/>
      </c>
      <c r="H38" s="64" t="str">
        <f>IF(개요!X24=0,"",개요!X24)</f>
        <v/>
      </c>
      <c r="I38" s="64" t="str">
        <f>IF(개요!Y24=0,"",개요!Y24)</f>
        <v/>
      </c>
      <c r="J38" s="64" t="str">
        <f>IF(개요!Z24=0,"",개요!Z24)</f>
        <v/>
      </c>
      <c r="K38" s="64" t="str">
        <f>IF(개요!AA24=0,"",개요!AA24)</f>
        <v/>
      </c>
      <c r="L38" s="64" t="str">
        <f>IF(개요!AB24=0,"",개요!AB24)</f>
        <v/>
      </c>
      <c r="M38" s="64" t="str">
        <f>IF(개요!AC24=0,"",개요!AC24)</f>
        <v/>
      </c>
      <c r="N38" s="64" t="str">
        <f>IF(개요!AD24=0,"",개요!AD24)</f>
        <v/>
      </c>
      <c r="O38" s="64" t="str">
        <f>IF(개요!AE24=0,"",개요!AE24)</f>
        <v/>
      </c>
      <c r="P38" s="64" t="str">
        <f>IF(개요!AF24=0,"",개요!AF24)</f>
        <v/>
      </c>
      <c r="Q38" s="64" t="str">
        <f>IF(개요!AG24=0,"",개요!AG24)</f>
        <v/>
      </c>
      <c r="R38" s="64" t="str">
        <f>IF(개요!AH24=0,"",개요!AH24)</f>
        <v/>
      </c>
      <c r="S38" s="64" t="str">
        <f>IF(개요!AI24=0,"",개요!AI24)</f>
        <v/>
      </c>
      <c r="T38" s="64" t="str">
        <f>IF(개요!AJ24=0,"",개요!AJ24)</f>
        <v/>
      </c>
      <c r="U38" s="64" t="str">
        <f>IF(개요!AK24=0,"",개요!AK24)</f>
        <v/>
      </c>
      <c r="V38" s="64" t="str">
        <f>IF(개요!AL24=0,"",개요!AL24)</f>
        <v/>
      </c>
      <c r="W38" s="64" t="str">
        <f>IF(개요!AM24=0,"",개요!AM24)</f>
        <v/>
      </c>
      <c r="X38" s="64" t="str">
        <f>IF(개요!AN24=0,"",개요!AN24)</f>
        <v/>
      </c>
      <c r="Y38" s="64" t="str">
        <f>IF(개요!AO24=0,"",개요!AO24)</f>
        <v/>
      </c>
      <c r="Z38" s="64" t="str">
        <f>IF(개요!AP24=0,"",개요!AP24)</f>
        <v/>
      </c>
      <c r="AA38" s="64" t="str">
        <f>IF(개요!AQ24=0,"",개요!AQ24)</f>
        <v/>
      </c>
      <c r="AB38" s="64" t="str">
        <f>IF(개요!AR24=0,"",개요!AR24)</f>
        <v/>
      </c>
      <c r="AC38" s="64" t="str">
        <f>IF(개요!AS24=0,"",개요!AS24)</f>
        <v/>
      </c>
      <c r="AD38" s="64" t="str">
        <f>IF(개요!AT24=0,"",개요!AT24)</f>
        <v/>
      </c>
      <c r="AE38" s="64" t="str">
        <f>IF(개요!AU24=0,"",개요!AU24)</f>
        <v/>
      </c>
      <c r="AF38" s="64" t="str">
        <f>IF(개요!AV24=0,"",개요!AV24)</f>
        <v/>
      </c>
      <c r="AG38" s="64" t="str">
        <f>IF(개요!AW24=0,"",개요!AW24)</f>
        <v/>
      </c>
      <c r="AH38" s="64" t="str">
        <f>IF(개요!AX24=0,"",개요!AX24)</f>
        <v/>
      </c>
      <c r="AI38" s="64" t="str">
        <f>IF(개요!AY24=0,"",개요!AY24)</f>
        <v/>
      </c>
      <c r="AJ38" s="64" t="str">
        <f>IF(개요!AZ24=0,"",개요!AZ24)</f>
        <v/>
      </c>
      <c r="AK38" s="64" t="str">
        <f>IF(개요!BA24=0,"",개요!BA24)</f>
        <v/>
      </c>
      <c r="AL38" s="64" t="str">
        <f>IF(개요!BB24=0,"",개요!BB24)</f>
        <v/>
      </c>
      <c r="AM38" s="64" t="str">
        <f>IF(개요!BC24=0,"",개요!BC24)</f>
        <v/>
      </c>
      <c r="AN38" s="64" t="str">
        <f>IF(개요!BD24=0,"",개요!BD24)</f>
        <v/>
      </c>
      <c r="AO38" s="64" t="str">
        <f>IF(개요!BE24=0,"",개요!BE24)</f>
        <v/>
      </c>
      <c r="AP38" s="64" t="str">
        <f>IF(개요!BF24=0,"",개요!BF24)</f>
        <v/>
      </c>
      <c r="AQ38" s="64" t="str">
        <f>IF(개요!BG24=0,"",개요!BG24)</f>
        <v/>
      </c>
      <c r="AR38" s="64" t="str">
        <f>IF(개요!BH24=0,"",개요!BH24)</f>
        <v/>
      </c>
      <c r="AS38" s="64" t="str">
        <f>IF(개요!BI24=0,"",개요!BI24)</f>
        <v/>
      </c>
      <c r="AT38" s="64" t="str">
        <f>IF(개요!BJ24=0,"",개요!BJ24)</f>
        <v/>
      </c>
      <c r="AU38" s="64" t="str">
        <f>IF(개요!BK24=0,"",개요!BK24)</f>
        <v/>
      </c>
      <c r="AV38" s="64" t="str">
        <f>IF(개요!BL24=0,"",개요!BL24)</f>
        <v/>
      </c>
      <c r="AW38" s="64" t="str">
        <f>IF(개요!BM24=0,"",개요!BM24)</f>
        <v/>
      </c>
      <c r="AX38" s="64" t="str">
        <f>IF(개요!BN24=0,"",개요!BN24)</f>
        <v/>
      </c>
      <c r="AY38" s="64" t="str">
        <f>IF(개요!BO24=0,"",개요!BO24)</f>
        <v/>
      </c>
      <c r="AZ38" s="64" t="str">
        <f>IF(개요!BP24=0,"",개요!BP24)</f>
        <v/>
      </c>
      <c r="BA38" s="64" t="str">
        <f>IF(개요!BQ24=0,"",개요!BQ24)</f>
        <v/>
      </c>
      <c r="BB38" s="64" t="str">
        <f>IF(개요!BR24=0,"",개요!BR24)</f>
        <v/>
      </c>
      <c r="BC38" s="64" t="str">
        <f>IF(개요!BS24=0,"",개요!BS24)</f>
        <v/>
      </c>
      <c r="BD38" s="64" t="str">
        <f>IF(개요!BT24=0,"",개요!BT24)</f>
        <v/>
      </c>
      <c r="BE38" s="64" t="str">
        <f>IF(개요!BU24=0,"",개요!BU24)</f>
        <v/>
      </c>
      <c r="BF38" s="64" t="str">
        <f>IF(개요!BV24=0,"",개요!BV24)</f>
        <v/>
      </c>
      <c r="BG38" s="64" t="str">
        <f>IF(개요!BW24=0,"",개요!BW24)</f>
        <v/>
      </c>
      <c r="BH38" s="64" t="str">
        <f>IF(개요!BX24=0,"",개요!BX24)</f>
        <v/>
      </c>
      <c r="BI38" s="64" t="str">
        <f>IF(개요!BY24=0,"",개요!BY24)</f>
        <v/>
      </c>
      <c r="BJ38" s="64" t="str">
        <f>IF(개요!BZ24=0,"",개요!BZ24)</f>
        <v/>
      </c>
      <c r="BK38" s="64" t="str">
        <f>IF(개요!CA24=0,"",개요!CA24)</f>
        <v/>
      </c>
      <c r="BL38" s="64" t="str">
        <f>IF(개요!CB24=0,"",개요!CB24)</f>
        <v/>
      </c>
      <c r="BM38" s="64" t="str">
        <f>IF(개요!CC24=0,"",개요!CC24)</f>
        <v/>
      </c>
      <c r="BN38" s="64" t="str">
        <f>IF(개요!CD24=0,"",개요!CD24)</f>
        <v/>
      </c>
      <c r="BO38" s="64" t="str">
        <f>IF(개요!CE24=0,"",개요!CE24)</f>
        <v/>
      </c>
      <c r="BP38" s="64" t="str">
        <f>IF(개요!CF24=0,"",개요!CF24)</f>
        <v/>
      </c>
      <c r="BQ38" s="64" t="str">
        <f>IF(개요!CG24=0,"",개요!CG24)</f>
        <v/>
      </c>
      <c r="BR38" s="64" t="str">
        <f>IF(개요!CH24=0,"",개요!CH24)</f>
        <v/>
      </c>
      <c r="BS38" s="64" t="str">
        <f>IF(개요!CI24=0,"",개요!CI24)</f>
        <v/>
      </c>
      <c r="BT38" s="64" t="str">
        <f>IF(개요!CJ24=0,"",개요!CJ24)</f>
        <v/>
      </c>
      <c r="BU38" s="64" t="str">
        <f>IF(개요!CK24=0,"",개요!CK24)</f>
        <v/>
      </c>
      <c r="BV38" s="64" t="str">
        <f>IF(개요!CL24=0,"",개요!CL24)</f>
        <v/>
      </c>
      <c r="BW38" s="64" t="str">
        <f>IF(개요!CM24=0,"",개요!CM24)</f>
        <v/>
      </c>
      <c r="BX38" s="64" t="str">
        <f>IF(개요!CN24=0,"",개요!CN24)</f>
        <v/>
      </c>
      <c r="BY38" s="64" t="str">
        <f>IF(개요!CO24=0,"",개요!CO24)</f>
        <v/>
      </c>
      <c r="BZ38" s="64" t="str">
        <f>IF(개요!CP24=0,"",개요!CP24)</f>
        <v/>
      </c>
      <c r="CA38" s="64" t="str">
        <f>IF(개요!CQ24=0,"",개요!CQ24)</f>
        <v/>
      </c>
      <c r="CB38" s="64" t="str">
        <f>IF(개요!CR24=0,"",개요!CR24)</f>
        <v/>
      </c>
      <c r="CC38" s="64" t="str">
        <f>IF(개요!CS24=0,"",개요!CS24)</f>
        <v/>
      </c>
      <c r="CD38" s="64" t="str">
        <f>IF(개요!CT24=0,"",개요!CT24)</f>
        <v/>
      </c>
      <c r="CE38" s="64" t="str">
        <f>IF(개요!CU24=0,"",개요!CU24)</f>
        <v/>
      </c>
      <c r="CF38" s="64" t="str">
        <f>IF(개요!CV24=0,"",개요!CV24)</f>
        <v/>
      </c>
      <c r="CG38" s="64" t="str">
        <f>IF(개요!CW24=0,"",개요!CW24)</f>
        <v/>
      </c>
      <c r="CH38" s="64" t="str">
        <f>IF(개요!CX24=0,"",개요!CX24)</f>
        <v/>
      </c>
      <c r="CI38" s="64" t="str">
        <f>IF(개요!CY24=0,"",개요!CY24)</f>
        <v/>
      </c>
      <c r="CJ38" s="64" t="str">
        <f>IF(개요!CZ24=0,"",개요!CZ24)</f>
        <v/>
      </c>
      <c r="CK38" s="64" t="str">
        <f>IF(개요!DA24=0,"",개요!DA24)</f>
        <v/>
      </c>
      <c r="CL38" s="64" t="str">
        <f>IF(개요!DB24=0,"",개요!DB24)</f>
        <v/>
      </c>
      <c r="CM38" s="64" t="str">
        <f>IF(개요!DC24=0,"",개요!DC24)</f>
        <v/>
      </c>
      <c r="CN38" s="64" t="str">
        <f>IF(개요!DD24=0,"",개요!DD24)</f>
        <v/>
      </c>
      <c r="CO38" s="64" t="str">
        <f>IF(개요!DE24=0,"",개요!DE24)</f>
        <v/>
      </c>
      <c r="CP38" s="64" t="str">
        <f>IF(개요!DF24=0,"",개요!DF24)</f>
        <v/>
      </c>
      <c r="CQ38" s="64" t="str">
        <f>IF(개요!DG24=0,"",개요!DG24)</f>
        <v/>
      </c>
      <c r="CR38" s="64" t="str">
        <f>IF(개요!DH24=0,"",개요!DH24)</f>
        <v/>
      </c>
      <c r="CS38" s="64" t="str">
        <f>IF(개요!DI24=0,"",개요!DI24)</f>
        <v/>
      </c>
      <c r="CT38" s="64" t="str">
        <f>IF(개요!DJ24=0,"",개요!DJ24)</f>
        <v/>
      </c>
      <c r="CU38" s="64" t="str">
        <f>IF(개요!DK24=0,"",개요!DK24)</f>
        <v/>
      </c>
      <c r="CV38" s="64" t="str">
        <f>IF(개요!DL24=0,"",개요!DL24)</f>
        <v/>
      </c>
      <c r="CW38" s="64" t="str">
        <f>IF(개요!DM24=0,"",개요!DM24)</f>
        <v/>
      </c>
      <c r="CX38" s="64" t="str">
        <f>IF(개요!DN24=0,"",개요!DN24)</f>
        <v/>
      </c>
      <c r="CY38" s="65" t="str">
        <f t="shared" si="5"/>
        <v/>
      </c>
      <c r="DB38" s="21"/>
      <c r="DC38" s="21"/>
      <c r="DD38" s="21"/>
      <c r="DE38" s="67"/>
      <c r="DF38" s="68"/>
      <c r="DG38" s="67"/>
      <c r="DH38" s="67"/>
      <c r="DI38" s="69"/>
      <c r="DJ38" s="69"/>
      <c r="DK38" s="69"/>
      <c r="DL38" s="69"/>
    </row>
    <row r="39" spans="1:116" ht="15" hidden="1" customHeight="1" outlineLevel="1">
      <c r="A39" s="54">
        <v>18</v>
      </c>
      <c r="B39" s="63" t="str">
        <f>IF(개요!M25=0,"",개요!M25)</f>
        <v/>
      </c>
      <c r="C39" s="64" t="str">
        <f>IF(개요!S25=0,"",개요!S25)</f>
        <v/>
      </c>
      <c r="D39" s="64" t="str">
        <f>IF(개요!T25=0,"",개요!T25)</f>
        <v/>
      </c>
      <c r="E39" s="64" t="str">
        <f>IF(개요!U25=0,"",개요!U25)</f>
        <v/>
      </c>
      <c r="F39" s="64" t="str">
        <f>IF(개요!V25=0,"",개요!V25)</f>
        <v/>
      </c>
      <c r="G39" s="64" t="str">
        <f>IF(개요!W25=0,"",개요!W25)</f>
        <v/>
      </c>
      <c r="H39" s="64" t="str">
        <f>IF(개요!X25=0,"",개요!X25)</f>
        <v/>
      </c>
      <c r="I39" s="64" t="str">
        <f>IF(개요!Y25=0,"",개요!Y25)</f>
        <v/>
      </c>
      <c r="J39" s="64" t="str">
        <f>IF(개요!Z25=0,"",개요!Z25)</f>
        <v/>
      </c>
      <c r="K39" s="64" t="str">
        <f>IF(개요!AA25=0,"",개요!AA25)</f>
        <v/>
      </c>
      <c r="L39" s="64" t="str">
        <f>IF(개요!AB25=0,"",개요!AB25)</f>
        <v/>
      </c>
      <c r="M39" s="64" t="str">
        <f>IF(개요!AC25=0,"",개요!AC25)</f>
        <v/>
      </c>
      <c r="N39" s="64" t="str">
        <f>IF(개요!AD25=0,"",개요!AD25)</f>
        <v/>
      </c>
      <c r="O39" s="64" t="str">
        <f>IF(개요!AE25=0,"",개요!AE25)</f>
        <v/>
      </c>
      <c r="P39" s="64" t="str">
        <f>IF(개요!AF25=0,"",개요!AF25)</f>
        <v/>
      </c>
      <c r="Q39" s="64" t="str">
        <f>IF(개요!AG25=0,"",개요!AG25)</f>
        <v/>
      </c>
      <c r="R39" s="64" t="str">
        <f>IF(개요!AH25=0,"",개요!AH25)</f>
        <v/>
      </c>
      <c r="S39" s="64" t="str">
        <f>IF(개요!AI25=0,"",개요!AI25)</f>
        <v/>
      </c>
      <c r="T39" s="64" t="str">
        <f>IF(개요!AJ25=0,"",개요!AJ25)</f>
        <v/>
      </c>
      <c r="U39" s="64" t="str">
        <f>IF(개요!AK25=0,"",개요!AK25)</f>
        <v/>
      </c>
      <c r="V39" s="64" t="str">
        <f>IF(개요!AL25=0,"",개요!AL25)</f>
        <v/>
      </c>
      <c r="W39" s="64" t="str">
        <f>IF(개요!AM25=0,"",개요!AM25)</f>
        <v/>
      </c>
      <c r="X39" s="64" t="str">
        <f>IF(개요!AN25=0,"",개요!AN25)</f>
        <v/>
      </c>
      <c r="Y39" s="64" t="str">
        <f>IF(개요!AO25=0,"",개요!AO25)</f>
        <v/>
      </c>
      <c r="Z39" s="64" t="str">
        <f>IF(개요!AP25=0,"",개요!AP25)</f>
        <v/>
      </c>
      <c r="AA39" s="64" t="str">
        <f>IF(개요!AQ25=0,"",개요!AQ25)</f>
        <v/>
      </c>
      <c r="AB39" s="64" t="str">
        <f>IF(개요!AR25=0,"",개요!AR25)</f>
        <v/>
      </c>
      <c r="AC39" s="64" t="str">
        <f>IF(개요!AS25=0,"",개요!AS25)</f>
        <v/>
      </c>
      <c r="AD39" s="64" t="str">
        <f>IF(개요!AT25=0,"",개요!AT25)</f>
        <v/>
      </c>
      <c r="AE39" s="64" t="str">
        <f>IF(개요!AU25=0,"",개요!AU25)</f>
        <v/>
      </c>
      <c r="AF39" s="64" t="str">
        <f>IF(개요!AV25=0,"",개요!AV25)</f>
        <v/>
      </c>
      <c r="AG39" s="64" t="str">
        <f>IF(개요!AW25=0,"",개요!AW25)</f>
        <v/>
      </c>
      <c r="AH39" s="64" t="str">
        <f>IF(개요!AX25=0,"",개요!AX25)</f>
        <v/>
      </c>
      <c r="AI39" s="64" t="str">
        <f>IF(개요!AY25=0,"",개요!AY25)</f>
        <v/>
      </c>
      <c r="AJ39" s="64" t="str">
        <f>IF(개요!AZ25=0,"",개요!AZ25)</f>
        <v/>
      </c>
      <c r="AK39" s="64" t="str">
        <f>IF(개요!BA25=0,"",개요!BA25)</f>
        <v/>
      </c>
      <c r="AL39" s="64" t="str">
        <f>IF(개요!BB25=0,"",개요!BB25)</f>
        <v/>
      </c>
      <c r="AM39" s="64" t="str">
        <f>IF(개요!BC25=0,"",개요!BC25)</f>
        <v/>
      </c>
      <c r="AN39" s="64" t="str">
        <f>IF(개요!BD25=0,"",개요!BD25)</f>
        <v/>
      </c>
      <c r="AO39" s="64" t="str">
        <f>IF(개요!BE25=0,"",개요!BE25)</f>
        <v/>
      </c>
      <c r="AP39" s="64" t="str">
        <f>IF(개요!BF25=0,"",개요!BF25)</f>
        <v/>
      </c>
      <c r="AQ39" s="64" t="str">
        <f>IF(개요!BG25=0,"",개요!BG25)</f>
        <v/>
      </c>
      <c r="AR39" s="64" t="str">
        <f>IF(개요!BH25=0,"",개요!BH25)</f>
        <v/>
      </c>
      <c r="AS39" s="64" t="str">
        <f>IF(개요!BI25=0,"",개요!BI25)</f>
        <v/>
      </c>
      <c r="AT39" s="64" t="str">
        <f>IF(개요!BJ25=0,"",개요!BJ25)</f>
        <v/>
      </c>
      <c r="AU39" s="64" t="str">
        <f>IF(개요!BK25=0,"",개요!BK25)</f>
        <v/>
      </c>
      <c r="AV39" s="64" t="str">
        <f>IF(개요!BL25=0,"",개요!BL25)</f>
        <v/>
      </c>
      <c r="AW39" s="64" t="str">
        <f>IF(개요!BM25=0,"",개요!BM25)</f>
        <v/>
      </c>
      <c r="AX39" s="64" t="str">
        <f>IF(개요!BN25=0,"",개요!BN25)</f>
        <v/>
      </c>
      <c r="AY39" s="64" t="str">
        <f>IF(개요!BO25=0,"",개요!BO25)</f>
        <v/>
      </c>
      <c r="AZ39" s="64" t="str">
        <f>IF(개요!BP25=0,"",개요!BP25)</f>
        <v/>
      </c>
      <c r="BA39" s="64" t="str">
        <f>IF(개요!BQ25=0,"",개요!BQ25)</f>
        <v/>
      </c>
      <c r="BB39" s="64" t="str">
        <f>IF(개요!BR25=0,"",개요!BR25)</f>
        <v/>
      </c>
      <c r="BC39" s="64" t="str">
        <f>IF(개요!BS25=0,"",개요!BS25)</f>
        <v/>
      </c>
      <c r="BD39" s="64" t="str">
        <f>IF(개요!BT25=0,"",개요!BT25)</f>
        <v/>
      </c>
      <c r="BE39" s="64" t="str">
        <f>IF(개요!BU25=0,"",개요!BU25)</f>
        <v/>
      </c>
      <c r="BF39" s="64" t="str">
        <f>IF(개요!BV25=0,"",개요!BV25)</f>
        <v/>
      </c>
      <c r="BG39" s="64" t="str">
        <f>IF(개요!BW25=0,"",개요!BW25)</f>
        <v/>
      </c>
      <c r="BH39" s="64" t="str">
        <f>IF(개요!BX25=0,"",개요!BX25)</f>
        <v/>
      </c>
      <c r="BI39" s="64" t="str">
        <f>IF(개요!BY25=0,"",개요!BY25)</f>
        <v/>
      </c>
      <c r="BJ39" s="64" t="str">
        <f>IF(개요!BZ25=0,"",개요!BZ25)</f>
        <v/>
      </c>
      <c r="BK39" s="64" t="str">
        <f>IF(개요!CA25=0,"",개요!CA25)</f>
        <v/>
      </c>
      <c r="BL39" s="64" t="str">
        <f>IF(개요!CB25=0,"",개요!CB25)</f>
        <v/>
      </c>
      <c r="BM39" s="64" t="str">
        <f>IF(개요!CC25=0,"",개요!CC25)</f>
        <v/>
      </c>
      <c r="BN39" s="64" t="str">
        <f>IF(개요!CD25=0,"",개요!CD25)</f>
        <v/>
      </c>
      <c r="BO39" s="64" t="str">
        <f>IF(개요!CE25=0,"",개요!CE25)</f>
        <v/>
      </c>
      <c r="BP39" s="64" t="str">
        <f>IF(개요!CF25=0,"",개요!CF25)</f>
        <v/>
      </c>
      <c r="BQ39" s="64" t="str">
        <f>IF(개요!CG25=0,"",개요!CG25)</f>
        <v/>
      </c>
      <c r="BR39" s="64" t="str">
        <f>IF(개요!CH25=0,"",개요!CH25)</f>
        <v/>
      </c>
      <c r="BS39" s="64" t="str">
        <f>IF(개요!CI25=0,"",개요!CI25)</f>
        <v/>
      </c>
      <c r="BT39" s="64" t="str">
        <f>IF(개요!CJ25=0,"",개요!CJ25)</f>
        <v/>
      </c>
      <c r="BU39" s="64" t="str">
        <f>IF(개요!CK25=0,"",개요!CK25)</f>
        <v/>
      </c>
      <c r="BV39" s="64" t="str">
        <f>IF(개요!CL25=0,"",개요!CL25)</f>
        <v/>
      </c>
      <c r="BW39" s="64" t="str">
        <f>IF(개요!CM25=0,"",개요!CM25)</f>
        <v/>
      </c>
      <c r="BX39" s="64" t="str">
        <f>IF(개요!CN25=0,"",개요!CN25)</f>
        <v/>
      </c>
      <c r="BY39" s="64" t="str">
        <f>IF(개요!CO25=0,"",개요!CO25)</f>
        <v/>
      </c>
      <c r="BZ39" s="64" t="str">
        <f>IF(개요!CP25=0,"",개요!CP25)</f>
        <v/>
      </c>
      <c r="CA39" s="64" t="str">
        <f>IF(개요!CQ25=0,"",개요!CQ25)</f>
        <v/>
      </c>
      <c r="CB39" s="64" t="str">
        <f>IF(개요!CR25=0,"",개요!CR25)</f>
        <v/>
      </c>
      <c r="CC39" s="64" t="str">
        <f>IF(개요!CS25=0,"",개요!CS25)</f>
        <v/>
      </c>
      <c r="CD39" s="64" t="str">
        <f>IF(개요!CT25=0,"",개요!CT25)</f>
        <v/>
      </c>
      <c r="CE39" s="64" t="str">
        <f>IF(개요!CU25=0,"",개요!CU25)</f>
        <v/>
      </c>
      <c r="CF39" s="64" t="str">
        <f>IF(개요!CV25=0,"",개요!CV25)</f>
        <v/>
      </c>
      <c r="CG39" s="64" t="str">
        <f>IF(개요!CW25=0,"",개요!CW25)</f>
        <v/>
      </c>
      <c r="CH39" s="64" t="str">
        <f>IF(개요!CX25=0,"",개요!CX25)</f>
        <v/>
      </c>
      <c r="CI39" s="64" t="str">
        <f>IF(개요!CY25=0,"",개요!CY25)</f>
        <v/>
      </c>
      <c r="CJ39" s="64" t="str">
        <f>IF(개요!CZ25=0,"",개요!CZ25)</f>
        <v/>
      </c>
      <c r="CK39" s="64" t="str">
        <f>IF(개요!DA25=0,"",개요!DA25)</f>
        <v/>
      </c>
      <c r="CL39" s="64" t="str">
        <f>IF(개요!DB25=0,"",개요!DB25)</f>
        <v/>
      </c>
      <c r="CM39" s="64" t="str">
        <f>IF(개요!DC25=0,"",개요!DC25)</f>
        <v/>
      </c>
      <c r="CN39" s="64" t="str">
        <f>IF(개요!DD25=0,"",개요!DD25)</f>
        <v/>
      </c>
      <c r="CO39" s="64" t="str">
        <f>IF(개요!DE25=0,"",개요!DE25)</f>
        <v/>
      </c>
      <c r="CP39" s="64" t="str">
        <f>IF(개요!DF25=0,"",개요!DF25)</f>
        <v/>
      </c>
      <c r="CQ39" s="64" t="str">
        <f>IF(개요!DG25=0,"",개요!DG25)</f>
        <v/>
      </c>
      <c r="CR39" s="64" t="str">
        <f>IF(개요!DH25=0,"",개요!DH25)</f>
        <v/>
      </c>
      <c r="CS39" s="64" t="str">
        <f>IF(개요!DI25=0,"",개요!DI25)</f>
        <v/>
      </c>
      <c r="CT39" s="64" t="str">
        <f>IF(개요!DJ25=0,"",개요!DJ25)</f>
        <v/>
      </c>
      <c r="CU39" s="64" t="str">
        <f>IF(개요!DK25=0,"",개요!DK25)</f>
        <v/>
      </c>
      <c r="CV39" s="64" t="str">
        <f>IF(개요!DL25=0,"",개요!DL25)</f>
        <v/>
      </c>
      <c r="CW39" s="64" t="str">
        <f>IF(개요!DM25=0,"",개요!DM25)</f>
        <v/>
      </c>
      <c r="CX39" s="64" t="str">
        <f>IF(개요!DN25=0,"",개요!DN25)</f>
        <v/>
      </c>
      <c r="CY39" s="65" t="str">
        <f t="shared" si="5"/>
        <v/>
      </c>
      <c r="DB39" s="21"/>
      <c r="DC39" s="21"/>
      <c r="DD39" s="21"/>
      <c r="DE39" s="67"/>
      <c r="DF39" s="68"/>
      <c r="DG39" s="67"/>
      <c r="DH39" s="67"/>
      <c r="DI39" s="69"/>
      <c r="DJ39" s="69"/>
      <c r="DK39" s="69"/>
      <c r="DL39" s="69"/>
    </row>
    <row r="40" spans="1:116" ht="15" hidden="1" customHeight="1" outlineLevel="1">
      <c r="A40" s="54">
        <v>19</v>
      </c>
      <c r="B40" s="63" t="str">
        <f>IF(개요!M26=0,"",개요!M26)</f>
        <v/>
      </c>
      <c r="C40" s="64" t="str">
        <f>IF(개요!S26=0,"",개요!S26)</f>
        <v/>
      </c>
      <c r="D40" s="64" t="str">
        <f>IF(개요!T26=0,"",개요!T26)</f>
        <v/>
      </c>
      <c r="E40" s="64" t="str">
        <f>IF(개요!U26=0,"",개요!U26)</f>
        <v/>
      </c>
      <c r="F40" s="64" t="str">
        <f>IF(개요!V26=0,"",개요!V26)</f>
        <v/>
      </c>
      <c r="G40" s="64" t="str">
        <f>IF(개요!W26=0,"",개요!W26)</f>
        <v/>
      </c>
      <c r="H40" s="64" t="str">
        <f>IF(개요!X26=0,"",개요!X26)</f>
        <v/>
      </c>
      <c r="I40" s="64" t="str">
        <f>IF(개요!Y26=0,"",개요!Y26)</f>
        <v/>
      </c>
      <c r="J40" s="64" t="str">
        <f>IF(개요!Z26=0,"",개요!Z26)</f>
        <v/>
      </c>
      <c r="K40" s="64" t="str">
        <f>IF(개요!AA26=0,"",개요!AA26)</f>
        <v/>
      </c>
      <c r="L40" s="64" t="str">
        <f>IF(개요!AB26=0,"",개요!AB26)</f>
        <v/>
      </c>
      <c r="M40" s="64" t="str">
        <f>IF(개요!AC26=0,"",개요!AC26)</f>
        <v/>
      </c>
      <c r="N40" s="64" t="str">
        <f>IF(개요!AD26=0,"",개요!AD26)</f>
        <v/>
      </c>
      <c r="O40" s="64" t="str">
        <f>IF(개요!AE26=0,"",개요!AE26)</f>
        <v/>
      </c>
      <c r="P40" s="64" t="str">
        <f>IF(개요!AF26=0,"",개요!AF26)</f>
        <v/>
      </c>
      <c r="Q40" s="64" t="str">
        <f>IF(개요!AG26=0,"",개요!AG26)</f>
        <v/>
      </c>
      <c r="R40" s="64" t="str">
        <f>IF(개요!AH26=0,"",개요!AH26)</f>
        <v/>
      </c>
      <c r="S40" s="64" t="str">
        <f>IF(개요!AI26=0,"",개요!AI26)</f>
        <v/>
      </c>
      <c r="T40" s="64" t="str">
        <f>IF(개요!AJ26=0,"",개요!AJ26)</f>
        <v/>
      </c>
      <c r="U40" s="64" t="str">
        <f>IF(개요!AK26=0,"",개요!AK26)</f>
        <v/>
      </c>
      <c r="V40" s="64" t="str">
        <f>IF(개요!AL26=0,"",개요!AL26)</f>
        <v/>
      </c>
      <c r="W40" s="64" t="str">
        <f>IF(개요!AM26=0,"",개요!AM26)</f>
        <v/>
      </c>
      <c r="X40" s="64" t="str">
        <f>IF(개요!AN26=0,"",개요!AN26)</f>
        <v/>
      </c>
      <c r="Y40" s="64" t="str">
        <f>IF(개요!AO26=0,"",개요!AO26)</f>
        <v/>
      </c>
      <c r="Z40" s="64" t="str">
        <f>IF(개요!AP26=0,"",개요!AP26)</f>
        <v/>
      </c>
      <c r="AA40" s="64" t="str">
        <f>IF(개요!AQ26=0,"",개요!AQ26)</f>
        <v/>
      </c>
      <c r="AB40" s="64" t="str">
        <f>IF(개요!AR26=0,"",개요!AR26)</f>
        <v/>
      </c>
      <c r="AC40" s="64" t="str">
        <f>IF(개요!AS26=0,"",개요!AS26)</f>
        <v/>
      </c>
      <c r="AD40" s="64" t="str">
        <f>IF(개요!AT26=0,"",개요!AT26)</f>
        <v/>
      </c>
      <c r="AE40" s="64" t="str">
        <f>IF(개요!AU26=0,"",개요!AU26)</f>
        <v/>
      </c>
      <c r="AF40" s="64" t="str">
        <f>IF(개요!AV26=0,"",개요!AV26)</f>
        <v/>
      </c>
      <c r="AG40" s="64" t="str">
        <f>IF(개요!AW26=0,"",개요!AW26)</f>
        <v/>
      </c>
      <c r="AH40" s="64" t="str">
        <f>IF(개요!AX26=0,"",개요!AX26)</f>
        <v/>
      </c>
      <c r="AI40" s="64" t="str">
        <f>IF(개요!AY26=0,"",개요!AY26)</f>
        <v/>
      </c>
      <c r="AJ40" s="64" t="str">
        <f>IF(개요!AZ26=0,"",개요!AZ26)</f>
        <v/>
      </c>
      <c r="AK40" s="64" t="str">
        <f>IF(개요!BA26=0,"",개요!BA26)</f>
        <v/>
      </c>
      <c r="AL40" s="64" t="str">
        <f>IF(개요!BB26=0,"",개요!BB26)</f>
        <v/>
      </c>
      <c r="AM40" s="64" t="str">
        <f>IF(개요!BC26=0,"",개요!BC26)</f>
        <v/>
      </c>
      <c r="AN40" s="64" t="str">
        <f>IF(개요!BD26=0,"",개요!BD26)</f>
        <v/>
      </c>
      <c r="AO40" s="64" t="str">
        <f>IF(개요!BE26=0,"",개요!BE26)</f>
        <v/>
      </c>
      <c r="AP40" s="64" t="str">
        <f>IF(개요!BF26=0,"",개요!BF26)</f>
        <v/>
      </c>
      <c r="AQ40" s="64" t="str">
        <f>IF(개요!BG26=0,"",개요!BG26)</f>
        <v/>
      </c>
      <c r="AR40" s="64" t="str">
        <f>IF(개요!BH26=0,"",개요!BH26)</f>
        <v/>
      </c>
      <c r="AS40" s="64" t="str">
        <f>IF(개요!BI26=0,"",개요!BI26)</f>
        <v/>
      </c>
      <c r="AT40" s="64" t="str">
        <f>IF(개요!BJ26=0,"",개요!BJ26)</f>
        <v/>
      </c>
      <c r="AU40" s="64" t="str">
        <f>IF(개요!BK26=0,"",개요!BK26)</f>
        <v/>
      </c>
      <c r="AV40" s="64" t="str">
        <f>IF(개요!BL26=0,"",개요!BL26)</f>
        <v/>
      </c>
      <c r="AW40" s="64" t="str">
        <f>IF(개요!BM26=0,"",개요!BM26)</f>
        <v/>
      </c>
      <c r="AX40" s="64" t="str">
        <f>IF(개요!BN26=0,"",개요!BN26)</f>
        <v/>
      </c>
      <c r="AY40" s="64" t="str">
        <f>IF(개요!BO26=0,"",개요!BO26)</f>
        <v/>
      </c>
      <c r="AZ40" s="64" t="str">
        <f>IF(개요!BP26=0,"",개요!BP26)</f>
        <v/>
      </c>
      <c r="BA40" s="64" t="str">
        <f>IF(개요!BQ26=0,"",개요!BQ26)</f>
        <v/>
      </c>
      <c r="BB40" s="64" t="str">
        <f>IF(개요!BR26=0,"",개요!BR26)</f>
        <v/>
      </c>
      <c r="BC40" s="64" t="str">
        <f>IF(개요!BS26=0,"",개요!BS26)</f>
        <v/>
      </c>
      <c r="BD40" s="64" t="str">
        <f>IF(개요!BT26=0,"",개요!BT26)</f>
        <v/>
      </c>
      <c r="BE40" s="64" t="str">
        <f>IF(개요!BU26=0,"",개요!BU26)</f>
        <v/>
      </c>
      <c r="BF40" s="64" t="str">
        <f>IF(개요!BV26=0,"",개요!BV26)</f>
        <v/>
      </c>
      <c r="BG40" s="64" t="str">
        <f>IF(개요!BW26=0,"",개요!BW26)</f>
        <v/>
      </c>
      <c r="BH40" s="64" t="str">
        <f>IF(개요!BX26=0,"",개요!BX26)</f>
        <v/>
      </c>
      <c r="BI40" s="64" t="str">
        <f>IF(개요!BY26=0,"",개요!BY26)</f>
        <v/>
      </c>
      <c r="BJ40" s="64" t="str">
        <f>IF(개요!BZ26=0,"",개요!BZ26)</f>
        <v/>
      </c>
      <c r="BK40" s="64" t="str">
        <f>IF(개요!CA26=0,"",개요!CA26)</f>
        <v/>
      </c>
      <c r="BL40" s="64" t="str">
        <f>IF(개요!CB26=0,"",개요!CB26)</f>
        <v/>
      </c>
      <c r="BM40" s="64" t="str">
        <f>IF(개요!CC26=0,"",개요!CC26)</f>
        <v/>
      </c>
      <c r="BN40" s="64" t="str">
        <f>IF(개요!CD26=0,"",개요!CD26)</f>
        <v/>
      </c>
      <c r="BO40" s="64" t="str">
        <f>IF(개요!CE26=0,"",개요!CE26)</f>
        <v/>
      </c>
      <c r="BP40" s="64" t="str">
        <f>IF(개요!CF26=0,"",개요!CF26)</f>
        <v/>
      </c>
      <c r="BQ40" s="64" t="str">
        <f>IF(개요!CG26=0,"",개요!CG26)</f>
        <v/>
      </c>
      <c r="BR40" s="64" t="str">
        <f>IF(개요!CH26=0,"",개요!CH26)</f>
        <v/>
      </c>
      <c r="BS40" s="64" t="str">
        <f>IF(개요!CI26=0,"",개요!CI26)</f>
        <v/>
      </c>
      <c r="BT40" s="64" t="str">
        <f>IF(개요!CJ26=0,"",개요!CJ26)</f>
        <v/>
      </c>
      <c r="BU40" s="64" t="str">
        <f>IF(개요!CK26=0,"",개요!CK26)</f>
        <v/>
      </c>
      <c r="BV40" s="64" t="str">
        <f>IF(개요!CL26=0,"",개요!CL26)</f>
        <v/>
      </c>
      <c r="BW40" s="64" t="str">
        <f>IF(개요!CM26=0,"",개요!CM26)</f>
        <v/>
      </c>
      <c r="BX40" s="64" t="str">
        <f>IF(개요!CN26=0,"",개요!CN26)</f>
        <v/>
      </c>
      <c r="BY40" s="64" t="str">
        <f>IF(개요!CO26=0,"",개요!CO26)</f>
        <v/>
      </c>
      <c r="BZ40" s="64" t="str">
        <f>IF(개요!CP26=0,"",개요!CP26)</f>
        <v/>
      </c>
      <c r="CA40" s="64" t="str">
        <f>IF(개요!CQ26=0,"",개요!CQ26)</f>
        <v/>
      </c>
      <c r="CB40" s="64" t="str">
        <f>IF(개요!CR26=0,"",개요!CR26)</f>
        <v/>
      </c>
      <c r="CC40" s="64" t="str">
        <f>IF(개요!CS26=0,"",개요!CS26)</f>
        <v/>
      </c>
      <c r="CD40" s="64" t="str">
        <f>IF(개요!CT26=0,"",개요!CT26)</f>
        <v/>
      </c>
      <c r="CE40" s="64" t="str">
        <f>IF(개요!CU26=0,"",개요!CU26)</f>
        <v/>
      </c>
      <c r="CF40" s="64" t="str">
        <f>IF(개요!CV26=0,"",개요!CV26)</f>
        <v/>
      </c>
      <c r="CG40" s="64" t="str">
        <f>IF(개요!CW26=0,"",개요!CW26)</f>
        <v/>
      </c>
      <c r="CH40" s="64" t="str">
        <f>IF(개요!CX26=0,"",개요!CX26)</f>
        <v/>
      </c>
      <c r="CI40" s="64" t="str">
        <f>IF(개요!CY26=0,"",개요!CY26)</f>
        <v/>
      </c>
      <c r="CJ40" s="64" t="str">
        <f>IF(개요!CZ26=0,"",개요!CZ26)</f>
        <v/>
      </c>
      <c r="CK40" s="64" t="str">
        <f>IF(개요!DA26=0,"",개요!DA26)</f>
        <v/>
      </c>
      <c r="CL40" s="64" t="str">
        <f>IF(개요!DB26=0,"",개요!DB26)</f>
        <v/>
      </c>
      <c r="CM40" s="64" t="str">
        <f>IF(개요!DC26=0,"",개요!DC26)</f>
        <v/>
      </c>
      <c r="CN40" s="64" t="str">
        <f>IF(개요!DD26=0,"",개요!DD26)</f>
        <v/>
      </c>
      <c r="CO40" s="64" t="str">
        <f>IF(개요!DE26=0,"",개요!DE26)</f>
        <v/>
      </c>
      <c r="CP40" s="64" t="str">
        <f>IF(개요!DF26=0,"",개요!DF26)</f>
        <v/>
      </c>
      <c r="CQ40" s="64" t="str">
        <f>IF(개요!DG26=0,"",개요!DG26)</f>
        <v/>
      </c>
      <c r="CR40" s="64" t="str">
        <f>IF(개요!DH26=0,"",개요!DH26)</f>
        <v/>
      </c>
      <c r="CS40" s="64" t="str">
        <f>IF(개요!DI26=0,"",개요!DI26)</f>
        <v/>
      </c>
      <c r="CT40" s="64" t="str">
        <f>IF(개요!DJ26=0,"",개요!DJ26)</f>
        <v/>
      </c>
      <c r="CU40" s="64" t="str">
        <f>IF(개요!DK26=0,"",개요!DK26)</f>
        <v/>
      </c>
      <c r="CV40" s="64" t="str">
        <f>IF(개요!DL26=0,"",개요!DL26)</f>
        <v/>
      </c>
      <c r="CW40" s="64" t="str">
        <f>IF(개요!DM26=0,"",개요!DM26)</f>
        <v/>
      </c>
      <c r="CX40" s="64" t="str">
        <f>IF(개요!DN26=0,"",개요!DN26)</f>
        <v/>
      </c>
      <c r="CY40" s="65" t="str">
        <f t="shared" si="5"/>
        <v/>
      </c>
      <c r="DB40" s="21"/>
      <c r="DC40" s="21"/>
      <c r="DD40" s="21"/>
      <c r="DE40" s="67"/>
      <c r="DF40" s="68"/>
      <c r="DG40" s="67"/>
      <c r="DH40" s="67"/>
      <c r="DI40" s="69"/>
      <c r="DJ40" s="69"/>
      <c r="DK40" s="69"/>
      <c r="DL40" s="69"/>
    </row>
    <row r="41" spans="1:116" ht="15" hidden="1" customHeight="1" outlineLevel="1">
      <c r="A41" s="54">
        <v>20</v>
      </c>
      <c r="B41" s="63" t="str">
        <f>IF(개요!M27=0,"",개요!M27)</f>
        <v/>
      </c>
      <c r="C41" s="64" t="str">
        <f>IF(개요!S27=0,"",개요!S27)</f>
        <v/>
      </c>
      <c r="D41" s="64" t="str">
        <f>IF(개요!T27=0,"",개요!T27)</f>
        <v/>
      </c>
      <c r="E41" s="64" t="str">
        <f>IF(개요!U27=0,"",개요!U27)</f>
        <v/>
      </c>
      <c r="F41" s="64" t="str">
        <f>IF(개요!V27=0,"",개요!V27)</f>
        <v/>
      </c>
      <c r="G41" s="64" t="str">
        <f>IF(개요!W27=0,"",개요!W27)</f>
        <v/>
      </c>
      <c r="H41" s="64" t="str">
        <f>IF(개요!X27=0,"",개요!X27)</f>
        <v/>
      </c>
      <c r="I41" s="64" t="str">
        <f>IF(개요!Y27=0,"",개요!Y27)</f>
        <v/>
      </c>
      <c r="J41" s="64" t="str">
        <f>IF(개요!Z27=0,"",개요!Z27)</f>
        <v/>
      </c>
      <c r="K41" s="64" t="str">
        <f>IF(개요!AA27=0,"",개요!AA27)</f>
        <v/>
      </c>
      <c r="L41" s="64" t="str">
        <f>IF(개요!AB27=0,"",개요!AB27)</f>
        <v/>
      </c>
      <c r="M41" s="64" t="str">
        <f>IF(개요!AC27=0,"",개요!AC27)</f>
        <v/>
      </c>
      <c r="N41" s="64" t="str">
        <f>IF(개요!AD27=0,"",개요!AD27)</f>
        <v/>
      </c>
      <c r="O41" s="64" t="str">
        <f>IF(개요!AE27=0,"",개요!AE27)</f>
        <v/>
      </c>
      <c r="P41" s="64" t="str">
        <f>IF(개요!AF27=0,"",개요!AF27)</f>
        <v/>
      </c>
      <c r="Q41" s="64" t="str">
        <f>IF(개요!AG27=0,"",개요!AG27)</f>
        <v/>
      </c>
      <c r="R41" s="64" t="str">
        <f>IF(개요!AH27=0,"",개요!AH27)</f>
        <v/>
      </c>
      <c r="S41" s="64" t="str">
        <f>IF(개요!AI27=0,"",개요!AI27)</f>
        <v/>
      </c>
      <c r="T41" s="64" t="str">
        <f>IF(개요!AJ27=0,"",개요!AJ27)</f>
        <v/>
      </c>
      <c r="U41" s="64" t="str">
        <f>IF(개요!AK27=0,"",개요!AK27)</f>
        <v/>
      </c>
      <c r="V41" s="64" t="str">
        <f>IF(개요!AL27=0,"",개요!AL27)</f>
        <v/>
      </c>
      <c r="W41" s="64" t="str">
        <f>IF(개요!AM27=0,"",개요!AM27)</f>
        <v/>
      </c>
      <c r="X41" s="64" t="str">
        <f>IF(개요!AN27=0,"",개요!AN27)</f>
        <v/>
      </c>
      <c r="Y41" s="64" t="str">
        <f>IF(개요!AO27=0,"",개요!AO27)</f>
        <v/>
      </c>
      <c r="Z41" s="64" t="str">
        <f>IF(개요!AP27=0,"",개요!AP27)</f>
        <v/>
      </c>
      <c r="AA41" s="64" t="str">
        <f>IF(개요!AQ27=0,"",개요!AQ27)</f>
        <v/>
      </c>
      <c r="AB41" s="64" t="str">
        <f>IF(개요!AR27=0,"",개요!AR27)</f>
        <v/>
      </c>
      <c r="AC41" s="64" t="str">
        <f>IF(개요!AS27=0,"",개요!AS27)</f>
        <v/>
      </c>
      <c r="AD41" s="64" t="str">
        <f>IF(개요!AT27=0,"",개요!AT27)</f>
        <v/>
      </c>
      <c r="AE41" s="64" t="str">
        <f>IF(개요!AU27=0,"",개요!AU27)</f>
        <v/>
      </c>
      <c r="AF41" s="64" t="str">
        <f>IF(개요!AV27=0,"",개요!AV27)</f>
        <v/>
      </c>
      <c r="AG41" s="64" t="str">
        <f>IF(개요!AW27=0,"",개요!AW27)</f>
        <v/>
      </c>
      <c r="AH41" s="64" t="str">
        <f>IF(개요!AX27=0,"",개요!AX27)</f>
        <v/>
      </c>
      <c r="AI41" s="64" t="str">
        <f>IF(개요!AY27=0,"",개요!AY27)</f>
        <v/>
      </c>
      <c r="AJ41" s="64" t="str">
        <f>IF(개요!AZ27=0,"",개요!AZ27)</f>
        <v/>
      </c>
      <c r="AK41" s="64" t="str">
        <f>IF(개요!BA27=0,"",개요!BA27)</f>
        <v/>
      </c>
      <c r="AL41" s="64" t="str">
        <f>IF(개요!BB27=0,"",개요!BB27)</f>
        <v/>
      </c>
      <c r="AM41" s="64" t="str">
        <f>IF(개요!BC27=0,"",개요!BC27)</f>
        <v/>
      </c>
      <c r="AN41" s="64" t="str">
        <f>IF(개요!BD27=0,"",개요!BD27)</f>
        <v/>
      </c>
      <c r="AO41" s="64" t="str">
        <f>IF(개요!BE27=0,"",개요!BE27)</f>
        <v/>
      </c>
      <c r="AP41" s="64" t="str">
        <f>IF(개요!BF27=0,"",개요!BF27)</f>
        <v/>
      </c>
      <c r="AQ41" s="64" t="str">
        <f>IF(개요!BG27=0,"",개요!BG27)</f>
        <v/>
      </c>
      <c r="AR41" s="64" t="str">
        <f>IF(개요!BH27=0,"",개요!BH27)</f>
        <v/>
      </c>
      <c r="AS41" s="64" t="str">
        <f>IF(개요!BI27=0,"",개요!BI27)</f>
        <v/>
      </c>
      <c r="AT41" s="64" t="str">
        <f>IF(개요!BJ27=0,"",개요!BJ27)</f>
        <v/>
      </c>
      <c r="AU41" s="64" t="str">
        <f>IF(개요!BK27=0,"",개요!BK27)</f>
        <v/>
      </c>
      <c r="AV41" s="64" t="str">
        <f>IF(개요!BL27=0,"",개요!BL27)</f>
        <v/>
      </c>
      <c r="AW41" s="64" t="str">
        <f>IF(개요!BM27=0,"",개요!BM27)</f>
        <v/>
      </c>
      <c r="AX41" s="64" t="str">
        <f>IF(개요!BN27=0,"",개요!BN27)</f>
        <v/>
      </c>
      <c r="AY41" s="64" t="str">
        <f>IF(개요!BO27=0,"",개요!BO27)</f>
        <v/>
      </c>
      <c r="AZ41" s="64" t="str">
        <f>IF(개요!BP27=0,"",개요!BP27)</f>
        <v/>
      </c>
      <c r="BA41" s="64" t="str">
        <f>IF(개요!BQ27=0,"",개요!BQ27)</f>
        <v/>
      </c>
      <c r="BB41" s="64" t="str">
        <f>IF(개요!BR27=0,"",개요!BR27)</f>
        <v/>
      </c>
      <c r="BC41" s="64" t="str">
        <f>IF(개요!BS27=0,"",개요!BS27)</f>
        <v/>
      </c>
      <c r="BD41" s="64" t="str">
        <f>IF(개요!BT27=0,"",개요!BT27)</f>
        <v/>
      </c>
      <c r="BE41" s="64" t="str">
        <f>IF(개요!BU27=0,"",개요!BU27)</f>
        <v/>
      </c>
      <c r="BF41" s="64" t="str">
        <f>IF(개요!BV27=0,"",개요!BV27)</f>
        <v/>
      </c>
      <c r="BG41" s="64" t="str">
        <f>IF(개요!BW27=0,"",개요!BW27)</f>
        <v/>
      </c>
      <c r="BH41" s="64" t="str">
        <f>IF(개요!BX27=0,"",개요!BX27)</f>
        <v/>
      </c>
      <c r="BI41" s="64" t="str">
        <f>IF(개요!BY27=0,"",개요!BY27)</f>
        <v/>
      </c>
      <c r="BJ41" s="64" t="str">
        <f>IF(개요!BZ27=0,"",개요!BZ27)</f>
        <v/>
      </c>
      <c r="BK41" s="64" t="str">
        <f>IF(개요!CA27=0,"",개요!CA27)</f>
        <v/>
      </c>
      <c r="BL41" s="64" t="str">
        <f>IF(개요!CB27=0,"",개요!CB27)</f>
        <v/>
      </c>
      <c r="BM41" s="64" t="str">
        <f>IF(개요!CC27=0,"",개요!CC27)</f>
        <v/>
      </c>
      <c r="BN41" s="64" t="str">
        <f>IF(개요!CD27=0,"",개요!CD27)</f>
        <v/>
      </c>
      <c r="BO41" s="64" t="str">
        <f>IF(개요!CE27=0,"",개요!CE27)</f>
        <v/>
      </c>
      <c r="BP41" s="64" t="str">
        <f>IF(개요!CF27=0,"",개요!CF27)</f>
        <v/>
      </c>
      <c r="BQ41" s="64" t="str">
        <f>IF(개요!CG27=0,"",개요!CG27)</f>
        <v/>
      </c>
      <c r="BR41" s="64" t="str">
        <f>IF(개요!CH27=0,"",개요!CH27)</f>
        <v/>
      </c>
      <c r="BS41" s="64" t="str">
        <f>IF(개요!CI27=0,"",개요!CI27)</f>
        <v/>
      </c>
      <c r="BT41" s="64" t="str">
        <f>IF(개요!CJ27=0,"",개요!CJ27)</f>
        <v/>
      </c>
      <c r="BU41" s="64" t="str">
        <f>IF(개요!CK27=0,"",개요!CK27)</f>
        <v/>
      </c>
      <c r="BV41" s="64" t="str">
        <f>IF(개요!CL27=0,"",개요!CL27)</f>
        <v/>
      </c>
      <c r="BW41" s="64" t="str">
        <f>IF(개요!CM27=0,"",개요!CM27)</f>
        <v/>
      </c>
      <c r="BX41" s="64" t="str">
        <f>IF(개요!CN27=0,"",개요!CN27)</f>
        <v/>
      </c>
      <c r="BY41" s="64" t="str">
        <f>IF(개요!CO27=0,"",개요!CO27)</f>
        <v/>
      </c>
      <c r="BZ41" s="64" t="str">
        <f>IF(개요!CP27=0,"",개요!CP27)</f>
        <v/>
      </c>
      <c r="CA41" s="64" t="str">
        <f>IF(개요!CQ27=0,"",개요!CQ27)</f>
        <v/>
      </c>
      <c r="CB41" s="64" t="str">
        <f>IF(개요!CR27=0,"",개요!CR27)</f>
        <v/>
      </c>
      <c r="CC41" s="64" t="str">
        <f>IF(개요!CS27=0,"",개요!CS27)</f>
        <v/>
      </c>
      <c r="CD41" s="64" t="str">
        <f>IF(개요!CT27=0,"",개요!CT27)</f>
        <v/>
      </c>
      <c r="CE41" s="64" t="str">
        <f>IF(개요!CU27=0,"",개요!CU27)</f>
        <v/>
      </c>
      <c r="CF41" s="64" t="str">
        <f>IF(개요!CV27=0,"",개요!CV27)</f>
        <v/>
      </c>
      <c r="CG41" s="64" t="str">
        <f>IF(개요!CW27=0,"",개요!CW27)</f>
        <v/>
      </c>
      <c r="CH41" s="64" t="str">
        <f>IF(개요!CX27=0,"",개요!CX27)</f>
        <v/>
      </c>
      <c r="CI41" s="64" t="str">
        <f>IF(개요!CY27=0,"",개요!CY27)</f>
        <v/>
      </c>
      <c r="CJ41" s="64" t="str">
        <f>IF(개요!CZ27=0,"",개요!CZ27)</f>
        <v/>
      </c>
      <c r="CK41" s="64" t="str">
        <f>IF(개요!DA27=0,"",개요!DA27)</f>
        <v/>
      </c>
      <c r="CL41" s="64" t="str">
        <f>IF(개요!DB27=0,"",개요!DB27)</f>
        <v/>
      </c>
      <c r="CM41" s="64" t="str">
        <f>IF(개요!DC27=0,"",개요!DC27)</f>
        <v/>
      </c>
      <c r="CN41" s="64" t="str">
        <f>IF(개요!DD27=0,"",개요!DD27)</f>
        <v/>
      </c>
      <c r="CO41" s="64" t="str">
        <f>IF(개요!DE27=0,"",개요!DE27)</f>
        <v/>
      </c>
      <c r="CP41" s="64" t="str">
        <f>IF(개요!DF27=0,"",개요!DF27)</f>
        <v/>
      </c>
      <c r="CQ41" s="64" t="str">
        <f>IF(개요!DG27=0,"",개요!DG27)</f>
        <v/>
      </c>
      <c r="CR41" s="64" t="str">
        <f>IF(개요!DH27=0,"",개요!DH27)</f>
        <v/>
      </c>
      <c r="CS41" s="64" t="str">
        <f>IF(개요!DI27=0,"",개요!DI27)</f>
        <v/>
      </c>
      <c r="CT41" s="64" t="str">
        <f>IF(개요!DJ27=0,"",개요!DJ27)</f>
        <v/>
      </c>
      <c r="CU41" s="64" t="str">
        <f>IF(개요!DK27=0,"",개요!DK27)</f>
        <v/>
      </c>
      <c r="CV41" s="64" t="str">
        <f>IF(개요!DL27=0,"",개요!DL27)</f>
        <v/>
      </c>
      <c r="CW41" s="64" t="str">
        <f>IF(개요!DM27=0,"",개요!DM27)</f>
        <v/>
      </c>
      <c r="CX41" s="64" t="str">
        <f>IF(개요!DN27=0,"",개요!DN27)</f>
        <v/>
      </c>
      <c r="CY41" s="65" t="str">
        <f t="shared" si="5"/>
        <v/>
      </c>
      <c r="DB41" s="21"/>
      <c r="DC41" s="21"/>
      <c r="DD41" s="21"/>
      <c r="DE41" s="67"/>
      <c r="DF41" s="68"/>
      <c r="DG41" s="67"/>
      <c r="DH41" s="67"/>
      <c r="DI41" s="69"/>
      <c r="DJ41" s="69"/>
      <c r="DK41" s="69"/>
      <c r="DL41" s="69"/>
    </row>
    <row r="42" spans="1:116" ht="15" hidden="1" customHeight="1" outlineLevel="1">
      <c r="A42" s="54">
        <v>21</v>
      </c>
      <c r="B42" s="63" t="str">
        <f>IF(개요!M28=0,"",개요!M28)</f>
        <v/>
      </c>
      <c r="C42" s="64" t="str">
        <f>IF(개요!S28=0,"",개요!S28)</f>
        <v/>
      </c>
      <c r="D42" s="64" t="str">
        <f>IF(개요!T28=0,"",개요!T28)</f>
        <v/>
      </c>
      <c r="E42" s="64" t="str">
        <f>IF(개요!U28=0,"",개요!U28)</f>
        <v/>
      </c>
      <c r="F42" s="64" t="str">
        <f>IF(개요!V28=0,"",개요!V28)</f>
        <v/>
      </c>
      <c r="G42" s="64" t="str">
        <f>IF(개요!W28=0,"",개요!W28)</f>
        <v/>
      </c>
      <c r="H42" s="64" t="str">
        <f>IF(개요!X28=0,"",개요!X28)</f>
        <v/>
      </c>
      <c r="I42" s="64" t="str">
        <f>IF(개요!Y28=0,"",개요!Y28)</f>
        <v/>
      </c>
      <c r="J42" s="64" t="str">
        <f>IF(개요!Z28=0,"",개요!Z28)</f>
        <v/>
      </c>
      <c r="K42" s="64" t="str">
        <f>IF(개요!AA28=0,"",개요!AA28)</f>
        <v/>
      </c>
      <c r="L42" s="64" t="str">
        <f>IF(개요!AB28=0,"",개요!AB28)</f>
        <v/>
      </c>
      <c r="M42" s="64" t="str">
        <f>IF(개요!AC28=0,"",개요!AC28)</f>
        <v/>
      </c>
      <c r="N42" s="64" t="str">
        <f>IF(개요!AD28=0,"",개요!AD28)</f>
        <v/>
      </c>
      <c r="O42" s="64" t="str">
        <f>IF(개요!AE28=0,"",개요!AE28)</f>
        <v/>
      </c>
      <c r="P42" s="64" t="str">
        <f>IF(개요!AF28=0,"",개요!AF28)</f>
        <v/>
      </c>
      <c r="Q42" s="64" t="str">
        <f>IF(개요!AG28=0,"",개요!AG28)</f>
        <v/>
      </c>
      <c r="R42" s="64" t="str">
        <f>IF(개요!AH28=0,"",개요!AH28)</f>
        <v/>
      </c>
      <c r="S42" s="64" t="str">
        <f>IF(개요!AI28=0,"",개요!AI28)</f>
        <v/>
      </c>
      <c r="T42" s="64" t="str">
        <f>IF(개요!AJ28=0,"",개요!AJ28)</f>
        <v/>
      </c>
      <c r="U42" s="64" t="str">
        <f>IF(개요!AK28=0,"",개요!AK28)</f>
        <v/>
      </c>
      <c r="V42" s="64" t="str">
        <f>IF(개요!AL28=0,"",개요!AL28)</f>
        <v/>
      </c>
      <c r="W42" s="64" t="str">
        <f>IF(개요!AM28=0,"",개요!AM28)</f>
        <v/>
      </c>
      <c r="X42" s="64" t="str">
        <f>IF(개요!AN28=0,"",개요!AN28)</f>
        <v/>
      </c>
      <c r="Y42" s="64" t="str">
        <f>IF(개요!AO28=0,"",개요!AO28)</f>
        <v/>
      </c>
      <c r="Z42" s="64" t="str">
        <f>IF(개요!AP28=0,"",개요!AP28)</f>
        <v/>
      </c>
      <c r="AA42" s="64" t="str">
        <f>IF(개요!AQ28=0,"",개요!AQ28)</f>
        <v/>
      </c>
      <c r="AB42" s="64" t="str">
        <f>IF(개요!AR28=0,"",개요!AR28)</f>
        <v/>
      </c>
      <c r="AC42" s="64" t="str">
        <f>IF(개요!AS28=0,"",개요!AS28)</f>
        <v/>
      </c>
      <c r="AD42" s="64" t="str">
        <f>IF(개요!AT28=0,"",개요!AT28)</f>
        <v/>
      </c>
      <c r="AE42" s="64" t="str">
        <f>IF(개요!AU28=0,"",개요!AU28)</f>
        <v/>
      </c>
      <c r="AF42" s="64" t="str">
        <f>IF(개요!AV28=0,"",개요!AV28)</f>
        <v/>
      </c>
      <c r="AG42" s="64" t="str">
        <f>IF(개요!AW28=0,"",개요!AW28)</f>
        <v/>
      </c>
      <c r="AH42" s="64" t="str">
        <f>IF(개요!AX28=0,"",개요!AX28)</f>
        <v/>
      </c>
      <c r="AI42" s="64" t="str">
        <f>IF(개요!AY28=0,"",개요!AY28)</f>
        <v/>
      </c>
      <c r="AJ42" s="64" t="str">
        <f>IF(개요!AZ28=0,"",개요!AZ28)</f>
        <v/>
      </c>
      <c r="AK42" s="64" t="str">
        <f>IF(개요!BA28=0,"",개요!BA28)</f>
        <v/>
      </c>
      <c r="AL42" s="64" t="str">
        <f>IF(개요!BB28=0,"",개요!BB28)</f>
        <v/>
      </c>
      <c r="AM42" s="64" t="str">
        <f>IF(개요!BC28=0,"",개요!BC28)</f>
        <v/>
      </c>
      <c r="AN42" s="64" t="str">
        <f>IF(개요!BD28=0,"",개요!BD28)</f>
        <v/>
      </c>
      <c r="AO42" s="64" t="str">
        <f>IF(개요!BE28=0,"",개요!BE28)</f>
        <v/>
      </c>
      <c r="AP42" s="64" t="str">
        <f>IF(개요!BF28=0,"",개요!BF28)</f>
        <v/>
      </c>
      <c r="AQ42" s="64" t="str">
        <f>IF(개요!BG28=0,"",개요!BG28)</f>
        <v/>
      </c>
      <c r="AR42" s="64" t="str">
        <f>IF(개요!BH28=0,"",개요!BH28)</f>
        <v/>
      </c>
      <c r="AS42" s="64" t="str">
        <f>IF(개요!BI28=0,"",개요!BI28)</f>
        <v/>
      </c>
      <c r="AT42" s="64" t="str">
        <f>IF(개요!BJ28=0,"",개요!BJ28)</f>
        <v/>
      </c>
      <c r="AU42" s="64" t="str">
        <f>IF(개요!BK28=0,"",개요!BK28)</f>
        <v/>
      </c>
      <c r="AV42" s="64" t="str">
        <f>IF(개요!BL28=0,"",개요!BL28)</f>
        <v/>
      </c>
      <c r="AW42" s="64" t="str">
        <f>IF(개요!BM28=0,"",개요!BM28)</f>
        <v/>
      </c>
      <c r="AX42" s="64" t="str">
        <f>IF(개요!BN28=0,"",개요!BN28)</f>
        <v/>
      </c>
      <c r="AY42" s="64" t="str">
        <f>IF(개요!BO28=0,"",개요!BO28)</f>
        <v/>
      </c>
      <c r="AZ42" s="64" t="str">
        <f>IF(개요!BP28=0,"",개요!BP28)</f>
        <v/>
      </c>
      <c r="BA42" s="64" t="str">
        <f>IF(개요!BQ28=0,"",개요!BQ28)</f>
        <v/>
      </c>
      <c r="BB42" s="64" t="str">
        <f>IF(개요!BR28=0,"",개요!BR28)</f>
        <v/>
      </c>
      <c r="BC42" s="64" t="str">
        <f>IF(개요!BS28=0,"",개요!BS28)</f>
        <v/>
      </c>
      <c r="BD42" s="64" t="str">
        <f>IF(개요!BT28=0,"",개요!BT28)</f>
        <v/>
      </c>
      <c r="BE42" s="64" t="str">
        <f>IF(개요!BU28=0,"",개요!BU28)</f>
        <v/>
      </c>
      <c r="BF42" s="64" t="str">
        <f>IF(개요!BV28=0,"",개요!BV28)</f>
        <v/>
      </c>
      <c r="BG42" s="64" t="str">
        <f>IF(개요!BW28=0,"",개요!BW28)</f>
        <v/>
      </c>
      <c r="BH42" s="64" t="str">
        <f>IF(개요!BX28=0,"",개요!BX28)</f>
        <v/>
      </c>
      <c r="BI42" s="64" t="str">
        <f>IF(개요!BY28=0,"",개요!BY28)</f>
        <v/>
      </c>
      <c r="BJ42" s="64" t="str">
        <f>IF(개요!BZ28=0,"",개요!BZ28)</f>
        <v/>
      </c>
      <c r="BK42" s="64" t="str">
        <f>IF(개요!CA28=0,"",개요!CA28)</f>
        <v/>
      </c>
      <c r="BL42" s="64" t="str">
        <f>IF(개요!CB28=0,"",개요!CB28)</f>
        <v/>
      </c>
      <c r="BM42" s="64" t="str">
        <f>IF(개요!CC28=0,"",개요!CC28)</f>
        <v/>
      </c>
      <c r="BN42" s="64" t="str">
        <f>IF(개요!CD28=0,"",개요!CD28)</f>
        <v/>
      </c>
      <c r="BO42" s="64" t="str">
        <f>IF(개요!CE28=0,"",개요!CE28)</f>
        <v/>
      </c>
      <c r="BP42" s="64" t="str">
        <f>IF(개요!CF28=0,"",개요!CF28)</f>
        <v/>
      </c>
      <c r="BQ42" s="64" t="str">
        <f>IF(개요!CG28=0,"",개요!CG28)</f>
        <v/>
      </c>
      <c r="BR42" s="64" t="str">
        <f>IF(개요!CH28=0,"",개요!CH28)</f>
        <v/>
      </c>
      <c r="BS42" s="64" t="str">
        <f>IF(개요!CI28=0,"",개요!CI28)</f>
        <v/>
      </c>
      <c r="BT42" s="64" t="str">
        <f>IF(개요!CJ28=0,"",개요!CJ28)</f>
        <v/>
      </c>
      <c r="BU42" s="64" t="str">
        <f>IF(개요!CK28=0,"",개요!CK28)</f>
        <v/>
      </c>
      <c r="BV42" s="64" t="str">
        <f>IF(개요!CL28=0,"",개요!CL28)</f>
        <v/>
      </c>
      <c r="BW42" s="64" t="str">
        <f>IF(개요!CM28=0,"",개요!CM28)</f>
        <v/>
      </c>
      <c r="BX42" s="64" t="str">
        <f>IF(개요!CN28=0,"",개요!CN28)</f>
        <v/>
      </c>
      <c r="BY42" s="64" t="str">
        <f>IF(개요!CO28=0,"",개요!CO28)</f>
        <v/>
      </c>
      <c r="BZ42" s="64" t="str">
        <f>IF(개요!CP28=0,"",개요!CP28)</f>
        <v/>
      </c>
      <c r="CA42" s="64" t="str">
        <f>IF(개요!CQ28=0,"",개요!CQ28)</f>
        <v/>
      </c>
      <c r="CB42" s="64" t="str">
        <f>IF(개요!CR28=0,"",개요!CR28)</f>
        <v/>
      </c>
      <c r="CC42" s="64" t="str">
        <f>IF(개요!CS28=0,"",개요!CS28)</f>
        <v/>
      </c>
      <c r="CD42" s="64" t="str">
        <f>IF(개요!CT28=0,"",개요!CT28)</f>
        <v/>
      </c>
      <c r="CE42" s="64" t="str">
        <f>IF(개요!CU28=0,"",개요!CU28)</f>
        <v/>
      </c>
      <c r="CF42" s="64" t="str">
        <f>IF(개요!CV28=0,"",개요!CV28)</f>
        <v/>
      </c>
      <c r="CG42" s="64" t="str">
        <f>IF(개요!CW28=0,"",개요!CW28)</f>
        <v/>
      </c>
      <c r="CH42" s="64" t="str">
        <f>IF(개요!CX28=0,"",개요!CX28)</f>
        <v/>
      </c>
      <c r="CI42" s="64" t="str">
        <f>IF(개요!CY28=0,"",개요!CY28)</f>
        <v/>
      </c>
      <c r="CJ42" s="64" t="str">
        <f>IF(개요!CZ28=0,"",개요!CZ28)</f>
        <v/>
      </c>
      <c r="CK42" s="64" t="str">
        <f>IF(개요!DA28=0,"",개요!DA28)</f>
        <v/>
      </c>
      <c r="CL42" s="64" t="str">
        <f>IF(개요!DB28=0,"",개요!DB28)</f>
        <v/>
      </c>
      <c r="CM42" s="64" t="str">
        <f>IF(개요!DC28=0,"",개요!DC28)</f>
        <v/>
      </c>
      <c r="CN42" s="64" t="str">
        <f>IF(개요!DD28=0,"",개요!DD28)</f>
        <v/>
      </c>
      <c r="CO42" s="64" t="str">
        <f>IF(개요!DE28=0,"",개요!DE28)</f>
        <v/>
      </c>
      <c r="CP42" s="64" t="str">
        <f>IF(개요!DF28=0,"",개요!DF28)</f>
        <v/>
      </c>
      <c r="CQ42" s="64" t="str">
        <f>IF(개요!DG28=0,"",개요!DG28)</f>
        <v/>
      </c>
      <c r="CR42" s="64" t="str">
        <f>IF(개요!DH28=0,"",개요!DH28)</f>
        <v/>
      </c>
      <c r="CS42" s="64" t="str">
        <f>IF(개요!DI28=0,"",개요!DI28)</f>
        <v/>
      </c>
      <c r="CT42" s="64" t="str">
        <f>IF(개요!DJ28=0,"",개요!DJ28)</f>
        <v/>
      </c>
      <c r="CU42" s="64" t="str">
        <f>IF(개요!DK28=0,"",개요!DK28)</f>
        <v/>
      </c>
      <c r="CV42" s="64" t="str">
        <f>IF(개요!DL28=0,"",개요!DL28)</f>
        <v/>
      </c>
      <c r="CW42" s="64" t="str">
        <f>IF(개요!DM28=0,"",개요!DM28)</f>
        <v/>
      </c>
      <c r="CX42" s="64" t="str">
        <f>IF(개요!DN28=0,"",개요!DN28)</f>
        <v/>
      </c>
      <c r="CY42" s="65" t="str">
        <f t="shared" si="5"/>
        <v/>
      </c>
      <c r="DB42" s="21"/>
      <c r="DC42" s="21"/>
      <c r="DD42" s="21"/>
      <c r="DE42" s="67"/>
      <c r="DF42" s="68"/>
      <c r="DG42" s="67"/>
      <c r="DH42" s="67"/>
      <c r="DI42" s="69"/>
      <c r="DJ42" s="69"/>
      <c r="DK42" s="69"/>
      <c r="DL42" s="69"/>
    </row>
    <row r="43" spans="1:116" ht="15" hidden="1" customHeight="1" outlineLevel="1">
      <c r="A43" s="54">
        <v>22</v>
      </c>
      <c r="B43" s="63" t="str">
        <f>IF(개요!M29=0,"",개요!M29)</f>
        <v/>
      </c>
      <c r="C43" s="64" t="str">
        <f>IF(개요!S29=0,"",개요!S29)</f>
        <v/>
      </c>
      <c r="D43" s="64" t="str">
        <f>IF(개요!T29=0,"",개요!T29)</f>
        <v/>
      </c>
      <c r="E43" s="64" t="str">
        <f>IF(개요!U29=0,"",개요!U29)</f>
        <v/>
      </c>
      <c r="F43" s="64" t="str">
        <f>IF(개요!V29=0,"",개요!V29)</f>
        <v/>
      </c>
      <c r="G43" s="64" t="str">
        <f>IF(개요!W29=0,"",개요!W29)</f>
        <v/>
      </c>
      <c r="H43" s="64" t="str">
        <f>IF(개요!X29=0,"",개요!X29)</f>
        <v/>
      </c>
      <c r="I43" s="64" t="str">
        <f>IF(개요!Y29=0,"",개요!Y29)</f>
        <v/>
      </c>
      <c r="J43" s="64" t="str">
        <f>IF(개요!Z29=0,"",개요!Z29)</f>
        <v/>
      </c>
      <c r="K43" s="64" t="str">
        <f>IF(개요!AA29=0,"",개요!AA29)</f>
        <v/>
      </c>
      <c r="L43" s="64" t="str">
        <f>IF(개요!AB29=0,"",개요!AB29)</f>
        <v/>
      </c>
      <c r="M43" s="64" t="str">
        <f>IF(개요!AC29=0,"",개요!AC29)</f>
        <v/>
      </c>
      <c r="N43" s="64" t="str">
        <f>IF(개요!AD29=0,"",개요!AD29)</f>
        <v/>
      </c>
      <c r="O43" s="64" t="str">
        <f>IF(개요!AE29=0,"",개요!AE29)</f>
        <v/>
      </c>
      <c r="P43" s="64" t="str">
        <f>IF(개요!AF29=0,"",개요!AF29)</f>
        <v/>
      </c>
      <c r="Q43" s="64" t="str">
        <f>IF(개요!AG29=0,"",개요!AG29)</f>
        <v/>
      </c>
      <c r="R43" s="64" t="str">
        <f>IF(개요!AH29=0,"",개요!AH29)</f>
        <v/>
      </c>
      <c r="S43" s="64" t="str">
        <f>IF(개요!AI29=0,"",개요!AI29)</f>
        <v/>
      </c>
      <c r="T43" s="64" t="str">
        <f>IF(개요!AJ29=0,"",개요!AJ29)</f>
        <v/>
      </c>
      <c r="U43" s="64" t="str">
        <f>IF(개요!AK29=0,"",개요!AK29)</f>
        <v/>
      </c>
      <c r="V43" s="64" t="str">
        <f>IF(개요!AL29=0,"",개요!AL29)</f>
        <v/>
      </c>
      <c r="W43" s="64" t="str">
        <f>IF(개요!AM29=0,"",개요!AM29)</f>
        <v/>
      </c>
      <c r="X43" s="64" t="str">
        <f>IF(개요!AN29=0,"",개요!AN29)</f>
        <v/>
      </c>
      <c r="Y43" s="64" t="str">
        <f>IF(개요!AO29=0,"",개요!AO29)</f>
        <v/>
      </c>
      <c r="Z43" s="64" t="str">
        <f>IF(개요!AP29=0,"",개요!AP29)</f>
        <v/>
      </c>
      <c r="AA43" s="64" t="str">
        <f>IF(개요!AQ29=0,"",개요!AQ29)</f>
        <v/>
      </c>
      <c r="AB43" s="64" t="str">
        <f>IF(개요!AR29=0,"",개요!AR29)</f>
        <v/>
      </c>
      <c r="AC43" s="64" t="str">
        <f>IF(개요!AS29=0,"",개요!AS29)</f>
        <v/>
      </c>
      <c r="AD43" s="64" t="str">
        <f>IF(개요!AT29=0,"",개요!AT29)</f>
        <v/>
      </c>
      <c r="AE43" s="64" t="str">
        <f>IF(개요!AU29=0,"",개요!AU29)</f>
        <v/>
      </c>
      <c r="AF43" s="64" t="str">
        <f>IF(개요!AV29=0,"",개요!AV29)</f>
        <v/>
      </c>
      <c r="AG43" s="64" t="str">
        <f>IF(개요!AW29=0,"",개요!AW29)</f>
        <v/>
      </c>
      <c r="AH43" s="64" t="str">
        <f>IF(개요!AX29=0,"",개요!AX29)</f>
        <v/>
      </c>
      <c r="AI43" s="64" t="str">
        <f>IF(개요!AY29=0,"",개요!AY29)</f>
        <v/>
      </c>
      <c r="AJ43" s="64" t="str">
        <f>IF(개요!AZ29=0,"",개요!AZ29)</f>
        <v/>
      </c>
      <c r="AK43" s="64" t="str">
        <f>IF(개요!BA29=0,"",개요!BA29)</f>
        <v/>
      </c>
      <c r="AL43" s="64" t="str">
        <f>IF(개요!BB29=0,"",개요!BB29)</f>
        <v/>
      </c>
      <c r="AM43" s="64" t="str">
        <f>IF(개요!BC29=0,"",개요!BC29)</f>
        <v/>
      </c>
      <c r="AN43" s="64" t="str">
        <f>IF(개요!BD29=0,"",개요!BD29)</f>
        <v/>
      </c>
      <c r="AO43" s="64" t="str">
        <f>IF(개요!BE29=0,"",개요!BE29)</f>
        <v/>
      </c>
      <c r="AP43" s="64" t="str">
        <f>IF(개요!BF29=0,"",개요!BF29)</f>
        <v/>
      </c>
      <c r="AQ43" s="64" t="str">
        <f>IF(개요!BG29=0,"",개요!BG29)</f>
        <v/>
      </c>
      <c r="AR43" s="64" t="str">
        <f>IF(개요!BH29=0,"",개요!BH29)</f>
        <v/>
      </c>
      <c r="AS43" s="64" t="str">
        <f>IF(개요!BI29=0,"",개요!BI29)</f>
        <v/>
      </c>
      <c r="AT43" s="64" t="str">
        <f>IF(개요!BJ29=0,"",개요!BJ29)</f>
        <v/>
      </c>
      <c r="AU43" s="64" t="str">
        <f>IF(개요!BK29=0,"",개요!BK29)</f>
        <v/>
      </c>
      <c r="AV43" s="64" t="str">
        <f>IF(개요!BL29=0,"",개요!BL29)</f>
        <v/>
      </c>
      <c r="AW43" s="64" t="str">
        <f>IF(개요!BM29=0,"",개요!BM29)</f>
        <v/>
      </c>
      <c r="AX43" s="64" t="str">
        <f>IF(개요!BN29=0,"",개요!BN29)</f>
        <v/>
      </c>
      <c r="AY43" s="64" t="str">
        <f>IF(개요!BO29=0,"",개요!BO29)</f>
        <v/>
      </c>
      <c r="AZ43" s="64" t="str">
        <f>IF(개요!BP29=0,"",개요!BP29)</f>
        <v/>
      </c>
      <c r="BA43" s="64" t="str">
        <f>IF(개요!BQ29=0,"",개요!BQ29)</f>
        <v/>
      </c>
      <c r="BB43" s="64" t="str">
        <f>IF(개요!BR29=0,"",개요!BR29)</f>
        <v/>
      </c>
      <c r="BC43" s="64" t="str">
        <f>IF(개요!BS29=0,"",개요!BS29)</f>
        <v/>
      </c>
      <c r="BD43" s="64" t="str">
        <f>IF(개요!BT29=0,"",개요!BT29)</f>
        <v/>
      </c>
      <c r="BE43" s="64" t="str">
        <f>IF(개요!BU29=0,"",개요!BU29)</f>
        <v/>
      </c>
      <c r="BF43" s="64" t="str">
        <f>IF(개요!BV29=0,"",개요!BV29)</f>
        <v/>
      </c>
      <c r="BG43" s="64" t="str">
        <f>IF(개요!BW29=0,"",개요!BW29)</f>
        <v/>
      </c>
      <c r="BH43" s="64" t="str">
        <f>IF(개요!BX29=0,"",개요!BX29)</f>
        <v/>
      </c>
      <c r="BI43" s="64" t="str">
        <f>IF(개요!BY29=0,"",개요!BY29)</f>
        <v/>
      </c>
      <c r="BJ43" s="64" t="str">
        <f>IF(개요!BZ29=0,"",개요!BZ29)</f>
        <v/>
      </c>
      <c r="BK43" s="64" t="str">
        <f>IF(개요!CA29=0,"",개요!CA29)</f>
        <v/>
      </c>
      <c r="BL43" s="64" t="str">
        <f>IF(개요!CB29=0,"",개요!CB29)</f>
        <v/>
      </c>
      <c r="BM43" s="64" t="str">
        <f>IF(개요!CC29=0,"",개요!CC29)</f>
        <v/>
      </c>
      <c r="BN43" s="64" t="str">
        <f>IF(개요!CD29=0,"",개요!CD29)</f>
        <v/>
      </c>
      <c r="BO43" s="64" t="str">
        <f>IF(개요!CE29=0,"",개요!CE29)</f>
        <v/>
      </c>
      <c r="BP43" s="64" t="str">
        <f>IF(개요!CF29=0,"",개요!CF29)</f>
        <v/>
      </c>
      <c r="BQ43" s="64" t="str">
        <f>IF(개요!CG29=0,"",개요!CG29)</f>
        <v/>
      </c>
      <c r="BR43" s="64" t="str">
        <f>IF(개요!CH29=0,"",개요!CH29)</f>
        <v/>
      </c>
      <c r="BS43" s="64" t="str">
        <f>IF(개요!CI29=0,"",개요!CI29)</f>
        <v/>
      </c>
      <c r="BT43" s="64" t="str">
        <f>IF(개요!CJ29=0,"",개요!CJ29)</f>
        <v/>
      </c>
      <c r="BU43" s="64" t="str">
        <f>IF(개요!CK29=0,"",개요!CK29)</f>
        <v/>
      </c>
      <c r="BV43" s="64" t="str">
        <f>IF(개요!CL29=0,"",개요!CL29)</f>
        <v/>
      </c>
      <c r="BW43" s="64" t="str">
        <f>IF(개요!CM29=0,"",개요!CM29)</f>
        <v/>
      </c>
      <c r="BX43" s="64" t="str">
        <f>IF(개요!CN29=0,"",개요!CN29)</f>
        <v/>
      </c>
      <c r="BY43" s="64" t="str">
        <f>IF(개요!CO29=0,"",개요!CO29)</f>
        <v/>
      </c>
      <c r="BZ43" s="64" t="str">
        <f>IF(개요!CP29=0,"",개요!CP29)</f>
        <v/>
      </c>
      <c r="CA43" s="64" t="str">
        <f>IF(개요!CQ29=0,"",개요!CQ29)</f>
        <v/>
      </c>
      <c r="CB43" s="64" t="str">
        <f>IF(개요!CR29=0,"",개요!CR29)</f>
        <v/>
      </c>
      <c r="CC43" s="64" t="str">
        <f>IF(개요!CS29=0,"",개요!CS29)</f>
        <v/>
      </c>
      <c r="CD43" s="64" t="str">
        <f>IF(개요!CT29=0,"",개요!CT29)</f>
        <v/>
      </c>
      <c r="CE43" s="64" t="str">
        <f>IF(개요!CU29=0,"",개요!CU29)</f>
        <v/>
      </c>
      <c r="CF43" s="64" t="str">
        <f>IF(개요!CV29=0,"",개요!CV29)</f>
        <v/>
      </c>
      <c r="CG43" s="64" t="str">
        <f>IF(개요!CW29=0,"",개요!CW29)</f>
        <v/>
      </c>
      <c r="CH43" s="64" t="str">
        <f>IF(개요!CX29=0,"",개요!CX29)</f>
        <v/>
      </c>
      <c r="CI43" s="64" t="str">
        <f>IF(개요!CY29=0,"",개요!CY29)</f>
        <v/>
      </c>
      <c r="CJ43" s="64" t="str">
        <f>IF(개요!CZ29=0,"",개요!CZ29)</f>
        <v/>
      </c>
      <c r="CK43" s="64" t="str">
        <f>IF(개요!DA29=0,"",개요!DA29)</f>
        <v/>
      </c>
      <c r="CL43" s="64" t="str">
        <f>IF(개요!DB29=0,"",개요!DB29)</f>
        <v/>
      </c>
      <c r="CM43" s="64" t="str">
        <f>IF(개요!DC29=0,"",개요!DC29)</f>
        <v/>
      </c>
      <c r="CN43" s="64" t="str">
        <f>IF(개요!DD29=0,"",개요!DD29)</f>
        <v/>
      </c>
      <c r="CO43" s="64" t="str">
        <f>IF(개요!DE29=0,"",개요!DE29)</f>
        <v/>
      </c>
      <c r="CP43" s="64" t="str">
        <f>IF(개요!DF29=0,"",개요!DF29)</f>
        <v/>
      </c>
      <c r="CQ43" s="64" t="str">
        <f>IF(개요!DG29=0,"",개요!DG29)</f>
        <v/>
      </c>
      <c r="CR43" s="64" t="str">
        <f>IF(개요!DH29=0,"",개요!DH29)</f>
        <v/>
      </c>
      <c r="CS43" s="64" t="str">
        <f>IF(개요!DI29=0,"",개요!DI29)</f>
        <v/>
      </c>
      <c r="CT43" s="64" t="str">
        <f>IF(개요!DJ29=0,"",개요!DJ29)</f>
        <v/>
      </c>
      <c r="CU43" s="64" t="str">
        <f>IF(개요!DK29=0,"",개요!DK29)</f>
        <v/>
      </c>
      <c r="CV43" s="64" t="str">
        <f>IF(개요!DL29=0,"",개요!DL29)</f>
        <v/>
      </c>
      <c r="CW43" s="64" t="str">
        <f>IF(개요!DM29=0,"",개요!DM29)</f>
        <v/>
      </c>
      <c r="CX43" s="64" t="str">
        <f>IF(개요!DN29=0,"",개요!DN29)</f>
        <v/>
      </c>
      <c r="CY43" s="65" t="str">
        <f t="shared" si="5"/>
        <v/>
      </c>
      <c r="DB43" s="21"/>
      <c r="DC43" s="21"/>
      <c r="DD43" s="21"/>
      <c r="DE43" s="67"/>
      <c r="DF43" s="68"/>
      <c r="DG43" s="67"/>
      <c r="DH43" s="67"/>
      <c r="DI43" s="69"/>
      <c r="DJ43" s="69"/>
      <c r="DK43" s="69"/>
      <c r="DL43" s="69"/>
    </row>
    <row r="44" spans="1:116" ht="15" hidden="1" customHeight="1" outlineLevel="1">
      <c r="A44" s="54">
        <v>23</v>
      </c>
      <c r="B44" s="63" t="str">
        <f>IF(개요!M30=0,"",개요!M30)</f>
        <v/>
      </c>
      <c r="C44" s="64" t="str">
        <f>IF(개요!S30=0,"",개요!S30)</f>
        <v/>
      </c>
      <c r="D44" s="64" t="str">
        <f>IF(개요!T30=0,"",개요!T30)</f>
        <v/>
      </c>
      <c r="E44" s="64" t="str">
        <f>IF(개요!U30=0,"",개요!U30)</f>
        <v/>
      </c>
      <c r="F44" s="64" t="str">
        <f>IF(개요!V30=0,"",개요!V30)</f>
        <v/>
      </c>
      <c r="G44" s="64" t="str">
        <f>IF(개요!W30=0,"",개요!W30)</f>
        <v/>
      </c>
      <c r="H44" s="64" t="str">
        <f>IF(개요!X30=0,"",개요!X30)</f>
        <v/>
      </c>
      <c r="I44" s="64" t="str">
        <f>IF(개요!Y30=0,"",개요!Y30)</f>
        <v/>
      </c>
      <c r="J44" s="64" t="str">
        <f>IF(개요!Z30=0,"",개요!Z30)</f>
        <v/>
      </c>
      <c r="K44" s="64" t="str">
        <f>IF(개요!AA30=0,"",개요!AA30)</f>
        <v/>
      </c>
      <c r="L44" s="64" t="str">
        <f>IF(개요!AB30=0,"",개요!AB30)</f>
        <v/>
      </c>
      <c r="M44" s="64" t="str">
        <f>IF(개요!AC30=0,"",개요!AC30)</f>
        <v/>
      </c>
      <c r="N44" s="64" t="str">
        <f>IF(개요!AD30=0,"",개요!AD30)</f>
        <v/>
      </c>
      <c r="O44" s="64" t="str">
        <f>IF(개요!AE30=0,"",개요!AE30)</f>
        <v/>
      </c>
      <c r="P44" s="64" t="str">
        <f>IF(개요!AF30=0,"",개요!AF30)</f>
        <v/>
      </c>
      <c r="Q44" s="64" t="str">
        <f>IF(개요!AG30=0,"",개요!AG30)</f>
        <v/>
      </c>
      <c r="R44" s="64" t="str">
        <f>IF(개요!AH30=0,"",개요!AH30)</f>
        <v/>
      </c>
      <c r="S44" s="64" t="str">
        <f>IF(개요!AI30=0,"",개요!AI30)</f>
        <v/>
      </c>
      <c r="T44" s="64" t="str">
        <f>IF(개요!AJ30=0,"",개요!AJ30)</f>
        <v/>
      </c>
      <c r="U44" s="64" t="str">
        <f>IF(개요!AK30=0,"",개요!AK30)</f>
        <v/>
      </c>
      <c r="V44" s="64" t="str">
        <f>IF(개요!AL30=0,"",개요!AL30)</f>
        <v/>
      </c>
      <c r="W44" s="64" t="str">
        <f>IF(개요!AM30=0,"",개요!AM30)</f>
        <v/>
      </c>
      <c r="X44" s="64" t="str">
        <f>IF(개요!AN30=0,"",개요!AN30)</f>
        <v/>
      </c>
      <c r="Y44" s="64" t="str">
        <f>IF(개요!AO30=0,"",개요!AO30)</f>
        <v/>
      </c>
      <c r="Z44" s="64" t="str">
        <f>IF(개요!AP30=0,"",개요!AP30)</f>
        <v/>
      </c>
      <c r="AA44" s="64" t="str">
        <f>IF(개요!AQ30=0,"",개요!AQ30)</f>
        <v/>
      </c>
      <c r="AB44" s="64" t="str">
        <f>IF(개요!AR30=0,"",개요!AR30)</f>
        <v/>
      </c>
      <c r="AC44" s="64" t="str">
        <f>IF(개요!AS30=0,"",개요!AS30)</f>
        <v/>
      </c>
      <c r="AD44" s="64" t="str">
        <f>IF(개요!AT30=0,"",개요!AT30)</f>
        <v/>
      </c>
      <c r="AE44" s="64" t="str">
        <f>IF(개요!AU30=0,"",개요!AU30)</f>
        <v/>
      </c>
      <c r="AF44" s="64" t="str">
        <f>IF(개요!AV30=0,"",개요!AV30)</f>
        <v/>
      </c>
      <c r="AG44" s="64" t="str">
        <f>IF(개요!AW30=0,"",개요!AW30)</f>
        <v/>
      </c>
      <c r="AH44" s="64" t="str">
        <f>IF(개요!AX30=0,"",개요!AX30)</f>
        <v/>
      </c>
      <c r="AI44" s="64" t="str">
        <f>IF(개요!AY30=0,"",개요!AY30)</f>
        <v/>
      </c>
      <c r="AJ44" s="64" t="str">
        <f>IF(개요!AZ30=0,"",개요!AZ30)</f>
        <v/>
      </c>
      <c r="AK44" s="64" t="str">
        <f>IF(개요!BA30=0,"",개요!BA30)</f>
        <v/>
      </c>
      <c r="AL44" s="64" t="str">
        <f>IF(개요!BB30=0,"",개요!BB30)</f>
        <v/>
      </c>
      <c r="AM44" s="64" t="str">
        <f>IF(개요!BC30=0,"",개요!BC30)</f>
        <v/>
      </c>
      <c r="AN44" s="64" t="str">
        <f>IF(개요!BD30=0,"",개요!BD30)</f>
        <v/>
      </c>
      <c r="AO44" s="64" t="str">
        <f>IF(개요!BE30=0,"",개요!BE30)</f>
        <v/>
      </c>
      <c r="AP44" s="64" t="str">
        <f>IF(개요!BF30=0,"",개요!BF30)</f>
        <v/>
      </c>
      <c r="AQ44" s="64" t="str">
        <f>IF(개요!BG30=0,"",개요!BG30)</f>
        <v/>
      </c>
      <c r="AR44" s="64" t="str">
        <f>IF(개요!BH30=0,"",개요!BH30)</f>
        <v/>
      </c>
      <c r="AS44" s="64" t="str">
        <f>IF(개요!BI30=0,"",개요!BI30)</f>
        <v/>
      </c>
      <c r="AT44" s="64" t="str">
        <f>IF(개요!BJ30=0,"",개요!BJ30)</f>
        <v/>
      </c>
      <c r="AU44" s="64" t="str">
        <f>IF(개요!BK30=0,"",개요!BK30)</f>
        <v/>
      </c>
      <c r="AV44" s="64" t="str">
        <f>IF(개요!BL30=0,"",개요!BL30)</f>
        <v/>
      </c>
      <c r="AW44" s="64" t="str">
        <f>IF(개요!BM30=0,"",개요!BM30)</f>
        <v/>
      </c>
      <c r="AX44" s="64" t="str">
        <f>IF(개요!BN30=0,"",개요!BN30)</f>
        <v/>
      </c>
      <c r="AY44" s="64" t="str">
        <f>IF(개요!BO30=0,"",개요!BO30)</f>
        <v/>
      </c>
      <c r="AZ44" s="64" t="str">
        <f>IF(개요!BP30=0,"",개요!BP30)</f>
        <v/>
      </c>
      <c r="BA44" s="64" t="str">
        <f>IF(개요!BQ30=0,"",개요!BQ30)</f>
        <v/>
      </c>
      <c r="BB44" s="64" t="str">
        <f>IF(개요!BR30=0,"",개요!BR30)</f>
        <v/>
      </c>
      <c r="BC44" s="64" t="str">
        <f>IF(개요!BS30=0,"",개요!BS30)</f>
        <v/>
      </c>
      <c r="BD44" s="64" t="str">
        <f>IF(개요!BT30=0,"",개요!BT30)</f>
        <v/>
      </c>
      <c r="BE44" s="64" t="str">
        <f>IF(개요!BU30=0,"",개요!BU30)</f>
        <v/>
      </c>
      <c r="BF44" s="64" t="str">
        <f>IF(개요!BV30=0,"",개요!BV30)</f>
        <v/>
      </c>
      <c r="BG44" s="64" t="str">
        <f>IF(개요!BW30=0,"",개요!BW30)</f>
        <v/>
      </c>
      <c r="BH44" s="64" t="str">
        <f>IF(개요!BX30=0,"",개요!BX30)</f>
        <v/>
      </c>
      <c r="BI44" s="64" t="str">
        <f>IF(개요!BY30=0,"",개요!BY30)</f>
        <v/>
      </c>
      <c r="BJ44" s="64" t="str">
        <f>IF(개요!BZ30=0,"",개요!BZ30)</f>
        <v/>
      </c>
      <c r="BK44" s="64" t="str">
        <f>IF(개요!CA30=0,"",개요!CA30)</f>
        <v/>
      </c>
      <c r="BL44" s="64" t="str">
        <f>IF(개요!CB30=0,"",개요!CB30)</f>
        <v/>
      </c>
      <c r="BM44" s="64" t="str">
        <f>IF(개요!CC30=0,"",개요!CC30)</f>
        <v/>
      </c>
      <c r="BN44" s="64" t="str">
        <f>IF(개요!CD30=0,"",개요!CD30)</f>
        <v/>
      </c>
      <c r="BO44" s="64" t="str">
        <f>IF(개요!CE30=0,"",개요!CE30)</f>
        <v/>
      </c>
      <c r="BP44" s="64" t="str">
        <f>IF(개요!CF30=0,"",개요!CF30)</f>
        <v/>
      </c>
      <c r="BQ44" s="64" t="str">
        <f>IF(개요!CG30=0,"",개요!CG30)</f>
        <v/>
      </c>
      <c r="BR44" s="64" t="str">
        <f>IF(개요!CH30=0,"",개요!CH30)</f>
        <v/>
      </c>
      <c r="BS44" s="64" t="str">
        <f>IF(개요!CI30=0,"",개요!CI30)</f>
        <v/>
      </c>
      <c r="BT44" s="64" t="str">
        <f>IF(개요!CJ30=0,"",개요!CJ30)</f>
        <v/>
      </c>
      <c r="BU44" s="64" t="str">
        <f>IF(개요!CK30=0,"",개요!CK30)</f>
        <v/>
      </c>
      <c r="BV44" s="64" t="str">
        <f>IF(개요!CL30=0,"",개요!CL30)</f>
        <v/>
      </c>
      <c r="BW44" s="64" t="str">
        <f>IF(개요!CM30=0,"",개요!CM30)</f>
        <v/>
      </c>
      <c r="BX44" s="64" t="str">
        <f>IF(개요!CN30=0,"",개요!CN30)</f>
        <v/>
      </c>
      <c r="BY44" s="64" t="str">
        <f>IF(개요!CO30=0,"",개요!CO30)</f>
        <v/>
      </c>
      <c r="BZ44" s="64" t="str">
        <f>IF(개요!CP30=0,"",개요!CP30)</f>
        <v/>
      </c>
      <c r="CA44" s="64" t="str">
        <f>IF(개요!CQ30=0,"",개요!CQ30)</f>
        <v/>
      </c>
      <c r="CB44" s="64" t="str">
        <f>IF(개요!CR30=0,"",개요!CR30)</f>
        <v/>
      </c>
      <c r="CC44" s="64" t="str">
        <f>IF(개요!CS30=0,"",개요!CS30)</f>
        <v/>
      </c>
      <c r="CD44" s="64" t="str">
        <f>IF(개요!CT30=0,"",개요!CT30)</f>
        <v/>
      </c>
      <c r="CE44" s="64" t="str">
        <f>IF(개요!CU30=0,"",개요!CU30)</f>
        <v/>
      </c>
      <c r="CF44" s="64" t="str">
        <f>IF(개요!CV30=0,"",개요!CV30)</f>
        <v/>
      </c>
      <c r="CG44" s="64" t="str">
        <f>IF(개요!CW30=0,"",개요!CW30)</f>
        <v/>
      </c>
      <c r="CH44" s="64" t="str">
        <f>IF(개요!CX30=0,"",개요!CX30)</f>
        <v/>
      </c>
      <c r="CI44" s="64" t="str">
        <f>IF(개요!CY30=0,"",개요!CY30)</f>
        <v/>
      </c>
      <c r="CJ44" s="64" t="str">
        <f>IF(개요!CZ30=0,"",개요!CZ30)</f>
        <v/>
      </c>
      <c r="CK44" s="64" t="str">
        <f>IF(개요!DA30=0,"",개요!DA30)</f>
        <v/>
      </c>
      <c r="CL44" s="64" t="str">
        <f>IF(개요!DB30=0,"",개요!DB30)</f>
        <v/>
      </c>
      <c r="CM44" s="64" t="str">
        <f>IF(개요!DC30=0,"",개요!DC30)</f>
        <v/>
      </c>
      <c r="CN44" s="64" t="str">
        <f>IF(개요!DD30=0,"",개요!DD30)</f>
        <v/>
      </c>
      <c r="CO44" s="64" t="str">
        <f>IF(개요!DE30=0,"",개요!DE30)</f>
        <v/>
      </c>
      <c r="CP44" s="64" t="str">
        <f>IF(개요!DF30=0,"",개요!DF30)</f>
        <v/>
      </c>
      <c r="CQ44" s="64" t="str">
        <f>IF(개요!DG30=0,"",개요!DG30)</f>
        <v/>
      </c>
      <c r="CR44" s="64" t="str">
        <f>IF(개요!DH30=0,"",개요!DH30)</f>
        <v/>
      </c>
      <c r="CS44" s="64" t="str">
        <f>IF(개요!DI30=0,"",개요!DI30)</f>
        <v/>
      </c>
      <c r="CT44" s="64" t="str">
        <f>IF(개요!DJ30=0,"",개요!DJ30)</f>
        <v/>
      </c>
      <c r="CU44" s="64" t="str">
        <f>IF(개요!DK30=0,"",개요!DK30)</f>
        <v/>
      </c>
      <c r="CV44" s="64" t="str">
        <f>IF(개요!DL30=0,"",개요!DL30)</f>
        <v/>
      </c>
      <c r="CW44" s="64" t="str">
        <f>IF(개요!DM30=0,"",개요!DM30)</f>
        <v/>
      </c>
      <c r="CX44" s="64" t="str">
        <f>IF(개요!DN30=0,"",개요!DN30)</f>
        <v/>
      </c>
      <c r="CY44" s="65" t="str">
        <f t="shared" si="5"/>
        <v/>
      </c>
      <c r="DB44" s="21"/>
      <c r="DC44" s="21"/>
      <c r="DD44" s="21"/>
      <c r="DE44" s="67"/>
      <c r="DF44" s="68"/>
      <c r="DG44" s="67"/>
      <c r="DH44" s="67"/>
      <c r="DI44" s="69"/>
      <c r="DJ44" s="69"/>
      <c r="DK44" s="69"/>
      <c r="DL44" s="69"/>
    </row>
    <row r="45" spans="1:116" ht="15" hidden="1" customHeight="1" outlineLevel="1">
      <c r="A45" s="54">
        <v>24</v>
      </c>
      <c r="B45" s="63" t="str">
        <f>IF(개요!M31=0,"",개요!M31)</f>
        <v/>
      </c>
      <c r="C45" s="64" t="str">
        <f>IF(개요!S31=0,"",개요!S31)</f>
        <v/>
      </c>
      <c r="D45" s="64" t="str">
        <f>IF(개요!T31=0,"",개요!T31)</f>
        <v/>
      </c>
      <c r="E45" s="64" t="str">
        <f>IF(개요!U31=0,"",개요!U31)</f>
        <v/>
      </c>
      <c r="F45" s="64" t="str">
        <f>IF(개요!V31=0,"",개요!V31)</f>
        <v/>
      </c>
      <c r="G45" s="64" t="str">
        <f>IF(개요!W31=0,"",개요!W31)</f>
        <v/>
      </c>
      <c r="H45" s="64" t="str">
        <f>IF(개요!X31=0,"",개요!X31)</f>
        <v/>
      </c>
      <c r="I45" s="64" t="str">
        <f>IF(개요!Y31=0,"",개요!Y31)</f>
        <v/>
      </c>
      <c r="J45" s="64" t="str">
        <f>IF(개요!Z31=0,"",개요!Z31)</f>
        <v/>
      </c>
      <c r="K45" s="64" t="str">
        <f>IF(개요!AA31=0,"",개요!AA31)</f>
        <v/>
      </c>
      <c r="L45" s="64" t="str">
        <f>IF(개요!AB31=0,"",개요!AB31)</f>
        <v/>
      </c>
      <c r="M45" s="64" t="str">
        <f>IF(개요!AC31=0,"",개요!AC31)</f>
        <v/>
      </c>
      <c r="N45" s="64" t="str">
        <f>IF(개요!AD31=0,"",개요!AD31)</f>
        <v/>
      </c>
      <c r="O45" s="64" t="str">
        <f>IF(개요!AE31=0,"",개요!AE31)</f>
        <v/>
      </c>
      <c r="P45" s="64" t="str">
        <f>IF(개요!AF31=0,"",개요!AF31)</f>
        <v/>
      </c>
      <c r="Q45" s="64" t="str">
        <f>IF(개요!AG31=0,"",개요!AG31)</f>
        <v/>
      </c>
      <c r="R45" s="64" t="str">
        <f>IF(개요!AH31=0,"",개요!AH31)</f>
        <v/>
      </c>
      <c r="S45" s="64" t="str">
        <f>IF(개요!AI31=0,"",개요!AI31)</f>
        <v/>
      </c>
      <c r="T45" s="64" t="str">
        <f>IF(개요!AJ31=0,"",개요!AJ31)</f>
        <v/>
      </c>
      <c r="U45" s="64" t="str">
        <f>IF(개요!AK31=0,"",개요!AK31)</f>
        <v/>
      </c>
      <c r="V45" s="64" t="str">
        <f>IF(개요!AL31=0,"",개요!AL31)</f>
        <v/>
      </c>
      <c r="W45" s="64" t="str">
        <f>IF(개요!AM31=0,"",개요!AM31)</f>
        <v/>
      </c>
      <c r="X45" s="64" t="str">
        <f>IF(개요!AN31=0,"",개요!AN31)</f>
        <v/>
      </c>
      <c r="Y45" s="64" t="str">
        <f>IF(개요!AO31=0,"",개요!AO31)</f>
        <v/>
      </c>
      <c r="Z45" s="64" t="str">
        <f>IF(개요!AP31=0,"",개요!AP31)</f>
        <v/>
      </c>
      <c r="AA45" s="64" t="str">
        <f>IF(개요!AQ31=0,"",개요!AQ31)</f>
        <v/>
      </c>
      <c r="AB45" s="64" t="str">
        <f>IF(개요!AR31=0,"",개요!AR31)</f>
        <v/>
      </c>
      <c r="AC45" s="64" t="str">
        <f>IF(개요!AS31=0,"",개요!AS31)</f>
        <v/>
      </c>
      <c r="AD45" s="64" t="str">
        <f>IF(개요!AT31=0,"",개요!AT31)</f>
        <v/>
      </c>
      <c r="AE45" s="64" t="str">
        <f>IF(개요!AU31=0,"",개요!AU31)</f>
        <v/>
      </c>
      <c r="AF45" s="64" t="str">
        <f>IF(개요!AV31=0,"",개요!AV31)</f>
        <v/>
      </c>
      <c r="AG45" s="64" t="str">
        <f>IF(개요!AW31=0,"",개요!AW31)</f>
        <v/>
      </c>
      <c r="AH45" s="64" t="str">
        <f>IF(개요!AX31=0,"",개요!AX31)</f>
        <v/>
      </c>
      <c r="AI45" s="64" t="str">
        <f>IF(개요!AY31=0,"",개요!AY31)</f>
        <v/>
      </c>
      <c r="AJ45" s="64" t="str">
        <f>IF(개요!AZ31=0,"",개요!AZ31)</f>
        <v/>
      </c>
      <c r="AK45" s="64" t="str">
        <f>IF(개요!BA31=0,"",개요!BA31)</f>
        <v/>
      </c>
      <c r="AL45" s="64" t="str">
        <f>IF(개요!BB31=0,"",개요!BB31)</f>
        <v/>
      </c>
      <c r="AM45" s="64" t="str">
        <f>IF(개요!BC31=0,"",개요!BC31)</f>
        <v/>
      </c>
      <c r="AN45" s="64" t="str">
        <f>IF(개요!BD31=0,"",개요!BD31)</f>
        <v/>
      </c>
      <c r="AO45" s="64" t="str">
        <f>IF(개요!BE31=0,"",개요!BE31)</f>
        <v/>
      </c>
      <c r="AP45" s="64" t="str">
        <f>IF(개요!BF31=0,"",개요!BF31)</f>
        <v/>
      </c>
      <c r="AQ45" s="64" t="str">
        <f>IF(개요!BG31=0,"",개요!BG31)</f>
        <v/>
      </c>
      <c r="AR45" s="64" t="str">
        <f>IF(개요!BH31=0,"",개요!BH31)</f>
        <v/>
      </c>
      <c r="AS45" s="64" t="str">
        <f>IF(개요!BI31=0,"",개요!BI31)</f>
        <v/>
      </c>
      <c r="AT45" s="64" t="str">
        <f>IF(개요!BJ31=0,"",개요!BJ31)</f>
        <v/>
      </c>
      <c r="AU45" s="64" t="str">
        <f>IF(개요!BK31=0,"",개요!BK31)</f>
        <v/>
      </c>
      <c r="AV45" s="64" t="str">
        <f>IF(개요!BL31=0,"",개요!BL31)</f>
        <v/>
      </c>
      <c r="AW45" s="64" t="str">
        <f>IF(개요!BM31=0,"",개요!BM31)</f>
        <v/>
      </c>
      <c r="AX45" s="64" t="str">
        <f>IF(개요!BN31=0,"",개요!BN31)</f>
        <v/>
      </c>
      <c r="AY45" s="64" t="str">
        <f>IF(개요!BO31=0,"",개요!BO31)</f>
        <v/>
      </c>
      <c r="AZ45" s="64" t="str">
        <f>IF(개요!BP31=0,"",개요!BP31)</f>
        <v/>
      </c>
      <c r="BA45" s="64" t="str">
        <f>IF(개요!BQ31=0,"",개요!BQ31)</f>
        <v/>
      </c>
      <c r="BB45" s="64" t="str">
        <f>IF(개요!BR31=0,"",개요!BR31)</f>
        <v/>
      </c>
      <c r="BC45" s="64" t="str">
        <f>IF(개요!BS31=0,"",개요!BS31)</f>
        <v/>
      </c>
      <c r="BD45" s="64" t="str">
        <f>IF(개요!BT31=0,"",개요!BT31)</f>
        <v/>
      </c>
      <c r="BE45" s="64" t="str">
        <f>IF(개요!BU31=0,"",개요!BU31)</f>
        <v/>
      </c>
      <c r="BF45" s="64" t="str">
        <f>IF(개요!BV31=0,"",개요!BV31)</f>
        <v/>
      </c>
      <c r="BG45" s="64" t="str">
        <f>IF(개요!BW31=0,"",개요!BW31)</f>
        <v/>
      </c>
      <c r="BH45" s="64" t="str">
        <f>IF(개요!BX31=0,"",개요!BX31)</f>
        <v/>
      </c>
      <c r="BI45" s="64" t="str">
        <f>IF(개요!BY31=0,"",개요!BY31)</f>
        <v/>
      </c>
      <c r="BJ45" s="64" t="str">
        <f>IF(개요!BZ31=0,"",개요!BZ31)</f>
        <v/>
      </c>
      <c r="BK45" s="64" t="str">
        <f>IF(개요!CA31=0,"",개요!CA31)</f>
        <v/>
      </c>
      <c r="BL45" s="64" t="str">
        <f>IF(개요!CB31=0,"",개요!CB31)</f>
        <v/>
      </c>
      <c r="BM45" s="64" t="str">
        <f>IF(개요!CC31=0,"",개요!CC31)</f>
        <v/>
      </c>
      <c r="BN45" s="64" t="str">
        <f>IF(개요!CD31=0,"",개요!CD31)</f>
        <v/>
      </c>
      <c r="BO45" s="64" t="str">
        <f>IF(개요!CE31=0,"",개요!CE31)</f>
        <v/>
      </c>
      <c r="BP45" s="64" t="str">
        <f>IF(개요!CF31=0,"",개요!CF31)</f>
        <v/>
      </c>
      <c r="BQ45" s="64" t="str">
        <f>IF(개요!CG31=0,"",개요!CG31)</f>
        <v/>
      </c>
      <c r="BR45" s="64" t="str">
        <f>IF(개요!CH31=0,"",개요!CH31)</f>
        <v/>
      </c>
      <c r="BS45" s="64" t="str">
        <f>IF(개요!CI31=0,"",개요!CI31)</f>
        <v/>
      </c>
      <c r="BT45" s="64" t="str">
        <f>IF(개요!CJ31=0,"",개요!CJ31)</f>
        <v/>
      </c>
      <c r="BU45" s="64" t="str">
        <f>IF(개요!CK31=0,"",개요!CK31)</f>
        <v/>
      </c>
      <c r="BV45" s="64" t="str">
        <f>IF(개요!CL31=0,"",개요!CL31)</f>
        <v/>
      </c>
      <c r="BW45" s="64" t="str">
        <f>IF(개요!CM31=0,"",개요!CM31)</f>
        <v/>
      </c>
      <c r="BX45" s="64" t="str">
        <f>IF(개요!CN31=0,"",개요!CN31)</f>
        <v/>
      </c>
      <c r="BY45" s="64" t="str">
        <f>IF(개요!CO31=0,"",개요!CO31)</f>
        <v/>
      </c>
      <c r="BZ45" s="64" t="str">
        <f>IF(개요!CP31=0,"",개요!CP31)</f>
        <v/>
      </c>
      <c r="CA45" s="64" t="str">
        <f>IF(개요!CQ31=0,"",개요!CQ31)</f>
        <v/>
      </c>
      <c r="CB45" s="64" t="str">
        <f>IF(개요!CR31=0,"",개요!CR31)</f>
        <v/>
      </c>
      <c r="CC45" s="64" t="str">
        <f>IF(개요!CS31=0,"",개요!CS31)</f>
        <v/>
      </c>
      <c r="CD45" s="64" t="str">
        <f>IF(개요!CT31=0,"",개요!CT31)</f>
        <v/>
      </c>
      <c r="CE45" s="64" t="str">
        <f>IF(개요!CU31=0,"",개요!CU31)</f>
        <v/>
      </c>
      <c r="CF45" s="64" t="str">
        <f>IF(개요!CV31=0,"",개요!CV31)</f>
        <v/>
      </c>
      <c r="CG45" s="64" t="str">
        <f>IF(개요!CW31=0,"",개요!CW31)</f>
        <v/>
      </c>
      <c r="CH45" s="64" t="str">
        <f>IF(개요!CX31=0,"",개요!CX31)</f>
        <v/>
      </c>
      <c r="CI45" s="64" t="str">
        <f>IF(개요!CY31=0,"",개요!CY31)</f>
        <v/>
      </c>
      <c r="CJ45" s="64" t="str">
        <f>IF(개요!CZ31=0,"",개요!CZ31)</f>
        <v/>
      </c>
      <c r="CK45" s="64" t="str">
        <f>IF(개요!DA31=0,"",개요!DA31)</f>
        <v/>
      </c>
      <c r="CL45" s="64" t="str">
        <f>IF(개요!DB31=0,"",개요!DB31)</f>
        <v/>
      </c>
      <c r="CM45" s="64" t="str">
        <f>IF(개요!DC31=0,"",개요!DC31)</f>
        <v/>
      </c>
      <c r="CN45" s="64" t="str">
        <f>IF(개요!DD31=0,"",개요!DD31)</f>
        <v/>
      </c>
      <c r="CO45" s="64" t="str">
        <f>IF(개요!DE31=0,"",개요!DE31)</f>
        <v/>
      </c>
      <c r="CP45" s="64" t="str">
        <f>IF(개요!DF31=0,"",개요!DF31)</f>
        <v/>
      </c>
      <c r="CQ45" s="64" t="str">
        <f>IF(개요!DG31=0,"",개요!DG31)</f>
        <v/>
      </c>
      <c r="CR45" s="64" t="str">
        <f>IF(개요!DH31=0,"",개요!DH31)</f>
        <v/>
      </c>
      <c r="CS45" s="64" t="str">
        <f>IF(개요!DI31=0,"",개요!DI31)</f>
        <v/>
      </c>
      <c r="CT45" s="64" t="str">
        <f>IF(개요!DJ31=0,"",개요!DJ31)</f>
        <v/>
      </c>
      <c r="CU45" s="64" t="str">
        <f>IF(개요!DK31=0,"",개요!DK31)</f>
        <v/>
      </c>
      <c r="CV45" s="64" t="str">
        <f>IF(개요!DL31=0,"",개요!DL31)</f>
        <v/>
      </c>
      <c r="CW45" s="64" t="str">
        <f>IF(개요!DM31=0,"",개요!DM31)</f>
        <v/>
      </c>
      <c r="CX45" s="64" t="str">
        <f>IF(개요!DN31=0,"",개요!DN31)</f>
        <v/>
      </c>
      <c r="CY45" s="65" t="str">
        <f t="shared" si="5"/>
        <v/>
      </c>
      <c r="DB45" s="21"/>
      <c r="DC45" s="21"/>
      <c r="DD45" s="21"/>
      <c r="DE45" s="67"/>
      <c r="DF45" s="68"/>
      <c r="DG45" s="67"/>
      <c r="DH45" s="67"/>
      <c r="DI45" s="69"/>
      <c r="DJ45" s="69"/>
      <c r="DK45" s="69"/>
      <c r="DL45" s="69"/>
    </row>
    <row r="46" spans="1:116" ht="15" hidden="1" customHeight="1" outlineLevel="1">
      <c r="A46" s="54">
        <v>25</v>
      </c>
      <c r="B46" s="63" t="str">
        <f>IF(개요!M32=0,"",개요!M32)</f>
        <v/>
      </c>
      <c r="C46" s="64" t="str">
        <f>IF(개요!S32=0,"",개요!S32)</f>
        <v/>
      </c>
      <c r="D46" s="64" t="str">
        <f>IF(개요!T32=0,"",개요!T32)</f>
        <v/>
      </c>
      <c r="E46" s="64" t="str">
        <f>IF(개요!U32=0,"",개요!U32)</f>
        <v/>
      </c>
      <c r="F46" s="64" t="str">
        <f>IF(개요!V32=0,"",개요!V32)</f>
        <v/>
      </c>
      <c r="G46" s="64" t="str">
        <f>IF(개요!W32=0,"",개요!W32)</f>
        <v/>
      </c>
      <c r="H46" s="64" t="str">
        <f>IF(개요!X32=0,"",개요!X32)</f>
        <v/>
      </c>
      <c r="I46" s="64" t="str">
        <f>IF(개요!Y32=0,"",개요!Y32)</f>
        <v/>
      </c>
      <c r="J46" s="64" t="str">
        <f>IF(개요!Z32=0,"",개요!Z32)</f>
        <v/>
      </c>
      <c r="K46" s="64" t="str">
        <f>IF(개요!AA32=0,"",개요!AA32)</f>
        <v/>
      </c>
      <c r="L46" s="64" t="str">
        <f>IF(개요!AB32=0,"",개요!AB32)</f>
        <v/>
      </c>
      <c r="M46" s="64" t="str">
        <f>IF(개요!AC32=0,"",개요!AC32)</f>
        <v/>
      </c>
      <c r="N46" s="64" t="str">
        <f>IF(개요!AD32=0,"",개요!AD32)</f>
        <v/>
      </c>
      <c r="O46" s="64" t="str">
        <f>IF(개요!AE32=0,"",개요!AE32)</f>
        <v/>
      </c>
      <c r="P46" s="64" t="str">
        <f>IF(개요!AF32=0,"",개요!AF32)</f>
        <v/>
      </c>
      <c r="Q46" s="64" t="str">
        <f>IF(개요!AG32=0,"",개요!AG32)</f>
        <v/>
      </c>
      <c r="R46" s="64" t="str">
        <f>IF(개요!AH32=0,"",개요!AH32)</f>
        <v/>
      </c>
      <c r="S46" s="64" t="str">
        <f>IF(개요!AI32=0,"",개요!AI32)</f>
        <v/>
      </c>
      <c r="T46" s="64" t="str">
        <f>IF(개요!AJ32=0,"",개요!AJ32)</f>
        <v/>
      </c>
      <c r="U46" s="64" t="str">
        <f>IF(개요!AK32=0,"",개요!AK32)</f>
        <v/>
      </c>
      <c r="V46" s="64" t="str">
        <f>IF(개요!AL32=0,"",개요!AL32)</f>
        <v/>
      </c>
      <c r="W46" s="64" t="str">
        <f>IF(개요!AM32=0,"",개요!AM32)</f>
        <v/>
      </c>
      <c r="X46" s="64" t="str">
        <f>IF(개요!AN32=0,"",개요!AN32)</f>
        <v/>
      </c>
      <c r="Y46" s="64" t="str">
        <f>IF(개요!AO32=0,"",개요!AO32)</f>
        <v/>
      </c>
      <c r="Z46" s="64" t="str">
        <f>IF(개요!AP32=0,"",개요!AP32)</f>
        <v/>
      </c>
      <c r="AA46" s="64" t="str">
        <f>IF(개요!AQ32=0,"",개요!AQ32)</f>
        <v/>
      </c>
      <c r="AB46" s="64" t="str">
        <f>IF(개요!AR32=0,"",개요!AR32)</f>
        <v/>
      </c>
      <c r="AC46" s="64" t="str">
        <f>IF(개요!AS32=0,"",개요!AS32)</f>
        <v/>
      </c>
      <c r="AD46" s="64" t="str">
        <f>IF(개요!AT32=0,"",개요!AT32)</f>
        <v/>
      </c>
      <c r="AE46" s="64" t="str">
        <f>IF(개요!AU32=0,"",개요!AU32)</f>
        <v/>
      </c>
      <c r="AF46" s="64" t="str">
        <f>IF(개요!AV32=0,"",개요!AV32)</f>
        <v/>
      </c>
      <c r="AG46" s="64" t="str">
        <f>IF(개요!AW32=0,"",개요!AW32)</f>
        <v/>
      </c>
      <c r="AH46" s="64" t="str">
        <f>IF(개요!AX32=0,"",개요!AX32)</f>
        <v/>
      </c>
      <c r="AI46" s="64" t="str">
        <f>IF(개요!AY32=0,"",개요!AY32)</f>
        <v/>
      </c>
      <c r="AJ46" s="64" t="str">
        <f>IF(개요!AZ32=0,"",개요!AZ32)</f>
        <v/>
      </c>
      <c r="AK46" s="64" t="str">
        <f>IF(개요!BA32=0,"",개요!BA32)</f>
        <v/>
      </c>
      <c r="AL46" s="64" t="str">
        <f>IF(개요!BB32=0,"",개요!BB32)</f>
        <v/>
      </c>
      <c r="AM46" s="64" t="str">
        <f>IF(개요!BC32=0,"",개요!BC32)</f>
        <v/>
      </c>
      <c r="AN46" s="64" t="str">
        <f>IF(개요!BD32=0,"",개요!BD32)</f>
        <v/>
      </c>
      <c r="AO46" s="64" t="str">
        <f>IF(개요!BE32=0,"",개요!BE32)</f>
        <v/>
      </c>
      <c r="AP46" s="64" t="str">
        <f>IF(개요!BF32=0,"",개요!BF32)</f>
        <v/>
      </c>
      <c r="AQ46" s="64" t="str">
        <f>IF(개요!BG32=0,"",개요!BG32)</f>
        <v/>
      </c>
      <c r="AR46" s="64" t="str">
        <f>IF(개요!BH32=0,"",개요!BH32)</f>
        <v/>
      </c>
      <c r="AS46" s="64" t="str">
        <f>IF(개요!BI32=0,"",개요!BI32)</f>
        <v/>
      </c>
      <c r="AT46" s="64" t="str">
        <f>IF(개요!BJ32=0,"",개요!BJ32)</f>
        <v/>
      </c>
      <c r="AU46" s="64" t="str">
        <f>IF(개요!BK32=0,"",개요!BK32)</f>
        <v/>
      </c>
      <c r="AV46" s="64" t="str">
        <f>IF(개요!BL32=0,"",개요!BL32)</f>
        <v/>
      </c>
      <c r="AW46" s="64" t="str">
        <f>IF(개요!BM32=0,"",개요!BM32)</f>
        <v/>
      </c>
      <c r="AX46" s="64" t="str">
        <f>IF(개요!BN32=0,"",개요!BN32)</f>
        <v/>
      </c>
      <c r="AY46" s="64" t="str">
        <f>IF(개요!BO32=0,"",개요!BO32)</f>
        <v/>
      </c>
      <c r="AZ46" s="64" t="str">
        <f>IF(개요!BP32=0,"",개요!BP32)</f>
        <v/>
      </c>
      <c r="BA46" s="64" t="str">
        <f>IF(개요!BQ32=0,"",개요!BQ32)</f>
        <v/>
      </c>
      <c r="BB46" s="64" t="str">
        <f>IF(개요!BR32=0,"",개요!BR32)</f>
        <v/>
      </c>
      <c r="BC46" s="64" t="str">
        <f>IF(개요!BS32=0,"",개요!BS32)</f>
        <v/>
      </c>
      <c r="BD46" s="64" t="str">
        <f>IF(개요!BT32=0,"",개요!BT32)</f>
        <v/>
      </c>
      <c r="BE46" s="64" t="str">
        <f>IF(개요!BU32=0,"",개요!BU32)</f>
        <v/>
      </c>
      <c r="BF46" s="64" t="str">
        <f>IF(개요!BV32=0,"",개요!BV32)</f>
        <v/>
      </c>
      <c r="BG46" s="64" t="str">
        <f>IF(개요!BW32=0,"",개요!BW32)</f>
        <v/>
      </c>
      <c r="BH46" s="64" t="str">
        <f>IF(개요!BX32=0,"",개요!BX32)</f>
        <v/>
      </c>
      <c r="BI46" s="64" t="str">
        <f>IF(개요!BY32=0,"",개요!BY32)</f>
        <v/>
      </c>
      <c r="BJ46" s="64" t="str">
        <f>IF(개요!BZ32=0,"",개요!BZ32)</f>
        <v/>
      </c>
      <c r="BK46" s="64" t="str">
        <f>IF(개요!CA32=0,"",개요!CA32)</f>
        <v/>
      </c>
      <c r="BL46" s="64" t="str">
        <f>IF(개요!CB32=0,"",개요!CB32)</f>
        <v/>
      </c>
      <c r="BM46" s="64" t="str">
        <f>IF(개요!CC32=0,"",개요!CC32)</f>
        <v/>
      </c>
      <c r="BN46" s="64" t="str">
        <f>IF(개요!CD32=0,"",개요!CD32)</f>
        <v/>
      </c>
      <c r="BO46" s="64" t="str">
        <f>IF(개요!CE32=0,"",개요!CE32)</f>
        <v/>
      </c>
      <c r="BP46" s="64" t="str">
        <f>IF(개요!CF32=0,"",개요!CF32)</f>
        <v/>
      </c>
      <c r="BQ46" s="64" t="str">
        <f>IF(개요!CG32=0,"",개요!CG32)</f>
        <v/>
      </c>
      <c r="BR46" s="64" t="str">
        <f>IF(개요!CH32=0,"",개요!CH32)</f>
        <v/>
      </c>
      <c r="BS46" s="64" t="str">
        <f>IF(개요!CI32=0,"",개요!CI32)</f>
        <v/>
      </c>
      <c r="BT46" s="64" t="str">
        <f>IF(개요!CJ32=0,"",개요!CJ32)</f>
        <v/>
      </c>
      <c r="BU46" s="64" t="str">
        <f>IF(개요!CK32=0,"",개요!CK32)</f>
        <v/>
      </c>
      <c r="BV46" s="64" t="str">
        <f>IF(개요!CL32=0,"",개요!CL32)</f>
        <v/>
      </c>
      <c r="BW46" s="64" t="str">
        <f>IF(개요!CM32=0,"",개요!CM32)</f>
        <v/>
      </c>
      <c r="BX46" s="64" t="str">
        <f>IF(개요!CN32=0,"",개요!CN32)</f>
        <v/>
      </c>
      <c r="BY46" s="64" t="str">
        <f>IF(개요!CO32=0,"",개요!CO32)</f>
        <v/>
      </c>
      <c r="BZ46" s="64" t="str">
        <f>IF(개요!CP32=0,"",개요!CP32)</f>
        <v/>
      </c>
      <c r="CA46" s="64" t="str">
        <f>IF(개요!CQ32=0,"",개요!CQ32)</f>
        <v/>
      </c>
      <c r="CB46" s="64" t="str">
        <f>IF(개요!CR32=0,"",개요!CR32)</f>
        <v/>
      </c>
      <c r="CC46" s="64" t="str">
        <f>IF(개요!CS32=0,"",개요!CS32)</f>
        <v/>
      </c>
      <c r="CD46" s="64" t="str">
        <f>IF(개요!CT32=0,"",개요!CT32)</f>
        <v/>
      </c>
      <c r="CE46" s="64" t="str">
        <f>IF(개요!CU32=0,"",개요!CU32)</f>
        <v/>
      </c>
      <c r="CF46" s="64" t="str">
        <f>IF(개요!CV32=0,"",개요!CV32)</f>
        <v/>
      </c>
      <c r="CG46" s="64" t="str">
        <f>IF(개요!CW32=0,"",개요!CW32)</f>
        <v/>
      </c>
      <c r="CH46" s="64" t="str">
        <f>IF(개요!CX32=0,"",개요!CX32)</f>
        <v/>
      </c>
      <c r="CI46" s="64" t="str">
        <f>IF(개요!CY32=0,"",개요!CY32)</f>
        <v/>
      </c>
      <c r="CJ46" s="64" t="str">
        <f>IF(개요!CZ32=0,"",개요!CZ32)</f>
        <v/>
      </c>
      <c r="CK46" s="64" t="str">
        <f>IF(개요!DA32=0,"",개요!DA32)</f>
        <v/>
      </c>
      <c r="CL46" s="64" t="str">
        <f>IF(개요!DB32=0,"",개요!DB32)</f>
        <v/>
      </c>
      <c r="CM46" s="64" t="str">
        <f>IF(개요!DC32=0,"",개요!DC32)</f>
        <v/>
      </c>
      <c r="CN46" s="64" t="str">
        <f>IF(개요!DD32=0,"",개요!DD32)</f>
        <v/>
      </c>
      <c r="CO46" s="64" t="str">
        <f>IF(개요!DE32=0,"",개요!DE32)</f>
        <v/>
      </c>
      <c r="CP46" s="64" t="str">
        <f>IF(개요!DF32=0,"",개요!DF32)</f>
        <v/>
      </c>
      <c r="CQ46" s="64" t="str">
        <f>IF(개요!DG32=0,"",개요!DG32)</f>
        <v/>
      </c>
      <c r="CR46" s="64" t="str">
        <f>IF(개요!DH32=0,"",개요!DH32)</f>
        <v/>
      </c>
      <c r="CS46" s="64" t="str">
        <f>IF(개요!DI32=0,"",개요!DI32)</f>
        <v/>
      </c>
      <c r="CT46" s="64" t="str">
        <f>IF(개요!DJ32=0,"",개요!DJ32)</f>
        <v/>
      </c>
      <c r="CU46" s="64" t="str">
        <f>IF(개요!DK32=0,"",개요!DK32)</f>
        <v/>
      </c>
      <c r="CV46" s="64" t="str">
        <f>IF(개요!DL32=0,"",개요!DL32)</f>
        <v/>
      </c>
      <c r="CW46" s="64" t="str">
        <f>IF(개요!DM32=0,"",개요!DM32)</f>
        <v/>
      </c>
      <c r="CX46" s="64" t="str">
        <f>IF(개요!DN32=0,"",개요!DN32)</f>
        <v/>
      </c>
      <c r="CY46" s="65" t="str">
        <f t="shared" si="5"/>
        <v/>
      </c>
      <c r="DB46" s="21"/>
      <c r="DC46" s="21"/>
      <c r="DD46" s="21"/>
      <c r="DE46" s="67"/>
      <c r="DF46" s="68"/>
      <c r="DG46" s="67"/>
      <c r="DH46" s="67"/>
      <c r="DI46" s="69"/>
      <c r="DJ46" s="69"/>
      <c r="DK46" s="69"/>
      <c r="DL46" s="69"/>
    </row>
    <row r="47" spans="1:116" ht="15" hidden="1" customHeight="1" outlineLevel="1">
      <c r="A47" s="54">
        <v>26</v>
      </c>
      <c r="B47" s="63" t="str">
        <f>IF(개요!M33=0,"",개요!M33)</f>
        <v/>
      </c>
      <c r="C47" s="64" t="str">
        <f>IF(개요!S33=0,"",개요!S33)</f>
        <v/>
      </c>
      <c r="D47" s="64" t="str">
        <f>IF(개요!T33=0,"",개요!T33)</f>
        <v/>
      </c>
      <c r="E47" s="64" t="str">
        <f>IF(개요!U33=0,"",개요!U33)</f>
        <v/>
      </c>
      <c r="F47" s="64" t="str">
        <f>IF(개요!V33=0,"",개요!V33)</f>
        <v/>
      </c>
      <c r="G47" s="64" t="str">
        <f>IF(개요!W33=0,"",개요!W33)</f>
        <v/>
      </c>
      <c r="H47" s="64" t="str">
        <f>IF(개요!X33=0,"",개요!X33)</f>
        <v/>
      </c>
      <c r="I47" s="64" t="str">
        <f>IF(개요!Y33=0,"",개요!Y33)</f>
        <v/>
      </c>
      <c r="J47" s="64" t="str">
        <f>IF(개요!Z33=0,"",개요!Z33)</f>
        <v/>
      </c>
      <c r="K47" s="64" t="str">
        <f>IF(개요!AA33=0,"",개요!AA33)</f>
        <v/>
      </c>
      <c r="L47" s="64" t="str">
        <f>IF(개요!AB33=0,"",개요!AB33)</f>
        <v/>
      </c>
      <c r="M47" s="64" t="str">
        <f>IF(개요!AC33=0,"",개요!AC33)</f>
        <v/>
      </c>
      <c r="N47" s="64" t="str">
        <f>IF(개요!AD33=0,"",개요!AD33)</f>
        <v/>
      </c>
      <c r="O47" s="64" t="str">
        <f>IF(개요!AE33=0,"",개요!AE33)</f>
        <v/>
      </c>
      <c r="P47" s="64" t="str">
        <f>IF(개요!AF33=0,"",개요!AF33)</f>
        <v/>
      </c>
      <c r="Q47" s="64" t="str">
        <f>IF(개요!AG33=0,"",개요!AG33)</f>
        <v/>
      </c>
      <c r="R47" s="64" t="str">
        <f>IF(개요!AH33=0,"",개요!AH33)</f>
        <v/>
      </c>
      <c r="S47" s="64" t="str">
        <f>IF(개요!AI33=0,"",개요!AI33)</f>
        <v/>
      </c>
      <c r="T47" s="64" t="str">
        <f>IF(개요!AJ33=0,"",개요!AJ33)</f>
        <v/>
      </c>
      <c r="U47" s="64" t="str">
        <f>IF(개요!AK33=0,"",개요!AK33)</f>
        <v/>
      </c>
      <c r="V47" s="64" t="str">
        <f>IF(개요!AL33=0,"",개요!AL33)</f>
        <v/>
      </c>
      <c r="W47" s="64" t="str">
        <f>IF(개요!AM33=0,"",개요!AM33)</f>
        <v/>
      </c>
      <c r="X47" s="64" t="str">
        <f>IF(개요!AN33=0,"",개요!AN33)</f>
        <v/>
      </c>
      <c r="Y47" s="64" t="str">
        <f>IF(개요!AO33=0,"",개요!AO33)</f>
        <v/>
      </c>
      <c r="Z47" s="64" t="str">
        <f>IF(개요!AP33=0,"",개요!AP33)</f>
        <v/>
      </c>
      <c r="AA47" s="64" t="str">
        <f>IF(개요!AQ33=0,"",개요!AQ33)</f>
        <v/>
      </c>
      <c r="AB47" s="64" t="str">
        <f>IF(개요!AR33=0,"",개요!AR33)</f>
        <v/>
      </c>
      <c r="AC47" s="64" t="str">
        <f>IF(개요!AS33=0,"",개요!AS33)</f>
        <v/>
      </c>
      <c r="AD47" s="64" t="str">
        <f>IF(개요!AT33=0,"",개요!AT33)</f>
        <v/>
      </c>
      <c r="AE47" s="64" t="str">
        <f>IF(개요!AU33=0,"",개요!AU33)</f>
        <v/>
      </c>
      <c r="AF47" s="64" t="str">
        <f>IF(개요!AV33=0,"",개요!AV33)</f>
        <v/>
      </c>
      <c r="AG47" s="64" t="str">
        <f>IF(개요!AW33=0,"",개요!AW33)</f>
        <v/>
      </c>
      <c r="AH47" s="64" t="str">
        <f>IF(개요!AX33=0,"",개요!AX33)</f>
        <v/>
      </c>
      <c r="AI47" s="64" t="str">
        <f>IF(개요!AY33=0,"",개요!AY33)</f>
        <v/>
      </c>
      <c r="AJ47" s="64" t="str">
        <f>IF(개요!AZ33=0,"",개요!AZ33)</f>
        <v/>
      </c>
      <c r="AK47" s="64" t="str">
        <f>IF(개요!BA33=0,"",개요!BA33)</f>
        <v/>
      </c>
      <c r="AL47" s="64" t="str">
        <f>IF(개요!BB33=0,"",개요!BB33)</f>
        <v/>
      </c>
      <c r="AM47" s="64" t="str">
        <f>IF(개요!BC33=0,"",개요!BC33)</f>
        <v/>
      </c>
      <c r="AN47" s="64" t="str">
        <f>IF(개요!BD33=0,"",개요!BD33)</f>
        <v/>
      </c>
      <c r="AO47" s="64" t="str">
        <f>IF(개요!BE33=0,"",개요!BE33)</f>
        <v/>
      </c>
      <c r="AP47" s="64" t="str">
        <f>IF(개요!BF33=0,"",개요!BF33)</f>
        <v/>
      </c>
      <c r="AQ47" s="64" t="str">
        <f>IF(개요!BG33=0,"",개요!BG33)</f>
        <v/>
      </c>
      <c r="AR47" s="64" t="str">
        <f>IF(개요!BH33=0,"",개요!BH33)</f>
        <v/>
      </c>
      <c r="AS47" s="64" t="str">
        <f>IF(개요!BI33=0,"",개요!BI33)</f>
        <v/>
      </c>
      <c r="AT47" s="64" t="str">
        <f>IF(개요!BJ33=0,"",개요!BJ33)</f>
        <v/>
      </c>
      <c r="AU47" s="64" t="str">
        <f>IF(개요!BK33=0,"",개요!BK33)</f>
        <v/>
      </c>
      <c r="AV47" s="64" t="str">
        <f>IF(개요!BL33=0,"",개요!BL33)</f>
        <v/>
      </c>
      <c r="AW47" s="64" t="str">
        <f>IF(개요!BM33=0,"",개요!BM33)</f>
        <v/>
      </c>
      <c r="AX47" s="64" t="str">
        <f>IF(개요!BN33=0,"",개요!BN33)</f>
        <v/>
      </c>
      <c r="AY47" s="64" t="str">
        <f>IF(개요!BO33=0,"",개요!BO33)</f>
        <v/>
      </c>
      <c r="AZ47" s="64" t="str">
        <f>IF(개요!BP33=0,"",개요!BP33)</f>
        <v/>
      </c>
      <c r="BA47" s="64" t="str">
        <f>IF(개요!BQ33=0,"",개요!BQ33)</f>
        <v/>
      </c>
      <c r="BB47" s="64" t="str">
        <f>IF(개요!BR33=0,"",개요!BR33)</f>
        <v/>
      </c>
      <c r="BC47" s="64" t="str">
        <f>IF(개요!BS33=0,"",개요!BS33)</f>
        <v/>
      </c>
      <c r="BD47" s="64" t="str">
        <f>IF(개요!BT33=0,"",개요!BT33)</f>
        <v/>
      </c>
      <c r="BE47" s="64" t="str">
        <f>IF(개요!BU33=0,"",개요!BU33)</f>
        <v/>
      </c>
      <c r="BF47" s="64" t="str">
        <f>IF(개요!BV33=0,"",개요!BV33)</f>
        <v/>
      </c>
      <c r="BG47" s="64" t="str">
        <f>IF(개요!BW33=0,"",개요!BW33)</f>
        <v/>
      </c>
      <c r="BH47" s="64" t="str">
        <f>IF(개요!BX33=0,"",개요!BX33)</f>
        <v/>
      </c>
      <c r="BI47" s="64" t="str">
        <f>IF(개요!BY33=0,"",개요!BY33)</f>
        <v/>
      </c>
      <c r="BJ47" s="64" t="str">
        <f>IF(개요!BZ33=0,"",개요!BZ33)</f>
        <v/>
      </c>
      <c r="BK47" s="64" t="str">
        <f>IF(개요!CA33=0,"",개요!CA33)</f>
        <v/>
      </c>
      <c r="BL47" s="64" t="str">
        <f>IF(개요!CB33=0,"",개요!CB33)</f>
        <v/>
      </c>
      <c r="BM47" s="64" t="str">
        <f>IF(개요!CC33=0,"",개요!CC33)</f>
        <v/>
      </c>
      <c r="BN47" s="64" t="str">
        <f>IF(개요!CD33=0,"",개요!CD33)</f>
        <v/>
      </c>
      <c r="BO47" s="64" t="str">
        <f>IF(개요!CE33=0,"",개요!CE33)</f>
        <v/>
      </c>
      <c r="BP47" s="64" t="str">
        <f>IF(개요!CF33=0,"",개요!CF33)</f>
        <v/>
      </c>
      <c r="BQ47" s="64" t="str">
        <f>IF(개요!CG33=0,"",개요!CG33)</f>
        <v/>
      </c>
      <c r="BR47" s="64" t="str">
        <f>IF(개요!CH33=0,"",개요!CH33)</f>
        <v/>
      </c>
      <c r="BS47" s="64" t="str">
        <f>IF(개요!CI33=0,"",개요!CI33)</f>
        <v/>
      </c>
      <c r="BT47" s="64" t="str">
        <f>IF(개요!CJ33=0,"",개요!CJ33)</f>
        <v/>
      </c>
      <c r="BU47" s="64" t="str">
        <f>IF(개요!CK33=0,"",개요!CK33)</f>
        <v/>
      </c>
      <c r="BV47" s="64" t="str">
        <f>IF(개요!CL33=0,"",개요!CL33)</f>
        <v/>
      </c>
      <c r="BW47" s="64" t="str">
        <f>IF(개요!CM33=0,"",개요!CM33)</f>
        <v/>
      </c>
      <c r="BX47" s="64" t="str">
        <f>IF(개요!CN33=0,"",개요!CN33)</f>
        <v/>
      </c>
      <c r="BY47" s="64" t="str">
        <f>IF(개요!CO33=0,"",개요!CO33)</f>
        <v/>
      </c>
      <c r="BZ47" s="64" t="str">
        <f>IF(개요!CP33=0,"",개요!CP33)</f>
        <v/>
      </c>
      <c r="CA47" s="64" t="str">
        <f>IF(개요!CQ33=0,"",개요!CQ33)</f>
        <v/>
      </c>
      <c r="CB47" s="64" t="str">
        <f>IF(개요!CR33=0,"",개요!CR33)</f>
        <v/>
      </c>
      <c r="CC47" s="64" t="str">
        <f>IF(개요!CS33=0,"",개요!CS33)</f>
        <v/>
      </c>
      <c r="CD47" s="64" t="str">
        <f>IF(개요!CT33=0,"",개요!CT33)</f>
        <v/>
      </c>
      <c r="CE47" s="64" t="str">
        <f>IF(개요!CU33=0,"",개요!CU33)</f>
        <v/>
      </c>
      <c r="CF47" s="64" t="str">
        <f>IF(개요!CV33=0,"",개요!CV33)</f>
        <v/>
      </c>
      <c r="CG47" s="64" t="str">
        <f>IF(개요!CW33=0,"",개요!CW33)</f>
        <v/>
      </c>
      <c r="CH47" s="64" t="str">
        <f>IF(개요!CX33=0,"",개요!CX33)</f>
        <v/>
      </c>
      <c r="CI47" s="64" t="str">
        <f>IF(개요!CY33=0,"",개요!CY33)</f>
        <v/>
      </c>
      <c r="CJ47" s="64" t="str">
        <f>IF(개요!CZ33=0,"",개요!CZ33)</f>
        <v/>
      </c>
      <c r="CK47" s="64" t="str">
        <f>IF(개요!DA33=0,"",개요!DA33)</f>
        <v/>
      </c>
      <c r="CL47" s="64" t="str">
        <f>IF(개요!DB33=0,"",개요!DB33)</f>
        <v/>
      </c>
      <c r="CM47" s="64" t="str">
        <f>IF(개요!DC33=0,"",개요!DC33)</f>
        <v/>
      </c>
      <c r="CN47" s="64" t="str">
        <f>IF(개요!DD33=0,"",개요!DD33)</f>
        <v/>
      </c>
      <c r="CO47" s="64" t="str">
        <f>IF(개요!DE33=0,"",개요!DE33)</f>
        <v/>
      </c>
      <c r="CP47" s="64" t="str">
        <f>IF(개요!DF33=0,"",개요!DF33)</f>
        <v/>
      </c>
      <c r="CQ47" s="64" t="str">
        <f>IF(개요!DG33=0,"",개요!DG33)</f>
        <v/>
      </c>
      <c r="CR47" s="64" t="str">
        <f>IF(개요!DH33=0,"",개요!DH33)</f>
        <v/>
      </c>
      <c r="CS47" s="64" t="str">
        <f>IF(개요!DI33=0,"",개요!DI33)</f>
        <v/>
      </c>
      <c r="CT47" s="64" t="str">
        <f>IF(개요!DJ33=0,"",개요!DJ33)</f>
        <v/>
      </c>
      <c r="CU47" s="64" t="str">
        <f>IF(개요!DK33=0,"",개요!DK33)</f>
        <v/>
      </c>
      <c r="CV47" s="64" t="str">
        <f>IF(개요!DL33=0,"",개요!DL33)</f>
        <v/>
      </c>
      <c r="CW47" s="64" t="str">
        <f>IF(개요!DM33=0,"",개요!DM33)</f>
        <v/>
      </c>
      <c r="CX47" s="64" t="str">
        <f>IF(개요!DN33=0,"",개요!DN33)</f>
        <v/>
      </c>
      <c r="CY47" s="65" t="str">
        <f t="shared" si="5"/>
        <v/>
      </c>
      <c r="DB47" s="21"/>
      <c r="DC47" s="21"/>
      <c r="DD47" s="21"/>
      <c r="DE47" s="67"/>
      <c r="DF47" s="68"/>
      <c r="DG47" s="67"/>
      <c r="DH47" s="67"/>
      <c r="DI47" s="69"/>
      <c r="DJ47" s="69"/>
      <c r="DK47" s="69"/>
      <c r="DL47" s="69"/>
    </row>
    <row r="48" spans="1:116" ht="15" hidden="1" customHeight="1" outlineLevel="1">
      <c r="A48" s="54">
        <v>27</v>
      </c>
      <c r="B48" s="63" t="str">
        <f>IF(개요!M34=0,"",개요!M34)</f>
        <v/>
      </c>
      <c r="C48" s="64" t="str">
        <f>IF(개요!S34=0,"",개요!S34)</f>
        <v/>
      </c>
      <c r="D48" s="64" t="str">
        <f>IF(개요!T34=0,"",개요!T34)</f>
        <v/>
      </c>
      <c r="E48" s="64" t="str">
        <f>IF(개요!U34=0,"",개요!U34)</f>
        <v/>
      </c>
      <c r="F48" s="64" t="str">
        <f>IF(개요!V34=0,"",개요!V34)</f>
        <v/>
      </c>
      <c r="G48" s="64" t="str">
        <f>IF(개요!W34=0,"",개요!W34)</f>
        <v/>
      </c>
      <c r="H48" s="64" t="str">
        <f>IF(개요!X34=0,"",개요!X34)</f>
        <v/>
      </c>
      <c r="I48" s="64" t="str">
        <f>IF(개요!Y34=0,"",개요!Y34)</f>
        <v/>
      </c>
      <c r="J48" s="64" t="str">
        <f>IF(개요!Z34=0,"",개요!Z34)</f>
        <v/>
      </c>
      <c r="K48" s="64" t="str">
        <f>IF(개요!AA34=0,"",개요!AA34)</f>
        <v/>
      </c>
      <c r="L48" s="64" t="str">
        <f>IF(개요!AB34=0,"",개요!AB34)</f>
        <v/>
      </c>
      <c r="M48" s="64" t="str">
        <f>IF(개요!AC34=0,"",개요!AC34)</f>
        <v/>
      </c>
      <c r="N48" s="64" t="str">
        <f>IF(개요!AD34=0,"",개요!AD34)</f>
        <v/>
      </c>
      <c r="O48" s="64" t="str">
        <f>IF(개요!AE34=0,"",개요!AE34)</f>
        <v/>
      </c>
      <c r="P48" s="64" t="str">
        <f>IF(개요!AF34=0,"",개요!AF34)</f>
        <v/>
      </c>
      <c r="Q48" s="64" t="str">
        <f>IF(개요!AG34=0,"",개요!AG34)</f>
        <v/>
      </c>
      <c r="R48" s="64" t="str">
        <f>IF(개요!AH34=0,"",개요!AH34)</f>
        <v/>
      </c>
      <c r="S48" s="64" t="str">
        <f>IF(개요!AI34=0,"",개요!AI34)</f>
        <v/>
      </c>
      <c r="T48" s="64" t="str">
        <f>IF(개요!AJ34=0,"",개요!AJ34)</f>
        <v/>
      </c>
      <c r="U48" s="64" t="str">
        <f>IF(개요!AK34=0,"",개요!AK34)</f>
        <v/>
      </c>
      <c r="V48" s="64" t="str">
        <f>IF(개요!AL34=0,"",개요!AL34)</f>
        <v/>
      </c>
      <c r="W48" s="64" t="str">
        <f>IF(개요!AM34=0,"",개요!AM34)</f>
        <v/>
      </c>
      <c r="X48" s="64" t="str">
        <f>IF(개요!AN34=0,"",개요!AN34)</f>
        <v/>
      </c>
      <c r="Y48" s="64" t="str">
        <f>IF(개요!AO34=0,"",개요!AO34)</f>
        <v/>
      </c>
      <c r="Z48" s="64" t="str">
        <f>IF(개요!AP34=0,"",개요!AP34)</f>
        <v/>
      </c>
      <c r="AA48" s="64" t="str">
        <f>IF(개요!AQ34=0,"",개요!AQ34)</f>
        <v/>
      </c>
      <c r="AB48" s="64" t="str">
        <f>IF(개요!AR34=0,"",개요!AR34)</f>
        <v/>
      </c>
      <c r="AC48" s="64" t="str">
        <f>IF(개요!AS34=0,"",개요!AS34)</f>
        <v/>
      </c>
      <c r="AD48" s="64" t="str">
        <f>IF(개요!AT34=0,"",개요!AT34)</f>
        <v/>
      </c>
      <c r="AE48" s="64" t="str">
        <f>IF(개요!AU34=0,"",개요!AU34)</f>
        <v/>
      </c>
      <c r="AF48" s="64" t="str">
        <f>IF(개요!AV34=0,"",개요!AV34)</f>
        <v/>
      </c>
      <c r="AG48" s="64" t="str">
        <f>IF(개요!AW34=0,"",개요!AW34)</f>
        <v/>
      </c>
      <c r="AH48" s="64" t="str">
        <f>IF(개요!AX34=0,"",개요!AX34)</f>
        <v/>
      </c>
      <c r="AI48" s="64" t="str">
        <f>IF(개요!AY34=0,"",개요!AY34)</f>
        <v/>
      </c>
      <c r="AJ48" s="64" t="str">
        <f>IF(개요!AZ34=0,"",개요!AZ34)</f>
        <v/>
      </c>
      <c r="AK48" s="64" t="str">
        <f>IF(개요!BA34=0,"",개요!BA34)</f>
        <v/>
      </c>
      <c r="AL48" s="64" t="str">
        <f>IF(개요!BB34=0,"",개요!BB34)</f>
        <v/>
      </c>
      <c r="AM48" s="64" t="str">
        <f>IF(개요!BC34=0,"",개요!BC34)</f>
        <v/>
      </c>
      <c r="AN48" s="64" t="str">
        <f>IF(개요!BD34=0,"",개요!BD34)</f>
        <v/>
      </c>
      <c r="AO48" s="64" t="str">
        <f>IF(개요!BE34=0,"",개요!BE34)</f>
        <v/>
      </c>
      <c r="AP48" s="64" t="str">
        <f>IF(개요!BF34=0,"",개요!BF34)</f>
        <v/>
      </c>
      <c r="AQ48" s="64" t="str">
        <f>IF(개요!BG34=0,"",개요!BG34)</f>
        <v/>
      </c>
      <c r="AR48" s="64" t="str">
        <f>IF(개요!BH34=0,"",개요!BH34)</f>
        <v/>
      </c>
      <c r="AS48" s="64" t="str">
        <f>IF(개요!BI34=0,"",개요!BI34)</f>
        <v/>
      </c>
      <c r="AT48" s="64" t="str">
        <f>IF(개요!BJ34=0,"",개요!BJ34)</f>
        <v/>
      </c>
      <c r="AU48" s="64" t="str">
        <f>IF(개요!BK34=0,"",개요!BK34)</f>
        <v/>
      </c>
      <c r="AV48" s="64" t="str">
        <f>IF(개요!BL34=0,"",개요!BL34)</f>
        <v/>
      </c>
      <c r="AW48" s="64" t="str">
        <f>IF(개요!BM34=0,"",개요!BM34)</f>
        <v/>
      </c>
      <c r="AX48" s="64" t="str">
        <f>IF(개요!BN34=0,"",개요!BN34)</f>
        <v/>
      </c>
      <c r="AY48" s="64" t="str">
        <f>IF(개요!BO34=0,"",개요!BO34)</f>
        <v/>
      </c>
      <c r="AZ48" s="64" t="str">
        <f>IF(개요!BP34=0,"",개요!BP34)</f>
        <v/>
      </c>
      <c r="BA48" s="64" t="str">
        <f>IF(개요!BQ34=0,"",개요!BQ34)</f>
        <v/>
      </c>
      <c r="BB48" s="64" t="str">
        <f>IF(개요!BR34=0,"",개요!BR34)</f>
        <v/>
      </c>
      <c r="BC48" s="64" t="str">
        <f>IF(개요!BS34=0,"",개요!BS34)</f>
        <v/>
      </c>
      <c r="BD48" s="64" t="str">
        <f>IF(개요!BT34=0,"",개요!BT34)</f>
        <v/>
      </c>
      <c r="BE48" s="64" t="str">
        <f>IF(개요!BU34=0,"",개요!BU34)</f>
        <v/>
      </c>
      <c r="BF48" s="64" t="str">
        <f>IF(개요!BV34=0,"",개요!BV34)</f>
        <v/>
      </c>
      <c r="BG48" s="64" t="str">
        <f>IF(개요!BW34=0,"",개요!BW34)</f>
        <v/>
      </c>
      <c r="BH48" s="64" t="str">
        <f>IF(개요!BX34=0,"",개요!BX34)</f>
        <v/>
      </c>
      <c r="BI48" s="64" t="str">
        <f>IF(개요!BY34=0,"",개요!BY34)</f>
        <v/>
      </c>
      <c r="BJ48" s="64" t="str">
        <f>IF(개요!BZ34=0,"",개요!BZ34)</f>
        <v/>
      </c>
      <c r="BK48" s="64" t="str">
        <f>IF(개요!CA34=0,"",개요!CA34)</f>
        <v/>
      </c>
      <c r="BL48" s="64" t="str">
        <f>IF(개요!CB34=0,"",개요!CB34)</f>
        <v/>
      </c>
      <c r="BM48" s="64" t="str">
        <f>IF(개요!CC34=0,"",개요!CC34)</f>
        <v/>
      </c>
      <c r="BN48" s="64" t="str">
        <f>IF(개요!CD34=0,"",개요!CD34)</f>
        <v/>
      </c>
      <c r="BO48" s="64" t="str">
        <f>IF(개요!CE34=0,"",개요!CE34)</f>
        <v/>
      </c>
      <c r="BP48" s="64" t="str">
        <f>IF(개요!CF34=0,"",개요!CF34)</f>
        <v/>
      </c>
      <c r="BQ48" s="64" t="str">
        <f>IF(개요!CG34=0,"",개요!CG34)</f>
        <v/>
      </c>
      <c r="BR48" s="64" t="str">
        <f>IF(개요!CH34=0,"",개요!CH34)</f>
        <v/>
      </c>
      <c r="BS48" s="64" t="str">
        <f>IF(개요!CI34=0,"",개요!CI34)</f>
        <v/>
      </c>
      <c r="BT48" s="64" t="str">
        <f>IF(개요!CJ34=0,"",개요!CJ34)</f>
        <v/>
      </c>
      <c r="BU48" s="64" t="str">
        <f>IF(개요!CK34=0,"",개요!CK34)</f>
        <v/>
      </c>
      <c r="BV48" s="64" t="str">
        <f>IF(개요!CL34=0,"",개요!CL34)</f>
        <v/>
      </c>
      <c r="BW48" s="64" t="str">
        <f>IF(개요!CM34=0,"",개요!CM34)</f>
        <v/>
      </c>
      <c r="BX48" s="64" t="str">
        <f>IF(개요!CN34=0,"",개요!CN34)</f>
        <v/>
      </c>
      <c r="BY48" s="64" t="str">
        <f>IF(개요!CO34=0,"",개요!CO34)</f>
        <v/>
      </c>
      <c r="BZ48" s="64" t="str">
        <f>IF(개요!CP34=0,"",개요!CP34)</f>
        <v/>
      </c>
      <c r="CA48" s="64" t="str">
        <f>IF(개요!CQ34=0,"",개요!CQ34)</f>
        <v/>
      </c>
      <c r="CB48" s="64" t="str">
        <f>IF(개요!CR34=0,"",개요!CR34)</f>
        <v/>
      </c>
      <c r="CC48" s="64" t="str">
        <f>IF(개요!CS34=0,"",개요!CS34)</f>
        <v/>
      </c>
      <c r="CD48" s="64" t="str">
        <f>IF(개요!CT34=0,"",개요!CT34)</f>
        <v/>
      </c>
      <c r="CE48" s="64" t="str">
        <f>IF(개요!CU34=0,"",개요!CU34)</f>
        <v/>
      </c>
      <c r="CF48" s="64" t="str">
        <f>IF(개요!CV34=0,"",개요!CV34)</f>
        <v/>
      </c>
      <c r="CG48" s="64" t="str">
        <f>IF(개요!CW34=0,"",개요!CW34)</f>
        <v/>
      </c>
      <c r="CH48" s="64" t="str">
        <f>IF(개요!CX34=0,"",개요!CX34)</f>
        <v/>
      </c>
      <c r="CI48" s="64" t="str">
        <f>IF(개요!CY34=0,"",개요!CY34)</f>
        <v/>
      </c>
      <c r="CJ48" s="64" t="str">
        <f>IF(개요!CZ34=0,"",개요!CZ34)</f>
        <v/>
      </c>
      <c r="CK48" s="64" t="str">
        <f>IF(개요!DA34=0,"",개요!DA34)</f>
        <v/>
      </c>
      <c r="CL48" s="64" t="str">
        <f>IF(개요!DB34=0,"",개요!DB34)</f>
        <v/>
      </c>
      <c r="CM48" s="64" t="str">
        <f>IF(개요!DC34=0,"",개요!DC34)</f>
        <v/>
      </c>
      <c r="CN48" s="64" t="str">
        <f>IF(개요!DD34=0,"",개요!DD34)</f>
        <v/>
      </c>
      <c r="CO48" s="64" t="str">
        <f>IF(개요!DE34=0,"",개요!DE34)</f>
        <v/>
      </c>
      <c r="CP48" s="64" t="str">
        <f>IF(개요!DF34=0,"",개요!DF34)</f>
        <v/>
      </c>
      <c r="CQ48" s="64" t="str">
        <f>IF(개요!DG34=0,"",개요!DG34)</f>
        <v/>
      </c>
      <c r="CR48" s="64" t="str">
        <f>IF(개요!DH34=0,"",개요!DH34)</f>
        <v/>
      </c>
      <c r="CS48" s="64" t="str">
        <f>IF(개요!DI34=0,"",개요!DI34)</f>
        <v/>
      </c>
      <c r="CT48" s="64" t="str">
        <f>IF(개요!DJ34=0,"",개요!DJ34)</f>
        <v/>
      </c>
      <c r="CU48" s="64" t="str">
        <f>IF(개요!DK34=0,"",개요!DK34)</f>
        <v/>
      </c>
      <c r="CV48" s="64" t="str">
        <f>IF(개요!DL34=0,"",개요!DL34)</f>
        <v/>
      </c>
      <c r="CW48" s="64" t="str">
        <f>IF(개요!DM34=0,"",개요!DM34)</f>
        <v/>
      </c>
      <c r="CX48" s="64" t="str">
        <f>IF(개요!DN34=0,"",개요!DN34)</f>
        <v/>
      </c>
      <c r="CY48" s="65" t="str">
        <f t="shared" si="5"/>
        <v/>
      </c>
      <c r="DB48" s="21"/>
      <c r="DC48" s="21"/>
      <c r="DD48" s="21"/>
      <c r="DE48" s="67"/>
      <c r="DF48" s="68"/>
      <c r="DG48" s="67"/>
      <c r="DH48" s="67"/>
      <c r="DI48" s="69"/>
      <c r="DJ48" s="69"/>
      <c r="DK48" s="69"/>
      <c r="DL48" s="69"/>
    </row>
    <row r="49" spans="1:116" ht="15" hidden="1" customHeight="1" outlineLevel="1">
      <c r="A49" s="54">
        <v>28</v>
      </c>
      <c r="B49" s="63" t="str">
        <f>IF(개요!M35=0,"",개요!M35)</f>
        <v/>
      </c>
      <c r="C49" s="64" t="str">
        <f>IF(개요!S35=0,"",개요!S35)</f>
        <v/>
      </c>
      <c r="D49" s="64" t="str">
        <f>IF(개요!T35=0,"",개요!T35)</f>
        <v/>
      </c>
      <c r="E49" s="64" t="str">
        <f>IF(개요!U35=0,"",개요!U35)</f>
        <v/>
      </c>
      <c r="F49" s="64" t="str">
        <f>IF(개요!V35=0,"",개요!V35)</f>
        <v/>
      </c>
      <c r="G49" s="64" t="str">
        <f>IF(개요!W35=0,"",개요!W35)</f>
        <v/>
      </c>
      <c r="H49" s="64" t="str">
        <f>IF(개요!X35=0,"",개요!X35)</f>
        <v/>
      </c>
      <c r="I49" s="64" t="str">
        <f>IF(개요!Y35=0,"",개요!Y35)</f>
        <v/>
      </c>
      <c r="J49" s="64" t="str">
        <f>IF(개요!Z35=0,"",개요!Z35)</f>
        <v/>
      </c>
      <c r="K49" s="64" t="str">
        <f>IF(개요!AA35=0,"",개요!AA35)</f>
        <v/>
      </c>
      <c r="L49" s="64" t="str">
        <f>IF(개요!AB35=0,"",개요!AB35)</f>
        <v/>
      </c>
      <c r="M49" s="64" t="str">
        <f>IF(개요!AC35=0,"",개요!AC35)</f>
        <v/>
      </c>
      <c r="N49" s="64" t="str">
        <f>IF(개요!AD35=0,"",개요!AD35)</f>
        <v/>
      </c>
      <c r="O49" s="64" t="str">
        <f>IF(개요!AE35=0,"",개요!AE35)</f>
        <v/>
      </c>
      <c r="P49" s="64" t="str">
        <f>IF(개요!AF35=0,"",개요!AF35)</f>
        <v/>
      </c>
      <c r="Q49" s="64" t="str">
        <f>IF(개요!AG35=0,"",개요!AG35)</f>
        <v/>
      </c>
      <c r="R49" s="64" t="str">
        <f>IF(개요!AH35=0,"",개요!AH35)</f>
        <v/>
      </c>
      <c r="S49" s="64" t="str">
        <f>IF(개요!AI35=0,"",개요!AI35)</f>
        <v/>
      </c>
      <c r="T49" s="64" t="str">
        <f>IF(개요!AJ35=0,"",개요!AJ35)</f>
        <v/>
      </c>
      <c r="U49" s="64" t="str">
        <f>IF(개요!AK35=0,"",개요!AK35)</f>
        <v/>
      </c>
      <c r="V49" s="64" t="str">
        <f>IF(개요!AL35=0,"",개요!AL35)</f>
        <v/>
      </c>
      <c r="W49" s="64" t="str">
        <f>IF(개요!AM35=0,"",개요!AM35)</f>
        <v/>
      </c>
      <c r="X49" s="64" t="str">
        <f>IF(개요!AN35=0,"",개요!AN35)</f>
        <v/>
      </c>
      <c r="Y49" s="64" t="str">
        <f>IF(개요!AO35=0,"",개요!AO35)</f>
        <v/>
      </c>
      <c r="Z49" s="64" t="str">
        <f>IF(개요!AP35=0,"",개요!AP35)</f>
        <v/>
      </c>
      <c r="AA49" s="64" t="str">
        <f>IF(개요!AQ35=0,"",개요!AQ35)</f>
        <v/>
      </c>
      <c r="AB49" s="64" t="str">
        <f>IF(개요!AR35=0,"",개요!AR35)</f>
        <v/>
      </c>
      <c r="AC49" s="64" t="str">
        <f>IF(개요!AS35=0,"",개요!AS35)</f>
        <v/>
      </c>
      <c r="AD49" s="64" t="str">
        <f>IF(개요!AT35=0,"",개요!AT35)</f>
        <v/>
      </c>
      <c r="AE49" s="64" t="str">
        <f>IF(개요!AU35=0,"",개요!AU35)</f>
        <v/>
      </c>
      <c r="AF49" s="64" t="str">
        <f>IF(개요!AV35=0,"",개요!AV35)</f>
        <v/>
      </c>
      <c r="AG49" s="64" t="str">
        <f>IF(개요!AW35=0,"",개요!AW35)</f>
        <v/>
      </c>
      <c r="AH49" s="64" t="str">
        <f>IF(개요!AX35=0,"",개요!AX35)</f>
        <v/>
      </c>
      <c r="AI49" s="64" t="str">
        <f>IF(개요!AY35=0,"",개요!AY35)</f>
        <v/>
      </c>
      <c r="AJ49" s="64" t="str">
        <f>IF(개요!AZ35=0,"",개요!AZ35)</f>
        <v/>
      </c>
      <c r="AK49" s="64" t="str">
        <f>IF(개요!BA35=0,"",개요!BA35)</f>
        <v/>
      </c>
      <c r="AL49" s="64" t="str">
        <f>IF(개요!BB35=0,"",개요!BB35)</f>
        <v/>
      </c>
      <c r="AM49" s="64" t="str">
        <f>IF(개요!BC35=0,"",개요!BC35)</f>
        <v/>
      </c>
      <c r="AN49" s="64" t="str">
        <f>IF(개요!BD35=0,"",개요!BD35)</f>
        <v/>
      </c>
      <c r="AO49" s="64" t="str">
        <f>IF(개요!BE35=0,"",개요!BE35)</f>
        <v/>
      </c>
      <c r="AP49" s="64" t="str">
        <f>IF(개요!BF35=0,"",개요!BF35)</f>
        <v/>
      </c>
      <c r="AQ49" s="64" t="str">
        <f>IF(개요!BG35=0,"",개요!BG35)</f>
        <v/>
      </c>
      <c r="AR49" s="64" t="str">
        <f>IF(개요!BH35=0,"",개요!BH35)</f>
        <v/>
      </c>
      <c r="AS49" s="64" t="str">
        <f>IF(개요!BI35=0,"",개요!BI35)</f>
        <v/>
      </c>
      <c r="AT49" s="64" t="str">
        <f>IF(개요!BJ35=0,"",개요!BJ35)</f>
        <v/>
      </c>
      <c r="AU49" s="64" t="str">
        <f>IF(개요!BK35=0,"",개요!BK35)</f>
        <v/>
      </c>
      <c r="AV49" s="64" t="str">
        <f>IF(개요!BL35=0,"",개요!BL35)</f>
        <v/>
      </c>
      <c r="AW49" s="64" t="str">
        <f>IF(개요!BM35=0,"",개요!BM35)</f>
        <v/>
      </c>
      <c r="AX49" s="64" t="str">
        <f>IF(개요!BN35=0,"",개요!BN35)</f>
        <v/>
      </c>
      <c r="AY49" s="64" t="str">
        <f>IF(개요!BO35=0,"",개요!BO35)</f>
        <v/>
      </c>
      <c r="AZ49" s="64" t="str">
        <f>IF(개요!BP35=0,"",개요!BP35)</f>
        <v/>
      </c>
      <c r="BA49" s="64" t="str">
        <f>IF(개요!BQ35=0,"",개요!BQ35)</f>
        <v/>
      </c>
      <c r="BB49" s="64" t="str">
        <f>IF(개요!BR35=0,"",개요!BR35)</f>
        <v/>
      </c>
      <c r="BC49" s="64" t="str">
        <f>IF(개요!BS35=0,"",개요!BS35)</f>
        <v/>
      </c>
      <c r="BD49" s="64" t="str">
        <f>IF(개요!BT35=0,"",개요!BT35)</f>
        <v/>
      </c>
      <c r="BE49" s="64" t="str">
        <f>IF(개요!BU35=0,"",개요!BU35)</f>
        <v/>
      </c>
      <c r="BF49" s="64" t="str">
        <f>IF(개요!BV35=0,"",개요!BV35)</f>
        <v/>
      </c>
      <c r="BG49" s="64" t="str">
        <f>IF(개요!BW35=0,"",개요!BW35)</f>
        <v/>
      </c>
      <c r="BH49" s="64" t="str">
        <f>IF(개요!BX35=0,"",개요!BX35)</f>
        <v/>
      </c>
      <c r="BI49" s="64" t="str">
        <f>IF(개요!BY35=0,"",개요!BY35)</f>
        <v/>
      </c>
      <c r="BJ49" s="64" t="str">
        <f>IF(개요!BZ35=0,"",개요!BZ35)</f>
        <v/>
      </c>
      <c r="BK49" s="64" t="str">
        <f>IF(개요!CA35=0,"",개요!CA35)</f>
        <v/>
      </c>
      <c r="BL49" s="64" t="str">
        <f>IF(개요!CB35=0,"",개요!CB35)</f>
        <v/>
      </c>
      <c r="BM49" s="64" t="str">
        <f>IF(개요!CC35=0,"",개요!CC35)</f>
        <v/>
      </c>
      <c r="BN49" s="64" t="str">
        <f>IF(개요!CD35=0,"",개요!CD35)</f>
        <v/>
      </c>
      <c r="BO49" s="64" t="str">
        <f>IF(개요!CE35=0,"",개요!CE35)</f>
        <v/>
      </c>
      <c r="BP49" s="64" t="str">
        <f>IF(개요!CF35=0,"",개요!CF35)</f>
        <v/>
      </c>
      <c r="BQ49" s="64" t="str">
        <f>IF(개요!CG35=0,"",개요!CG35)</f>
        <v/>
      </c>
      <c r="BR49" s="64" t="str">
        <f>IF(개요!CH35=0,"",개요!CH35)</f>
        <v/>
      </c>
      <c r="BS49" s="64" t="str">
        <f>IF(개요!CI35=0,"",개요!CI35)</f>
        <v/>
      </c>
      <c r="BT49" s="64" t="str">
        <f>IF(개요!CJ35=0,"",개요!CJ35)</f>
        <v/>
      </c>
      <c r="BU49" s="64" t="str">
        <f>IF(개요!CK35=0,"",개요!CK35)</f>
        <v/>
      </c>
      <c r="BV49" s="64" t="str">
        <f>IF(개요!CL35=0,"",개요!CL35)</f>
        <v/>
      </c>
      <c r="BW49" s="64" t="str">
        <f>IF(개요!CM35=0,"",개요!CM35)</f>
        <v/>
      </c>
      <c r="BX49" s="64" t="str">
        <f>IF(개요!CN35=0,"",개요!CN35)</f>
        <v/>
      </c>
      <c r="BY49" s="64" t="str">
        <f>IF(개요!CO35=0,"",개요!CO35)</f>
        <v/>
      </c>
      <c r="BZ49" s="64" t="str">
        <f>IF(개요!CP35=0,"",개요!CP35)</f>
        <v/>
      </c>
      <c r="CA49" s="64" t="str">
        <f>IF(개요!CQ35=0,"",개요!CQ35)</f>
        <v/>
      </c>
      <c r="CB49" s="64" t="str">
        <f>IF(개요!CR35=0,"",개요!CR35)</f>
        <v/>
      </c>
      <c r="CC49" s="64" t="str">
        <f>IF(개요!CS35=0,"",개요!CS35)</f>
        <v/>
      </c>
      <c r="CD49" s="64" t="str">
        <f>IF(개요!CT35=0,"",개요!CT35)</f>
        <v/>
      </c>
      <c r="CE49" s="64" t="str">
        <f>IF(개요!CU35=0,"",개요!CU35)</f>
        <v/>
      </c>
      <c r="CF49" s="64" t="str">
        <f>IF(개요!CV35=0,"",개요!CV35)</f>
        <v/>
      </c>
      <c r="CG49" s="64" t="str">
        <f>IF(개요!CW35=0,"",개요!CW35)</f>
        <v/>
      </c>
      <c r="CH49" s="64" t="str">
        <f>IF(개요!CX35=0,"",개요!CX35)</f>
        <v/>
      </c>
      <c r="CI49" s="64" t="str">
        <f>IF(개요!CY35=0,"",개요!CY35)</f>
        <v/>
      </c>
      <c r="CJ49" s="64" t="str">
        <f>IF(개요!CZ35=0,"",개요!CZ35)</f>
        <v/>
      </c>
      <c r="CK49" s="64" t="str">
        <f>IF(개요!DA35=0,"",개요!DA35)</f>
        <v/>
      </c>
      <c r="CL49" s="64" t="str">
        <f>IF(개요!DB35=0,"",개요!DB35)</f>
        <v/>
      </c>
      <c r="CM49" s="64" t="str">
        <f>IF(개요!DC35=0,"",개요!DC35)</f>
        <v/>
      </c>
      <c r="CN49" s="64" t="str">
        <f>IF(개요!DD35=0,"",개요!DD35)</f>
        <v/>
      </c>
      <c r="CO49" s="64" t="str">
        <f>IF(개요!DE35=0,"",개요!DE35)</f>
        <v/>
      </c>
      <c r="CP49" s="64" t="str">
        <f>IF(개요!DF35=0,"",개요!DF35)</f>
        <v/>
      </c>
      <c r="CQ49" s="64" t="str">
        <f>IF(개요!DG35=0,"",개요!DG35)</f>
        <v/>
      </c>
      <c r="CR49" s="64" t="str">
        <f>IF(개요!DH35=0,"",개요!DH35)</f>
        <v/>
      </c>
      <c r="CS49" s="64" t="str">
        <f>IF(개요!DI35=0,"",개요!DI35)</f>
        <v/>
      </c>
      <c r="CT49" s="64" t="str">
        <f>IF(개요!DJ35=0,"",개요!DJ35)</f>
        <v/>
      </c>
      <c r="CU49" s="64" t="str">
        <f>IF(개요!DK35=0,"",개요!DK35)</f>
        <v/>
      </c>
      <c r="CV49" s="64" t="str">
        <f>IF(개요!DL35=0,"",개요!DL35)</f>
        <v/>
      </c>
      <c r="CW49" s="64" t="str">
        <f>IF(개요!DM35=0,"",개요!DM35)</f>
        <v/>
      </c>
      <c r="CX49" s="64" t="str">
        <f>IF(개요!DN35=0,"",개요!DN35)</f>
        <v/>
      </c>
      <c r="CY49" s="65" t="str">
        <f t="shared" si="5"/>
        <v/>
      </c>
      <c r="DB49" s="21"/>
      <c r="DC49" s="21"/>
      <c r="DD49" s="21"/>
      <c r="DE49" s="67"/>
      <c r="DF49" s="68"/>
      <c r="DG49" s="67"/>
      <c r="DH49" s="67"/>
      <c r="DI49" s="69"/>
      <c r="DJ49" s="69"/>
      <c r="DK49" s="69"/>
      <c r="DL49" s="69"/>
    </row>
    <row r="50" spans="1:116" ht="15" hidden="1" customHeight="1" outlineLevel="1">
      <c r="A50" s="54">
        <v>29</v>
      </c>
      <c r="B50" s="63" t="str">
        <f>IF(개요!M36=0,"",개요!M36)</f>
        <v/>
      </c>
      <c r="C50" s="64" t="str">
        <f>IF(개요!S36=0,"",개요!S36)</f>
        <v/>
      </c>
      <c r="D50" s="64" t="str">
        <f>IF(개요!T36=0,"",개요!T36)</f>
        <v/>
      </c>
      <c r="E50" s="64" t="str">
        <f>IF(개요!U36=0,"",개요!U36)</f>
        <v/>
      </c>
      <c r="F50" s="64" t="str">
        <f>IF(개요!V36=0,"",개요!V36)</f>
        <v/>
      </c>
      <c r="G50" s="64" t="str">
        <f>IF(개요!W36=0,"",개요!W36)</f>
        <v/>
      </c>
      <c r="H50" s="64" t="str">
        <f>IF(개요!X36=0,"",개요!X36)</f>
        <v/>
      </c>
      <c r="I50" s="64" t="str">
        <f>IF(개요!Y36=0,"",개요!Y36)</f>
        <v/>
      </c>
      <c r="J50" s="64" t="str">
        <f>IF(개요!Z36=0,"",개요!Z36)</f>
        <v/>
      </c>
      <c r="K50" s="64" t="str">
        <f>IF(개요!AA36=0,"",개요!AA36)</f>
        <v/>
      </c>
      <c r="L50" s="64" t="str">
        <f>IF(개요!AB36=0,"",개요!AB36)</f>
        <v/>
      </c>
      <c r="M50" s="64" t="str">
        <f>IF(개요!AC36=0,"",개요!AC36)</f>
        <v/>
      </c>
      <c r="N50" s="64" t="str">
        <f>IF(개요!AD36=0,"",개요!AD36)</f>
        <v/>
      </c>
      <c r="O50" s="64" t="str">
        <f>IF(개요!AE36=0,"",개요!AE36)</f>
        <v/>
      </c>
      <c r="P50" s="64" t="str">
        <f>IF(개요!AF36=0,"",개요!AF36)</f>
        <v/>
      </c>
      <c r="Q50" s="64" t="str">
        <f>IF(개요!AG36=0,"",개요!AG36)</f>
        <v/>
      </c>
      <c r="R50" s="64" t="str">
        <f>IF(개요!AH36=0,"",개요!AH36)</f>
        <v/>
      </c>
      <c r="S50" s="64" t="str">
        <f>IF(개요!AI36=0,"",개요!AI36)</f>
        <v/>
      </c>
      <c r="T50" s="64" t="str">
        <f>IF(개요!AJ36=0,"",개요!AJ36)</f>
        <v/>
      </c>
      <c r="U50" s="64" t="str">
        <f>IF(개요!AK36=0,"",개요!AK36)</f>
        <v/>
      </c>
      <c r="V50" s="64" t="str">
        <f>IF(개요!AL36=0,"",개요!AL36)</f>
        <v/>
      </c>
      <c r="W50" s="64" t="str">
        <f>IF(개요!AM36=0,"",개요!AM36)</f>
        <v/>
      </c>
      <c r="X50" s="64" t="str">
        <f>IF(개요!AN36=0,"",개요!AN36)</f>
        <v/>
      </c>
      <c r="Y50" s="64" t="str">
        <f>IF(개요!AO36=0,"",개요!AO36)</f>
        <v/>
      </c>
      <c r="Z50" s="64" t="str">
        <f>IF(개요!AP36=0,"",개요!AP36)</f>
        <v/>
      </c>
      <c r="AA50" s="64" t="str">
        <f>IF(개요!AQ36=0,"",개요!AQ36)</f>
        <v/>
      </c>
      <c r="AB50" s="64" t="str">
        <f>IF(개요!AR36=0,"",개요!AR36)</f>
        <v/>
      </c>
      <c r="AC50" s="64" t="str">
        <f>IF(개요!AS36=0,"",개요!AS36)</f>
        <v/>
      </c>
      <c r="AD50" s="64" t="str">
        <f>IF(개요!AT36=0,"",개요!AT36)</f>
        <v/>
      </c>
      <c r="AE50" s="64" t="str">
        <f>IF(개요!AU36=0,"",개요!AU36)</f>
        <v/>
      </c>
      <c r="AF50" s="64" t="str">
        <f>IF(개요!AV36=0,"",개요!AV36)</f>
        <v/>
      </c>
      <c r="AG50" s="64" t="str">
        <f>IF(개요!AW36=0,"",개요!AW36)</f>
        <v/>
      </c>
      <c r="AH50" s="64" t="str">
        <f>IF(개요!AX36=0,"",개요!AX36)</f>
        <v/>
      </c>
      <c r="AI50" s="64" t="str">
        <f>IF(개요!AY36=0,"",개요!AY36)</f>
        <v/>
      </c>
      <c r="AJ50" s="64" t="str">
        <f>IF(개요!AZ36=0,"",개요!AZ36)</f>
        <v/>
      </c>
      <c r="AK50" s="64" t="str">
        <f>IF(개요!BA36=0,"",개요!BA36)</f>
        <v/>
      </c>
      <c r="AL50" s="64" t="str">
        <f>IF(개요!BB36=0,"",개요!BB36)</f>
        <v/>
      </c>
      <c r="AM50" s="64" t="str">
        <f>IF(개요!BC36=0,"",개요!BC36)</f>
        <v/>
      </c>
      <c r="AN50" s="64" t="str">
        <f>IF(개요!BD36=0,"",개요!BD36)</f>
        <v/>
      </c>
      <c r="AO50" s="64" t="str">
        <f>IF(개요!BE36=0,"",개요!BE36)</f>
        <v/>
      </c>
      <c r="AP50" s="64" t="str">
        <f>IF(개요!BF36=0,"",개요!BF36)</f>
        <v/>
      </c>
      <c r="AQ50" s="64" t="str">
        <f>IF(개요!BG36=0,"",개요!BG36)</f>
        <v/>
      </c>
      <c r="AR50" s="64" t="str">
        <f>IF(개요!BH36=0,"",개요!BH36)</f>
        <v/>
      </c>
      <c r="AS50" s="64" t="str">
        <f>IF(개요!BI36=0,"",개요!BI36)</f>
        <v/>
      </c>
      <c r="AT50" s="64" t="str">
        <f>IF(개요!BJ36=0,"",개요!BJ36)</f>
        <v/>
      </c>
      <c r="AU50" s="64" t="str">
        <f>IF(개요!BK36=0,"",개요!BK36)</f>
        <v/>
      </c>
      <c r="AV50" s="64" t="str">
        <f>IF(개요!BL36=0,"",개요!BL36)</f>
        <v/>
      </c>
      <c r="AW50" s="64" t="str">
        <f>IF(개요!BM36=0,"",개요!BM36)</f>
        <v/>
      </c>
      <c r="AX50" s="64" t="str">
        <f>IF(개요!BN36=0,"",개요!BN36)</f>
        <v/>
      </c>
      <c r="AY50" s="64" t="str">
        <f>IF(개요!BO36=0,"",개요!BO36)</f>
        <v/>
      </c>
      <c r="AZ50" s="64" t="str">
        <f>IF(개요!BP36=0,"",개요!BP36)</f>
        <v/>
      </c>
      <c r="BA50" s="64" t="str">
        <f>IF(개요!BQ36=0,"",개요!BQ36)</f>
        <v/>
      </c>
      <c r="BB50" s="64" t="str">
        <f>IF(개요!BR36=0,"",개요!BR36)</f>
        <v/>
      </c>
      <c r="BC50" s="64" t="str">
        <f>IF(개요!BS36=0,"",개요!BS36)</f>
        <v/>
      </c>
      <c r="BD50" s="64" t="str">
        <f>IF(개요!BT36=0,"",개요!BT36)</f>
        <v/>
      </c>
      <c r="BE50" s="64" t="str">
        <f>IF(개요!BU36=0,"",개요!BU36)</f>
        <v/>
      </c>
      <c r="BF50" s="64" t="str">
        <f>IF(개요!BV36=0,"",개요!BV36)</f>
        <v/>
      </c>
      <c r="BG50" s="64" t="str">
        <f>IF(개요!BW36=0,"",개요!BW36)</f>
        <v/>
      </c>
      <c r="BH50" s="64" t="str">
        <f>IF(개요!BX36=0,"",개요!BX36)</f>
        <v/>
      </c>
      <c r="BI50" s="64" t="str">
        <f>IF(개요!BY36=0,"",개요!BY36)</f>
        <v/>
      </c>
      <c r="BJ50" s="64" t="str">
        <f>IF(개요!BZ36=0,"",개요!BZ36)</f>
        <v/>
      </c>
      <c r="BK50" s="64" t="str">
        <f>IF(개요!CA36=0,"",개요!CA36)</f>
        <v/>
      </c>
      <c r="BL50" s="64" t="str">
        <f>IF(개요!CB36=0,"",개요!CB36)</f>
        <v/>
      </c>
      <c r="BM50" s="64" t="str">
        <f>IF(개요!CC36=0,"",개요!CC36)</f>
        <v/>
      </c>
      <c r="BN50" s="64" t="str">
        <f>IF(개요!CD36=0,"",개요!CD36)</f>
        <v/>
      </c>
      <c r="BO50" s="64" t="str">
        <f>IF(개요!CE36=0,"",개요!CE36)</f>
        <v/>
      </c>
      <c r="BP50" s="64" t="str">
        <f>IF(개요!CF36=0,"",개요!CF36)</f>
        <v/>
      </c>
      <c r="BQ50" s="64" t="str">
        <f>IF(개요!CG36=0,"",개요!CG36)</f>
        <v/>
      </c>
      <c r="BR50" s="64" t="str">
        <f>IF(개요!CH36=0,"",개요!CH36)</f>
        <v/>
      </c>
      <c r="BS50" s="64" t="str">
        <f>IF(개요!CI36=0,"",개요!CI36)</f>
        <v/>
      </c>
      <c r="BT50" s="64" t="str">
        <f>IF(개요!CJ36=0,"",개요!CJ36)</f>
        <v/>
      </c>
      <c r="BU50" s="64" t="str">
        <f>IF(개요!CK36=0,"",개요!CK36)</f>
        <v/>
      </c>
      <c r="BV50" s="64" t="str">
        <f>IF(개요!CL36=0,"",개요!CL36)</f>
        <v/>
      </c>
      <c r="BW50" s="64" t="str">
        <f>IF(개요!CM36=0,"",개요!CM36)</f>
        <v/>
      </c>
      <c r="BX50" s="64" t="str">
        <f>IF(개요!CN36=0,"",개요!CN36)</f>
        <v/>
      </c>
      <c r="BY50" s="64" t="str">
        <f>IF(개요!CO36=0,"",개요!CO36)</f>
        <v/>
      </c>
      <c r="BZ50" s="64" t="str">
        <f>IF(개요!CP36=0,"",개요!CP36)</f>
        <v/>
      </c>
      <c r="CA50" s="64" t="str">
        <f>IF(개요!CQ36=0,"",개요!CQ36)</f>
        <v/>
      </c>
      <c r="CB50" s="64" t="str">
        <f>IF(개요!CR36=0,"",개요!CR36)</f>
        <v/>
      </c>
      <c r="CC50" s="64" t="str">
        <f>IF(개요!CS36=0,"",개요!CS36)</f>
        <v/>
      </c>
      <c r="CD50" s="64" t="str">
        <f>IF(개요!CT36=0,"",개요!CT36)</f>
        <v/>
      </c>
      <c r="CE50" s="64" t="str">
        <f>IF(개요!CU36=0,"",개요!CU36)</f>
        <v/>
      </c>
      <c r="CF50" s="64" t="str">
        <f>IF(개요!CV36=0,"",개요!CV36)</f>
        <v/>
      </c>
      <c r="CG50" s="64" t="str">
        <f>IF(개요!CW36=0,"",개요!CW36)</f>
        <v/>
      </c>
      <c r="CH50" s="64" t="str">
        <f>IF(개요!CX36=0,"",개요!CX36)</f>
        <v/>
      </c>
      <c r="CI50" s="64" t="str">
        <f>IF(개요!CY36=0,"",개요!CY36)</f>
        <v/>
      </c>
      <c r="CJ50" s="64" t="str">
        <f>IF(개요!CZ36=0,"",개요!CZ36)</f>
        <v/>
      </c>
      <c r="CK50" s="64" t="str">
        <f>IF(개요!DA36=0,"",개요!DA36)</f>
        <v/>
      </c>
      <c r="CL50" s="64" t="str">
        <f>IF(개요!DB36=0,"",개요!DB36)</f>
        <v/>
      </c>
      <c r="CM50" s="64" t="str">
        <f>IF(개요!DC36=0,"",개요!DC36)</f>
        <v/>
      </c>
      <c r="CN50" s="64" t="str">
        <f>IF(개요!DD36=0,"",개요!DD36)</f>
        <v/>
      </c>
      <c r="CO50" s="64" t="str">
        <f>IF(개요!DE36=0,"",개요!DE36)</f>
        <v/>
      </c>
      <c r="CP50" s="64" t="str">
        <f>IF(개요!DF36=0,"",개요!DF36)</f>
        <v/>
      </c>
      <c r="CQ50" s="64" t="str">
        <f>IF(개요!DG36=0,"",개요!DG36)</f>
        <v/>
      </c>
      <c r="CR50" s="64" t="str">
        <f>IF(개요!DH36=0,"",개요!DH36)</f>
        <v/>
      </c>
      <c r="CS50" s="64" t="str">
        <f>IF(개요!DI36=0,"",개요!DI36)</f>
        <v/>
      </c>
      <c r="CT50" s="64" t="str">
        <f>IF(개요!DJ36=0,"",개요!DJ36)</f>
        <v/>
      </c>
      <c r="CU50" s="64" t="str">
        <f>IF(개요!DK36=0,"",개요!DK36)</f>
        <v/>
      </c>
      <c r="CV50" s="64" t="str">
        <f>IF(개요!DL36=0,"",개요!DL36)</f>
        <v/>
      </c>
      <c r="CW50" s="64" t="str">
        <f>IF(개요!DM36=0,"",개요!DM36)</f>
        <v/>
      </c>
      <c r="CX50" s="64" t="str">
        <f>IF(개요!DN36=0,"",개요!DN36)</f>
        <v/>
      </c>
      <c r="CY50" s="65" t="str">
        <f t="shared" si="5"/>
        <v/>
      </c>
      <c r="DB50" s="21"/>
      <c r="DC50" s="21"/>
      <c r="DD50" s="21"/>
      <c r="DE50" s="67"/>
      <c r="DF50" s="68"/>
      <c r="DG50" s="67"/>
      <c r="DH50" s="67"/>
      <c r="DI50" s="69"/>
      <c r="DJ50" s="69"/>
      <c r="DK50" s="69"/>
      <c r="DL50" s="69"/>
    </row>
    <row r="51" spans="1:116" ht="15" hidden="1" customHeight="1" outlineLevel="1">
      <c r="A51" s="54">
        <v>30</v>
      </c>
      <c r="B51" s="63" t="str">
        <f>IF(개요!M37=0,"",개요!M37)</f>
        <v/>
      </c>
      <c r="C51" s="64" t="str">
        <f>IF(개요!S37=0,"",개요!S37)</f>
        <v/>
      </c>
      <c r="D51" s="64" t="str">
        <f>IF(개요!T37=0,"",개요!T37)</f>
        <v/>
      </c>
      <c r="E51" s="64" t="str">
        <f>IF(개요!U37=0,"",개요!U37)</f>
        <v/>
      </c>
      <c r="F51" s="64" t="str">
        <f>IF(개요!V37=0,"",개요!V37)</f>
        <v/>
      </c>
      <c r="G51" s="64" t="str">
        <f>IF(개요!W37=0,"",개요!W37)</f>
        <v/>
      </c>
      <c r="H51" s="64" t="str">
        <f>IF(개요!X37=0,"",개요!X37)</f>
        <v/>
      </c>
      <c r="I51" s="64" t="str">
        <f>IF(개요!Y37=0,"",개요!Y37)</f>
        <v/>
      </c>
      <c r="J51" s="64" t="str">
        <f>IF(개요!Z37=0,"",개요!Z37)</f>
        <v/>
      </c>
      <c r="K51" s="64" t="str">
        <f>IF(개요!AA37=0,"",개요!AA37)</f>
        <v/>
      </c>
      <c r="L51" s="64" t="str">
        <f>IF(개요!AB37=0,"",개요!AB37)</f>
        <v/>
      </c>
      <c r="M51" s="64" t="str">
        <f>IF(개요!AC37=0,"",개요!AC37)</f>
        <v/>
      </c>
      <c r="N51" s="64" t="str">
        <f>IF(개요!AD37=0,"",개요!AD37)</f>
        <v/>
      </c>
      <c r="O51" s="64" t="str">
        <f>IF(개요!AE37=0,"",개요!AE37)</f>
        <v/>
      </c>
      <c r="P51" s="64" t="str">
        <f>IF(개요!AF37=0,"",개요!AF37)</f>
        <v/>
      </c>
      <c r="Q51" s="64" t="str">
        <f>IF(개요!AG37=0,"",개요!AG37)</f>
        <v/>
      </c>
      <c r="R51" s="64" t="str">
        <f>IF(개요!AH37=0,"",개요!AH37)</f>
        <v/>
      </c>
      <c r="S51" s="64" t="str">
        <f>IF(개요!AI37=0,"",개요!AI37)</f>
        <v/>
      </c>
      <c r="T51" s="64" t="str">
        <f>IF(개요!AJ37=0,"",개요!AJ37)</f>
        <v/>
      </c>
      <c r="U51" s="64" t="str">
        <f>IF(개요!AK37=0,"",개요!AK37)</f>
        <v/>
      </c>
      <c r="V51" s="64" t="str">
        <f>IF(개요!AL37=0,"",개요!AL37)</f>
        <v/>
      </c>
      <c r="W51" s="64" t="str">
        <f>IF(개요!AM37=0,"",개요!AM37)</f>
        <v/>
      </c>
      <c r="X51" s="64" t="str">
        <f>IF(개요!AN37=0,"",개요!AN37)</f>
        <v/>
      </c>
      <c r="Y51" s="64" t="str">
        <f>IF(개요!AO37=0,"",개요!AO37)</f>
        <v/>
      </c>
      <c r="Z51" s="64" t="str">
        <f>IF(개요!AP37=0,"",개요!AP37)</f>
        <v/>
      </c>
      <c r="AA51" s="64" t="str">
        <f>IF(개요!AQ37=0,"",개요!AQ37)</f>
        <v/>
      </c>
      <c r="AB51" s="64" t="str">
        <f>IF(개요!AR37=0,"",개요!AR37)</f>
        <v/>
      </c>
      <c r="AC51" s="64" t="str">
        <f>IF(개요!AS37=0,"",개요!AS37)</f>
        <v/>
      </c>
      <c r="AD51" s="64" t="str">
        <f>IF(개요!AT37=0,"",개요!AT37)</f>
        <v/>
      </c>
      <c r="AE51" s="64" t="str">
        <f>IF(개요!AU37=0,"",개요!AU37)</f>
        <v/>
      </c>
      <c r="AF51" s="64" t="str">
        <f>IF(개요!AV37=0,"",개요!AV37)</f>
        <v/>
      </c>
      <c r="AG51" s="64" t="str">
        <f>IF(개요!AW37=0,"",개요!AW37)</f>
        <v/>
      </c>
      <c r="AH51" s="64" t="str">
        <f>IF(개요!AX37=0,"",개요!AX37)</f>
        <v/>
      </c>
      <c r="AI51" s="64" t="str">
        <f>IF(개요!AY37=0,"",개요!AY37)</f>
        <v/>
      </c>
      <c r="AJ51" s="64" t="str">
        <f>IF(개요!AZ37=0,"",개요!AZ37)</f>
        <v/>
      </c>
      <c r="AK51" s="64" t="str">
        <f>IF(개요!BA37=0,"",개요!BA37)</f>
        <v/>
      </c>
      <c r="AL51" s="64" t="str">
        <f>IF(개요!BB37=0,"",개요!BB37)</f>
        <v/>
      </c>
      <c r="AM51" s="64" t="str">
        <f>IF(개요!BC37=0,"",개요!BC37)</f>
        <v/>
      </c>
      <c r="AN51" s="64" t="str">
        <f>IF(개요!BD37=0,"",개요!BD37)</f>
        <v/>
      </c>
      <c r="AO51" s="64" t="str">
        <f>IF(개요!BE37=0,"",개요!BE37)</f>
        <v/>
      </c>
      <c r="AP51" s="64" t="str">
        <f>IF(개요!BF37=0,"",개요!BF37)</f>
        <v/>
      </c>
      <c r="AQ51" s="64" t="str">
        <f>IF(개요!BG37=0,"",개요!BG37)</f>
        <v/>
      </c>
      <c r="AR51" s="64" t="str">
        <f>IF(개요!BH37=0,"",개요!BH37)</f>
        <v/>
      </c>
      <c r="AS51" s="64" t="str">
        <f>IF(개요!BI37=0,"",개요!BI37)</f>
        <v/>
      </c>
      <c r="AT51" s="64" t="str">
        <f>IF(개요!BJ37=0,"",개요!BJ37)</f>
        <v/>
      </c>
      <c r="AU51" s="64" t="str">
        <f>IF(개요!BK37=0,"",개요!BK37)</f>
        <v/>
      </c>
      <c r="AV51" s="64" t="str">
        <f>IF(개요!BL37=0,"",개요!BL37)</f>
        <v/>
      </c>
      <c r="AW51" s="64" t="str">
        <f>IF(개요!BM37=0,"",개요!BM37)</f>
        <v/>
      </c>
      <c r="AX51" s="64" t="str">
        <f>IF(개요!BN37=0,"",개요!BN37)</f>
        <v/>
      </c>
      <c r="AY51" s="64" t="str">
        <f>IF(개요!BO37=0,"",개요!BO37)</f>
        <v/>
      </c>
      <c r="AZ51" s="64" t="str">
        <f>IF(개요!BP37=0,"",개요!BP37)</f>
        <v/>
      </c>
      <c r="BA51" s="64" t="str">
        <f>IF(개요!BQ37=0,"",개요!BQ37)</f>
        <v/>
      </c>
      <c r="BB51" s="64" t="str">
        <f>IF(개요!BR37=0,"",개요!BR37)</f>
        <v/>
      </c>
      <c r="BC51" s="64" t="str">
        <f>IF(개요!BS37=0,"",개요!BS37)</f>
        <v/>
      </c>
      <c r="BD51" s="64" t="str">
        <f>IF(개요!BT37=0,"",개요!BT37)</f>
        <v/>
      </c>
      <c r="BE51" s="64" t="str">
        <f>IF(개요!BU37=0,"",개요!BU37)</f>
        <v/>
      </c>
      <c r="BF51" s="64" t="str">
        <f>IF(개요!BV37=0,"",개요!BV37)</f>
        <v/>
      </c>
      <c r="BG51" s="64" t="str">
        <f>IF(개요!BW37=0,"",개요!BW37)</f>
        <v/>
      </c>
      <c r="BH51" s="64" t="str">
        <f>IF(개요!BX37=0,"",개요!BX37)</f>
        <v/>
      </c>
      <c r="BI51" s="64" t="str">
        <f>IF(개요!BY37=0,"",개요!BY37)</f>
        <v/>
      </c>
      <c r="BJ51" s="64" t="str">
        <f>IF(개요!BZ37=0,"",개요!BZ37)</f>
        <v/>
      </c>
      <c r="BK51" s="64" t="str">
        <f>IF(개요!CA37=0,"",개요!CA37)</f>
        <v/>
      </c>
      <c r="BL51" s="64" t="str">
        <f>IF(개요!CB37=0,"",개요!CB37)</f>
        <v/>
      </c>
      <c r="BM51" s="64" t="str">
        <f>IF(개요!CC37=0,"",개요!CC37)</f>
        <v/>
      </c>
      <c r="BN51" s="64" t="str">
        <f>IF(개요!CD37=0,"",개요!CD37)</f>
        <v/>
      </c>
      <c r="BO51" s="64" t="str">
        <f>IF(개요!CE37=0,"",개요!CE37)</f>
        <v/>
      </c>
      <c r="BP51" s="64" t="str">
        <f>IF(개요!CF37=0,"",개요!CF37)</f>
        <v/>
      </c>
      <c r="BQ51" s="64" t="str">
        <f>IF(개요!CG37=0,"",개요!CG37)</f>
        <v/>
      </c>
      <c r="BR51" s="64" t="str">
        <f>IF(개요!CH37=0,"",개요!CH37)</f>
        <v/>
      </c>
      <c r="BS51" s="64" t="str">
        <f>IF(개요!CI37=0,"",개요!CI37)</f>
        <v/>
      </c>
      <c r="BT51" s="64" t="str">
        <f>IF(개요!CJ37=0,"",개요!CJ37)</f>
        <v/>
      </c>
      <c r="BU51" s="64" t="str">
        <f>IF(개요!CK37=0,"",개요!CK37)</f>
        <v/>
      </c>
      <c r="BV51" s="64" t="str">
        <f>IF(개요!CL37=0,"",개요!CL37)</f>
        <v/>
      </c>
      <c r="BW51" s="64" t="str">
        <f>IF(개요!CM37=0,"",개요!CM37)</f>
        <v/>
      </c>
      <c r="BX51" s="64" t="str">
        <f>IF(개요!CN37=0,"",개요!CN37)</f>
        <v/>
      </c>
      <c r="BY51" s="64" t="str">
        <f>IF(개요!CO37=0,"",개요!CO37)</f>
        <v/>
      </c>
      <c r="BZ51" s="64" t="str">
        <f>IF(개요!CP37=0,"",개요!CP37)</f>
        <v/>
      </c>
      <c r="CA51" s="64" t="str">
        <f>IF(개요!CQ37=0,"",개요!CQ37)</f>
        <v/>
      </c>
      <c r="CB51" s="64" t="str">
        <f>IF(개요!CR37=0,"",개요!CR37)</f>
        <v/>
      </c>
      <c r="CC51" s="64" t="str">
        <f>IF(개요!CS37=0,"",개요!CS37)</f>
        <v/>
      </c>
      <c r="CD51" s="64" t="str">
        <f>IF(개요!CT37=0,"",개요!CT37)</f>
        <v/>
      </c>
      <c r="CE51" s="64" t="str">
        <f>IF(개요!CU37=0,"",개요!CU37)</f>
        <v/>
      </c>
      <c r="CF51" s="64" t="str">
        <f>IF(개요!CV37=0,"",개요!CV37)</f>
        <v/>
      </c>
      <c r="CG51" s="64" t="str">
        <f>IF(개요!CW37=0,"",개요!CW37)</f>
        <v/>
      </c>
      <c r="CH51" s="64" t="str">
        <f>IF(개요!CX37=0,"",개요!CX37)</f>
        <v/>
      </c>
      <c r="CI51" s="64" t="str">
        <f>IF(개요!CY37=0,"",개요!CY37)</f>
        <v/>
      </c>
      <c r="CJ51" s="64" t="str">
        <f>IF(개요!CZ37=0,"",개요!CZ37)</f>
        <v/>
      </c>
      <c r="CK51" s="64" t="str">
        <f>IF(개요!DA37=0,"",개요!DA37)</f>
        <v/>
      </c>
      <c r="CL51" s="64" t="str">
        <f>IF(개요!DB37=0,"",개요!DB37)</f>
        <v/>
      </c>
      <c r="CM51" s="64" t="str">
        <f>IF(개요!DC37=0,"",개요!DC37)</f>
        <v/>
      </c>
      <c r="CN51" s="64" t="str">
        <f>IF(개요!DD37=0,"",개요!DD37)</f>
        <v/>
      </c>
      <c r="CO51" s="64" t="str">
        <f>IF(개요!DE37=0,"",개요!DE37)</f>
        <v/>
      </c>
      <c r="CP51" s="64" t="str">
        <f>IF(개요!DF37=0,"",개요!DF37)</f>
        <v/>
      </c>
      <c r="CQ51" s="64" t="str">
        <f>IF(개요!DG37=0,"",개요!DG37)</f>
        <v/>
      </c>
      <c r="CR51" s="64" t="str">
        <f>IF(개요!DH37=0,"",개요!DH37)</f>
        <v/>
      </c>
      <c r="CS51" s="64" t="str">
        <f>IF(개요!DI37=0,"",개요!DI37)</f>
        <v/>
      </c>
      <c r="CT51" s="64" t="str">
        <f>IF(개요!DJ37=0,"",개요!DJ37)</f>
        <v/>
      </c>
      <c r="CU51" s="64" t="str">
        <f>IF(개요!DK37=0,"",개요!DK37)</f>
        <v/>
      </c>
      <c r="CV51" s="64" t="str">
        <f>IF(개요!DL37=0,"",개요!DL37)</f>
        <v/>
      </c>
      <c r="CW51" s="64" t="str">
        <f>IF(개요!DM37=0,"",개요!DM37)</f>
        <v/>
      </c>
      <c r="CX51" s="64" t="str">
        <f>IF(개요!DN37=0,"",개요!DN37)</f>
        <v/>
      </c>
      <c r="CY51" s="65" t="str">
        <f t="shared" si="5"/>
        <v/>
      </c>
      <c r="DB51" s="21"/>
      <c r="DC51" s="21"/>
      <c r="DD51" s="21"/>
      <c r="DE51" s="67"/>
      <c r="DF51" s="68"/>
      <c r="DG51" s="67"/>
      <c r="DH51" s="67"/>
      <c r="DI51" s="69"/>
      <c r="DJ51" s="69"/>
      <c r="DK51" s="69"/>
      <c r="DL51" s="69"/>
    </row>
    <row r="52" spans="1:116" ht="15" hidden="1" customHeight="1" outlineLevel="1">
      <c r="A52" s="54">
        <v>31</v>
      </c>
      <c r="B52" s="63" t="str">
        <f>IF(개요!M38=0,"",개요!M38)</f>
        <v/>
      </c>
      <c r="C52" s="64" t="str">
        <f>IF(개요!S38=0,"",개요!S38)</f>
        <v/>
      </c>
      <c r="D52" s="64" t="str">
        <f>IF(개요!T38=0,"",개요!T38)</f>
        <v/>
      </c>
      <c r="E52" s="64" t="str">
        <f>IF(개요!U38=0,"",개요!U38)</f>
        <v/>
      </c>
      <c r="F52" s="64" t="str">
        <f>IF(개요!V38=0,"",개요!V38)</f>
        <v/>
      </c>
      <c r="G52" s="64" t="str">
        <f>IF(개요!W38=0,"",개요!W38)</f>
        <v/>
      </c>
      <c r="H52" s="64" t="str">
        <f>IF(개요!X38=0,"",개요!X38)</f>
        <v/>
      </c>
      <c r="I52" s="64" t="str">
        <f>IF(개요!Y38=0,"",개요!Y38)</f>
        <v/>
      </c>
      <c r="J52" s="64" t="str">
        <f>IF(개요!Z38=0,"",개요!Z38)</f>
        <v/>
      </c>
      <c r="K52" s="64" t="str">
        <f>IF(개요!AA38=0,"",개요!AA38)</f>
        <v/>
      </c>
      <c r="L52" s="64" t="str">
        <f>IF(개요!AB38=0,"",개요!AB38)</f>
        <v/>
      </c>
      <c r="M52" s="64" t="str">
        <f>IF(개요!AC38=0,"",개요!AC38)</f>
        <v/>
      </c>
      <c r="N52" s="64" t="str">
        <f>IF(개요!AD38=0,"",개요!AD38)</f>
        <v/>
      </c>
      <c r="O52" s="64" t="str">
        <f>IF(개요!AE38=0,"",개요!AE38)</f>
        <v/>
      </c>
      <c r="P52" s="64" t="str">
        <f>IF(개요!AF38=0,"",개요!AF38)</f>
        <v/>
      </c>
      <c r="Q52" s="64" t="str">
        <f>IF(개요!AG38=0,"",개요!AG38)</f>
        <v/>
      </c>
      <c r="R52" s="64" t="str">
        <f>IF(개요!AH38=0,"",개요!AH38)</f>
        <v/>
      </c>
      <c r="S52" s="64" t="str">
        <f>IF(개요!AI38=0,"",개요!AI38)</f>
        <v/>
      </c>
      <c r="T52" s="64" t="str">
        <f>IF(개요!AJ38=0,"",개요!AJ38)</f>
        <v/>
      </c>
      <c r="U52" s="64" t="str">
        <f>IF(개요!AK38=0,"",개요!AK38)</f>
        <v/>
      </c>
      <c r="V52" s="64" t="str">
        <f>IF(개요!AL38=0,"",개요!AL38)</f>
        <v/>
      </c>
      <c r="W52" s="64" t="str">
        <f>IF(개요!AM38=0,"",개요!AM38)</f>
        <v/>
      </c>
      <c r="X52" s="64" t="str">
        <f>IF(개요!AN38=0,"",개요!AN38)</f>
        <v/>
      </c>
      <c r="Y52" s="64" t="str">
        <f>IF(개요!AO38=0,"",개요!AO38)</f>
        <v/>
      </c>
      <c r="Z52" s="64" t="str">
        <f>IF(개요!AP38=0,"",개요!AP38)</f>
        <v/>
      </c>
      <c r="AA52" s="64" t="str">
        <f>IF(개요!AQ38=0,"",개요!AQ38)</f>
        <v/>
      </c>
      <c r="AB52" s="64" t="str">
        <f>IF(개요!AR38=0,"",개요!AR38)</f>
        <v/>
      </c>
      <c r="AC52" s="64" t="str">
        <f>IF(개요!AS38=0,"",개요!AS38)</f>
        <v/>
      </c>
      <c r="AD52" s="64" t="str">
        <f>IF(개요!AT38=0,"",개요!AT38)</f>
        <v/>
      </c>
      <c r="AE52" s="64" t="str">
        <f>IF(개요!AU38=0,"",개요!AU38)</f>
        <v/>
      </c>
      <c r="AF52" s="64" t="str">
        <f>IF(개요!AV38=0,"",개요!AV38)</f>
        <v/>
      </c>
      <c r="AG52" s="64" t="str">
        <f>IF(개요!AW38=0,"",개요!AW38)</f>
        <v/>
      </c>
      <c r="AH52" s="64" t="str">
        <f>IF(개요!AX38=0,"",개요!AX38)</f>
        <v/>
      </c>
      <c r="AI52" s="64" t="str">
        <f>IF(개요!AY38=0,"",개요!AY38)</f>
        <v/>
      </c>
      <c r="AJ52" s="64" t="str">
        <f>IF(개요!AZ38=0,"",개요!AZ38)</f>
        <v/>
      </c>
      <c r="AK52" s="64" t="str">
        <f>IF(개요!BA38=0,"",개요!BA38)</f>
        <v/>
      </c>
      <c r="AL52" s="64" t="str">
        <f>IF(개요!BB38=0,"",개요!BB38)</f>
        <v/>
      </c>
      <c r="AM52" s="64" t="str">
        <f>IF(개요!BC38=0,"",개요!BC38)</f>
        <v/>
      </c>
      <c r="AN52" s="64" t="str">
        <f>IF(개요!BD38=0,"",개요!BD38)</f>
        <v/>
      </c>
      <c r="AO52" s="64" t="str">
        <f>IF(개요!BE38=0,"",개요!BE38)</f>
        <v/>
      </c>
      <c r="AP52" s="64" t="str">
        <f>IF(개요!BF38=0,"",개요!BF38)</f>
        <v/>
      </c>
      <c r="AQ52" s="64" t="str">
        <f>IF(개요!BG38=0,"",개요!BG38)</f>
        <v/>
      </c>
      <c r="AR52" s="64" t="str">
        <f>IF(개요!BH38=0,"",개요!BH38)</f>
        <v/>
      </c>
      <c r="AS52" s="64" t="str">
        <f>IF(개요!BI38=0,"",개요!BI38)</f>
        <v/>
      </c>
      <c r="AT52" s="64" t="str">
        <f>IF(개요!BJ38=0,"",개요!BJ38)</f>
        <v/>
      </c>
      <c r="AU52" s="64" t="str">
        <f>IF(개요!BK38=0,"",개요!BK38)</f>
        <v/>
      </c>
      <c r="AV52" s="64" t="str">
        <f>IF(개요!BL38=0,"",개요!BL38)</f>
        <v/>
      </c>
      <c r="AW52" s="64" t="str">
        <f>IF(개요!BM38=0,"",개요!BM38)</f>
        <v/>
      </c>
      <c r="AX52" s="64" t="str">
        <f>IF(개요!BN38=0,"",개요!BN38)</f>
        <v/>
      </c>
      <c r="AY52" s="64" t="str">
        <f>IF(개요!BO38=0,"",개요!BO38)</f>
        <v/>
      </c>
      <c r="AZ52" s="64" t="str">
        <f>IF(개요!BP38=0,"",개요!BP38)</f>
        <v/>
      </c>
      <c r="BA52" s="64" t="str">
        <f>IF(개요!BQ38=0,"",개요!BQ38)</f>
        <v/>
      </c>
      <c r="BB52" s="64" t="str">
        <f>IF(개요!BR38=0,"",개요!BR38)</f>
        <v/>
      </c>
      <c r="BC52" s="64" t="str">
        <f>IF(개요!BS38=0,"",개요!BS38)</f>
        <v/>
      </c>
      <c r="BD52" s="64" t="str">
        <f>IF(개요!BT38=0,"",개요!BT38)</f>
        <v/>
      </c>
      <c r="BE52" s="64" t="str">
        <f>IF(개요!BU38=0,"",개요!BU38)</f>
        <v/>
      </c>
      <c r="BF52" s="64" t="str">
        <f>IF(개요!BV38=0,"",개요!BV38)</f>
        <v/>
      </c>
      <c r="BG52" s="64" t="str">
        <f>IF(개요!BW38=0,"",개요!BW38)</f>
        <v/>
      </c>
      <c r="BH52" s="64" t="str">
        <f>IF(개요!BX38=0,"",개요!BX38)</f>
        <v/>
      </c>
      <c r="BI52" s="64" t="str">
        <f>IF(개요!BY38=0,"",개요!BY38)</f>
        <v/>
      </c>
      <c r="BJ52" s="64" t="str">
        <f>IF(개요!BZ38=0,"",개요!BZ38)</f>
        <v/>
      </c>
      <c r="BK52" s="64" t="str">
        <f>IF(개요!CA38=0,"",개요!CA38)</f>
        <v/>
      </c>
      <c r="BL52" s="64" t="str">
        <f>IF(개요!CB38=0,"",개요!CB38)</f>
        <v/>
      </c>
      <c r="BM52" s="64" t="str">
        <f>IF(개요!CC38=0,"",개요!CC38)</f>
        <v/>
      </c>
      <c r="BN52" s="64" t="str">
        <f>IF(개요!CD38=0,"",개요!CD38)</f>
        <v/>
      </c>
      <c r="BO52" s="64" t="str">
        <f>IF(개요!CE38=0,"",개요!CE38)</f>
        <v/>
      </c>
      <c r="BP52" s="64" t="str">
        <f>IF(개요!CF38=0,"",개요!CF38)</f>
        <v/>
      </c>
      <c r="BQ52" s="64" t="str">
        <f>IF(개요!CG38=0,"",개요!CG38)</f>
        <v/>
      </c>
      <c r="BR52" s="64" t="str">
        <f>IF(개요!CH38=0,"",개요!CH38)</f>
        <v/>
      </c>
      <c r="BS52" s="64" t="str">
        <f>IF(개요!CI38=0,"",개요!CI38)</f>
        <v/>
      </c>
      <c r="BT52" s="64" t="str">
        <f>IF(개요!CJ38=0,"",개요!CJ38)</f>
        <v/>
      </c>
      <c r="BU52" s="64" t="str">
        <f>IF(개요!CK38=0,"",개요!CK38)</f>
        <v/>
      </c>
      <c r="BV52" s="64" t="str">
        <f>IF(개요!CL38=0,"",개요!CL38)</f>
        <v/>
      </c>
      <c r="BW52" s="64" t="str">
        <f>IF(개요!CM38=0,"",개요!CM38)</f>
        <v/>
      </c>
      <c r="BX52" s="64" t="str">
        <f>IF(개요!CN38=0,"",개요!CN38)</f>
        <v/>
      </c>
      <c r="BY52" s="64" t="str">
        <f>IF(개요!CO38=0,"",개요!CO38)</f>
        <v/>
      </c>
      <c r="BZ52" s="64" t="str">
        <f>IF(개요!CP38=0,"",개요!CP38)</f>
        <v/>
      </c>
      <c r="CA52" s="64" t="str">
        <f>IF(개요!CQ38=0,"",개요!CQ38)</f>
        <v/>
      </c>
      <c r="CB52" s="64" t="str">
        <f>IF(개요!CR38=0,"",개요!CR38)</f>
        <v/>
      </c>
      <c r="CC52" s="64" t="str">
        <f>IF(개요!CS38=0,"",개요!CS38)</f>
        <v/>
      </c>
      <c r="CD52" s="64" t="str">
        <f>IF(개요!CT38=0,"",개요!CT38)</f>
        <v/>
      </c>
      <c r="CE52" s="64" t="str">
        <f>IF(개요!CU38=0,"",개요!CU38)</f>
        <v/>
      </c>
      <c r="CF52" s="64" t="str">
        <f>IF(개요!CV38=0,"",개요!CV38)</f>
        <v/>
      </c>
      <c r="CG52" s="64" t="str">
        <f>IF(개요!CW38=0,"",개요!CW38)</f>
        <v/>
      </c>
      <c r="CH52" s="64" t="str">
        <f>IF(개요!CX38=0,"",개요!CX38)</f>
        <v/>
      </c>
      <c r="CI52" s="64" t="str">
        <f>IF(개요!CY38=0,"",개요!CY38)</f>
        <v/>
      </c>
      <c r="CJ52" s="64" t="str">
        <f>IF(개요!CZ38=0,"",개요!CZ38)</f>
        <v/>
      </c>
      <c r="CK52" s="64" t="str">
        <f>IF(개요!DA38=0,"",개요!DA38)</f>
        <v/>
      </c>
      <c r="CL52" s="64" t="str">
        <f>IF(개요!DB38=0,"",개요!DB38)</f>
        <v/>
      </c>
      <c r="CM52" s="64" t="str">
        <f>IF(개요!DC38=0,"",개요!DC38)</f>
        <v/>
      </c>
      <c r="CN52" s="64" t="str">
        <f>IF(개요!DD38=0,"",개요!DD38)</f>
        <v/>
      </c>
      <c r="CO52" s="64" t="str">
        <f>IF(개요!DE38=0,"",개요!DE38)</f>
        <v/>
      </c>
      <c r="CP52" s="64" t="str">
        <f>IF(개요!DF38=0,"",개요!DF38)</f>
        <v/>
      </c>
      <c r="CQ52" s="64" t="str">
        <f>IF(개요!DG38=0,"",개요!DG38)</f>
        <v/>
      </c>
      <c r="CR52" s="64" t="str">
        <f>IF(개요!DH38=0,"",개요!DH38)</f>
        <v/>
      </c>
      <c r="CS52" s="64" t="str">
        <f>IF(개요!DI38=0,"",개요!DI38)</f>
        <v/>
      </c>
      <c r="CT52" s="64" t="str">
        <f>IF(개요!DJ38=0,"",개요!DJ38)</f>
        <v/>
      </c>
      <c r="CU52" s="64" t="str">
        <f>IF(개요!DK38=0,"",개요!DK38)</f>
        <v/>
      </c>
      <c r="CV52" s="64" t="str">
        <f>IF(개요!DL38=0,"",개요!DL38)</f>
        <v/>
      </c>
      <c r="CW52" s="64" t="str">
        <f>IF(개요!DM38=0,"",개요!DM38)</f>
        <v/>
      </c>
      <c r="CX52" s="64" t="str">
        <f>IF(개요!DN38=0,"",개요!DN38)</f>
        <v/>
      </c>
      <c r="CY52" s="65" t="str">
        <f t="shared" si="5"/>
        <v/>
      </c>
      <c r="DB52" s="21"/>
      <c r="DC52" s="21"/>
      <c r="DD52" s="21"/>
      <c r="DE52" s="67"/>
      <c r="DF52" s="68"/>
      <c r="DG52" s="67"/>
      <c r="DH52" s="67"/>
      <c r="DI52" s="69"/>
      <c r="DJ52" s="69"/>
      <c r="DK52" s="69"/>
      <c r="DL52" s="69"/>
    </row>
    <row r="53" spans="1:116" ht="15" hidden="1" customHeight="1" outlineLevel="1">
      <c r="A53" s="54">
        <v>32</v>
      </c>
      <c r="B53" s="63" t="str">
        <f>IF(개요!M39=0,"",개요!M39)</f>
        <v/>
      </c>
      <c r="C53" s="64" t="str">
        <f>IF(개요!S39=0,"",개요!S39)</f>
        <v/>
      </c>
      <c r="D53" s="64" t="str">
        <f>IF(개요!T39=0,"",개요!T39)</f>
        <v/>
      </c>
      <c r="E53" s="64" t="str">
        <f>IF(개요!U39=0,"",개요!U39)</f>
        <v/>
      </c>
      <c r="F53" s="64" t="str">
        <f>IF(개요!V39=0,"",개요!V39)</f>
        <v/>
      </c>
      <c r="G53" s="64" t="str">
        <f>IF(개요!W39=0,"",개요!W39)</f>
        <v/>
      </c>
      <c r="H53" s="64" t="str">
        <f>IF(개요!X39=0,"",개요!X39)</f>
        <v/>
      </c>
      <c r="I53" s="64" t="str">
        <f>IF(개요!Y39=0,"",개요!Y39)</f>
        <v/>
      </c>
      <c r="J53" s="64" t="str">
        <f>IF(개요!Z39=0,"",개요!Z39)</f>
        <v/>
      </c>
      <c r="K53" s="64" t="str">
        <f>IF(개요!AA39=0,"",개요!AA39)</f>
        <v/>
      </c>
      <c r="L53" s="64" t="str">
        <f>IF(개요!AB39=0,"",개요!AB39)</f>
        <v/>
      </c>
      <c r="M53" s="64" t="str">
        <f>IF(개요!AC39=0,"",개요!AC39)</f>
        <v/>
      </c>
      <c r="N53" s="64" t="str">
        <f>IF(개요!AD39=0,"",개요!AD39)</f>
        <v/>
      </c>
      <c r="O53" s="64" t="str">
        <f>IF(개요!AE39=0,"",개요!AE39)</f>
        <v/>
      </c>
      <c r="P53" s="64" t="str">
        <f>IF(개요!AF39=0,"",개요!AF39)</f>
        <v/>
      </c>
      <c r="Q53" s="64" t="str">
        <f>IF(개요!AG39=0,"",개요!AG39)</f>
        <v/>
      </c>
      <c r="R53" s="64" t="str">
        <f>IF(개요!AH39=0,"",개요!AH39)</f>
        <v/>
      </c>
      <c r="S53" s="64" t="str">
        <f>IF(개요!AI39=0,"",개요!AI39)</f>
        <v/>
      </c>
      <c r="T53" s="64" t="str">
        <f>IF(개요!AJ39=0,"",개요!AJ39)</f>
        <v/>
      </c>
      <c r="U53" s="64" t="str">
        <f>IF(개요!AK39=0,"",개요!AK39)</f>
        <v/>
      </c>
      <c r="V53" s="64" t="str">
        <f>IF(개요!AL39=0,"",개요!AL39)</f>
        <v/>
      </c>
      <c r="W53" s="64" t="str">
        <f>IF(개요!AM39=0,"",개요!AM39)</f>
        <v/>
      </c>
      <c r="X53" s="64" t="str">
        <f>IF(개요!AN39=0,"",개요!AN39)</f>
        <v/>
      </c>
      <c r="Y53" s="64" t="str">
        <f>IF(개요!AO39=0,"",개요!AO39)</f>
        <v/>
      </c>
      <c r="Z53" s="64" t="str">
        <f>IF(개요!AP39=0,"",개요!AP39)</f>
        <v/>
      </c>
      <c r="AA53" s="64" t="str">
        <f>IF(개요!AQ39=0,"",개요!AQ39)</f>
        <v/>
      </c>
      <c r="AB53" s="64" t="str">
        <f>IF(개요!AR39=0,"",개요!AR39)</f>
        <v/>
      </c>
      <c r="AC53" s="64" t="str">
        <f>IF(개요!AS39=0,"",개요!AS39)</f>
        <v/>
      </c>
      <c r="AD53" s="64" t="str">
        <f>IF(개요!AT39=0,"",개요!AT39)</f>
        <v/>
      </c>
      <c r="AE53" s="64" t="str">
        <f>IF(개요!AU39=0,"",개요!AU39)</f>
        <v/>
      </c>
      <c r="AF53" s="64" t="str">
        <f>IF(개요!AV39=0,"",개요!AV39)</f>
        <v/>
      </c>
      <c r="AG53" s="64" t="str">
        <f>IF(개요!AW39=0,"",개요!AW39)</f>
        <v/>
      </c>
      <c r="AH53" s="64" t="str">
        <f>IF(개요!AX39=0,"",개요!AX39)</f>
        <v/>
      </c>
      <c r="AI53" s="64" t="str">
        <f>IF(개요!AY39=0,"",개요!AY39)</f>
        <v/>
      </c>
      <c r="AJ53" s="64" t="str">
        <f>IF(개요!AZ39=0,"",개요!AZ39)</f>
        <v/>
      </c>
      <c r="AK53" s="64" t="str">
        <f>IF(개요!BA39=0,"",개요!BA39)</f>
        <v/>
      </c>
      <c r="AL53" s="64" t="str">
        <f>IF(개요!BB39=0,"",개요!BB39)</f>
        <v/>
      </c>
      <c r="AM53" s="64" t="str">
        <f>IF(개요!BC39=0,"",개요!BC39)</f>
        <v/>
      </c>
      <c r="AN53" s="64" t="str">
        <f>IF(개요!BD39=0,"",개요!BD39)</f>
        <v/>
      </c>
      <c r="AO53" s="64" t="str">
        <f>IF(개요!BE39=0,"",개요!BE39)</f>
        <v/>
      </c>
      <c r="AP53" s="64" t="str">
        <f>IF(개요!BF39=0,"",개요!BF39)</f>
        <v/>
      </c>
      <c r="AQ53" s="64" t="str">
        <f>IF(개요!BG39=0,"",개요!BG39)</f>
        <v/>
      </c>
      <c r="AR53" s="64" t="str">
        <f>IF(개요!BH39=0,"",개요!BH39)</f>
        <v/>
      </c>
      <c r="AS53" s="64" t="str">
        <f>IF(개요!BI39=0,"",개요!BI39)</f>
        <v/>
      </c>
      <c r="AT53" s="64" t="str">
        <f>IF(개요!BJ39=0,"",개요!BJ39)</f>
        <v/>
      </c>
      <c r="AU53" s="64" t="str">
        <f>IF(개요!BK39=0,"",개요!BK39)</f>
        <v/>
      </c>
      <c r="AV53" s="64" t="str">
        <f>IF(개요!BL39=0,"",개요!BL39)</f>
        <v/>
      </c>
      <c r="AW53" s="64" t="str">
        <f>IF(개요!BM39=0,"",개요!BM39)</f>
        <v/>
      </c>
      <c r="AX53" s="64" t="str">
        <f>IF(개요!BN39=0,"",개요!BN39)</f>
        <v/>
      </c>
      <c r="AY53" s="64" t="str">
        <f>IF(개요!BO39=0,"",개요!BO39)</f>
        <v/>
      </c>
      <c r="AZ53" s="64" t="str">
        <f>IF(개요!BP39=0,"",개요!BP39)</f>
        <v/>
      </c>
      <c r="BA53" s="64" t="str">
        <f>IF(개요!BQ39=0,"",개요!BQ39)</f>
        <v/>
      </c>
      <c r="BB53" s="64" t="str">
        <f>IF(개요!BR39=0,"",개요!BR39)</f>
        <v/>
      </c>
      <c r="BC53" s="64" t="str">
        <f>IF(개요!BS39=0,"",개요!BS39)</f>
        <v/>
      </c>
      <c r="BD53" s="64" t="str">
        <f>IF(개요!BT39=0,"",개요!BT39)</f>
        <v/>
      </c>
      <c r="BE53" s="64" t="str">
        <f>IF(개요!BU39=0,"",개요!BU39)</f>
        <v/>
      </c>
      <c r="BF53" s="64" t="str">
        <f>IF(개요!BV39=0,"",개요!BV39)</f>
        <v/>
      </c>
      <c r="BG53" s="64" t="str">
        <f>IF(개요!BW39=0,"",개요!BW39)</f>
        <v/>
      </c>
      <c r="BH53" s="64" t="str">
        <f>IF(개요!BX39=0,"",개요!BX39)</f>
        <v/>
      </c>
      <c r="BI53" s="64" t="str">
        <f>IF(개요!BY39=0,"",개요!BY39)</f>
        <v/>
      </c>
      <c r="BJ53" s="64" t="str">
        <f>IF(개요!BZ39=0,"",개요!BZ39)</f>
        <v/>
      </c>
      <c r="BK53" s="64" t="str">
        <f>IF(개요!CA39=0,"",개요!CA39)</f>
        <v/>
      </c>
      <c r="BL53" s="64" t="str">
        <f>IF(개요!CB39=0,"",개요!CB39)</f>
        <v/>
      </c>
      <c r="BM53" s="64" t="str">
        <f>IF(개요!CC39=0,"",개요!CC39)</f>
        <v/>
      </c>
      <c r="BN53" s="64" t="str">
        <f>IF(개요!CD39=0,"",개요!CD39)</f>
        <v/>
      </c>
      <c r="BO53" s="64" t="str">
        <f>IF(개요!CE39=0,"",개요!CE39)</f>
        <v/>
      </c>
      <c r="BP53" s="64" t="str">
        <f>IF(개요!CF39=0,"",개요!CF39)</f>
        <v/>
      </c>
      <c r="BQ53" s="64" t="str">
        <f>IF(개요!CG39=0,"",개요!CG39)</f>
        <v/>
      </c>
      <c r="BR53" s="64" t="str">
        <f>IF(개요!CH39=0,"",개요!CH39)</f>
        <v/>
      </c>
      <c r="BS53" s="64" t="str">
        <f>IF(개요!CI39=0,"",개요!CI39)</f>
        <v/>
      </c>
      <c r="BT53" s="64" t="str">
        <f>IF(개요!CJ39=0,"",개요!CJ39)</f>
        <v/>
      </c>
      <c r="BU53" s="64" t="str">
        <f>IF(개요!CK39=0,"",개요!CK39)</f>
        <v/>
      </c>
      <c r="BV53" s="64" t="str">
        <f>IF(개요!CL39=0,"",개요!CL39)</f>
        <v/>
      </c>
      <c r="BW53" s="64" t="str">
        <f>IF(개요!CM39=0,"",개요!CM39)</f>
        <v/>
      </c>
      <c r="BX53" s="64" t="str">
        <f>IF(개요!CN39=0,"",개요!CN39)</f>
        <v/>
      </c>
      <c r="BY53" s="64" t="str">
        <f>IF(개요!CO39=0,"",개요!CO39)</f>
        <v/>
      </c>
      <c r="BZ53" s="64" t="str">
        <f>IF(개요!CP39=0,"",개요!CP39)</f>
        <v/>
      </c>
      <c r="CA53" s="64" t="str">
        <f>IF(개요!CQ39=0,"",개요!CQ39)</f>
        <v/>
      </c>
      <c r="CB53" s="64" t="str">
        <f>IF(개요!CR39=0,"",개요!CR39)</f>
        <v/>
      </c>
      <c r="CC53" s="64" t="str">
        <f>IF(개요!CS39=0,"",개요!CS39)</f>
        <v/>
      </c>
      <c r="CD53" s="64" t="str">
        <f>IF(개요!CT39=0,"",개요!CT39)</f>
        <v/>
      </c>
      <c r="CE53" s="64" t="str">
        <f>IF(개요!CU39=0,"",개요!CU39)</f>
        <v/>
      </c>
      <c r="CF53" s="64" t="str">
        <f>IF(개요!CV39=0,"",개요!CV39)</f>
        <v/>
      </c>
      <c r="CG53" s="64" t="str">
        <f>IF(개요!CW39=0,"",개요!CW39)</f>
        <v/>
      </c>
      <c r="CH53" s="64" t="str">
        <f>IF(개요!CX39=0,"",개요!CX39)</f>
        <v/>
      </c>
      <c r="CI53" s="64" t="str">
        <f>IF(개요!CY39=0,"",개요!CY39)</f>
        <v/>
      </c>
      <c r="CJ53" s="64" t="str">
        <f>IF(개요!CZ39=0,"",개요!CZ39)</f>
        <v/>
      </c>
      <c r="CK53" s="64" t="str">
        <f>IF(개요!DA39=0,"",개요!DA39)</f>
        <v/>
      </c>
      <c r="CL53" s="64" t="str">
        <f>IF(개요!DB39=0,"",개요!DB39)</f>
        <v/>
      </c>
      <c r="CM53" s="64" t="str">
        <f>IF(개요!DC39=0,"",개요!DC39)</f>
        <v/>
      </c>
      <c r="CN53" s="64" t="str">
        <f>IF(개요!DD39=0,"",개요!DD39)</f>
        <v/>
      </c>
      <c r="CO53" s="64" t="str">
        <f>IF(개요!DE39=0,"",개요!DE39)</f>
        <v/>
      </c>
      <c r="CP53" s="64" t="str">
        <f>IF(개요!DF39=0,"",개요!DF39)</f>
        <v/>
      </c>
      <c r="CQ53" s="64" t="str">
        <f>IF(개요!DG39=0,"",개요!DG39)</f>
        <v/>
      </c>
      <c r="CR53" s="64" t="str">
        <f>IF(개요!DH39=0,"",개요!DH39)</f>
        <v/>
      </c>
      <c r="CS53" s="64" t="str">
        <f>IF(개요!DI39=0,"",개요!DI39)</f>
        <v/>
      </c>
      <c r="CT53" s="64" t="str">
        <f>IF(개요!DJ39=0,"",개요!DJ39)</f>
        <v/>
      </c>
      <c r="CU53" s="64" t="str">
        <f>IF(개요!DK39=0,"",개요!DK39)</f>
        <v/>
      </c>
      <c r="CV53" s="64" t="str">
        <f>IF(개요!DL39=0,"",개요!DL39)</f>
        <v/>
      </c>
      <c r="CW53" s="64" t="str">
        <f>IF(개요!DM39=0,"",개요!DM39)</f>
        <v/>
      </c>
      <c r="CX53" s="64" t="str">
        <f>IF(개요!DN39=0,"",개요!DN39)</f>
        <v/>
      </c>
      <c r="CY53" s="65" t="str">
        <f t="shared" si="5"/>
        <v/>
      </c>
      <c r="DB53" s="21"/>
      <c r="DC53" s="21"/>
      <c r="DD53" s="21"/>
      <c r="DE53" s="67"/>
      <c r="DF53" s="68"/>
      <c r="DG53" s="67"/>
      <c r="DH53" s="67"/>
      <c r="DI53" s="69"/>
      <c r="DJ53" s="69"/>
      <c r="DK53" s="69"/>
      <c r="DL53" s="69"/>
    </row>
    <row r="54" spans="1:116" ht="15" hidden="1" customHeight="1" outlineLevel="1">
      <c r="A54" s="54">
        <v>33</v>
      </c>
      <c r="B54" s="63" t="str">
        <f>IF(개요!M40=0,"",개요!M40)</f>
        <v/>
      </c>
      <c r="C54" s="64" t="str">
        <f>IF(개요!S40=0,"",개요!S40)</f>
        <v/>
      </c>
      <c r="D54" s="64" t="str">
        <f>IF(개요!T40=0,"",개요!T40)</f>
        <v/>
      </c>
      <c r="E54" s="64" t="str">
        <f>IF(개요!U40=0,"",개요!U40)</f>
        <v/>
      </c>
      <c r="F54" s="64" t="str">
        <f>IF(개요!V40=0,"",개요!V40)</f>
        <v/>
      </c>
      <c r="G54" s="64" t="str">
        <f>IF(개요!W40=0,"",개요!W40)</f>
        <v/>
      </c>
      <c r="H54" s="64" t="str">
        <f>IF(개요!X40=0,"",개요!X40)</f>
        <v/>
      </c>
      <c r="I54" s="64" t="str">
        <f>IF(개요!Y40=0,"",개요!Y40)</f>
        <v/>
      </c>
      <c r="J54" s="64" t="str">
        <f>IF(개요!Z40=0,"",개요!Z40)</f>
        <v/>
      </c>
      <c r="K54" s="64" t="str">
        <f>IF(개요!AA40=0,"",개요!AA40)</f>
        <v/>
      </c>
      <c r="L54" s="64" t="str">
        <f>IF(개요!AB40=0,"",개요!AB40)</f>
        <v/>
      </c>
      <c r="M54" s="64" t="str">
        <f>IF(개요!AC40=0,"",개요!AC40)</f>
        <v/>
      </c>
      <c r="N54" s="64" t="str">
        <f>IF(개요!AD40=0,"",개요!AD40)</f>
        <v/>
      </c>
      <c r="O54" s="64" t="str">
        <f>IF(개요!AE40=0,"",개요!AE40)</f>
        <v/>
      </c>
      <c r="P54" s="64" t="str">
        <f>IF(개요!AF40=0,"",개요!AF40)</f>
        <v/>
      </c>
      <c r="Q54" s="64" t="str">
        <f>IF(개요!AG40=0,"",개요!AG40)</f>
        <v/>
      </c>
      <c r="R54" s="64" t="str">
        <f>IF(개요!AH40=0,"",개요!AH40)</f>
        <v/>
      </c>
      <c r="S54" s="64" t="str">
        <f>IF(개요!AI40=0,"",개요!AI40)</f>
        <v/>
      </c>
      <c r="T54" s="64" t="str">
        <f>IF(개요!AJ40=0,"",개요!AJ40)</f>
        <v/>
      </c>
      <c r="U54" s="64" t="str">
        <f>IF(개요!AK40=0,"",개요!AK40)</f>
        <v/>
      </c>
      <c r="V54" s="64" t="str">
        <f>IF(개요!AL40=0,"",개요!AL40)</f>
        <v/>
      </c>
      <c r="W54" s="64" t="str">
        <f>IF(개요!AM40=0,"",개요!AM40)</f>
        <v/>
      </c>
      <c r="X54" s="64" t="str">
        <f>IF(개요!AN40=0,"",개요!AN40)</f>
        <v/>
      </c>
      <c r="Y54" s="64" t="str">
        <f>IF(개요!AO40=0,"",개요!AO40)</f>
        <v/>
      </c>
      <c r="Z54" s="64" t="str">
        <f>IF(개요!AP40=0,"",개요!AP40)</f>
        <v/>
      </c>
      <c r="AA54" s="64" t="str">
        <f>IF(개요!AQ40=0,"",개요!AQ40)</f>
        <v/>
      </c>
      <c r="AB54" s="64" t="str">
        <f>IF(개요!AR40=0,"",개요!AR40)</f>
        <v/>
      </c>
      <c r="AC54" s="64" t="str">
        <f>IF(개요!AS40=0,"",개요!AS40)</f>
        <v/>
      </c>
      <c r="AD54" s="64" t="str">
        <f>IF(개요!AT40=0,"",개요!AT40)</f>
        <v/>
      </c>
      <c r="AE54" s="64" t="str">
        <f>IF(개요!AU40=0,"",개요!AU40)</f>
        <v/>
      </c>
      <c r="AF54" s="64" t="str">
        <f>IF(개요!AV40=0,"",개요!AV40)</f>
        <v/>
      </c>
      <c r="AG54" s="64" t="str">
        <f>IF(개요!AW40=0,"",개요!AW40)</f>
        <v/>
      </c>
      <c r="AH54" s="64" t="str">
        <f>IF(개요!AX40=0,"",개요!AX40)</f>
        <v/>
      </c>
      <c r="AI54" s="64" t="str">
        <f>IF(개요!AY40=0,"",개요!AY40)</f>
        <v/>
      </c>
      <c r="AJ54" s="64" t="str">
        <f>IF(개요!AZ40=0,"",개요!AZ40)</f>
        <v/>
      </c>
      <c r="AK54" s="64" t="str">
        <f>IF(개요!BA40=0,"",개요!BA40)</f>
        <v/>
      </c>
      <c r="AL54" s="64" t="str">
        <f>IF(개요!BB40=0,"",개요!BB40)</f>
        <v/>
      </c>
      <c r="AM54" s="64" t="str">
        <f>IF(개요!BC40=0,"",개요!BC40)</f>
        <v/>
      </c>
      <c r="AN54" s="64" t="str">
        <f>IF(개요!BD40=0,"",개요!BD40)</f>
        <v/>
      </c>
      <c r="AO54" s="64" t="str">
        <f>IF(개요!BE40=0,"",개요!BE40)</f>
        <v/>
      </c>
      <c r="AP54" s="64" t="str">
        <f>IF(개요!BF40=0,"",개요!BF40)</f>
        <v/>
      </c>
      <c r="AQ54" s="64" t="str">
        <f>IF(개요!BG40=0,"",개요!BG40)</f>
        <v/>
      </c>
      <c r="AR54" s="64" t="str">
        <f>IF(개요!BH40=0,"",개요!BH40)</f>
        <v/>
      </c>
      <c r="AS54" s="64" t="str">
        <f>IF(개요!BI40=0,"",개요!BI40)</f>
        <v/>
      </c>
      <c r="AT54" s="64" t="str">
        <f>IF(개요!BJ40=0,"",개요!BJ40)</f>
        <v/>
      </c>
      <c r="AU54" s="64" t="str">
        <f>IF(개요!BK40=0,"",개요!BK40)</f>
        <v/>
      </c>
      <c r="AV54" s="64" t="str">
        <f>IF(개요!BL40=0,"",개요!BL40)</f>
        <v/>
      </c>
      <c r="AW54" s="64" t="str">
        <f>IF(개요!BM40=0,"",개요!BM40)</f>
        <v/>
      </c>
      <c r="AX54" s="64" t="str">
        <f>IF(개요!BN40=0,"",개요!BN40)</f>
        <v/>
      </c>
      <c r="AY54" s="64" t="str">
        <f>IF(개요!BO40=0,"",개요!BO40)</f>
        <v/>
      </c>
      <c r="AZ54" s="64" t="str">
        <f>IF(개요!BP40=0,"",개요!BP40)</f>
        <v/>
      </c>
      <c r="BA54" s="64" t="str">
        <f>IF(개요!BQ40=0,"",개요!BQ40)</f>
        <v/>
      </c>
      <c r="BB54" s="64" t="str">
        <f>IF(개요!BR40=0,"",개요!BR40)</f>
        <v/>
      </c>
      <c r="BC54" s="64" t="str">
        <f>IF(개요!BS40=0,"",개요!BS40)</f>
        <v/>
      </c>
      <c r="BD54" s="64" t="str">
        <f>IF(개요!BT40=0,"",개요!BT40)</f>
        <v/>
      </c>
      <c r="BE54" s="64" t="str">
        <f>IF(개요!BU40=0,"",개요!BU40)</f>
        <v/>
      </c>
      <c r="BF54" s="64" t="str">
        <f>IF(개요!BV40=0,"",개요!BV40)</f>
        <v/>
      </c>
      <c r="BG54" s="64" t="str">
        <f>IF(개요!BW40=0,"",개요!BW40)</f>
        <v/>
      </c>
      <c r="BH54" s="64" t="str">
        <f>IF(개요!BX40=0,"",개요!BX40)</f>
        <v/>
      </c>
      <c r="BI54" s="64" t="str">
        <f>IF(개요!BY40=0,"",개요!BY40)</f>
        <v/>
      </c>
      <c r="BJ54" s="64" t="str">
        <f>IF(개요!BZ40=0,"",개요!BZ40)</f>
        <v/>
      </c>
      <c r="BK54" s="64" t="str">
        <f>IF(개요!CA40=0,"",개요!CA40)</f>
        <v/>
      </c>
      <c r="BL54" s="64" t="str">
        <f>IF(개요!CB40=0,"",개요!CB40)</f>
        <v/>
      </c>
      <c r="BM54" s="64" t="str">
        <f>IF(개요!CC40=0,"",개요!CC40)</f>
        <v/>
      </c>
      <c r="BN54" s="64" t="str">
        <f>IF(개요!CD40=0,"",개요!CD40)</f>
        <v/>
      </c>
      <c r="BO54" s="64" t="str">
        <f>IF(개요!CE40=0,"",개요!CE40)</f>
        <v/>
      </c>
      <c r="BP54" s="64" t="str">
        <f>IF(개요!CF40=0,"",개요!CF40)</f>
        <v/>
      </c>
      <c r="BQ54" s="64" t="str">
        <f>IF(개요!CG40=0,"",개요!CG40)</f>
        <v/>
      </c>
      <c r="BR54" s="64" t="str">
        <f>IF(개요!CH40=0,"",개요!CH40)</f>
        <v/>
      </c>
      <c r="BS54" s="64" t="str">
        <f>IF(개요!CI40=0,"",개요!CI40)</f>
        <v/>
      </c>
      <c r="BT54" s="64" t="str">
        <f>IF(개요!CJ40=0,"",개요!CJ40)</f>
        <v/>
      </c>
      <c r="BU54" s="64" t="str">
        <f>IF(개요!CK40=0,"",개요!CK40)</f>
        <v/>
      </c>
      <c r="BV54" s="64" t="str">
        <f>IF(개요!CL40=0,"",개요!CL40)</f>
        <v/>
      </c>
      <c r="BW54" s="64" t="str">
        <f>IF(개요!CM40=0,"",개요!CM40)</f>
        <v/>
      </c>
      <c r="BX54" s="64" t="str">
        <f>IF(개요!CN40=0,"",개요!CN40)</f>
        <v/>
      </c>
      <c r="BY54" s="64" t="str">
        <f>IF(개요!CO40=0,"",개요!CO40)</f>
        <v/>
      </c>
      <c r="BZ54" s="64" t="str">
        <f>IF(개요!CP40=0,"",개요!CP40)</f>
        <v/>
      </c>
      <c r="CA54" s="64" t="str">
        <f>IF(개요!CQ40=0,"",개요!CQ40)</f>
        <v/>
      </c>
      <c r="CB54" s="64" t="str">
        <f>IF(개요!CR40=0,"",개요!CR40)</f>
        <v/>
      </c>
      <c r="CC54" s="64" t="str">
        <f>IF(개요!CS40=0,"",개요!CS40)</f>
        <v/>
      </c>
      <c r="CD54" s="64" t="str">
        <f>IF(개요!CT40=0,"",개요!CT40)</f>
        <v/>
      </c>
      <c r="CE54" s="64" t="str">
        <f>IF(개요!CU40=0,"",개요!CU40)</f>
        <v/>
      </c>
      <c r="CF54" s="64" t="str">
        <f>IF(개요!CV40=0,"",개요!CV40)</f>
        <v/>
      </c>
      <c r="CG54" s="64" t="str">
        <f>IF(개요!CW40=0,"",개요!CW40)</f>
        <v/>
      </c>
      <c r="CH54" s="64" t="str">
        <f>IF(개요!CX40=0,"",개요!CX40)</f>
        <v/>
      </c>
      <c r="CI54" s="64" t="str">
        <f>IF(개요!CY40=0,"",개요!CY40)</f>
        <v/>
      </c>
      <c r="CJ54" s="64" t="str">
        <f>IF(개요!CZ40=0,"",개요!CZ40)</f>
        <v/>
      </c>
      <c r="CK54" s="64" t="str">
        <f>IF(개요!DA40=0,"",개요!DA40)</f>
        <v/>
      </c>
      <c r="CL54" s="64" t="str">
        <f>IF(개요!DB40=0,"",개요!DB40)</f>
        <v/>
      </c>
      <c r="CM54" s="64" t="str">
        <f>IF(개요!DC40=0,"",개요!DC40)</f>
        <v/>
      </c>
      <c r="CN54" s="64" t="str">
        <f>IF(개요!DD40=0,"",개요!DD40)</f>
        <v/>
      </c>
      <c r="CO54" s="64" t="str">
        <f>IF(개요!DE40=0,"",개요!DE40)</f>
        <v/>
      </c>
      <c r="CP54" s="64" t="str">
        <f>IF(개요!DF40=0,"",개요!DF40)</f>
        <v/>
      </c>
      <c r="CQ54" s="64" t="str">
        <f>IF(개요!DG40=0,"",개요!DG40)</f>
        <v/>
      </c>
      <c r="CR54" s="64" t="str">
        <f>IF(개요!DH40=0,"",개요!DH40)</f>
        <v/>
      </c>
      <c r="CS54" s="64" t="str">
        <f>IF(개요!DI40=0,"",개요!DI40)</f>
        <v/>
      </c>
      <c r="CT54" s="64" t="str">
        <f>IF(개요!DJ40=0,"",개요!DJ40)</f>
        <v/>
      </c>
      <c r="CU54" s="64" t="str">
        <f>IF(개요!DK40=0,"",개요!DK40)</f>
        <v/>
      </c>
      <c r="CV54" s="64" t="str">
        <f>IF(개요!DL40=0,"",개요!DL40)</f>
        <v/>
      </c>
      <c r="CW54" s="64" t="str">
        <f>IF(개요!DM40=0,"",개요!DM40)</f>
        <v/>
      </c>
      <c r="CX54" s="64" t="str">
        <f>IF(개요!DN40=0,"",개요!DN40)</f>
        <v/>
      </c>
      <c r="CY54" s="65" t="str">
        <f t="shared" ref="CY54:CY70" si="6">IF(-SUMPRODUCT(C54:CX54,$C$18:$CX$18)=0,"",-SUMPRODUCT(C54:CX54,$C$18:$CX$18))</f>
        <v/>
      </c>
      <c r="DB54" s="21"/>
      <c r="DC54" s="21"/>
      <c r="DD54" s="21"/>
      <c r="DE54" s="67"/>
      <c r="DF54" s="68"/>
      <c r="DG54" s="67"/>
      <c r="DH54" s="67"/>
      <c r="DI54" s="69"/>
      <c r="DJ54" s="69"/>
      <c r="DK54" s="69"/>
      <c r="DL54" s="69"/>
    </row>
    <row r="55" spans="1:116" ht="15" hidden="1" customHeight="1" outlineLevel="1">
      <c r="A55" s="54">
        <v>34</v>
      </c>
      <c r="B55" s="63" t="str">
        <f>IF(개요!M41=0,"",개요!M41)</f>
        <v/>
      </c>
      <c r="C55" s="64" t="str">
        <f>IF(개요!S41=0,"",개요!S41)</f>
        <v/>
      </c>
      <c r="D55" s="64" t="str">
        <f>IF(개요!T41=0,"",개요!T41)</f>
        <v/>
      </c>
      <c r="E55" s="64" t="str">
        <f>IF(개요!U41=0,"",개요!U41)</f>
        <v/>
      </c>
      <c r="F55" s="64" t="str">
        <f>IF(개요!V41=0,"",개요!V41)</f>
        <v/>
      </c>
      <c r="G55" s="64" t="str">
        <f>IF(개요!W41=0,"",개요!W41)</f>
        <v/>
      </c>
      <c r="H55" s="64" t="str">
        <f>IF(개요!X41=0,"",개요!X41)</f>
        <v/>
      </c>
      <c r="I55" s="64" t="str">
        <f>IF(개요!Y41=0,"",개요!Y41)</f>
        <v/>
      </c>
      <c r="J55" s="64" t="str">
        <f>IF(개요!Z41=0,"",개요!Z41)</f>
        <v/>
      </c>
      <c r="K55" s="64" t="str">
        <f>IF(개요!AA41=0,"",개요!AA41)</f>
        <v/>
      </c>
      <c r="L55" s="64" t="str">
        <f>IF(개요!AB41=0,"",개요!AB41)</f>
        <v/>
      </c>
      <c r="M55" s="64" t="str">
        <f>IF(개요!AC41=0,"",개요!AC41)</f>
        <v/>
      </c>
      <c r="N55" s="64" t="str">
        <f>IF(개요!AD41=0,"",개요!AD41)</f>
        <v/>
      </c>
      <c r="O55" s="64" t="str">
        <f>IF(개요!AE41=0,"",개요!AE41)</f>
        <v/>
      </c>
      <c r="P55" s="64" t="str">
        <f>IF(개요!AF41=0,"",개요!AF41)</f>
        <v/>
      </c>
      <c r="Q55" s="64" t="str">
        <f>IF(개요!AG41=0,"",개요!AG41)</f>
        <v/>
      </c>
      <c r="R55" s="64" t="str">
        <f>IF(개요!AH41=0,"",개요!AH41)</f>
        <v/>
      </c>
      <c r="S55" s="64" t="str">
        <f>IF(개요!AI41=0,"",개요!AI41)</f>
        <v/>
      </c>
      <c r="T55" s="64" t="str">
        <f>IF(개요!AJ41=0,"",개요!AJ41)</f>
        <v/>
      </c>
      <c r="U55" s="64" t="str">
        <f>IF(개요!AK41=0,"",개요!AK41)</f>
        <v/>
      </c>
      <c r="V55" s="64" t="str">
        <f>IF(개요!AL41=0,"",개요!AL41)</f>
        <v/>
      </c>
      <c r="W55" s="64" t="str">
        <f>IF(개요!AM41=0,"",개요!AM41)</f>
        <v/>
      </c>
      <c r="X55" s="64" t="str">
        <f>IF(개요!AN41=0,"",개요!AN41)</f>
        <v/>
      </c>
      <c r="Y55" s="64" t="str">
        <f>IF(개요!AO41=0,"",개요!AO41)</f>
        <v/>
      </c>
      <c r="Z55" s="64" t="str">
        <f>IF(개요!AP41=0,"",개요!AP41)</f>
        <v/>
      </c>
      <c r="AA55" s="64" t="str">
        <f>IF(개요!AQ41=0,"",개요!AQ41)</f>
        <v/>
      </c>
      <c r="AB55" s="64" t="str">
        <f>IF(개요!AR41=0,"",개요!AR41)</f>
        <v/>
      </c>
      <c r="AC55" s="64" t="str">
        <f>IF(개요!AS41=0,"",개요!AS41)</f>
        <v/>
      </c>
      <c r="AD55" s="64" t="str">
        <f>IF(개요!AT41=0,"",개요!AT41)</f>
        <v/>
      </c>
      <c r="AE55" s="64" t="str">
        <f>IF(개요!AU41=0,"",개요!AU41)</f>
        <v/>
      </c>
      <c r="AF55" s="64" t="str">
        <f>IF(개요!AV41=0,"",개요!AV41)</f>
        <v/>
      </c>
      <c r="AG55" s="64" t="str">
        <f>IF(개요!AW41=0,"",개요!AW41)</f>
        <v/>
      </c>
      <c r="AH55" s="64" t="str">
        <f>IF(개요!AX41=0,"",개요!AX41)</f>
        <v/>
      </c>
      <c r="AI55" s="64" t="str">
        <f>IF(개요!AY41=0,"",개요!AY41)</f>
        <v/>
      </c>
      <c r="AJ55" s="64" t="str">
        <f>IF(개요!AZ41=0,"",개요!AZ41)</f>
        <v/>
      </c>
      <c r="AK55" s="64" t="str">
        <f>IF(개요!BA41=0,"",개요!BA41)</f>
        <v/>
      </c>
      <c r="AL55" s="64" t="str">
        <f>IF(개요!BB41=0,"",개요!BB41)</f>
        <v/>
      </c>
      <c r="AM55" s="64" t="str">
        <f>IF(개요!BC41=0,"",개요!BC41)</f>
        <v/>
      </c>
      <c r="AN55" s="64" t="str">
        <f>IF(개요!BD41=0,"",개요!BD41)</f>
        <v/>
      </c>
      <c r="AO55" s="64" t="str">
        <f>IF(개요!BE41=0,"",개요!BE41)</f>
        <v/>
      </c>
      <c r="AP55" s="64" t="str">
        <f>IF(개요!BF41=0,"",개요!BF41)</f>
        <v/>
      </c>
      <c r="AQ55" s="64" t="str">
        <f>IF(개요!BG41=0,"",개요!BG41)</f>
        <v/>
      </c>
      <c r="AR55" s="64" t="str">
        <f>IF(개요!BH41=0,"",개요!BH41)</f>
        <v/>
      </c>
      <c r="AS55" s="64" t="str">
        <f>IF(개요!BI41=0,"",개요!BI41)</f>
        <v/>
      </c>
      <c r="AT55" s="64" t="str">
        <f>IF(개요!BJ41=0,"",개요!BJ41)</f>
        <v/>
      </c>
      <c r="AU55" s="64" t="str">
        <f>IF(개요!BK41=0,"",개요!BK41)</f>
        <v/>
      </c>
      <c r="AV55" s="64" t="str">
        <f>IF(개요!BL41=0,"",개요!BL41)</f>
        <v/>
      </c>
      <c r="AW55" s="64" t="str">
        <f>IF(개요!BM41=0,"",개요!BM41)</f>
        <v/>
      </c>
      <c r="AX55" s="64" t="str">
        <f>IF(개요!BN41=0,"",개요!BN41)</f>
        <v/>
      </c>
      <c r="AY55" s="64" t="str">
        <f>IF(개요!BO41=0,"",개요!BO41)</f>
        <v/>
      </c>
      <c r="AZ55" s="64" t="str">
        <f>IF(개요!BP41=0,"",개요!BP41)</f>
        <v/>
      </c>
      <c r="BA55" s="64" t="str">
        <f>IF(개요!BQ41=0,"",개요!BQ41)</f>
        <v/>
      </c>
      <c r="BB55" s="64" t="str">
        <f>IF(개요!BR41=0,"",개요!BR41)</f>
        <v/>
      </c>
      <c r="BC55" s="64" t="str">
        <f>IF(개요!BS41=0,"",개요!BS41)</f>
        <v/>
      </c>
      <c r="BD55" s="64" t="str">
        <f>IF(개요!BT41=0,"",개요!BT41)</f>
        <v/>
      </c>
      <c r="BE55" s="64" t="str">
        <f>IF(개요!BU41=0,"",개요!BU41)</f>
        <v/>
      </c>
      <c r="BF55" s="64" t="str">
        <f>IF(개요!BV41=0,"",개요!BV41)</f>
        <v/>
      </c>
      <c r="BG55" s="64" t="str">
        <f>IF(개요!BW41=0,"",개요!BW41)</f>
        <v/>
      </c>
      <c r="BH55" s="64" t="str">
        <f>IF(개요!BX41=0,"",개요!BX41)</f>
        <v/>
      </c>
      <c r="BI55" s="64" t="str">
        <f>IF(개요!BY41=0,"",개요!BY41)</f>
        <v/>
      </c>
      <c r="BJ55" s="64" t="str">
        <f>IF(개요!BZ41=0,"",개요!BZ41)</f>
        <v/>
      </c>
      <c r="BK55" s="64" t="str">
        <f>IF(개요!CA41=0,"",개요!CA41)</f>
        <v/>
      </c>
      <c r="BL55" s="64" t="str">
        <f>IF(개요!CB41=0,"",개요!CB41)</f>
        <v/>
      </c>
      <c r="BM55" s="64" t="str">
        <f>IF(개요!CC41=0,"",개요!CC41)</f>
        <v/>
      </c>
      <c r="BN55" s="64" t="str">
        <f>IF(개요!CD41=0,"",개요!CD41)</f>
        <v/>
      </c>
      <c r="BO55" s="64" t="str">
        <f>IF(개요!CE41=0,"",개요!CE41)</f>
        <v/>
      </c>
      <c r="BP55" s="64" t="str">
        <f>IF(개요!CF41=0,"",개요!CF41)</f>
        <v/>
      </c>
      <c r="BQ55" s="64" t="str">
        <f>IF(개요!CG41=0,"",개요!CG41)</f>
        <v/>
      </c>
      <c r="BR55" s="64" t="str">
        <f>IF(개요!CH41=0,"",개요!CH41)</f>
        <v/>
      </c>
      <c r="BS55" s="64" t="str">
        <f>IF(개요!CI41=0,"",개요!CI41)</f>
        <v/>
      </c>
      <c r="BT55" s="64" t="str">
        <f>IF(개요!CJ41=0,"",개요!CJ41)</f>
        <v/>
      </c>
      <c r="BU55" s="64" t="str">
        <f>IF(개요!CK41=0,"",개요!CK41)</f>
        <v/>
      </c>
      <c r="BV55" s="64" t="str">
        <f>IF(개요!CL41=0,"",개요!CL41)</f>
        <v/>
      </c>
      <c r="BW55" s="64" t="str">
        <f>IF(개요!CM41=0,"",개요!CM41)</f>
        <v/>
      </c>
      <c r="BX55" s="64" t="str">
        <f>IF(개요!CN41=0,"",개요!CN41)</f>
        <v/>
      </c>
      <c r="BY55" s="64" t="str">
        <f>IF(개요!CO41=0,"",개요!CO41)</f>
        <v/>
      </c>
      <c r="BZ55" s="64" t="str">
        <f>IF(개요!CP41=0,"",개요!CP41)</f>
        <v/>
      </c>
      <c r="CA55" s="64" t="str">
        <f>IF(개요!CQ41=0,"",개요!CQ41)</f>
        <v/>
      </c>
      <c r="CB55" s="64" t="str">
        <f>IF(개요!CR41=0,"",개요!CR41)</f>
        <v/>
      </c>
      <c r="CC55" s="64" t="str">
        <f>IF(개요!CS41=0,"",개요!CS41)</f>
        <v/>
      </c>
      <c r="CD55" s="64" t="str">
        <f>IF(개요!CT41=0,"",개요!CT41)</f>
        <v/>
      </c>
      <c r="CE55" s="64" t="str">
        <f>IF(개요!CU41=0,"",개요!CU41)</f>
        <v/>
      </c>
      <c r="CF55" s="64" t="str">
        <f>IF(개요!CV41=0,"",개요!CV41)</f>
        <v/>
      </c>
      <c r="CG55" s="64" t="str">
        <f>IF(개요!CW41=0,"",개요!CW41)</f>
        <v/>
      </c>
      <c r="CH55" s="64" t="str">
        <f>IF(개요!CX41=0,"",개요!CX41)</f>
        <v/>
      </c>
      <c r="CI55" s="64" t="str">
        <f>IF(개요!CY41=0,"",개요!CY41)</f>
        <v/>
      </c>
      <c r="CJ55" s="64" t="str">
        <f>IF(개요!CZ41=0,"",개요!CZ41)</f>
        <v/>
      </c>
      <c r="CK55" s="64" t="str">
        <f>IF(개요!DA41=0,"",개요!DA41)</f>
        <v/>
      </c>
      <c r="CL55" s="64" t="str">
        <f>IF(개요!DB41=0,"",개요!DB41)</f>
        <v/>
      </c>
      <c r="CM55" s="64" t="str">
        <f>IF(개요!DC41=0,"",개요!DC41)</f>
        <v/>
      </c>
      <c r="CN55" s="64" t="str">
        <f>IF(개요!DD41=0,"",개요!DD41)</f>
        <v/>
      </c>
      <c r="CO55" s="64" t="str">
        <f>IF(개요!DE41=0,"",개요!DE41)</f>
        <v/>
      </c>
      <c r="CP55" s="64" t="str">
        <f>IF(개요!DF41=0,"",개요!DF41)</f>
        <v/>
      </c>
      <c r="CQ55" s="64" t="str">
        <f>IF(개요!DG41=0,"",개요!DG41)</f>
        <v/>
      </c>
      <c r="CR55" s="64" t="str">
        <f>IF(개요!DH41=0,"",개요!DH41)</f>
        <v/>
      </c>
      <c r="CS55" s="64" t="str">
        <f>IF(개요!DI41=0,"",개요!DI41)</f>
        <v/>
      </c>
      <c r="CT55" s="64" t="str">
        <f>IF(개요!DJ41=0,"",개요!DJ41)</f>
        <v/>
      </c>
      <c r="CU55" s="64" t="str">
        <f>IF(개요!DK41=0,"",개요!DK41)</f>
        <v/>
      </c>
      <c r="CV55" s="64" t="str">
        <f>IF(개요!DL41=0,"",개요!DL41)</f>
        <v/>
      </c>
      <c r="CW55" s="64" t="str">
        <f>IF(개요!DM41=0,"",개요!DM41)</f>
        <v/>
      </c>
      <c r="CX55" s="64" t="str">
        <f>IF(개요!DN41=0,"",개요!DN41)</f>
        <v/>
      </c>
      <c r="CY55" s="65" t="str">
        <f t="shared" si="6"/>
        <v/>
      </c>
      <c r="DB55" s="21"/>
      <c r="DC55" s="21"/>
      <c r="DD55" s="21"/>
      <c r="DE55" s="67"/>
      <c r="DF55" s="68"/>
      <c r="DG55" s="67"/>
      <c r="DH55" s="67"/>
      <c r="DI55" s="69"/>
      <c r="DJ55" s="69"/>
      <c r="DK55" s="69"/>
      <c r="DL55" s="69"/>
    </row>
    <row r="56" spans="1:116" ht="15" hidden="1" customHeight="1" outlineLevel="1">
      <c r="A56" s="54">
        <v>35</v>
      </c>
      <c r="B56" s="63" t="str">
        <f>IF(개요!M42=0,"",개요!M42)</f>
        <v/>
      </c>
      <c r="C56" s="64" t="str">
        <f>IF(개요!S42=0,"",개요!S42)</f>
        <v/>
      </c>
      <c r="D56" s="64" t="str">
        <f>IF(개요!T42=0,"",개요!T42)</f>
        <v/>
      </c>
      <c r="E56" s="64" t="str">
        <f>IF(개요!U42=0,"",개요!U42)</f>
        <v/>
      </c>
      <c r="F56" s="64" t="str">
        <f>IF(개요!V42=0,"",개요!V42)</f>
        <v/>
      </c>
      <c r="G56" s="64" t="str">
        <f>IF(개요!W42=0,"",개요!W42)</f>
        <v/>
      </c>
      <c r="H56" s="64" t="str">
        <f>IF(개요!X42=0,"",개요!X42)</f>
        <v/>
      </c>
      <c r="I56" s="64" t="str">
        <f>IF(개요!Y42=0,"",개요!Y42)</f>
        <v/>
      </c>
      <c r="J56" s="64" t="str">
        <f>IF(개요!Z42=0,"",개요!Z42)</f>
        <v/>
      </c>
      <c r="K56" s="64" t="str">
        <f>IF(개요!AA42=0,"",개요!AA42)</f>
        <v/>
      </c>
      <c r="L56" s="64" t="str">
        <f>IF(개요!AB42=0,"",개요!AB42)</f>
        <v/>
      </c>
      <c r="M56" s="64" t="str">
        <f>IF(개요!AC42=0,"",개요!AC42)</f>
        <v/>
      </c>
      <c r="N56" s="64" t="str">
        <f>IF(개요!AD42=0,"",개요!AD42)</f>
        <v/>
      </c>
      <c r="O56" s="64" t="str">
        <f>IF(개요!AE42=0,"",개요!AE42)</f>
        <v/>
      </c>
      <c r="P56" s="64" t="str">
        <f>IF(개요!AF42=0,"",개요!AF42)</f>
        <v/>
      </c>
      <c r="Q56" s="64" t="str">
        <f>IF(개요!AG42=0,"",개요!AG42)</f>
        <v/>
      </c>
      <c r="R56" s="64" t="str">
        <f>IF(개요!AH42=0,"",개요!AH42)</f>
        <v/>
      </c>
      <c r="S56" s="64" t="str">
        <f>IF(개요!AI42=0,"",개요!AI42)</f>
        <v/>
      </c>
      <c r="T56" s="64" t="str">
        <f>IF(개요!AJ42=0,"",개요!AJ42)</f>
        <v/>
      </c>
      <c r="U56" s="64" t="str">
        <f>IF(개요!AK42=0,"",개요!AK42)</f>
        <v/>
      </c>
      <c r="V56" s="64" t="str">
        <f>IF(개요!AL42=0,"",개요!AL42)</f>
        <v/>
      </c>
      <c r="W56" s="64" t="str">
        <f>IF(개요!AM42=0,"",개요!AM42)</f>
        <v/>
      </c>
      <c r="X56" s="64" t="str">
        <f>IF(개요!AN42=0,"",개요!AN42)</f>
        <v/>
      </c>
      <c r="Y56" s="64" t="str">
        <f>IF(개요!AO42=0,"",개요!AO42)</f>
        <v/>
      </c>
      <c r="Z56" s="64" t="str">
        <f>IF(개요!AP42=0,"",개요!AP42)</f>
        <v/>
      </c>
      <c r="AA56" s="64" t="str">
        <f>IF(개요!AQ42=0,"",개요!AQ42)</f>
        <v/>
      </c>
      <c r="AB56" s="64" t="str">
        <f>IF(개요!AR42=0,"",개요!AR42)</f>
        <v/>
      </c>
      <c r="AC56" s="64" t="str">
        <f>IF(개요!AS42=0,"",개요!AS42)</f>
        <v/>
      </c>
      <c r="AD56" s="64" t="str">
        <f>IF(개요!AT42=0,"",개요!AT42)</f>
        <v/>
      </c>
      <c r="AE56" s="64" t="str">
        <f>IF(개요!AU42=0,"",개요!AU42)</f>
        <v/>
      </c>
      <c r="AF56" s="64" t="str">
        <f>IF(개요!AV42=0,"",개요!AV42)</f>
        <v/>
      </c>
      <c r="AG56" s="64" t="str">
        <f>IF(개요!AW42=0,"",개요!AW42)</f>
        <v/>
      </c>
      <c r="AH56" s="64" t="str">
        <f>IF(개요!AX42=0,"",개요!AX42)</f>
        <v/>
      </c>
      <c r="AI56" s="64" t="str">
        <f>IF(개요!AY42=0,"",개요!AY42)</f>
        <v/>
      </c>
      <c r="AJ56" s="64" t="str">
        <f>IF(개요!AZ42=0,"",개요!AZ42)</f>
        <v/>
      </c>
      <c r="AK56" s="64" t="str">
        <f>IF(개요!BA42=0,"",개요!BA42)</f>
        <v/>
      </c>
      <c r="AL56" s="64" t="str">
        <f>IF(개요!BB42=0,"",개요!BB42)</f>
        <v/>
      </c>
      <c r="AM56" s="64" t="str">
        <f>IF(개요!BC42=0,"",개요!BC42)</f>
        <v/>
      </c>
      <c r="AN56" s="64" t="str">
        <f>IF(개요!BD42=0,"",개요!BD42)</f>
        <v/>
      </c>
      <c r="AO56" s="64" t="str">
        <f>IF(개요!BE42=0,"",개요!BE42)</f>
        <v/>
      </c>
      <c r="AP56" s="64" t="str">
        <f>IF(개요!BF42=0,"",개요!BF42)</f>
        <v/>
      </c>
      <c r="AQ56" s="64" t="str">
        <f>IF(개요!BG42=0,"",개요!BG42)</f>
        <v/>
      </c>
      <c r="AR56" s="64" t="str">
        <f>IF(개요!BH42=0,"",개요!BH42)</f>
        <v/>
      </c>
      <c r="AS56" s="64" t="str">
        <f>IF(개요!BI42=0,"",개요!BI42)</f>
        <v/>
      </c>
      <c r="AT56" s="64" t="str">
        <f>IF(개요!BJ42=0,"",개요!BJ42)</f>
        <v/>
      </c>
      <c r="AU56" s="64" t="str">
        <f>IF(개요!BK42=0,"",개요!BK42)</f>
        <v/>
      </c>
      <c r="AV56" s="64" t="str">
        <f>IF(개요!BL42=0,"",개요!BL42)</f>
        <v/>
      </c>
      <c r="AW56" s="64" t="str">
        <f>IF(개요!BM42=0,"",개요!BM42)</f>
        <v/>
      </c>
      <c r="AX56" s="64" t="str">
        <f>IF(개요!BN42=0,"",개요!BN42)</f>
        <v/>
      </c>
      <c r="AY56" s="64" t="str">
        <f>IF(개요!BO42=0,"",개요!BO42)</f>
        <v/>
      </c>
      <c r="AZ56" s="64" t="str">
        <f>IF(개요!BP42=0,"",개요!BP42)</f>
        <v/>
      </c>
      <c r="BA56" s="64" t="str">
        <f>IF(개요!BQ42=0,"",개요!BQ42)</f>
        <v/>
      </c>
      <c r="BB56" s="64" t="str">
        <f>IF(개요!BR42=0,"",개요!BR42)</f>
        <v/>
      </c>
      <c r="BC56" s="64" t="str">
        <f>IF(개요!BS42=0,"",개요!BS42)</f>
        <v/>
      </c>
      <c r="BD56" s="64" t="str">
        <f>IF(개요!BT42=0,"",개요!BT42)</f>
        <v/>
      </c>
      <c r="BE56" s="64" t="str">
        <f>IF(개요!BU42=0,"",개요!BU42)</f>
        <v/>
      </c>
      <c r="BF56" s="64" t="str">
        <f>IF(개요!BV42=0,"",개요!BV42)</f>
        <v/>
      </c>
      <c r="BG56" s="64" t="str">
        <f>IF(개요!BW42=0,"",개요!BW42)</f>
        <v/>
      </c>
      <c r="BH56" s="64" t="str">
        <f>IF(개요!BX42=0,"",개요!BX42)</f>
        <v/>
      </c>
      <c r="BI56" s="64" t="str">
        <f>IF(개요!BY42=0,"",개요!BY42)</f>
        <v/>
      </c>
      <c r="BJ56" s="64" t="str">
        <f>IF(개요!BZ42=0,"",개요!BZ42)</f>
        <v/>
      </c>
      <c r="BK56" s="64" t="str">
        <f>IF(개요!CA42=0,"",개요!CA42)</f>
        <v/>
      </c>
      <c r="BL56" s="64" t="str">
        <f>IF(개요!CB42=0,"",개요!CB42)</f>
        <v/>
      </c>
      <c r="BM56" s="64" t="str">
        <f>IF(개요!CC42=0,"",개요!CC42)</f>
        <v/>
      </c>
      <c r="BN56" s="64" t="str">
        <f>IF(개요!CD42=0,"",개요!CD42)</f>
        <v/>
      </c>
      <c r="BO56" s="64" t="str">
        <f>IF(개요!CE42=0,"",개요!CE42)</f>
        <v/>
      </c>
      <c r="BP56" s="64" t="str">
        <f>IF(개요!CF42=0,"",개요!CF42)</f>
        <v/>
      </c>
      <c r="BQ56" s="64" t="str">
        <f>IF(개요!CG42=0,"",개요!CG42)</f>
        <v/>
      </c>
      <c r="BR56" s="64" t="str">
        <f>IF(개요!CH42=0,"",개요!CH42)</f>
        <v/>
      </c>
      <c r="BS56" s="64" t="str">
        <f>IF(개요!CI42=0,"",개요!CI42)</f>
        <v/>
      </c>
      <c r="BT56" s="64" t="str">
        <f>IF(개요!CJ42=0,"",개요!CJ42)</f>
        <v/>
      </c>
      <c r="BU56" s="64" t="str">
        <f>IF(개요!CK42=0,"",개요!CK42)</f>
        <v/>
      </c>
      <c r="BV56" s="64" t="str">
        <f>IF(개요!CL42=0,"",개요!CL42)</f>
        <v/>
      </c>
      <c r="BW56" s="64" t="str">
        <f>IF(개요!CM42=0,"",개요!CM42)</f>
        <v/>
      </c>
      <c r="BX56" s="64" t="str">
        <f>IF(개요!CN42=0,"",개요!CN42)</f>
        <v/>
      </c>
      <c r="BY56" s="64" t="str">
        <f>IF(개요!CO42=0,"",개요!CO42)</f>
        <v/>
      </c>
      <c r="BZ56" s="64" t="str">
        <f>IF(개요!CP42=0,"",개요!CP42)</f>
        <v/>
      </c>
      <c r="CA56" s="64" t="str">
        <f>IF(개요!CQ42=0,"",개요!CQ42)</f>
        <v/>
      </c>
      <c r="CB56" s="64" t="str">
        <f>IF(개요!CR42=0,"",개요!CR42)</f>
        <v/>
      </c>
      <c r="CC56" s="64" t="str">
        <f>IF(개요!CS42=0,"",개요!CS42)</f>
        <v/>
      </c>
      <c r="CD56" s="64" t="str">
        <f>IF(개요!CT42=0,"",개요!CT42)</f>
        <v/>
      </c>
      <c r="CE56" s="64" t="str">
        <f>IF(개요!CU42=0,"",개요!CU42)</f>
        <v/>
      </c>
      <c r="CF56" s="64" t="str">
        <f>IF(개요!CV42=0,"",개요!CV42)</f>
        <v/>
      </c>
      <c r="CG56" s="64" t="str">
        <f>IF(개요!CW42=0,"",개요!CW42)</f>
        <v/>
      </c>
      <c r="CH56" s="64" t="str">
        <f>IF(개요!CX42=0,"",개요!CX42)</f>
        <v/>
      </c>
      <c r="CI56" s="64" t="str">
        <f>IF(개요!CY42=0,"",개요!CY42)</f>
        <v/>
      </c>
      <c r="CJ56" s="64" t="str">
        <f>IF(개요!CZ42=0,"",개요!CZ42)</f>
        <v/>
      </c>
      <c r="CK56" s="64" t="str">
        <f>IF(개요!DA42=0,"",개요!DA42)</f>
        <v/>
      </c>
      <c r="CL56" s="64" t="str">
        <f>IF(개요!DB42=0,"",개요!DB42)</f>
        <v/>
      </c>
      <c r="CM56" s="64" t="str">
        <f>IF(개요!DC42=0,"",개요!DC42)</f>
        <v/>
      </c>
      <c r="CN56" s="64" t="str">
        <f>IF(개요!DD42=0,"",개요!DD42)</f>
        <v/>
      </c>
      <c r="CO56" s="64" t="str">
        <f>IF(개요!DE42=0,"",개요!DE42)</f>
        <v/>
      </c>
      <c r="CP56" s="64" t="str">
        <f>IF(개요!DF42=0,"",개요!DF42)</f>
        <v/>
      </c>
      <c r="CQ56" s="64" t="str">
        <f>IF(개요!DG42=0,"",개요!DG42)</f>
        <v/>
      </c>
      <c r="CR56" s="64" t="str">
        <f>IF(개요!DH42=0,"",개요!DH42)</f>
        <v/>
      </c>
      <c r="CS56" s="64" t="str">
        <f>IF(개요!DI42=0,"",개요!DI42)</f>
        <v/>
      </c>
      <c r="CT56" s="64" t="str">
        <f>IF(개요!DJ42=0,"",개요!DJ42)</f>
        <v/>
      </c>
      <c r="CU56" s="64" t="str">
        <f>IF(개요!DK42=0,"",개요!DK42)</f>
        <v/>
      </c>
      <c r="CV56" s="64" t="str">
        <f>IF(개요!DL42=0,"",개요!DL42)</f>
        <v/>
      </c>
      <c r="CW56" s="64" t="str">
        <f>IF(개요!DM42=0,"",개요!DM42)</f>
        <v/>
      </c>
      <c r="CX56" s="64" t="str">
        <f>IF(개요!DN42=0,"",개요!DN42)</f>
        <v/>
      </c>
      <c r="CY56" s="65" t="str">
        <f t="shared" si="6"/>
        <v/>
      </c>
      <c r="DB56" s="21"/>
      <c r="DC56" s="21"/>
      <c r="DD56" s="21"/>
      <c r="DE56" s="67"/>
      <c r="DF56" s="68"/>
      <c r="DG56" s="67"/>
      <c r="DH56" s="67"/>
      <c r="DI56" s="69"/>
      <c r="DJ56" s="69"/>
      <c r="DK56" s="69"/>
      <c r="DL56" s="69"/>
    </row>
    <row r="57" spans="1:116" ht="15" hidden="1" customHeight="1" outlineLevel="1">
      <c r="A57" s="54">
        <v>36</v>
      </c>
      <c r="B57" s="63" t="str">
        <f>IF(개요!M43=0,"",개요!M43)</f>
        <v/>
      </c>
      <c r="C57" s="64" t="str">
        <f>IF(개요!S43=0,"",개요!S43)</f>
        <v/>
      </c>
      <c r="D57" s="64" t="str">
        <f>IF(개요!T43=0,"",개요!T43)</f>
        <v/>
      </c>
      <c r="E57" s="64" t="str">
        <f>IF(개요!U43=0,"",개요!U43)</f>
        <v/>
      </c>
      <c r="F57" s="64" t="str">
        <f>IF(개요!V43=0,"",개요!V43)</f>
        <v/>
      </c>
      <c r="G57" s="64" t="str">
        <f>IF(개요!W43=0,"",개요!W43)</f>
        <v/>
      </c>
      <c r="H57" s="64" t="str">
        <f>IF(개요!X43=0,"",개요!X43)</f>
        <v/>
      </c>
      <c r="I57" s="64" t="str">
        <f>IF(개요!Y43=0,"",개요!Y43)</f>
        <v/>
      </c>
      <c r="J57" s="64" t="str">
        <f>IF(개요!Z43=0,"",개요!Z43)</f>
        <v/>
      </c>
      <c r="K57" s="64" t="str">
        <f>IF(개요!AA43=0,"",개요!AA43)</f>
        <v/>
      </c>
      <c r="L57" s="64" t="str">
        <f>IF(개요!AB43=0,"",개요!AB43)</f>
        <v/>
      </c>
      <c r="M57" s="64" t="str">
        <f>IF(개요!AC43=0,"",개요!AC43)</f>
        <v/>
      </c>
      <c r="N57" s="64" t="str">
        <f>IF(개요!AD43=0,"",개요!AD43)</f>
        <v/>
      </c>
      <c r="O57" s="64" t="str">
        <f>IF(개요!AE43=0,"",개요!AE43)</f>
        <v/>
      </c>
      <c r="P57" s="64" t="str">
        <f>IF(개요!AF43=0,"",개요!AF43)</f>
        <v/>
      </c>
      <c r="Q57" s="64" t="str">
        <f>IF(개요!AG43=0,"",개요!AG43)</f>
        <v/>
      </c>
      <c r="R57" s="64" t="str">
        <f>IF(개요!AH43=0,"",개요!AH43)</f>
        <v/>
      </c>
      <c r="S57" s="64" t="str">
        <f>IF(개요!AI43=0,"",개요!AI43)</f>
        <v/>
      </c>
      <c r="T57" s="64" t="str">
        <f>IF(개요!AJ43=0,"",개요!AJ43)</f>
        <v/>
      </c>
      <c r="U57" s="64" t="str">
        <f>IF(개요!AK43=0,"",개요!AK43)</f>
        <v/>
      </c>
      <c r="V57" s="64" t="str">
        <f>IF(개요!AL43=0,"",개요!AL43)</f>
        <v/>
      </c>
      <c r="W57" s="64" t="str">
        <f>IF(개요!AM43=0,"",개요!AM43)</f>
        <v/>
      </c>
      <c r="X57" s="64" t="str">
        <f>IF(개요!AN43=0,"",개요!AN43)</f>
        <v/>
      </c>
      <c r="Y57" s="64" t="str">
        <f>IF(개요!AO43=0,"",개요!AO43)</f>
        <v/>
      </c>
      <c r="Z57" s="64" t="str">
        <f>IF(개요!AP43=0,"",개요!AP43)</f>
        <v/>
      </c>
      <c r="AA57" s="64" t="str">
        <f>IF(개요!AQ43=0,"",개요!AQ43)</f>
        <v/>
      </c>
      <c r="AB57" s="64" t="str">
        <f>IF(개요!AR43=0,"",개요!AR43)</f>
        <v/>
      </c>
      <c r="AC57" s="64" t="str">
        <f>IF(개요!AS43=0,"",개요!AS43)</f>
        <v/>
      </c>
      <c r="AD57" s="64" t="str">
        <f>IF(개요!AT43=0,"",개요!AT43)</f>
        <v/>
      </c>
      <c r="AE57" s="64" t="str">
        <f>IF(개요!AU43=0,"",개요!AU43)</f>
        <v/>
      </c>
      <c r="AF57" s="64" t="str">
        <f>IF(개요!AV43=0,"",개요!AV43)</f>
        <v/>
      </c>
      <c r="AG57" s="64" t="str">
        <f>IF(개요!AW43=0,"",개요!AW43)</f>
        <v/>
      </c>
      <c r="AH57" s="64" t="str">
        <f>IF(개요!AX43=0,"",개요!AX43)</f>
        <v/>
      </c>
      <c r="AI57" s="64" t="str">
        <f>IF(개요!AY43=0,"",개요!AY43)</f>
        <v/>
      </c>
      <c r="AJ57" s="64" t="str">
        <f>IF(개요!AZ43=0,"",개요!AZ43)</f>
        <v/>
      </c>
      <c r="AK57" s="64" t="str">
        <f>IF(개요!BA43=0,"",개요!BA43)</f>
        <v/>
      </c>
      <c r="AL57" s="64" t="str">
        <f>IF(개요!BB43=0,"",개요!BB43)</f>
        <v/>
      </c>
      <c r="AM57" s="64" t="str">
        <f>IF(개요!BC43=0,"",개요!BC43)</f>
        <v/>
      </c>
      <c r="AN57" s="64" t="str">
        <f>IF(개요!BD43=0,"",개요!BD43)</f>
        <v/>
      </c>
      <c r="AO57" s="64" t="str">
        <f>IF(개요!BE43=0,"",개요!BE43)</f>
        <v/>
      </c>
      <c r="AP57" s="64" t="str">
        <f>IF(개요!BF43=0,"",개요!BF43)</f>
        <v/>
      </c>
      <c r="AQ57" s="64" t="str">
        <f>IF(개요!BG43=0,"",개요!BG43)</f>
        <v/>
      </c>
      <c r="AR57" s="64" t="str">
        <f>IF(개요!BH43=0,"",개요!BH43)</f>
        <v/>
      </c>
      <c r="AS57" s="64" t="str">
        <f>IF(개요!BI43=0,"",개요!BI43)</f>
        <v/>
      </c>
      <c r="AT57" s="64" t="str">
        <f>IF(개요!BJ43=0,"",개요!BJ43)</f>
        <v/>
      </c>
      <c r="AU57" s="64" t="str">
        <f>IF(개요!BK43=0,"",개요!BK43)</f>
        <v/>
      </c>
      <c r="AV57" s="64" t="str">
        <f>IF(개요!BL43=0,"",개요!BL43)</f>
        <v/>
      </c>
      <c r="AW57" s="64" t="str">
        <f>IF(개요!BM43=0,"",개요!BM43)</f>
        <v/>
      </c>
      <c r="AX57" s="64" t="str">
        <f>IF(개요!BN43=0,"",개요!BN43)</f>
        <v/>
      </c>
      <c r="AY57" s="64" t="str">
        <f>IF(개요!BO43=0,"",개요!BO43)</f>
        <v/>
      </c>
      <c r="AZ57" s="64" t="str">
        <f>IF(개요!BP43=0,"",개요!BP43)</f>
        <v/>
      </c>
      <c r="BA57" s="64" t="str">
        <f>IF(개요!BQ43=0,"",개요!BQ43)</f>
        <v/>
      </c>
      <c r="BB57" s="64" t="str">
        <f>IF(개요!BR43=0,"",개요!BR43)</f>
        <v/>
      </c>
      <c r="BC57" s="64" t="str">
        <f>IF(개요!BS43=0,"",개요!BS43)</f>
        <v/>
      </c>
      <c r="BD57" s="64" t="str">
        <f>IF(개요!BT43=0,"",개요!BT43)</f>
        <v/>
      </c>
      <c r="BE57" s="64" t="str">
        <f>IF(개요!BU43=0,"",개요!BU43)</f>
        <v/>
      </c>
      <c r="BF57" s="64" t="str">
        <f>IF(개요!BV43=0,"",개요!BV43)</f>
        <v/>
      </c>
      <c r="BG57" s="64" t="str">
        <f>IF(개요!BW43=0,"",개요!BW43)</f>
        <v/>
      </c>
      <c r="BH57" s="64" t="str">
        <f>IF(개요!BX43=0,"",개요!BX43)</f>
        <v/>
      </c>
      <c r="BI57" s="64" t="str">
        <f>IF(개요!BY43=0,"",개요!BY43)</f>
        <v/>
      </c>
      <c r="BJ57" s="64" t="str">
        <f>IF(개요!BZ43=0,"",개요!BZ43)</f>
        <v/>
      </c>
      <c r="BK57" s="64" t="str">
        <f>IF(개요!CA43=0,"",개요!CA43)</f>
        <v/>
      </c>
      <c r="BL57" s="64" t="str">
        <f>IF(개요!CB43=0,"",개요!CB43)</f>
        <v/>
      </c>
      <c r="BM57" s="64" t="str">
        <f>IF(개요!CC43=0,"",개요!CC43)</f>
        <v/>
      </c>
      <c r="BN57" s="64" t="str">
        <f>IF(개요!CD43=0,"",개요!CD43)</f>
        <v/>
      </c>
      <c r="BO57" s="64" t="str">
        <f>IF(개요!CE43=0,"",개요!CE43)</f>
        <v/>
      </c>
      <c r="BP57" s="64" t="str">
        <f>IF(개요!CF43=0,"",개요!CF43)</f>
        <v/>
      </c>
      <c r="BQ57" s="64" t="str">
        <f>IF(개요!CG43=0,"",개요!CG43)</f>
        <v/>
      </c>
      <c r="BR57" s="64" t="str">
        <f>IF(개요!CH43=0,"",개요!CH43)</f>
        <v/>
      </c>
      <c r="BS57" s="64" t="str">
        <f>IF(개요!CI43=0,"",개요!CI43)</f>
        <v/>
      </c>
      <c r="BT57" s="64" t="str">
        <f>IF(개요!CJ43=0,"",개요!CJ43)</f>
        <v/>
      </c>
      <c r="BU57" s="64" t="str">
        <f>IF(개요!CK43=0,"",개요!CK43)</f>
        <v/>
      </c>
      <c r="BV57" s="64" t="str">
        <f>IF(개요!CL43=0,"",개요!CL43)</f>
        <v/>
      </c>
      <c r="BW57" s="64" t="str">
        <f>IF(개요!CM43=0,"",개요!CM43)</f>
        <v/>
      </c>
      <c r="BX57" s="64" t="str">
        <f>IF(개요!CN43=0,"",개요!CN43)</f>
        <v/>
      </c>
      <c r="BY57" s="64" t="str">
        <f>IF(개요!CO43=0,"",개요!CO43)</f>
        <v/>
      </c>
      <c r="BZ57" s="64" t="str">
        <f>IF(개요!CP43=0,"",개요!CP43)</f>
        <v/>
      </c>
      <c r="CA57" s="64" t="str">
        <f>IF(개요!CQ43=0,"",개요!CQ43)</f>
        <v/>
      </c>
      <c r="CB57" s="64" t="str">
        <f>IF(개요!CR43=0,"",개요!CR43)</f>
        <v/>
      </c>
      <c r="CC57" s="64" t="str">
        <f>IF(개요!CS43=0,"",개요!CS43)</f>
        <v/>
      </c>
      <c r="CD57" s="64" t="str">
        <f>IF(개요!CT43=0,"",개요!CT43)</f>
        <v/>
      </c>
      <c r="CE57" s="64" t="str">
        <f>IF(개요!CU43=0,"",개요!CU43)</f>
        <v/>
      </c>
      <c r="CF57" s="64" t="str">
        <f>IF(개요!CV43=0,"",개요!CV43)</f>
        <v/>
      </c>
      <c r="CG57" s="64" t="str">
        <f>IF(개요!CW43=0,"",개요!CW43)</f>
        <v/>
      </c>
      <c r="CH57" s="64" t="str">
        <f>IF(개요!CX43=0,"",개요!CX43)</f>
        <v/>
      </c>
      <c r="CI57" s="64" t="str">
        <f>IF(개요!CY43=0,"",개요!CY43)</f>
        <v/>
      </c>
      <c r="CJ57" s="64" t="str">
        <f>IF(개요!CZ43=0,"",개요!CZ43)</f>
        <v/>
      </c>
      <c r="CK57" s="64" t="str">
        <f>IF(개요!DA43=0,"",개요!DA43)</f>
        <v/>
      </c>
      <c r="CL57" s="64" t="str">
        <f>IF(개요!DB43=0,"",개요!DB43)</f>
        <v/>
      </c>
      <c r="CM57" s="64" t="str">
        <f>IF(개요!DC43=0,"",개요!DC43)</f>
        <v/>
      </c>
      <c r="CN57" s="64" t="str">
        <f>IF(개요!DD43=0,"",개요!DD43)</f>
        <v/>
      </c>
      <c r="CO57" s="64" t="str">
        <f>IF(개요!DE43=0,"",개요!DE43)</f>
        <v/>
      </c>
      <c r="CP57" s="64" t="str">
        <f>IF(개요!DF43=0,"",개요!DF43)</f>
        <v/>
      </c>
      <c r="CQ57" s="64" t="str">
        <f>IF(개요!DG43=0,"",개요!DG43)</f>
        <v/>
      </c>
      <c r="CR57" s="64" t="str">
        <f>IF(개요!DH43=0,"",개요!DH43)</f>
        <v/>
      </c>
      <c r="CS57" s="64" t="str">
        <f>IF(개요!DI43=0,"",개요!DI43)</f>
        <v/>
      </c>
      <c r="CT57" s="64" t="str">
        <f>IF(개요!DJ43=0,"",개요!DJ43)</f>
        <v/>
      </c>
      <c r="CU57" s="64" t="str">
        <f>IF(개요!DK43=0,"",개요!DK43)</f>
        <v/>
      </c>
      <c r="CV57" s="64" t="str">
        <f>IF(개요!DL43=0,"",개요!DL43)</f>
        <v/>
      </c>
      <c r="CW57" s="64" t="str">
        <f>IF(개요!DM43=0,"",개요!DM43)</f>
        <v/>
      </c>
      <c r="CX57" s="64" t="str">
        <f>IF(개요!DN43=0,"",개요!DN43)</f>
        <v/>
      </c>
      <c r="CY57" s="65" t="str">
        <f t="shared" si="6"/>
        <v/>
      </c>
      <c r="DB57" s="21"/>
      <c r="DC57" s="21"/>
      <c r="DD57" s="21"/>
      <c r="DE57" s="67"/>
      <c r="DF57" s="68"/>
      <c r="DG57" s="67"/>
      <c r="DH57" s="67"/>
      <c r="DI57" s="69"/>
      <c r="DJ57" s="69"/>
      <c r="DK57" s="69"/>
      <c r="DL57" s="69"/>
    </row>
    <row r="58" spans="1:116" ht="15" hidden="1" customHeight="1" outlineLevel="1">
      <c r="A58" s="54">
        <v>37</v>
      </c>
      <c r="B58" s="63" t="str">
        <f>IF(개요!M44=0,"",개요!M44)</f>
        <v/>
      </c>
      <c r="C58" s="64" t="str">
        <f>IF(개요!S44=0,"",개요!S44)</f>
        <v/>
      </c>
      <c r="D58" s="64" t="str">
        <f>IF(개요!T44=0,"",개요!T44)</f>
        <v/>
      </c>
      <c r="E58" s="64" t="str">
        <f>IF(개요!U44=0,"",개요!U44)</f>
        <v/>
      </c>
      <c r="F58" s="64" t="str">
        <f>IF(개요!V44=0,"",개요!V44)</f>
        <v/>
      </c>
      <c r="G58" s="64" t="str">
        <f>IF(개요!W44=0,"",개요!W44)</f>
        <v/>
      </c>
      <c r="H58" s="64" t="str">
        <f>IF(개요!X44=0,"",개요!X44)</f>
        <v/>
      </c>
      <c r="I58" s="64" t="str">
        <f>IF(개요!Y44=0,"",개요!Y44)</f>
        <v/>
      </c>
      <c r="J58" s="64" t="str">
        <f>IF(개요!Z44=0,"",개요!Z44)</f>
        <v/>
      </c>
      <c r="K58" s="64" t="str">
        <f>IF(개요!AA44=0,"",개요!AA44)</f>
        <v/>
      </c>
      <c r="L58" s="64" t="str">
        <f>IF(개요!AB44=0,"",개요!AB44)</f>
        <v/>
      </c>
      <c r="M58" s="64" t="str">
        <f>IF(개요!AC44=0,"",개요!AC44)</f>
        <v/>
      </c>
      <c r="N58" s="64" t="str">
        <f>IF(개요!AD44=0,"",개요!AD44)</f>
        <v/>
      </c>
      <c r="O58" s="64" t="str">
        <f>IF(개요!AE44=0,"",개요!AE44)</f>
        <v/>
      </c>
      <c r="P58" s="64" t="str">
        <f>IF(개요!AF44=0,"",개요!AF44)</f>
        <v/>
      </c>
      <c r="Q58" s="64" t="str">
        <f>IF(개요!AG44=0,"",개요!AG44)</f>
        <v/>
      </c>
      <c r="R58" s="64" t="str">
        <f>IF(개요!AH44=0,"",개요!AH44)</f>
        <v/>
      </c>
      <c r="S58" s="64" t="str">
        <f>IF(개요!AI44=0,"",개요!AI44)</f>
        <v/>
      </c>
      <c r="T58" s="64" t="str">
        <f>IF(개요!AJ44=0,"",개요!AJ44)</f>
        <v/>
      </c>
      <c r="U58" s="64" t="str">
        <f>IF(개요!AK44=0,"",개요!AK44)</f>
        <v/>
      </c>
      <c r="V58" s="64" t="str">
        <f>IF(개요!AL44=0,"",개요!AL44)</f>
        <v/>
      </c>
      <c r="W58" s="64" t="str">
        <f>IF(개요!AM44=0,"",개요!AM44)</f>
        <v/>
      </c>
      <c r="X58" s="64" t="str">
        <f>IF(개요!AN44=0,"",개요!AN44)</f>
        <v/>
      </c>
      <c r="Y58" s="64" t="str">
        <f>IF(개요!AO44=0,"",개요!AO44)</f>
        <v/>
      </c>
      <c r="Z58" s="64" t="str">
        <f>IF(개요!AP44=0,"",개요!AP44)</f>
        <v/>
      </c>
      <c r="AA58" s="64" t="str">
        <f>IF(개요!AQ44=0,"",개요!AQ44)</f>
        <v/>
      </c>
      <c r="AB58" s="64" t="str">
        <f>IF(개요!AR44=0,"",개요!AR44)</f>
        <v/>
      </c>
      <c r="AC58" s="64" t="str">
        <f>IF(개요!AS44=0,"",개요!AS44)</f>
        <v/>
      </c>
      <c r="AD58" s="64" t="str">
        <f>IF(개요!AT44=0,"",개요!AT44)</f>
        <v/>
      </c>
      <c r="AE58" s="64" t="str">
        <f>IF(개요!AU44=0,"",개요!AU44)</f>
        <v/>
      </c>
      <c r="AF58" s="64" t="str">
        <f>IF(개요!AV44=0,"",개요!AV44)</f>
        <v/>
      </c>
      <c r="AG58" s="64" t="str">
        <f>IF(개요!AW44=0,"",개요!AW44)</f>
        <v/>
      </c>
      <c r="AH58" s="64" t="str">
        <f>IF(개요!AX44=0,"",개요!AX44)</f>
        <v/>
      </c>
      <c r="AI58" s="64" t="str">
        <f>IF(개요!AY44=0,"",개요!AY44)</f>
        <v/>
      </c>
      <c r="AJ58" s="64" t="str">
        <f>IF(개요!AZ44=0,"",개요!AZ44)</f>
        <v/>
      </c>
      <c r="AK58" s="64" t="str">
        <f>IF(개요!BA44=0,"",개요!BA44)</f>
        <v/>
      </c>
      <c r="AL58" s="64" t="str">
        <f>IF(개요!BB44=0,"",개요!BB44)</f>
        <v/>
      </c>
      <c r="AM58" s="64" t="str">
        <f>IF(개요!BC44=0,"",개요!BC44)</f>
        <v/>
      </c>
      <c r="AN58" s="64" t="str">
        <f>IF(개요!BD44=0,"",개요!BD44)</f>
        <v/>
      </c>
      <c r="AO58" s="64" t="str">
        <f>IF(개요!BE44=0,"",개요!BE44)</f>
        <v/>
      </c>
      <c r="AP58" s="64" t="str">
        <f>IF(개요!BF44=0,"",개요!BF44)</f>
        <v/>
      </c>
      <c r="AQ58" s="64" t="str">
        <f>IF(개요!BG44=0,"",개요!BG44)</f>
        <v/>
      </c>
      <c r="AR58" s="64" t="str">
        <f>IF(개요!BH44=0,"",개요!BH44)</f>
        <v/>
      </c>
      <c r="AS58" s="64" t="str">
        <f>IF(개요!BI44=0,"",개요!BI44)</f>
        <v/>
      </c>
      <c r="AT58" s="64" t="str">
        <f>IF(개요!BJ44=0,"",개요!BJ44)</f>
        <v/>
      </c>
      <c r="AU58" s="64" t="str">
        <f>IF(개요!BK44=0,"",개요!BK44)</f>
        <v/>
      </c>
      <c r="AV58" s="64" t="str">
        <f>IF(개요!BL44=0,"",개요!BL44)</f>
        <v/>
      </c>
      <c r="AW58" s="64" t="str">
        <f>IF(개요!BM44=0,"",개요!BM44)</f>
        <v/>
      </c>
      <c r="AX58" s="64" t="str">
        <f>IF(개요!BN44=0,"",개요!BN44)</f>
        <v/>
      </c>
      <c r="AY58" s="64" t="str">
        <f>IF(개요!BO44=0,"",개요!BO44)</f>
        <v/>
      </c>
      <c r="AZ58" s="64" t="str">
        <f>IF(개요!BP44=0,"",개요!BP44)</f>
        <v/>
      </c>
      <c r="BA58" s="64" t="str">
        <f>IF(개요!BQ44=0,"",개요!BQ44)</f>
        <v/>
      </c>
      <c r="BB58" s="64" t="str">
        <f>IF(개요!BR44=0,"",개요!BR44)</f>
        <v/>
      </c>
      <c r="BC58" s="64" t="str">
        <f>IF(개요!BS44=0,"",개요!BS44)</f>
        <v/>
      </c>
      <c r="BD58" s="64" t="str">
        <f>IF(개요!BT44=0,"",개요!BT44)</f>
        <v/>
      </c>
      <c r="BE58" s="64" t="str">
        <f>IF(개요!BU44=0,"",개요!BU44)</f>
        <v/>
      </c>
      <c r="BF58" s="64" t="str">
        <f>IF(개요!BV44=0,"",개요!BV44)</f>
        <v/>
      </c>
      <c r="BG58" s="64" t="str">
        <f>IF(개요!BW44=0,"",개요!BW44)</f>
        <v/>
      </c>
      <c r="BH58" s="64" t="str">
        <f>IF(개요!BX44=0,"",개요!BX44)</f>
        <v/>
      </c>
      <c r="BI58" s="64" t="str">
        <f>IF(개요!BY44=0,"",개요!BY44)</f>
        <v/>
      </c>
      <c r="BJ58" s="64" t="str">
        <f>IF(개요!BZ44=0,"",개요!BZ44)</f>
        <v/>
      </c>
      <c r="BK58" s="64" t="str">
        <f>IF(개요!CA44=0,"",개요!CA44)</f>
        <v/>
      </c>
      <c r="BL58" s="64" t="str">
        <f>IF(개요!CB44=0,"",개요!CB44)</f>
        <v/>
      </c>
      <c r="BM58" s="64" t="str">
        <f>IF(개요!CC44=0,"",개요!CC44)</f>
        <v/>
      </c>
      <c r="BN58" s="64" t="str">
        <f>IF(개요!CD44=0,"",개요!CD44)</f>
        <v/>
      </c>
      <c r="BO58" s="64" t="str">
        <f>IF(개요!CE44=0,"",개요!CE44)</f>
        <v/>
      </c>
      <c r="BP58" s="64" t="str">
        <f>IF(개요!CF44=0,"",개요!CF44)</f>
        <v/>
      </c>
      <c r="BQ58" s="64" t="str">
        <f>IF(개요!CG44=0,"",개요!CG44)</f>
        <v/>
      </c>
      <c r="BR58" s="64" t="str">
        <f>IF(개요!CH44=0,"",개요!CH44)</f>
        <v/>
      </c>
      <c r="BS58" s="64" t="str">
        <f>IF(개요!CI44=0,"",개요!CI44)</f>
        <v/>
      </c>
      <c r="BT58" s="64" t="str">
        <f>IF(개요!CJ44=0,"",개요!CJ44)</f>
        <v/>
      </c>
      <c r="BU58" s="64" t="str">
        <f>IF(개요!CK44=0,"",개요!CK44)</f>
        <v/>
      </c>
      <c r="BV58" s="64" t="str">
        <f>IF(개요!CL44=0,"",개요!CL44)</f>
        <v/>
      </c>
      <c r="BW58" s="64" t="str">
        <f>IF(개요!CM44=0,"",개요!CM44)</f>
        <v/>
      </c>
      <c r="BX58" s="64" t="str">
        <f>IF(개요!CN44=0,"",개요!CN44)</f>
        <v/>
      </c>
      <c r="BY58" s="64" t="str">
        <f>IF(개요!CO44=0,"",개요!CO44)</f>
        <v/>
      </c>
      <c r="BZ58" s="64" t="str">
        <f>IF(개요!CP44=0,"",개요!CP44)</f>
        <v/>
      </c>
      <c r="CA58" s="64" t="str">
        <f>IF(개요!CQ44=0,"",개요!CQ44)</f>
        <v/>
      </c>
      <c r="CB58" s="64" t="str">
        <f>IF(개요!CR44=0,"",개요!CR44)</f>
        <v/>
      </c>
      <c r="CC58" s="64" t="str">
        <f>IF(개요!CS44=0,"",개요!CS44)</f>
        <v/>
      </c>
      <c r="CD58" s="64" t="str">
        <f>IF(개요!CT44=0,"",개요!CT44)</f>
        <v/>
      </c>
      <c r="CE58" s="64" t="str">
        <f>IF(개요!CU44=0,"",개요!CU44)</f>
        <v/>
      </c>
      <c r="CF58" s="64" t="str">
        <f>IF(개요!CV44=0,"",개요!CV44)</f>
        <v/>
      </c>
      <c r="CG58" s="64" t="str">
        <f>IF(개요!CW44=0,"",개요!CW44)</f>
        <v/>
      </c>
      <c r="CH58" s="64" t="str">
        <f>IF(개요!CX44=0,"",개요!CX44)</f>
        <v/>
      </c>
      <c r="CI58" s="64" t="str">
        <f>IF(개요!CY44=0,"",개요!CY44)</f>
        <v/>
      </c>
      <c r="CJ58" s="64" t="str">
        <f>IF(개요!CZ44=0,"",개요!CZ44)</f>
        <v/>
      </c>
      <c r="CK58" s="64" t="str">
        <f>IF(개요!DA44=0,"",개요!DA44)</f>
        <v/>
      </c>
      <c r="CL58" s="64" t="str">
        <f>IF(개요!DB44=0,"",개요!DB44)</f>
        <v/>
      </c>
      <c r="CM58" s="64" t="str">
        <f>IF(개요!DC44=0,"",개요!DC44)</f>
        <v/>
      </c>
      <c r="CN58" s="64" t="str">
        <f>IF(개요!DD44=0,"",개요!DD44)</f>
        <v/>
      </c>
      <c r="CO58" s="64" t="str">
        <f>IF(개요!DE44=0,"",개요!DE44)</f>
        <v/>
      </c>
      <c r="CP58" s="64" t="str">
        <f>IF(개요!DF44=0,"",개요!DF44)</f>
        <v/>
      </c>
      <c r="CQ58" s="64" t="str">
        <f>IF(개요!DG44=0,"",개요!DG44)</f>
        <v/>
      </c>
      <c r="CR58" s="64" t="str">
        <f>IF(개요!DH44=0,"",개요!DH44)</f>
        <v/>
      </c>
      <c r="CS58" s="64" t="str">
        <f>IF(개요!DI44=0,"",개요!DI44)</f>
        <v/>
      </c>
      <c r="CT58" s="64" t="str">
        <f>IF(개요!DJ44=0,"",개요!DJ44)</f>
        <v/>
      </c>
      <c r="CU58" s="64" t="str">
        <f>IF(개요!DK44=0,"",개요!DK44)</f>
        <v/>
      </c>
      <c r="CV58" s="64" t="str">
        <f>IF(개요!DL44=0,"",개요!DL44)</f>
        <v/>
      </c>
      <c r="CW58" s="64" t="str">
        <f>IF(개요!DM44=0,"",개요!DM44)</f>
        <v/>
      </c>
      <c r="CX58" s="64" t="str">
        <f>IF(개요!DN44=0,"",개요!DN44)</f>
        <v/>
      </c>
      <c r="CY58" s="65" t="str">
        <f t="shared" si="6"/>
        <v/>
      </c>
      <c r="DB58" s="21"/>
      <c r="DC58" s="21"/>
      <c r="DD58" s="21"/>
      <c r="DE58" s="67"/>
      <c r="DF58" s="68"/>
      <c r="DG58" s="67"/>
      <c r="DH58" s="67"/>
      <c r="DI58" s="69"/>
      <c r="DJ58" s="69"/>
      <c r="DK58" s="69"/>
      <c r="DL58" s="69"/>
    </row>
    <row r="59" spans="1:116" ht="15" hidden="1" customHeight="1" outlineLevel="1">
      <c r="A59" s="54">
        <v>38</v>
      </c>
      <c r="B59" s="63" t="str">
        <f>IF(개요!M45=0,"",개요!M45)</f>
        <v/>
      </c>
      <c r="C59" s="64" t="str">
        <f>IF(개요!S45=0,"",개요!S45)</f>
        <v/>
      </c>
      <c r="D59" s="64" t="str">
        <f>IF(개요!T45=0,"",개요!T45)</f>
        <v/>
      </c>
      <c r="E59" s="64" t="str">
        <f>IF(개요!U45=0,"",개요!U45)</f>
        <v/>
      </c>
      <c r="F59" s="64" t="str">
        <f>IF(개요!V45=0,"",개요!V45)</f>
        <v/>
      </c>
      <c r="G59" s="64" t="str">
        <f>IF(개요!W45=0,"",개요!W45)</f>
        <v/>
      </c>
      <c r="H59" s="64" t="str">
        <f>IF(개요!X45=0,"",개요!X45)</f>
        <v/>
      </c>
      <c r="I59" s="64" t="str">
        <f>IF(개요!Y45=0,"",개요!Y45)</f>
        <v/>
      </c>
      <c r="J59" s="64" t="str">
        <f>IF(개요!Z45=0,"",개요!Z45)</f>
        <v/>
      </c>
      <c r="K59" s="64" t="str">
        <f>IF(개요!AA45=0,"",개요!AA45)</f>
        <v/>
      </c>
      <c r="L59" s="64" t="str">
        <f>IF(개요!AB45=0,"",개요!AB45)</f>
        <v/>
      </c>
      <c r="M59" s="64" t="str">
        <f>IF(개요!AC45=0,"",개요!AC45)</f>
        <v/>
      </c>
      <c r="N59" s="64" t="str">
        <f>IF(개요!AD45=0,"",개요!AD45)</f>
        <v/>
      </c>
      <c r="O59" s="64" t="str">
        <f>IF(개요!AE45=0,"",개요!AE45)</f>
        <v/>
      </c>
      <c r="P59" s="64" t="str">
        <f>IF(개요!AF45=0,"",개요!AF45)</f>
        <v/>
      </c>
      <c r="Q59" s="64" t="str">
        <f>IF(개요!AG45=0,"",개요!AG45)</f>
        <v/>
      </c>
      <c r="R59" s="64" t="str">
        <f>IF(개요!AH45=0,"",개요!AH45)</f>
        <v/>
      </c>
      <c r="S59" s="64" t="str">
        <f>IF(개요!AI45=0,"",개요!AI45)</f>
        <v/>
      </c>
      <c r="T59" s="64" t="str">
        <f>IF(개요!AJ45=0,"",개요!AJ45)</f>
        <v/>
      </c>
      <c r="U59" s="64" t="str">
        <f>IF(개요!AK45=0,"",개요!AK45)</f>
        <v/>
      </c>
      <c r="V59" s="64" t="str">
        <f>IF(개요!AL45=0,"",개요!AL45)</f>
        <v/>
      </c>
      <c r="W59" s="64" t="str">
        <f>IF(개요!AM45=0,"",개요!AM45)</f>
        <v/>
      </c>
      <c r="X59" s="64" t="str">
        <f>IF(개요!AN45=0,"",개요!AN45)</f>
        <v/>
      </c>
      <c r="Y59" s="64" t="str">
        <f>IF(개요!AO45=0,"",개요!AO45)</f>
        <v/>
      </c>
      <c r="Z59" s="64" t="str">
        <f>IF(개요!AP45=0,"",개요!AP45)</f>
        <v/>
      </c>
      <c r="AA59" s="64" t="str">
        <f>IF(개요!AQ45=0,"",개요!AQ45)</f>
        <v/>
      </c>
      <c r="AB59" s="64" t="str">
        <f>IF(개요!AR45=0,"",개요!AR45)</f>
        <v/>
      </c>
      <c r="AC59" s="64" t="str">
        <f>IF(개요!AS45=0,"",개요!AS45)</f>
        <v/>
      </c>
      <c r="AD59" s="64" t="str">
        <f>IF(개요!AT45=0,"",개요!AT45)</f>
        <v/>
      </c>
      <c r="AE59" s="64" t="str">
        <f>IF(개요!AU45=0,"",개요!AU45)</f>
        <v/>
      </c>
      <c r="AF59" s="64" t="str">
        <f>IF(개요!AV45=0,"",개요!AV45)</f>
        <v/>
      </c>
      <c r="AG59" s="64" t="str">
        <f>IF(개요!AW45=0,"",개요!AW45)</f>
        <v/>
      </c>
      <c r="AH59" s="64" t="str">
        <f>IF(개요!AX45=0,"",개요!AX45)</f>
        <v/>
      </c>
      <c r="AI59" s="64" t="str">
        <f>IF(개요!AY45=0,"",개요!AY45)</f>
        <v/>
      </c>
      <c r="AJ59" s="64" t="str">
        <f>IF(개요!AZ45=0,"",개요!AZ45)</f>
        <v/>
      </c>
      <c r="AK59" s="64" t="str">
        <f>IF(개요!BA45=0,"",개요!BA45)</f>
        <v/>
      </c>
      <c r="AL59" s="64" t="str">
        <f>IF(개요!BB45=0,"",개요!BB45)</f>
        <v/>
      </c>
      <c r="AM59" s="64" t="str">
        <f>IF(개요!BC45=0,"",개요!BC45)</f>
        <v/>
      </c>
      <c r="AN59" s="64" t="str">
        <f>IF(개요!BD45=0,"",개요!BD45)</f>
        <v/>
      </c>
      <c r="AO59" s="64" t="str">
        <f>IF(개요!BE45=0,"",개요!BE45)</f>
        <v/>
      </c>
      <c r="AP59" s="64" t="str">
        <f>IF(개요!BF45=0,"",개요!BF45)</f>
        <v/>
      </c>
      <c r="AQ59" s="64" t="str">
        <f>IF(개요!BG45=0,"",개요!BG45)</f>
        <v/>
      </c>
      <c r="AR59" s="64" t="str">
        <f>IF(개요!BH45=0,"",개요!BH45)</f>
        <v/>
      </c>
      <c r="AS59" s="64" t="str">
        <f>IF(개요!BI45=0,"",개요!BI45)</f>
        <v/>
      </c>
      <c r="AT59" s="64" t="str">
        <f>IF(개요!BJ45=0,"",개요!BJ45)</f>
        <v/>
      </c>
      <c r="AU59" s="64" t="str">
        <f>IF(개요!BK45=0,"",개요!BK45)</f>
        <v/>
      </c>
      <c r="AV59" s="64" t="str">
        <f>IF(개요!BL45=0,"",개요!BL45)</f>
        <v/>
      </c>
      <c r="AW59" s="64" t="str">
        <f>IF(개요!BM45=0,"",개요!BM45)</f>
        <v/>
      </c>
      <c r="AX59" s="64" t="str">
        <f>IF(개요!BN45=0,"",개요!BN45)</f>
        <v/>
      </c>
      <c r="AY59" s="64" t="str">
        <f>IF(개요!BO45=0,"",개요!BO45)</f>
        <v/>
      </c>
      <c r="AZ59" s="64" t="str">
        <f>IF(개요!BP45=0,"",개요!BP45)</f>
        <v/>
      </c>
      <c r="BA59" s="64" t="str">
        <f>IF(개요!BQ45=0,"",개요!BQ45)</f>
        <v/>
      </c>
      <c r="BB59" s="64" t="str">
        <f>IF(개요!BR45=0,"",개요!BR45)</f>
        <v/>
      </c>
      <c r="BC59" s="64" t="str">
        <f>IF(개요!BS45=0,"",개요!BS45)</f>
        <v/>
      </c>
      <c r="BD59" s="64" t="str">
        <f>IF(개요!BT45=0,"",개요!BT45)</f>
        <v/>
      </c>
      <c r="BE59" s="64" t="str">
        <f>IF(개요!BU45=0,"",개요!BU45)</f>
        <v/>
      </c>
      <c r="BF59" s="64" t="str">
        <f>IF(개요!BV45=0,"",개요!BV45)</f>
        <v/>
      </c>
      <c r="BG59" s="64" t="str">
        <f>IF(개요!BW45=0,"",개요!BW45)</f>
        <v/>
      </c>
      <c r="BH59" s="64" t="str">
        <f>IF(개요!BX45=0,"",개요!BX45)</f>
        <v/>
      </c>
      <c r="BI59" s="64" t="str">
        <f>IF(개요!BY45=0,"",개요!BY45)</f>
        <v/>
      </c>
      <c r="BJ59" s="64" t="str">
        <f>IF(개요!BZ45=0,"",개요!BZ45)</f>
        <v/>
      </c>
      <c r="BK59" s="64" t="str">
        <f>IF(개요!CA45=0,"",개요!CA45)</f>
        <v/>
      </c>
      <c r="BL59" s="64" t="str">
        <f>IF(개요!CB45=0,"",개요!CB45)</f>
        <v/>
      </c>
      <c r="BM59" s="64" t="str">
        <f>IF(개요!CC45=0,"",개요!CC45)</f>
        <v/>
      </c>
      <c r="BN59" s="64" t="str">
        <f>IF(개요!CD45=0,"",개요!CD45)</f>
        <v/>
      </c>
      <c r="BO59" s="64" t="str">
        <f>IF(개요!CE45=0,"",개요!CE45)</f>
        <v/>
      </c>
      <c r="BP59" s="64" t="str">
        <f>IF(개요!CF45=0,"",개요!CF45)</f>
        <v/>
      </c>
      <c r="BQ59" s="64" t="str">
        <f>IF(개요!CG45=0,"",개요!CG45)</f>
        <v/>
      </c>
      <c r="BR59" s="64" t="str">
        <f>IF(개요!CH45=0,"",개요!CH45)</f>
        <v/>
      </c>
      <c r="BS59" s="64" t="str">
        <f>IF(개요!CI45=0,"",개요!CI45)</f>
        <v/>
      </c>
      <c r="BT59" s="64" t="str">
        <f>IF(개요!CJ45=0,"",개요!CJ45)</f>
        <v/>
      </c>
      <c r="BU59" s="64" t="str">
        <f>IF(개요!CK45=0,"",개요!CK45)</f>
        <v/>
      </c>
      <c r="BV59" s="64" t="str">
        <f>IF(개요!CL45=0,"",개요!CL45)</f>
        <v/>
      </c>
      <c r="BW59" s="64" t="str">
        <f>IF(개요!CM45=0,"",개요!CM45)</f>
        <v/>
      </c>
      <c r="BX59" s="64" t="str">
        <f>IF(개요!CN45=0,"",개요!CN45)</f>
        <v/>
      </c>
      <c r="BY59" s="64" t="str">
        <f>IF(개요!CO45=0,"",개요!CO45)</f>
        <v/>
      </c>
      <c r="BZ59" s="64" t="str">
        <f>IF(개요!CP45=0,"",개요!CP45)</f>
        <v/>
      </c>
      <c r="CA59" s="64" t="str">
        <f>IF(개요!CQ45=0,"",개요!CQ45)</f>
        <v/>
      </c>
      <c r="CB59" s="64" t="str">
        <f>IF(개요!CR45=0,"",개요!CR45)</f>
        <v/>
      </c>
      <c r="CC59" s="64" t="str">
        <f>IF(개요!CS45=0,"",개요!CS45)</f>
        <v/>
      </c>
      <c r="CD59" s="64" t="str">
        <f>IF(개요!CT45=0,"",개요!CT45)</f>
        <v/>
      </c>
      <c r="CE59" s="64" t="str">
        <f>IF(개요!CU45=0,"",개요!CU45)</f>
        <v/>
      </c>
      <c r="CF59" s="64" t="str">
        <f>IF(개요!CV45=0,"",개요!CV45)</f>
        <v/>
      </c>
      <c r="CG59" s="64" t="str">
        <f>IF(개요!CW45=0,"",개요!CW45)</f>
        <v/>
      </c>
      <c r="CH59" s="64" t="str">
        <f>IF(개요!CX45=0,"",개요!CX45)</f>
        <v/>
      </c>
      <c r="CI59" s="64" t="str">
        <f>IF(개요!CY45=0,"",개요!CY45)</f>
        <v/>
      </c>
      <c r="CJ59" s="64" t="str">
        <f>IF(개요!CZ45=0,"",개요!CZ45)</f>
        <v/>
      </c>
      <c r="CK59" s="64" t="str">
        <f>IF(개요!DA45=0,"",개요!DA45)</f>
        <v/>
      </c>
      <c r="CL59" s="64" t="str">
        <f>IF(개요!DB45=0,"",개요!DB45)</f>
        <v/>
      </c>
      <c r="CM59" s="64" t="str">
        <f>IF(개요!DC45=0,"",개요!DC45)</f>
        <v/>
      </c>
      <c r="CN59" s="64" t="str">
        <f>IF(개요!DD45=0,"",개요!DD45)</f>
        <v/>
      </c>
      <c r="CO59" s="64" t="str">
        <f>IF(개요!DE45=0,"",개요!DE45)</f>
        <v/>
      </c>
      <c r="CP59" s="64" t="str">
        <f>IF(개요!DF45=0,"",개요!DF45)</f>
        <v/>
      </c>
      <c r="CQ59" s="64" t="str">
        <f>IF(개요!DG45=0,"",개요!DG45)</f>
        <v/>
      </c>
      <c r="CR59" s="64" t="str">
        <f>IF(개요!DH45=0,"",개요!DH45)</f>
        <v/>
      </c>
      <c r="CS59" s="64" t="str">
        <f>IF(개요!DI45=0,"",개요!DI45)</f>
        <v/>
      </c>
      <c r="CT59" s="64" t="str">
        <f>IF(개요!DJ45=0,"",개요!DJ45)</f>
        <v/>
      </c>
      <c r="CU59" s="64" t="str">
        <f>IF(개요!DK45=0,"",개요!DK45)</f>
        <v/>
      </c>
      <c r="CV59" s="64" t="str">
        <f>IF(개요!DL45=0,"",개요!DL45)</f>
        <v/>
      </c>
      <c r="CW59" s="64" t="str">
        <f>IF(개요!DM45=0,"",개요!DM45)</f>
        <v/>
      </c>
      <c r="CX59" s="64" t="str">
        <f>IF(개요!DN45=0,"",개요!DN45)</f>
        <v/>
      </c>
      <c r="CY59" s="65" t="str">
        <f t="shared" si="6"/>
        <v/>
      </c>
      <c r="DB59" s="21"/>
      <c r="DC59" s="21"/>
      <c r="DD59" s="21"/>
      <c r="DE59" s="67"/>
      <c r="DF59" s="68"/>
      <c r="DG59" s="67"/>
      <c r="DH59" s="67"/>
      <c r="DI59" s="69"/>
      <c r="DJ59" s="69"/>
      <c r="DK59" s="69"/>
      <c r="DL59" s="69"/>
    </row>
    <row r="60" spans="1:116" ht="15" hidden="1" customHeight="1" outlineLevel="1">
      <c r="A60" s="54">
        <v>39</v>
      </c>
      <c r="B60" s="63" t="str">
        <f>IF(개요!M46=0,"",개요!M46)</f>
        <v/>
      </c>
      <c r="C60" s="64" t="str">
        <f>IF(개요!S46=0,"",개요!S46)</f>
        <v/>
      </c>
      <c r="D60" s="64" t="str">
        <f>IF(개요!T46=0,"",개요!T46)</f>
        <v/>
      </c>
      <c r="E60" s="64" t="str">
        <f>IF(개요!U46=0,"",개요!U46)</f>
        <v/>
      </c>
      <c r="F60" s="64" t="str">
        <f>IF(개요!V46=0,"",개요!V46)</f>
        <v/>
      </c>
      <c r="G60" s="64" t="str">
        <f>IF(개요!W46=0,"",개요!W46)</f>
        <v/>
      </c>
      <c r="H60" s="64" t="str">
        <f>IF(개요!X46=0,"",개요!X46)</f>
        <v/>
      </c>
      <c r="I60" s="64" t="str">
        <f>IF(개요!Y46=0,"",개요!Y46)</f>
        <v/>
      </c>
      <c r="J60" s="64" t="str">
        <f>IF(개요!Z46=0,"",개요!Z46)</f>
        <v/>
      </c>
      <c r="K60" s="64" t="str">
        <f>IF(개요!AA46=0,"",개요!AA46)</f>
        <v/>
      </c>
      <c r="L60" s="64" t="str">
        <f>IF(개요!AB46=0,"",개요!AB46)</f>
        <v/>
      </c>
      <c r="M60" s="64" t="str">
        <f>IF(개요!AC46=0,"",개요!AC46)</f>
        <v/>
      </c>
      <c r="N60" s="64" t="str">
        <f>IF(개요!AD46=0,"",개요!AD46)</f>
        <v/>
      </c>
      <c r="O60" s="64" t="str">
        <f>IF(개요!AE46=0,"",개요!AE46)</f>
        <v/>
      </c>
      <c r="P60" s="64" t="str">
        <f>IF(개요!AF46=0,"",개요!AF46)</f>
        <v/>
      </c>
      <c r="Q60" s="64" t="str">
        <f>IF(개요!AG46=0,"",개요!AG46)</f>
        <v/>
      </c>
      <c r="R60" s="64" t="str">
        <f>IF(개요!AH46=0,"",개요!AH46)</f>
        <v/>
      </c>
      <c r="S60" s="64" t="str">
        <f>IF(개요!AI46=0,"",개요!AI46)</f>
        <v/>
      </c>
      <c r="T60" s="64" t="str">
        <f>IF(개요!AJ46=0,"",개요!AJ46)</f>
        <v/>
      </c>
      <c r="U60" s="64" t="str">
        <f>IF(개요!AK46=0,"",개요!AK46)</f>
        <v/>
      </c>
      <c r="V60" s="64" t="str">
        <f>IF(개요!AL46=0,"",개요!AL46)</f>
        <v/>
      </c>
      <c r="W60" s="64" t="str">
        <f>IF(개요!AM46=0,"",개요!AM46)</f>
        <v/>
      </c>
      <c r="X60" s="64" t="str">
        <f>IF(개요!AN46=0,"",개요!AN46)</f>
        <v/>
      </c>
      <c r="Y60" s="64" t="str">
        <f>IF(개요!AO46=0,"",개요!AO46)</f>
        <v/>
      </c>
      <c r="Z60" s="64" t="str">
        <f>IF(개요!AP46=0,"",개요!AP46)</f>
        <v/>
      </c>
      <c r="AA60" s="64" t="str">
        <f>IF(개요!AQ46=0,"",개요!AQ46)</f>
        <v/>
      </c>
      <c r="AB60" s="64" t="str">
        <f>IF(개요!AR46=0,"",개요!AR46)</f>
        <v/>
      </c>
      <c r="AC60" s="64" t="str">
        <f>IF(개요!AS46=0,"",개요!AS46)</f>
        <v/>
      </c>
      <c r="AD60" s="64" t="str">
        <f>IF(개요!AT46=0,"",개요!AT46)</f>
        <v/>
      </c>
      <c r="AE60" s="64" t="str">
        <f>IF(개요!AU46=0,"",개요!AU46)</f>
        <v/>
      </c>
      <c r="AF60" s="64" t="str">
        <f>IF(개요!AV46=0,"",개요!AV46)</f>
        <v/>
      </c>
      <c r="AG60" s="64" t="str">
        <f>IF(개요!AW46=0,"",개요!AW46)</f>
        <v/>
      </c>
      <c r="AH60" s="64" t="str">
        <f>IF(개요!AX46=0,"",개요!AX46)</f>
        <v/>
      </c>
      <c r="AI60" s="64" t="str">
        <f>IF(개요!AY46=0,"",개요!AY46)</f>
        <v/>
      </c>
      <c r="AJ60" s="64" t="str">
        <f>IF(개요!AZ46=0,"",개요!AZ46)</f>
        <v/>
      </c>
      <c r="AK60" s="64" t="str">
        <f>IF(개요!BA46=0,"",개요!BA46)</f>
        <v/>
      </c>
      <c r="AL60" s="64" t="str">
        <f>IF(개요!BB46=0,"",개요!BB46)</f>
        <v/>
      </c>
      <c r="AM60" s="64" t="str">
        <f>IF(개요!BC46=0,"",개요!BC46)</f>
        <v/>
      </c>
      <c r="AN60" s="64" t="str">
        <f>IF(개요!BD46=0,"",개요!BD46)</f>
        <v/>
      </c>
      <c r="AO60" s="64" t="str">
        <f>IF(개요!BE46=0,"",개요!BE46)</f>
        <v/>
      </c>
      <c r="AP60" s="64" t="str">
        <f>IF(개요!BF46=0,"",개요!BF46)</f>
        <v/>
      </c>
      <c r="AQ60" s="64" t="str">
        <f>IF(개요!BG46=0,"",개요!BG46)</f>
        <v/>
      </c>
      <c r="AR60" s="64" t="str">
        <f>IF(개요!BH46=0,"",개요!BH46)</f>
        <v/>
      </c>
      <c r="AS60" s="64" t="str">
        <f>IF(개요!BI46=0,"",개요!BI46)</f>
        <v/>
      </c>
      <c r="AT60" s="64" t="str">
        <f>IF(개요!BJ46=0,"",개요!BJ46)</f>
        <v/>
      </c>
      <c r="AU60" s="64" t="str">
        <f>IF(개요!BK46=0,"",개요!BK46)</f>
        <v/>
      </c>
      <c r="AV60" s="64" t="str">
        <f>IF(개요!BL46=0,"",개요!BL46)</f>
        <v/>
      </c>
      <c r="AW60" s="64" t="str">
        <f>IF(개요!BM46=0,"",개요!BM46)</f>
        <v/>
      </c>
      <c r="AX60" s="64" t="str">
        <f>IF(개요!BN46=0,"",개요!BN46)</f>
        <v/>
      </c>
      <c r="AY60" s="64" t="str">
        <f>IF(개요!BO46=0,"",개요!BO46)</f>
        <v/>
      </c>
      <c r="AZ60" s="64" t="str">
        <f>IF(개요!BP46=0,"",개요!BP46)</f>
        <v/>
      </c>
      <c r="BA60" s="64" t="str">
        <f>IF(개요!BQ46=0,"",개요!BQ46)</f>
        <v/>
      </c>
      <c r="BB60" s="64" t="str">
        <f>IF(개요!BR46=0,"",개요!BR46)</f>
        <v/>
      </c>
      <c r="BC60" s="64" t="str">
        <f>IF(개요!BS46=0,"",개요!BS46)</f>
        <v/>
      </c>
      <c r="BD60" s="64" t="str">
        <f>IF(개요!BT46=0,"",개요!BT46)</f>
        <v/>
      </c>
      <c r="BE60" s="64" t="str">
        <f>IF(개요!BU46=0,"",개요!BU46)</f>
        <v/>
      </c>
      <c r="BF60" s="64" t="str">
        <f>IF(개요!BV46=0,"",개요!BV46)</f>
        <v/>
      </c>
      <c r="BG60" s="64" t="str">
        <f>IF(개요!BW46=0,"",개요!BW46)</f>
        <v/>
      </c>
      <c r="BH60" s="64" t="str">
        <f>IF(개요!BX46=0,"",개요!BX46)</f>
        <v/>
      </c>
      <c r="BI60" s="64" t="str">
        <f>IF(개요!BY46=0,"",개요!BY46)</f>
        <v/>
      </c>
      <c r="BJ60" s="64" t="str">
        <f>IF(개요!BZ46=0,"",개요!BZ46)</f>
        <v/>
      </c>
      <c r="BK60" s="64" t="str">
        <f>IF(개요!CA46=0,"",개요!CA46)</f>
        <v/>
      </c>
      <c r="BL60" s="64" t="str">
        <f>IF(개요!CB46=0,"",개요!CB46)</f>
        <v/>
      </c>
      <c r="BM60" s="64" t="str">
        <f>IF(개요!CC46=0,"",개요!CC46)</f>
        <v/>
      </c>
      <c r="BN60" s="64" t="str">
        <f>IF(개요!CD46=0,"",개요!CD46)</f>
        <v/>
      </c>
      <c r="BO60" s="64" t="str">
        <f>IF(개요!CE46=0,"",개요!CE46)</f>
        <v/>
      </c>
      <c r="BP60" s="64" t="str">
        <f>IF(개요!CF46=0,"",개요!CF46)</f>
        <v/>
      </c>
      <c r="BQ60" s="64" t="str">
        <f>IF(개요!CG46=0,"",개요!CG46)</f>
        <v/>
      </c>
      <c r="BR60" s="64" t="str">
        <f>IF(개요!CH46=0,"",개요!CH46)</f>
        <v/>
      </c>
      <c r="BS60" s="64" t="str">
        <f>IF(개요!CI46=0,"",개요!CI46)</f>
        <v/>
      </c>
      <c r="BT60" s="64" t="str">
        <f>IF(개요!CJ46=0,"",개요!CJ46)</f>
        <v/>
      </c>
      <c r="BU60" s="64" t="str">
        <f>IF(개요!CK46=0,"",개요!CK46)</f>
        <v/>
      </c>
      <c r="BV60" s="64" t="str">
        <f>IF(개요!CL46=0,"",개요!CL46)</f>
        <v/>
      </c>
      <c r="BW60" s="64" t="str">
        <f>IF(개요!CM46=0,"",개요!CM46)</f>
        <v/>
      </c>
      <c r="BX60" s="64" t="str">
        <f>IF(개요!CN46=0,"",개요!CN46)</f>
        <v/>
      </c>
      <c r="BY60" s="64" t="str">
        <f>IF(개요!CO46=0,"",개요!CO46)</f>
        <v/>
      </c>
      <c r="BZ60" s="64" t="str">
        <f>IF(개요!CP46=0,"",개요!CP46)</f>
        <v/>
      </c>
      <c r="CA60" s="64" t="str">
        <f>IF(개요!CQ46=0,"",개요!CQ46)</f>
        <v/>
      </c>
      <c r="CB60" s="64" t="str">
        <f>IF(개요!CR46=0,"",개요!CR46)</f>
        <v/>
      </c>
      <c r="CC60" s="64" t="str">
        <f>IF(개요!CS46=0,"",개요!CS46)</f>
        <v/>
      </c>
      <c r="CD60" s="64" t="str">
        <f>IF(개요!CT46=0,"",개요!CT46)</f>
        <v/>
      </c>
      <c r="CE60" s="64" t="str">
        <f>IF(개요!CU46=0,"",개요!CU46)</f>
        <v/>
      </c>
      <c r="CF60" s="64" t="str">
        <f>IF(개요!CV46=0,"",개요!CV46)</f>
        <v/>
      </c>
      <c r="CG60" s="64" t="str">
        <f>IF(개요!CW46=0,"",개요!CW46)</f>
        <v/>
      </c>
      <c r="CH60" s="64" t="str">
        <f>IF(개요!CX46=0,"",개요!CX46)</f>
        <v/>
      </c>
      <c r="CI60" s="64" t="str">
        <f>IF(개요!CY46=0,"",개요!CY46)</f>
        <v/>
      </c>
      <c r="CJ60" s="64" t="str">
        <f>IF(개요!CZ46=0,"",개요!CZ46)</f>
        <v/>
      </c>
      <c r="CK60" s="64" t="str">
        <f>IF(개요!DA46=0,"",개요!DA46)</f>
        <v/>
      </c>
      <c r="CL60" s="64" t="str">
        <f>IF(개요!DB46=0,"",개요!DB46)</f>
        <v/>
      </c>
      <c r="CM60" s="64" t="str">
        <f>IF(개요!DC46=0,"",개요!DC46)</f>
        <v/>
      </c>
      <c r="CN60" s="64" t="str">
        <f>IF(개요!DD46=0,"",개요!DD46)</f>
        <v/>
      </c>
      <c r="CO60" s="64" t="str">
        <f>IF(개요!DE46=0,"",개요!DE46)</f>
        <v/>
      </c>
      <c r="CP60" s="64" t="str">
        <f>IF(개요!DF46=0,"",개요!DF46)</f>
        <v/>
      </c>
      <c r="CQ60" s="64" t="str">
        <f>IF(개요!DG46=0,"",개요!DG46)</f>
        <v/>
      </c>
      <c r="CR60" s="64" t="str">
        <f>IF(개요!DH46=0,"",개요!DH46)</f>
        <v/>
      </c>
      <c r="CS60" s="64" t="str">
        <f>IF(개요!DI46=0,"",개요!DI46)</f>
        <v/>
      </c>
      <c r="CT60" s="64" t="str">
        <f>IF(개요!DJ46=0,"",개요!DJ46)</f>
        <v/>
      </c>
      <c r="CU60" s="64" t="str">
        <f>IF(개요!DK46=0,"",개요!DK46)</f>
        <v/>
      </c>
      <c r="CV60" s="64" t="str">
        <f>IF(개요!DL46=0,"",개요!DL46)</f>
        <v/>
      </c>
      <c r="CW60" s="64" t="str">
        <f>IF(개요!DM46=0,"",개요!DM46)</f>
        <v/>
      </c>
      <c r="CX60" s="64" t="str">
        <f>IF(개요!DN46=0,"",개요!DN46)</f>
        <v/>
      </c>
      <c r="CY60" s="65" t="str">
        <f t="shared" si="6"/>
        <v/>
      </c>
      <c r="DB60" s="21"/>
      <c r="DC60" s="21"/>
      <c r="DD60" s="21"/>
      <c r="DE60" s="67"/>
      <c r="DF60" s="68"/>
      <c r="DG60" s="67"/>
      <c r="DH60" s="67"/>
      <c r="DI60" s="69"/>
      <c r="DJ60" s="69"/>
      <c r="DK60" s="69"/>
      <c r="DL60" s="69"/>
    </row>
    <row r="61" spans="1:116" ht="15" hidden="1" customHeight="1" outlineLevel="1">
      <c r="A61" s="54">
        <v>40</v>
      </c>
      <c r="B61" s="63" t="str">
        <f>IF(개요!M47=0,"",개요!M47)</f>
        <v/>
      </c>
      <c r="C61" s="64" t="str">
        <f>IF(개요!S47=0,"",개요!S47)</f>
        <v/>
      </c>
      <c r="D61" s="64" t="str">
        <f>IF(개요!T47=0,"",개요!T47)</f>
        <v/>
      </c>
      <c r="E61" s="64" t="str">
        <f>IF(개요!U47=0,"",개요!U47)</f>
        <v/>
      </c>
      <c r="F61" s="64" t="str">
        <f>IF(개요!V47=0,"",개요!V47)</f>
        <v/>
      </c>
      <c r="G61" s="64" t="str">
        <f>IF(개요!W47=0,"",개요!W47)</f>
        <v/>
      </c>
      <c r="H61" s="64" t="str">
        <f>IF(개요!X47=0,"",개요!X47)</f>
        <v/>
      </c>
      <c r="I61" s="64" t="str">
        <f>IF(개요!Y47=0,"",개요!Y47)</f>
        <v/>
      </c>
      <c r="J61" s="64" t="str">
        <f>IF(개요!Z47=0,"",개요!Z47)</f>
        <v/>
      </c>
      <c r="K61" s="64" t="str">
        <f>IF(개요!AA47=0,"",개요!AA47)</f>
        <v/>
      </c>
      <c r="L61" s="64" t="str">
        <f>IF(개요!AB47=0,"",개요!AB47)</f>
        <v/>
      </c>
      <c r="M61" s="64" t="str">
        <f>IF(개요!AC47=0,"",개요!AC47)</f>
        <v/>
      </c>
      <c r="N61" s="64" t="str">
        <f>IF(개요!AD47=0,"",개요!AD47)</f>
        <v/>
      </c>
      <c r="O61" s="64" t="str">
        <f>IF(개요!AE47=0,"",개요!AE47)</f>
        <v/>
      </c>
      <c r="P61" s="64" t="str">
        <f>IF(개요!AF47=0,"",개요!AF47)</f>
        <v/>
      </c>
      <c r="Q61" s="64" t="str">
        <f>IF(개요!AG47=0,"",개요!AG47)</f>
        <v/>
      </c>
      <c r="R61" s="64" t="str">
        <f>IF(개요!AH47=0,"",개요!AH47)</f>
        <v/>
      </c>
      <c r="S61" s="64" t="str">
        <f>IF(개요!AI47=0,"",개요!AI47)</f>
        <v/>
      </c>
      <c r="T61" s="64" t="str">
        <f>IF(개요!AJ47=0,"",개요!AJ47)</f>
        <v/>
      </c>
      <c r="U61" s="64" t="str">
        <f>IF(개요!AK47=0,"",개요!AK47)</f>
        <v/>
      </c>
      <c r="V61" s="64" t="str">
        <f>IF(개요!AL47=0,"",개요!AL47)</f>
        <v/>
      </c>
      <c r="W61" s="64" t="str">
        <f>IF(개요!AM47=0,"",개요!AM47)</f>
        <v/>
      </c>
      <c r="X61" s="64" t="str">
        <f>IF(개요!AN47=0,"",개요!AN47)</f>
        <v/>
      </c>
      <c r="Y61" s="64" t="str">
        <f>IF(개요!AO47=0,"",개요!AO47)</f>
        <v/>
      </c>
      <c r="Z61" s="64" t="str">
        <f>IF(개요!AP47=0,"",개요!AP47)</f>
        <v/>
      </c>
      <c r="AA61" s="64" t="str">
        <f>IF(개요!AQ47=0,"",개요!AQ47)</f>
        <v/>
      </c>
      <c r="AB61" s="64" t="str">
        <f>IF(개요!AR47=0,"",개요!AR47)</f>
        <v/>
      </c>
      <c r="AC61" s="64" t="str">
        <f>IF(개요!AS47=0,"",개요!AS47)</f>
        <v/>
      </c>
      <c r="AD61" s="64" t="str">
        <f>IF(개요!AT47=0,"",개요!AT47)</f>
        <v/>
      </c>
      <c r="AE61" s="64" t="str">
        <f>IF(개요!AU47=0,"",개요!AU47)</f>
        <v/>
      </c>
      <c r="AF61" s="64" t="str">
        <f>IF(개요!AV47=0,"",개요!AV47)</f>
        <v/>
      </c>
      <c r="AG61" s="64" t="str">
        <f>IF(개요!AW47=0,"",개요!AW47)</f>
        <v/>
      </c>
      <c r="AH61" s="64" t="str">
        <f>IF(개요!AX47=0,"",개요!AX47)</f>
        <v/>
      </c>
      <c r="AI61" s="64" t="str">
        <f>IF(개요!AY47=0,"",개요!AY47)</f>
        <v/>
      </c>
      <c r="AJ61" s="64" t="str">
        <f>IF(개요!AZ47=0,"",개요!AZ47)</f>
        <v/>
      </c>
      <c r="AK61" s="64" t="str">
        <f>IF(개요!BA47=0,"",개요!BA47)</f>
        <v/>
      </c>
      <c r="AL61" s="64" t="str">
        <f>IF(개요!BB47=0,"",개요!BB47)</f>
        <v/>
      </c>
      <c r="AM61" s="64" t="str">
        <f>IF(개요!BC47=0,"",개요!BC47)</f>
        <v/>
      </c>
      <c r="AN61" s="64" t="str">
        <f>IF(개요!BD47=0,"",개요!BD47)</f>
        <v/>
      </c>
      <c r="AO61" s="64" t="str">
        <f>IF(개요!BE47=0,"",개요!BE47)</f>
        <v/>
      </c>
      <c r="AP61" s="64" t="str">
        <f>IF(개요!BF47=0,"",개요!BF47)</f>
        <v/>
      </c>
      <c r="AQ61" s="64" t="str">
        <f>IF(개요!BG47=0,"",개요!BG47)</f>
        <v/>
      </c>
      <c r="AR61" s="64" t="str">
        <f>IF(개요!BH47=0,"",개요!BH47)</f>
        <v/>
      </c>
      <c r="AS61" s="64" t="str">
        <f>IF(개요!BI47=0,"",개요!BI47)</f>
        <v/>
      </c>
      <c r="AT61" s="64" t="str">
        <f>IF(개요!BJ47=0,"",개요!BJ47)</f>
        <v/>
      </c>
      <c r="AU61" s="64" t="str">
        <f>IF(개요!BK47=0,"",개요!BK47)</f>
        <v/>
      </c>
      <c r="AV61" s="64" t="str">
        <f>IF(개요!BL47=0,"",개요!BL47)</f>
        <v/>
      </c>
      <c r="AW61" s="64" t="str">
        <f>IF(개요!BM47=0,"",개요!BM47)</f>
        <v/>
      </c>
      <c r="AX61" s="64" t="str">
        <f>IF(개요!BN47=0,"",개요!BN47)</f>
        <v/>
      </c>
      <c r="AY61" s="64" t="str">
        <f>IF(개요!BO47=0,"",개요!BO47)</f>
        <v/>
      </c>
      <c r="AZ61" s="64" t="str">
        <f>IF(개요!BP47=0,"",개요!BP47)</f>
        <v/>
      </c>
      <c r="BA61" s="64" t="str">
        <f>IF(개요!BQ47=0,"",개요!BQ47)</f>
        <v/>
      </c>
      <c r="BB61" s="64" t="str">
        <f>IF(개요!BR47=0,"",개요!BR47)</f>
        <v/>
      </c>
      <c r="BC61" s="64" t="str">
        <f>IF(개요!BS47=0,"",개요!BS47)</f>
        <v/>
      </c>
      <c r="BD61" s="64" t="str">
        <f>IF(개요!BT47=0,"",개요!BT47)</f>
        <v/>
      </c>
      <c r="BE61" s="64" t="str">
        <f>IF(개요!BU47=0,"",개요!BU47)</f>
        <v/>
      </c>
      <c r="BF61" s="64" t="str">
        <f>IF(개요!BV47=0,"",개요!BV47)</f>
        <v/>
      </c>
      <c r="BG61" s="64" t="str">
        <f>IF(개요!BW47=0,"",개요!BW47)</f>
        <v/>
      </c>
      <c r="BH61" s="64" t="str">
        <f>IF(개요!BX47=0,"",개요!BX47)</f>
        <v/>
      </c>
      <c r="BI61" s="64" t="str">
        <f>IF(개요!BY47=0,"",개요!BY47)</f>
        <v/>
      </c>
      <c r="BJ61" s="64" t="str">
        <f>IF(개요!BZ47=0,"",개요!BZ47)</f>
        <v/>
      </c>
      <c r="BK61" s="64" t="str">
        <f>IF(개요!CA47=0,"",개요!CA47)</f>
        <v/>
      </c>
      <c r="BL61" s="64" t="str">
        <f>IF(개요!CB47=0,"",개요!CB47)</f>
        <v/>
      </c>
      <c r="BM61" s="64" t="str">
        <f>IF(개요!CC47=0,"",개요!CC47)</f>
        <v/>
      </c>
      <c r="BN61" s="64" t="str">
        <f>IF(개요!CD47=0,"",개요!CD47)</f>
        <v/>
      </c>
      <c r="BO61" s="64" t="str">
        <f>IF(개요!CE47=0,"",개요!CE47)</f>
        <v/>
      </c>
      <c r="BP61" s="64" t="str">
        <f>IF(개요!CF47=0,"",개요!CF47)</f>
        <v/>
      </c>
      <c r="BQ61" s="64" t="str">
        <f>IF(개요!CG47=0,"",개요!CG47)</f>
        <v/>
      </c>
      <c r="BR61" s="64" t="str">
        <f>IF(개요!CH47=0,"",개요!CH47)</f>
        <v/>
      </c>
      <c r="BS61" s="64" t="str">
        <f>IF(개요!CI47=0,"",개요!CI47)</f>
        <v/>
      </c>
      <c r="BT61" s="64" t="str">
        <f>IF(개요!CJ47=0,"",개요!CJ47)</f>
        <v/>
      </c>
      <c r="BU61" s="64" t="str">
        <f>IF(개요!CK47=0,"",개요!CK47)</f>
        <v/>
      </c>
      <c r="BV61" s="64" t="str">
        <f>IF(개요!CL47=0,"",개요!CL47)</f>
        <v/>
      </c>
      <c r="BW61" s="64" t="str">
        <f>IF(개요!CM47=0,"",개요!CM47)</f>
        <v/>
      </c>
      <c r="BX61" s="64" t="str">
        <f>IF(개요!CN47=0,"",개요!CN47)</f>
        <v/>
      </c>
      <c r="BY61" s="64" t="str">
        <f>IF(개요!CO47=0,"",개요!CO47)</f>
        <v/>
      </c>
      <c r="BZ61" s="64" t="str">
        <f>IF(개요!CP47=0,"",개요!CP47)</f>
        <v/>
      </c>
      <c r="CA61" s="64" t="str">
        <f>IF(개요!CQ47=0,"",개요!CQ47)</f>
        <v/>
      </c>
      <c r="CB61" s="64" t="str">
        <f>IF(개요!CR47=0,"",개요!CR47)</f>
        <v/>
      </c>
      <c r="CC61" s="64" t="str">
        <f>IF(개요!CS47=0,"",개요!CS47)</f>
        <v/>
      </c>
      <c r="CD61" s="64" t="str">
        <f>IF(개요!CT47=0,"",개요!CT47)</f>
        <v/>
      </c>
      <c r="CE61" s="64" t="str">
        <f>IF(개요!CU47=0,"",개요!CU47)</f>
        <v/>
      </c>
      <c r="CF61" s="64" t="str">
        <f>IF(개요!CV47=0,"",개요!CV47)</f>
        <v/>
      </c>
      <c r="CG61" s="64" t="str">
        <f>IF(개요!CW47=0,"",개요!CW47)</f>
        <v/>
      </c>
      <c r="CH61" s="64" t="str">
        <f>IF(개요!CX47=0,"",개요!CX47)</f>
        <v/>
      </c>
      <c r="CI61" s="64" t="str">
        <f>IF(개요!CY47=0,"",개요!CY47)</f>
        <v/>
      </c>
      <c r="CJ61" s="64" t="str">
        <f>IF(개요!CZ47=0,"",개요!CZ47)</f>
        <v/>
      </c>
      <c r="CK61" s="64" t="str">
        <f>IF(개요!DA47=0,"",개요!DA47)</f>
        <v/>
      </c>
      <c r="CL61" s="64" t="str">
        <f>IF(개요!DB47=0,"",개요!DB47)</f>
        <v/>
      </c>
      <c r="CM61" s="64" t="str">
        <f>IF(개요!DC47=0,"",개요!DC47)</f>
        <v/>
      </c>
      <c r="CN61" s="64" t="str">
        <f>IF(개요!DD47=0,"",개요!DD47)</f>
        <v/>
      </c>
      <c r="CO61" s="64" t="str">
        <f>IF(개요!DE47=0,"",개요!DE47)</f>
        <v/>
      </c>
      <c r="CP61" s="64" t="str">
        <f>IF(개요!DF47=0,"",개요!DF47)</f>
        <v/>
      </c>
      <c r="CQ61" s="64" t="str">
        <f>IF(개요!DG47=0,"",개요!DG47)</f>
        <v/>
      </c>
      <c r="CR61" s="64" t="str">
        <f>IF(개요!DH47=0,"",개요!DH47)</f>
        <v/>
      </c>
      <c r="CS61" s="64" t="str">
        <f>IF(개요!DI47=0,"",개요!DI47)</f>
        <v/>
      </c>
      <c r="CT61" s="64" t="str">
        <f>IF(개요!DJ47=0,"",개요!DJ47)</f>
        <v/>
      </c>
      <c r="CU61" s="64" t="str">
        <f>IF(개요!DK47=0,"",개요!DK47)</f>
        <v/>
      </c>
      <c r="CV61" s="64" t="str">
        <f>IF(개요!DL47=0,"",개요!DL47)</f>
        <v/>
      </c>
      <c r="CW61" s="64" t="str">
        <f>IF(개요!DM47=0,"",개요!DM47)</f>
        <v/>
      </c>
      <c r="CX61" s="64" t="str">
        <f>IF(개요!DN47=0,"",개요!DN47)</f>
        <v/>
      </c>
      <c r="CY61" s="65" t="str">
        <f t="shared" si="6"/>
        <v/>
      </c>
      <c r="DB61" s="21"/>
      <c r="DC61" s="21"/>
      <c r="DD61" s="21"/>
      <c r="DE61" s="67"/>
      <c r="DF61" s="68"/>
      <c r="DG61" s="67"/>
      <c r="DH61" s="67"/>
      <c r="DI61" s="69"/>
      <c r="DJ61" s="69"/>
      <c r="DK61" s="69"/>
      <c r="DL61" s="69"/>
    </row>
    <row r="62" spans="1:116" ht="15" hidden="1" customHeight="1" outlineLevel="1">
      <c r="A62" s="54">
        <v>41</v>
      </c>
      <c r="B62" s="63" t="str">
        <f>IF(개요!M48=0,"",개요!M48)</f>
        <v/>
      </c>
      <c r="C62" s="64" t="str">
        <f>IF(개요!S48=0,"",개요!S48)</f>
        <v/>
      </c>
      <c r="D62" s="64" t="str">
        <f>IF(개요!T48=0,"",개요!T48)</f>
        <v/>
      </c>
      <c r="E62" s="64" t="str">
        <f>IF(개요!U48=0,"",개요!U48)</f>
        <v/>
      </c>
      <c r="F62" s="64" t="str">
        <f>IF(개요!V48=0,"",개요!V48)</f>
        <v/>
      </c>
      <c r="G62" s="64" t="str">
        <f>IF(개요!W48=0,"",개요!W48)</f>
        <v/>
      </c>
      <c r="H62" s="64" t="str">
        <f>IF(개요!X48=0,"",개요!X48)</f>
        <v/>
      </c>
      <c r="I62" s="64" t="str">
        <f>IF(개요!Y48=0,"",개요!Y48)</f>
        <v/>
      </c>
      <c r="J62" s="64" t="str">
        <f>IF(개요!Z48=0,"",개요!Z48)</f>
        <v/>
      </c>
      <c r="K62" s="64" t="str">
        <f>IF(개요!AA48=0,"",개요!AA48)</f>
        <v/>
      </c>
      <c r="L62" s="64" t="str">
        <f>IF(개요!AB48=0,"",개요!AB48)</f>
        <v/>
      </c>
      <c r="M62" s="64" t="str">
        <f>IF(개요!AC48=0,"",개요!AC48)</f>
        <v/>
      </c>
      <c r="N62" s="64" t="str">
        <f>IF(개요!AD48=0,"",개요!AD48)</f>
        <v/>
      </c>
      <c r="O62" s="64" t="str">
        <f>IF(개요!AE48=0,"",개요!AE48)</f>
        <v/>
      </c>
      <c r="P62" s="64" t="str">
        <f>IF(개요!AF48=0,"",개요!AF48)</f>
        <v/>
      </c>
      <c r="Q62" s="64" t="str">
        <f>IF(개요!AG48=0,"",개요!AG48)</f>
        <v/>
      </c>
      <c r="R62" s="64" t="str">
        <f>IF(개요!AH48=0,"",개요!AH48)</f>
        <v/>
      </c>
      <c r="S62" s="64" t="str">
        <f>IF(개요!AI48=0,"",개요!AI48)</f>
        <v/>
      </c>
      <c r="T62" s="64" t="str">
        <f>IF(개요!AJ48=0,"",개요!AJ48)</f>
        <v/>
      </c>
      <c r="U62" s="64" t="str">
        <f>IF(개요!AK48=0,"",개요!AK48)</f>
        <v/>
      </c>
      <c r="V62" s="64" t="str">
        <f>IF(개요!AL48=0,"",개요!AL48)</f>
        <v/>
      </c>
      <c r="W62" s="64" t="str">
        <f>IF(개요!AM48=0,"",개요!AM48)</f>
        <v/>
      </c>
      <c r="X62" s="64" t="str">
        <f>IF(개요!AN48=0,"",개요!AN48)</f>
        <v/>
      </c>
      <c r="Y62" s="64" t="str">
        <f>IF(개요!AO48=0,"",개요!AO48)</f>
        <v/>
      </c>
      <c r="Z62" s="64" t="str">
        <f>IF(개요!AP48=0,"",개요!AP48)</f>
        <v/>
      </c>
      <c r="AA62" s="64" t="str">
        <f>IF(개요!AQ48=0,"",개요!AQ48)</f>
        <v/>
      </c>
      <c r="AB62" s="64" t="str">
        <f>IF(개요!AR48=0,"",개요!AR48)</f>
        <v/>
      </c>
      <c r="AC62" s="64" t="str">
        <f>IF(개요!AS48=0,"",개요!AS48)</f>
        <v/>
      </c>
      <c r="AD62" s="64" t="str">
        <f>IF(개요!AT48=0,"",개요!AT48)</f>
        <v/>
      </c>
      <c r="AE62" s="64" t="str">
        <f>IF(개요!AU48=0,"",개요!AU48)</f>
        <v/>
      </c>
      <c r="AF62" s="64" t="str">
        <f>IF(개요!AV48=0,"",개요!AV48)</f>
        <v/>
      </c>
      <c r="AG62" s="64" t="str">
        <f>IF(개요!AW48=0,"",개요!AW48)</f>
        <v/>
      </c>
      <c r="AH62" s="64" t="str">
        <f>IF(개요!AX48=0,"",개요!AX48)</f>
        <v/>
      </c>
      <c r="AI62" s="64" t="str">
        <f>IF(개요!AY48=0,"",개요!AY48)</f>
        <v/>
      </c>
      <c r="AJ62" s="64" t="str">
        <f>IF(개요!AZ48=0,"",개요!AZ48)</f>
        <v/>
      </c>
      <c r="AK62" s="64" t="str">
        <f>IF(개요!BA48=0,"",개요!BA48)</f>
        <v/>
      </c>
      <c r="AL62" s="64" t="str">
        <f>IF(개요!BB48=0,"",개요!BB48)</f>
        <v/>
      </c>
      <c r="AM62" s="64" t="str">
        <f>IF(개요!BC48=0,"",개요!BC48)</f>
        <v/>
      </c>
      <c r="AN62" s="64" t="str">
        <f>IF(개요!BD48=0,"",개요!BD48)</f>
        <v/>
      </c>
      <c r="AO62" s="64" t="str">
        <f>IF(개요!BE48=0,"",개요!BE48)</f>
        <v/>
      </c>
      <c r="AP62" s="64" t="str">
        <f>IF(개요!BF48=0,"",개요!BF48)</f>
        <v/>
      </c>
      <c r="AQ62" s="64" t="str">
        <f>IF(개요!BG48=0,"",개요!BG48)</f>
        <v/>
      </c>
      <c r="AR62" s="64" t="str">
        <f>IF(개요!BH48=0,"",개요!BH48)</f>
        <v/>
      </c>
      <c r="AS62" s="64" t="str">
        <f>IF(개요!BI48=0,"",개요!BI48)</f>
        <v/>
      </c>
      <c r="AT62" s="64" t="str">
        <f>IF(개요!BJ48=0,"",개요!BJ48)</f>
        <v/>
      </c>
      <c r="AU62" s="64" t="str">
        <f>IF(개요!BK48=0,"",개요!BK48)</f>
        <v/>
      </c>
      <c r="AV62" s="64" t="str">
        <f>IF(개요!BL48=0,"",개요!BL48)</f>
        <v/>
      </c>
      <c r="AW62" s="64" t="str">
        <f>IF(개요!BM48=0,"",개요!BM48)</f>
        <v/>
      </c>
      <c r="AX62" s="64" t="str">
        <f>IF(개요!BN48=0,"",개요!BN48)</f>
        <v/>
      </c>
      <c r="AY62" s="64" t="str">
        <f>IF(개요!BO48=0,"",개요!BO48)</f>
        <v/>
      </c>
      <c r="AZ62" s="64" t="str">
        <f>IF(개요!BP48=0,"",개요!BP48)</f>
        <v/>
      </c>
      <c r="BA62" s="64" t="str">
        <f>IF(개요!BQ48=0,"",개요!BQ48)</f>
        <v/>
      </c>
      <c r="BB62" s="64" t="str">
        <f>IF(개요!BR48=0,"",개요!BR48)</f>
        <v/>
      </c>
      <c r="BC62" s="64" t="str">
        <f>IF(개요!BS48=0,"",개요!BS48)</f>
        <v/>
      </c>
      <c r="BD62" s="64" t="str">
        <f>IF(개요!BT48=0,"",개요!BT48)</f>
        <v/>
      </c>
      <c r="BE62" s="64" t="str">
        <f>IF(개요!BU48=0,"",개요!BU48)</f>
        <v/>
      </c>
      <c r="BF62" s="64" t="str">
        <f>IF(개요!BV48=0,"",개요!BV48)</f>
        <v/>
      </c>
      <c r="BG62" s="64" t="str">
        <f>IF(개요!BW48=0,"",개요!BW48)</f>
        <v/>
      </c>
      <c r="BH62" s="64" t="str">
        <f>IF(개요!BX48=0,"",개요!BX48)</f>
        <v/>
      </c>
      <c r="BI62" s="64" t="str">
        <f>IF(개요!BY48=0,"",개요!BY48)</f>
        <v/>
      </c>
      <c r="BJ62" s="64" t="str">
        <f>IF(개요!BZ48=0,"",개요!BZ48)</f>
        <v/>
      </c>
      <c r="BK62" s="64" t="str">
        <f>IF(개요!CA48=0,"",개요!CA48)</f>
        <v/>
      </c>
      <c r="BL62" s="64" t="str">
        <f>IF(개요!CB48=0,"",개요!CB48)</f>
        <v/>
      </c>
      <c r="BM62" s="64" t="str">
        <f>IF(개요!CC48=0,"",개요!CC48)</f>
        <v/>
      </c>
      <c r="BN62" s="64" t="str">
        <f>IF(개요!CD48=0,"",개요!CD48)</f>
        <v/>
      </c>
      <c r="BO62" s="64" t="str">
        <f>IF(개요!CE48=0,"",개요!CE48)</f>
        <v/>
      </c>
      <c r="BP62" s="64" t="str">
        <f>IF(개요!CF48=0,"",개요!CF48)</f>
        <v/>
      </c>
      <c r="BQ62" s="64" t="str">
        <f>IF(개요!CG48=0,"",개요!CG48)</f>
        <v/>
      </c>
      <c r="BR62" s="64" t="str">
        <f>IF(개요!CH48=0,"",개요!CH48)</f>
        <v/>
      </c>
      <c r="BS62" s="64" t="str">
        <f>IF(개요!CI48=0,"",개요!CI48)</f>
        <v/>
      </c>
      <c r="BT62" s="64" t="str">
        <f>IF(개요!CJ48=0,"",개요!CJ48)</f>
        <v/>
      </c>
      <c r="BU62" s="64" t="str">
        <f>IF(개요!CK48=0,"",개요!CK48)</f>
        <v/>
      </c>
      <c r="BV62" s="64" t="str">
        <f>IF(개요!CL48=0,"",개요!CL48)</f>
        <v/>
      </c>
      <c r="BW62" s="64" t="str">
        <f>IF(개요!CM48=0,"",개요!CM48)</f>
        <v/>
      </c>
      <c r="BX62" s="64" t="str">
        <f>IF(개요!CN48=0,"",개요!CN48)</f>
        <v/>
      </c>
      <c r="BY62" s="64" t="str">
        <f>IF(개요!CO48=0,"",개요!CO48)</f>
        <v/>
      </c>
      <c r="BZ62" s="64" t="str">
        <f>IF(개요!CP48=0,"",개요!CP48)</f>
        <v/>
      </c>
      <c r="CA62" s="64" t="str">
        <f>IF(개요!CQ48=0,"",개요!CQ48)</f>
        <v/>
      </c>
      <c r="CB62" s="64" t="str">
        <f>IF(개요!CR48=0,"",개요!CR48)</f>
        <v/>
      </c>
      <c r="CC62" s="64" t="str">
        <f>IF(개요!CS48=0,"",개요!CS48)</f>
        <v/>
      </c>
      <c r="CD62" s="64" t="str">
        <f>IF(개요!CT48=0,"",개요!CT48)</f>
        <v/>
      </c>
      <c r="CE62" s="64" t="str">
        <f>IF(개요!CU48=0,"",개요!CU48)</f>
        <v/>
      </c>
      <c r="CF62" s="64" t="str">
        <f>IF(개요!CV48=0,"",개요!CV48)</f>
        <v/>
      </c>
      <c r="CG62" s="64" t="str">
        <f>IF(개요!CW48=0,"",개요!CW48)</f>
        <v/>
      </c>
      <c r="CH62" s="64" t="str">
        <f>IF(개요!CX48=0,"",개요!CX48)</f>
        <v/>
      </c>
      <c r="CI62" s="64" t="str">
        <f>IF(개요!CY48=0,"",개요!CY48)</f>
        <v/>
      </c>
      <c r="CJ62" s="64" t="str">
        <f>IF(개요!CZ48=0,"",개요!CZ48)</f>
        <v/>
      </c>
      <c r="CK62" s="64" t="str">
        <f>IF(개요!DA48=0,"",개요!DA48)</f>
        <v/>
      </c>
      <c r="CL62" s="64" t="str">
        <f>IF(개요!DB48=0,"",개요!DB48)</f>
        <v/>
      </c>
      <c r="CM62" s="64" t="str">
        <f>IF(개요!DC48=0,"",개요!DC48)</f>
        <v/>
      </c>
      <c r="CN62" s="64" t="str">
        <f>IF(개요!DD48=0,"",개요!DD48)</f>
        <v/>
      </c>
      <c r="CO62" s="64" t="str">
        <f>IF(개요!DE48=0,"",개요!DE48)</f>
        <v/>
      </c>
      <c r="CP62" s="64" t="str">
        <f>IF(개요!DF48=0,"",개요!DF48)</f>
        <v/>
      </c>
      <c r="CQ62" s="64" t="str">
        <f>IF(개요!DG48=0,"",개요!DG48)</f>
        <v/>
      </c>
      <c r="CR62" s="64" t="str">
        <f>IF(개요!DH48=0,"",개요!DH48)</f>
        <v/>
      </c>
      <c r="CS62" s="64" t="str">
        <f>IF(개요!DI48=0,"",개요!DI48)</f>
        <v/>
      </c>
      <c r="CT62" s="64" t="str">
        <f>IF(개요!DJ48=0,"",개요!DJ48)</f>
        <v/>
      </c>
      <c r="CU62" s="64" t="str">
        <f>IF(개요!DK48=0,"",개요!DK48)</f>
        <v/>
      </c>
      <c r="CV62" s="64" t="str">
        <f>IF(개요!DL48=0,"",개요!DL48)</f>
        <v/>
      </c>
      <c r="CW62" s="64" t="str">
        <f>IF(개요!DM48=0,"",개요!DM48)</f>
        <v/>
      </c>
      <c r="CX62" s="64" t="str">
        <f>IF(개요!DN48=0,"",개요!DN48)</f>
        <v/>
      </c>
      <c r="CY62" s="65" t="str">
        <f t="shared" si="6"/>
        <v/>
      </c>
      <c r="DB62" s="21"/>
      <c r="DC62" s="21"/>
      <c r="DD62" s="21"/>
      <c r="DE62" s="67"/>
      <c r="DF62" s="68"/>
      <c r="DG62" s="67"/>
      <c r="DH62" s="67"/>
      <c r="DI62" s="69"/>
      <c r="DJ62" s="69"/>
      <c r="DK62" s="69"/>
      <c r="DL62" s="69"/>
    </row>
    <row r="63" spans="1:116" ht="15" hidden="1" customHeight="1" outlineLevel="1">
      <c r="A63" s="54">
        <v>42</v>
      </c>
      <c r="B63" s="63" t="str">
        <f>IF(개요!M49=0,"",개요!M49)</f>
        <v/>
      </c>
      <c r="C63" s="64" t="str">
        <f>IF(개요!S49=0,"",개요!S49)</f>
        <v/>
      </c>
      <c r="D63" s="64" t="str">
        <f>IF(개요!T49=0,"",개요!T49)</f>
        <v/>
      </c>
      <c r="E63" s="64" t="str">
        <f>IF(개요!U49=0,"",개요!U49)</f>
        <v/>
      </c>
      <c r="F63" s="64" t="str">
        <f>IF(개요!V49=0,"",개요!V49)</f>
        <v/>
      </c>
      <c r="G63" s="64" t="str">
        <f>IF(개요!W49=0,"",개요!W49)</f>
        <v/>
      </c>
      <c r="H63" s="64" t="str">
        <f>IF(개요!X49=0,"",개요!X49)</f>
        <v/>
      </c>
      <c r="I63" s="64" t="str">
        <f>IF(개요!Y49=0,"",개요!Y49)</f>
        <v/>
      </c>
      <c r="J63" s="64" t="str">
        <f>IF(개요!Z49=0,"",개요!Z49)</f>
        <v/>
      </c>
      <c r="K63" s="64" t="str">
        <f>IF(개요!AA49=0,"",개요!AA49)</f>
        <v/>
      </c>
      <c r="L63" s="64" t="str">
        <f>IF(개요!AB49=0,"",개요!AB49)</f>
        <v/>
      </c>
      <c r="M63" s="64" t="str">
        <f>IF(개요!AC49=0,"",개요!AC49)</f>
        <v/>
      </c>
      <c r="N63" s="64" t="str">
        <f>IF(개요!AD49=0,"",개요!AD49)</f>
        <v/>
      </c>
      <c r="O63" s="64" t="str">
        <f>IF(개요!AE49=0,"",개요!AE49)</f>
        <v/>
      </c>
      <c r="P63" s="64" t="str">
        <f>IF(개요!AF49=0,"",개요!AF49)</f>
        <v/>
      </c>
      <c r="Q63" s="64" t="str">
        <f>IF(개요!AG49=0,"",개요!AG49)</f>
        <v/>
      </c>
      <c r="R63" s="64" t="str">
        <f>IF(개요!AH49=0,"",개요!AH49)</f>
        <v/>
      </c>
      <c r="S63" s="64" t="str">
        <f>IF(개요!AI49=0,"",개요!AI49)</f>
        <v/>
      </c>
      <c r="T63" s="64" t="str">
        <f>IF(개요!AJ49=0,"",개요!AJ49)</f>
        <v/>
      </c>
      <c r="U63" s="64" t="str">
        <f>IF(개요!AK49=0,"",개요!AK49)</f>
        <v/>
      </c>
      <c r="V63" s="64" t="str">
        <f>IF(개요!AL49=0,"",개요!AL49)</f>
        <v/>
      </c>
      <c r="W63" s="64" t="str">
        <f>IF(개요!AM49=0,"",개요!AM49)</f>
        <v/>
      </c>
      <c r="X63" s="64" t="str">
        <f>IF(개요!AN49=0,"",개요!AN49)</f>
        <v/>
      </c>
      <c r="Y63" s="64" t="str">
        <f>IF(개요!AO49=0,"",개요!AO49)</f>
        <v/>
      </c>
      <c r="Z63" s="64" t="str">
        <f>IF(개요!AP49=0,"",개요!AP49)</f>
        <v/>
      </c>
      <c r="AA63" s="64" t="str">
        <f>IF(개요!AQ49=0,"",개요!AQ49)</f>
        <v/>
      </c>
      <c r="AB63" s="64" t="str">
        <f>IF(개요!AR49=0,"",개요!AR49)</f>
        <v/>
      </c>
      <c r="AC63" s="64" t="str">
        <f>IF(개요!AS49=0,"",개요!AS49)</f>
        <v/>
      </c>
      <c r="AD63" s="64" t="str">
        <f>IF(개요!AT49=0,"",개요!AT49)</f>
        <v/>
      </c>
      <c r="AE63" s="64" t="str">
        <f>IF(개요!AU49=0,"",개요!AU49)</f>
        <v/>
      </c>
      <c r="AF63" s="64" t="str">
        <f>IF(개요!AV49=0,"",개요!AV49)</f>
        <v/>
      </c>
      <c r="AG63" s="64" t="str">
        <f>IF(개요!AW49=0,"",개요!AW49)</f>
        <v/>
      </c>
      <c r="AH63" s="64" t="str">
        <f>IF(개요!AX49=0,"",개요!AX49)</f>
        <v/>
      </c>
      <c r="AI63" s="64" t="str">
        <f>IF(개요!AY49=0,"",개요!AY49)</f>
        <v/>
      </c>
      <c r="AJ63" s="64" t="str">
        <f>IF(개요!AZ49=0,"",개요!AZ49)</f>
        <v/>
      </c>
      <c r="AK63" s="64" t="str">
        <f>IF(개요!BA49=0,"",개요!BA49)</f>
        <v/>
      </c>
      <c r="AL63" s="64" t="str">
        <f>IF(개요!BB49=0,"",개요!BB49)</f>
        <v/>
      </c>
      <c r="AM63" s="64" t="str">
        <f>IF(개요!BC49=0,"",개요!BC49)</f>
        <v/>
      </c>
      <c r="AN63" s="64" t="str">
        <f>IF(개요!BD49=0,"",개요!BD49)</f>
        <v/>
      </c>
      <c r="AO63" s="64" t="str">
        <f>IF(개요!BE49=0,"",개요!BE49)</f>
        <v/>
      </c>
      <c r="AP63" s="64" t="str">
        <f>IF(개요!BF49=0,"",개요!BF49)</f>
        <v/>
      </c>
      <c r="AQ63" s="64" t="str">
        <f>IF(개요!BG49=0,"",개요!BG49)</f>
        <v/>
      </c>
      <c r="AR63" s="64" t="str">
        <f>IF(개요!BH49=0,"",개요!BH49)</f>
        <v/>
      </c>
      <c r="AS63" s="64" t="str">
        <f>IF(개요!BI49=0,"",개요!BI49)</f>
        <v/>
      </c>
      <c r="AT63" s="64" t="str">
        <f>IF(개요!BJ49=0,"",개요!BJ49)</f>
        <v/>
      </c>
      <c r="AU63" s="64" t="str">
        <f>IF(개요!BK49=0,"",개요!BK49)</f>
        <v/>
      </c>
      <c r="AV63" s="64" t="str">
        <f>IF(개요!BL49=0,"",개요!BL49)</f>
        <v/>
      </c>
      <c r="AW63" s="64" t="str">
        <f>IF(개요!BM49=0,"",개요!BM49)</f>
        <v/>
      </c>
      <c r="AX63" s="64" t="str">
        <f>IF(개요!BN49=0,"",개요!BN49)</f>
        <v/>
      </c>
      <c r="AY63" s="64" t="str">
        <f>IF(개요!BO49=0,"",개요!BO49)</f>
        <v/>
      </c>
      <c r="AZ63" s="64" t="str">
        <f>IF(개요!BP49=0,"",개요!BP49)</f>
        <v/>
      </c>
      <c r="BA63" s="64" t="str">
        <f>IF(개요!BQ49=0,"",개요!BQ49)</f>
        <v/>
      </c>
      <c r="BB63" s="64" t="str">
        <f>IF(개요!BR49=0,"",개요!BR49)</f>
        <v/>
      </c>
      <c r="BC63" s="64" t="str">
        <f>IF(개요!BS49=0,"",개요!BS49)</f>
        <v/>
      </c>
      <c r="BD63" s="64" t="str">
        <f>IF(개요!BT49=0,"",개요!BT49)</f>
        <v/>
      </c>
      <c r="BE63" s="64" t="str">
        <f>IF(개요!BU49=0,"",개요!BU49)</f>
        <v/>
      </c>
      <c r="BF63" s="64" t="str">
        <f>IF(개요!BV49=0,"",개요!BV49)</f>
        <v/>
      </c>
      <c r="BG63" s="64" t="str">
        <f>IF(개요!BW49=0,"",개요!BW49)</f>
        <v/>
      </c>
      <c r="BH63" s="64" t="str">
        <f>IF(개요!BX49=0,"",개요!BX49)</f>
        <v/>
      </c>
      <c r="BI63" s="64" t="str">
        <f>IF(개요!BY49=0,"",개요!BY49)</f>
        <v/>
      </c>
      <c r="BJ63" s="64" t="str">
        <f>IF(개요!BZ49=0,"",개요!BZ49)</f>
        <v/>
      </c>
      <c r="BK63" s="64" t="str">
        <f>IF(개요!CA49=0,"",개요!CA49)</f>
        <v/>
      </c>
      <c r="BL63" s="64" t="str">
        <f>IF(개요!CB49=0,"",개요!CB49)</f>
        <v/>
      </c>
      <c r="BM63" s="64" t="str">
        <f>IF(개요!CC49=0,"",개요!CC49)</f>
        <v/>
      </c>
      <c r="BN63" s="64" t="str">
        <f>IF(개요!CD49=0,"",개요!CD49)</f>
        <v/>
      </c>
      <c r="BO63" s="64" t="str">
        <f>IF(개요!CE49=0,"",개요!CE49)</f>
        <v/>
      </c>
      <c r="BP63" s="64" t="str">
        <f>IF(개요!CF49=0,"",개요!CF49)</f>
        <v/>
      </c>
      <c r="BQ63" s="64" t="str">
        <f>IF(개요!CG49=0,"",개요!CG49)</f>
        <v/>
      </c>
      <c r="BR63" s="64" t="str">
        <f>IF(개요!CH49=0,"",개요!CH49)</f>
        <v/>
      </c>
      <c r="BS63" s="64" t="str">
        <f>IF(개요!CI49=0,"",개요!CI49)</f>
        <v/>
      </c>
      <c r="BT63" s="64" t="str">
        <f>IF(개요!CJ49=0,"",개요!CJ49)</f>
        <v/>
      </c>
      <c r="BU63" s="64" t="str">
        <f>IF(개요!CK49=0,"",개요!CK49)</f>
        <v/>
      </c>
      <c r="BV63" s="64" t="str">
        <f>IF(개요!CL49=0,"",개요!CL49)</f>
        <v/>
      </c>
      <c r="BW63" s="64" t="str">
        <f>IF(개요!CM49=0,"",개요!CM49)</f>
        <v/>
      </c>
      <c r="BX63" s="64" t="str">
        <f>IF(개요!CN49=0,"",개요!CN49)</f>
        <v/>
      </c>
      <c r="BY63" s="64" t="str">
        <f>IF(개요!CO49=0,"",개요!CO49)</f>
        <v/>
      </c>
      <c r="BZ63" s="64" t="str">
        <f>IF(개요!CP49=0,"",개요!CP49)</f>
        <v/>
      </c>
      <c r="CA63" s="64" t="str">
        <f>IF(개요!CQ49=0,"",개요!CQ49)</f>
        <v/>
      </c>
      <c r="CB63" s="64" t="str">
        <f>IF(개요!CR49=0,"",개요!CR49)</f>
        <v/>
      </c>
      <c r="CC63" s="64" t="str">
        <f>IF(개요!CS49=0,"",개요!CS49)</f>
        <v/>
      </c>
      <c r="CD63" s="64" t="str">
        <f>IF(개요!CT49=0,"",개요!CT49)</f>
        <v/>
      </c>
      <c r="CE63" s="64" t="str">
        <f>IF(개요!CU49=0,"",개요!CU49)</f>
        <v/>
      </c>
      <c r="CF63" s="64" t="str">
        <f>IF(개요!CV49=0,"",개요!CV49)</f>
        <v/>
      </c>
      <c r="CG63" s="64" t="str">
        <f>IF(개요!CW49=0,"",개요!CW49)</f>
        <v/>
      </c>
      <c r="CH63" s="64" t="str">
        <f>IF(개요!CX49=0,"",개요!CX49)</f>
        <v/>
      </c>
      <c r="CI63" s="64" t="str">
        <f>IF(개요!CY49=0,"",개요!CY49)</f>
        <v/>
      </c>
      <c r="CJ63" s="64" t="str">
        <f>IF(개요!CZ49=0,"",개요!CZ49)</f>
        <v/>
      </c>
      <c r="CK63" s="64" t="str">
        <f>IF(개요!DA49=0,"",개요!DA49)</f>
        <v/>
      </c>
      <c r="CL63" s="64" t="str">
        <f>IF(개요!DB49=0,"",개요!DB49)</f>
        <v/>
      </c>
      <c r="CM63" s="64" t="str">
        <f>IF(개요!DC49=0,"",개요!DC49)</f>
        <v/>
      </c>
      <c r="CN63" s="64" t="str">
        <f>IF(개요!DD49=0,"",개요!DD49)</f>
        <v/>
      </c>
      <c r="CO63" s="64" t="str">
        <f>IF(개요!DE49=0,"",개요!DE49)</f>
        <v/>
      </c>
      <c r="CP63" s="64" t="str">
        <f>IF(개요!DF49=0,"",개요!DF49)</f>
        <v/>
      </c>
      <c r="CQ63" s="64" t="str">
        <f>IF(개요!DG49=0,"",개요!DG49)</f>
        <v/>
      </c>
      <c r="CR63" s="64" t="str">
        <f>IF(개요!DH49=0,"",개요!DH49)</f>
        <v/>
      </c>
      <c r="CS63" s="64" t="str">
        <f>IF(개요!DI49=0,"",개요!DI49)</f>
        <v/>
      </c>
      <c r="CT63" s="64" t="str">
        <f>IF(개요!DJ49=0,"",개요!DJ49)</f>
        <v/>
      </c>
      <c r="CU63" s="64" t="str">
        <f>IF(개요!DK49=0,"",개요!DK49)</f>
        <v/>
      </c>
      <c r="CV63" s="64" t="str">
        <f>IF(개요!DL49=0,"",개요!DL49)</f>
        <v/>
      </c>
      <c r="CW63" s="64" t="str">
        <f>IF(개요!DM49=0,"",개요!DM49)</f>
        <v/>
      </c>
      <c r="CX63" s="64" t="str">
        <f>IF(개요!DN49=0,"",개요!DN49)</f>
        <v/>
      </c>
      <c r="CY63" s="65" t="str">
        <f t="shared" si="6"/>
        <v/>
      </c>
      <c r="DB63" s="21"/>
      <c r="DC63" s="21"/>
      <c r="DD63" s="21"/>
      <c r="DE63" s="67"/>
      <c r="DF63" s="68"/>
      <c r="DG63" s="67"/>
      <c r="DH63" s="67"/>
      <c r="DI63" s="69"/>
      <c r="DJ63" s="69"/>
      <c r="DK63" s="69"/>
      <c r="DL63" s="69"/>
    </row>
    <row r="64" spans="1:116" ht="15" hidden="1" customHeight="1" outlineLevel="1">
      <c r="A64" s="54">
        <v>43</v>
      </c>
      <c r="B64" s="63" t="str">
        <f>IF(개요!M50=0,"",개요!M50)</f>
        <v/>
      </c>
      <c r="C64" s="64" t="str">
        <f>IF(개요!S50=0,"",개요!S50)</f>
        <v/>
      </c>
      <c r="D64" s="64" t="str">
        <f>IF(개요!T50=0,"",개요!T50)</f>
        <v/>
      </c>
      <c r="E64" s="64" t="str">
        <f>IF(개요!U50=0,"",개요!U50)</f>
        <v/>
      </c>
      <c r="F64" s="64" t="str">
        <f>IF(개요!V50=0,"",개요!V50)</f>
        <v/>
      </c>
      <c r="G64" s="64" t="str">
        <f>IF(개요!W50=0,"",개요!W50)</f>
        <v/>
      </c>
      <c r="H64" s="64" t="str">
        <f>IF(개요!X50=0,"",개요!X50)</f>
        <v/>
      </c>
      <c r="I64" s="64" t="str">
        <f>IF(개요!Y50=0,"",개요!Y50)</f>
        <v/>
      </c>
      <c r="J64" s="64" t="str">
        <f>IF(개요!Z50=0,"",개요!Z50)</f>
        <v/>
      </c>
      <c r="K64" s="64" t="str">
        <f>IF(개요!AA50=0,"",개요!AA50)</f>
        <v/>
      </c>
      <c r="L64" s="64" t="str">
        <f>IF(개요!AB50=0,"",개요!AB50)</f>
        <v/>
      </c>
      <c r="M64" s="64" t="str">
        <f>IF(개요!AC50=0,"",개요!AC50)</f>
        <v/>
      </c>
      <c r="N64" s="64" t="str">
        <f>IF(개요!AD50=0,"",개요!AD50)</f>
        <v/>
      </c>
      <c r="O64" s="64" t="str">
        <f>IF(개요!AE50=0,"",개요!AE50)</f>
        <v/>
      </c>
      <c r="P64" s="64" t="str">
        <f>IF(개요!AF50=0,"",개요!AF50)</f>
        <v/>
      </c>
      <c r="Q64" s="64" t="str">
        <f>IF(개요!AG50=0,"",개요!AG50)</f>
        <v/>
      </c>
      <c r="R64" s="64" t="str">
        <f>IF(개요!AH50=0,"",개요!AH50)</f>
        <v/>
      </c>
      <c r="S64" s="64" t="str">
        <f>IF(개요!AI50=0,"",개요!AI50)</f>
        <v/>
      </c>
      <c r="T64" s="64" t="str">
        <f>IF(개요!AJ50=0,"",개요!AJ50)</f>
        <v/>
      </c>
      <c r="U64" s="64" t="str">
        <f>IF(개요!AK50=0,"",개요!AK50)</f>
        <v/>
      </c>
      <c r="V64" s="64" t="str">
        <f>IF(개요!AL50=0,"",개요!AL50)</f>
        <v/>
      </c>
      <c r="W64" s="64" t="str">
        <f>IF(개요!AM50=0,"",개요!AM50)</f>
        <v/>
      </c>
      <c r="X64" s="64" t="str">
        <f>IF(개요!AN50=0,"",개요!AN50)</f>
        <v/>
      </c>
      <c r="Y64" s="64" t="str">
        <f>IF(개요!AO50=0,"",개요!AO50)</f>
        <v/>
      </c>
      <c r="Z64" s="64" t="str">
        <f>IF(개요!AP50=0,"",개요!AP50)</f>
        <v/>
      </c>
      <c r="AA64" s="64" t="str">
        <f>IF(개요!AQ50=0,"",개요!AQ50)</f>
        <v/>
      </c>
      <c r="AB64" s="64" t="str">
        <f>IF(개요!AR50=0,"",개요!AR50)</f>
        <v/>
      </c>
      <c r="AC64" s="64" t="str">
        <f>IF(개요!AS50=0,"",개요!AS50)</f>
        <v/>
      </c>
      <c r="AD64" s="64" t="str">
        <f>IF(개요!AT50=0,"",개요!AT50)</f>
        <v/>
      </c>
      <c r="AE64" s="64" t="str">
        <f>IF(개요!AU50=0,"",개요!AU50)</f>
        <v/>
      </c>
      <c r="AF64" s="64" t="str">
        <f>IF(개요!AV50=0,"",개요!AV50)</f>
        <v/>
      </c>
      <c r="AG64" s="64" t="str">
        <f>IF(개요!AW50=0,"",개요!AW50)</f>
        <v/>
      </c>
      <c r="AH64" s="64" t="str">
        <f>IF(개요!AX50=0,"",개요!AX50)</f>
        <v/>
      </c>
      <c r="AI64" s="64" t="str">
        <f>IF(개요!AY50=0,"",개요!AY50)</f>
        <v/>
      </c>
      <c r="AJ64" s="64" t="str">
        <f>IF(개요!AZ50=0,"",개요!AZ50)</f>
        <v/>
      </c>
      <c r="AK64" s="64" t="str">
        <f>IF(개요!BA50=0,"",개요!BA50)</f>
        <v/>
      </c>
      <c r="AL64" s="64" t="str">
        <f>IF(개요!BB50=0,"",개요!BB50)</f>
        <v/>
      </c>
      <c r="AM64" s="64" t="str">
        <f>IF(개요!BC50=0,"",개요!BC50)</f>
        <v/>
      </c>
      <c r="AN64" s="64" t="str">
        <f>IF(개요!BD50=0,"",개요!BD50)</f>
        <v/>
      </c>
      <c r="AO64" s="64" t="str">
        <f>IF(개요!BE50=0,"",개요!BE50)</f>
        <v/>
      </c>
      <c r="AP64" s="64" t="str">
        <f>IF(개요!BF50=0,"",개요!BF50)</f>
        <v/>
      </c>
      <c r="AQ64" s="64" t="str">
        <f>IF(개요!BG50=0,"",개요!BG50)</f>
        <v/>
      </c>
      <c r="AR64" s="64" t="str">
        <f>IF(개요!BH50=0,"",개요!BH50)</f>
        <v/>
      </c>
      <c r="AS64" s="64" t="str">
        <f>IF(개요!BI50=0,"",개요!BI50)</f>
        <v/>
      </c>
      <c r="AT64" s="64" t="str">
        <f>IF(개요!BJ50=0,"",개요!BJ50)</f>
        <v/>
      </c>
      <c r="AU64" s="64" t="str">
        <f>IF(개요!BK50=0,"",개요!BK50)</f>
        <v/>
      </c>
      <c r="AV64" s="64" t="str">
        <f>IF(개요!BL50=0,"",개요!BL50)</f>
        <v/>
      </c>
      <c r="AW64" s="64" t="str">
        <f>IF(개요!BM50=0,"",개요!BM50)</f>
        <v/>
      </c>
      <c r="AX64" s="64" t="str">
        <f>IF(개요!BN50=0,"",개요!BN50)</f>
        <v/>
      </c>
      <c r="AY64" s="64" t="str">
        <f>IF(개요!BO50=0,"",개요!BO50)</f>
        <v/>
      </c>
      <c r="AZ64" s="64" t="str">
        <f>IF(개요!BP50=0,"",개요!BP50)</f>
        <v/>
      </c>
      <c r="BA64" s="64" t="str">
        <f>IF(개요!BQ50=0,"",개요!BQ50)</f>
        <v/>
      </c>
      <c r="BB64" s="64" t="str">
        <f>IF(개요!BR50=0,"",개요!BR50)</f>
        <v/>
      </c>
      <c r="BC64" s="64" t="str">
        <f>IF(개요!BS50=0,"",개요!BS50)</f>
        <v/>
      </c>
      <c r="BD64" s="64" t="str">
        <f>IF(개요!BT50=0,"",개요!BT50)</f>
        <v/>
      </c>
      <c r="BE64" s="64" t="str">
        <f>IF(개요!BU50=0,"",개요!BU50)</f>
        <v/>
      </c>
      <c r="BF64" s="64" t="str">
        <f>IF(개요!BV50=0,"",개요!BV50)</f>
        <v/>
      </c>
      <c r="BG64" s="64" t="str">
        <f>IF(개요!BW50=0,"",개요!BW50)</f>
        <v/>
      </c>
      <c r="BH64" s="64" t="str">
        <f>IF(개요!BX50=0,"",개요!BX50)</f>
        <v/>
      </c>
      <c r="BI64" s="64" t="str">
        <f>IF(개요!BY50=0,"",개요!BY50)</f>
        <v/>
      </c>
      <c r="BJ64" s="64" t="str">
        <f>IF(개요!BZ50=0,"",개요!BZ50)</f>
        <v/>
      </c>
      <c r="BK64" s="64" t="str">
        <f>IF(개요!CA50=0,"",개요!CA50)</f>
        <v/>
      </c>
      <c r="BL64" s="64" t="str">
        <f>IF(개요!CB50=0,"",개요!CB50)</f>
        <v/>
      </c>
      <c r="BM64" s="64" t="str">
        <f>IF(개요!CC50=0,"",개요!CC50)</f>
        <v/>
      </c>
      <c r="BN64" s="64" t="str">
        <f>IF(개요!CD50=0,"",개요!CD50)</f>
        <v/>
      </c>
      <c r="BO64" s="64" t="str">
        <f>IF(개요!CE50=0,"",개요!CE50)</f>
        <v/>
      </c>
      <c r="BP64" s="64" t="str">
        <f>IF(개요!CF50=0,"",개요!CF50)</f>
        <v/>
      </c>
      <c r="BQ64" s="64" t="str">
        <f>IF(개요!CG50=0,"",개요!CG50)</f>
        <v/>
      </c>
      <c r="BR64" s="64" t="str">
        <f>IF(개요!CH50=0,"",개요!CH50)</f>
        <v/>
      </c>
      <c r="BS64" s="64" t="str">
        <f>IF(개요!CI50=0,"",개요!CI50)</f>
        <v/>
      </c>
      <c r="BT64" s="64" t="str">
        <f>IF(개요!CJ50=0,"",개요!CJ50)</f>
        <v/>
      </c>
      <c r="BU64" s="64" t="str">
        <f>IF(개요!CK50=0,"",개요!CK50)</f>
        <v/>
      </c>
      <c r="BV64" s="64" t="str">
        <f>IF(개요!CL50=0,"",개요!CL50)</f>
        <v/>
      </c>
      <c r="BW64" s="64" t="str">
        <f>IF(개요!CM50=0,"",개요!CM50)</f>
        <v/>
      </c>
      <c r="BX64" s="64" t="str">
        <f>IF(개요!CN50=0,"",개요!CN50)</f>
        <v/>
      </c>
      <c r="BY64" s="64" t="str">
        <f>IF(개요!CO50=0,"",개요!CO50)</f>
        <v/>
      </c>
      <c r="BZ64" s="64" t="str">
        <f>IF(개요!CP50=0,"",개요!CP50)</f>
        <v/>
      </c>
      <c r="CA64" s="64" t="str">
        <f>IF(개요!CQ50=0,"",개요!CQ50)</f>
        <v/>
      </c>
      <c r="CB64" s="64" t="str">
        <f>IF(개요!CR50=0,"",개요!CR50)</f>
        <v/>
      </c>
      <c r="CC64" s="64" t="str">
        <f>IF(개요!CS50=0,"",개요!CS50)</f>
        <v/>
      </c>
      <c r="CD64" s="64" t="str">
        <f>IF(개요!CT50=0,"",개요!CT50)</f>
        <v/>
      </c>
      <c r="CE64" s="64" t="str">
        <f>IF(개요!CU50=0,"",개요!CU50)</f>
        <v/>
      </c>
      <c r="CF64" s="64" t="str">
        <f>IF(개요!CV50=0,"",개요!CV50)</f>
        <v/>
      </c>
      <c r="CG64" s="64" t="str">
        <f>IF(개요!CW50=0,"",개요!CW50)</f>
        <v/>
      </c>
      <c r="CH64" s="64" t="str">
        <f>IF(개요!CX50=0,"",개요!CX50)</f>
        <v/>
      </c>
      <c r="CI64" s="64" t="str">
        <f>IF(개요!CY50=0,"",개요!CY50)</f>
        <v/>
      </c>
      <c r="CJ64" s="64" t="str">
        <f>IF(개요!CZ50=0,"",개요!CZ50)</f>
        <v/>
      </c>
      <c r="CK64" s="64" t="str">
        <f>IF(개요!DA50=0,"",개요!DA50)</f>
        <v/>
      </c>
      <c r="CL64" s="64" t="str">
        <f>IF(개요!DB50=0,"",개요!DB50)</f>
        <v/>
      </c>
      <c r="CM64" s="64" t="str">
        <f>IF(개요!DC50=0,"",개요!DC50)</f>
        <v/>
      </c>
      <c r="CN64" s="64" t="str">
        <f>IF(개요!DD50=0,"",개요!DD50)</f>
        <v/>
      </c>
      <c r="CO64" s="64" t="str">
        <f>IF(개요!DE50=0,"",개요!DE50)</f>
        <v/>
      </c>
      <c r="CP64" s="64" t="str">
        <f>IF(개요!DF50=0,"",개요!DF50)</f>
        <v/>
      </c>
      <c r="CQ64" s="64" t="str">
        <f>IF(개요!DG50=0,"",개요!DG50)</f>
        <v/>
      </c>
      <c r="CR64" s="64" t="str">
        <f>IF(개요!DH50=0,"",개요!DH50)</f>
        <v/>
      </c>
      <c r="CS64" s="64" t="str">
        <f>IF(개요!DI50=0,"",개요!DI50)</f>
        <v/>
      </c>
      <c r="CT64" s="64" t="str">
        <f>IF(개요!DJ50=0,"",개요!DJ50)</f>
        <v/>
      </c>
      <c r="CU64" s="64" t="str">
        <f>IF(개요!DK50=0,"",개요!DK50)</f>
        <v/>
      </c>
      <c r="CV64" s="64" t="str">
        <f>IF(개요!DL50=0,"",개요!DL50)</f>
        <v/>
      </c>
      <c r="CW64" s="64" t="str">
        <f>IF(개요!DM50=0,"",개요!DM50)</f>
        <v/>
      </c>
      <c r="CX64" s="64" t="str">
        <f>IF(개요!DN50=0,"",개요!DN50)</f>
        <v/>
      </c>
      <c r="CY64" s="65" t="str">
        <f t="shared" si="6"/>
        <v/>
      </c>
      <c r="DB64" s="21"/>
      <c r="DC64" s="21"/>
      <c r="DD64" s="21"/>
      <c r="DE64" s="67"/>
      <c r="DF64" s="68"/>
      <c r="DG64" s="67"/>
      <c r="DH64" s="67"/>
      <c r="DI64" s="69"/>
      <c r="DJ64" s="69"/>
      <c r="DK64" s="69"/>
      <c r="DL64" s="69"/>
    </row>
    <row r="65" spans="1:116" ht="15" hidden="1" customHeight="1" outlineLevel="1">
      <c r="A65" s="54">
        <v>44</v>
      </c>
      <c r="B65" s="63" t="str">
        <f>IF(개요!M51=0,"",개요!M51)</f>
        <v/>
      </c>
      <c r="C65" s="64" t="str">
        <f>IF(개요!S51=0,"",개요!S51)</f>
        <v/>
      </c>
      <c r="D65" s="64" t="str">
        <f>IF(개요!T51=0,"",개요!T51)</f>
        <v/>
      </c>
      <c r="E65" s="64" t="str">
        <f>IF(개요!U51=0,"",개요!U51)</f>
        <v/>
      </c>
      <c r="F65" s="64" t="str">
        <f>IF(개요!V51=0,"",개요!V51)</f>
        <v/>
      </c>
      <c r="G65" s="64" t="str">
        <f>IF(개요!W51=0,"",개요!W51)</f>
        <v/>
      </c>
      <c r="H65" s="64" t="str">
        <f>IF(개요!X51=0,"",개요!X51)</f>
        <v/>
      </c>
      <c r="I65" s="64" t="str">
        <f>IF(개요!Y51=0,"",개요!Y51)</f>
        <v/>
      </c>
      <c r="J65" s="64" t="str">
        <f>IF(개요!Z51=0,"",개요!Z51)</f>
        <v/>
      </c>
      <c r="K65" s="64" t="str">
        <f>IF(개요!AA51=0,"",개요!AA51)</f>
        <v/>
      </c>
      <c r="L65" s="64" t="str">
        <f>IF(개요!AB51=0,"",개요!AB51)</f>
        <v/>
      </c>
      <c r="M65" s="64" t="str">
        <f>IF(개요!AC51=0,"",개요!AC51)</f>
        <v/>
      </c>
      <c r="N65" s="64" t="str">
        <f>IF(개요!AD51=0,"",개요!AD51)</f>
        <v/>
      </c>
      <c r="O65" s="64" t="str">
        <f>IF(개요!AE51=0,"",개요!AE51)</f>
        <v/>
      </c>
      <c r="P65" s="64" t="str">
        <f>IF(개요!AF51=0,"",개요!AF51)</f>
        <v/>
      </c>
      <c r="Q65" s="64" t="str">
        <f>IF(개요!AG51=0,"",개요!AG51)</f>
        <v/>
      </c>
      <c r="R65" s="64" t="str">
        <f>IF(개요!AH51=0,"",개요!AH51)</f>
        <v/>
      </c>
      <c r="S65" s="64" t="str">
        <f>IF(개요!AI51=0,"",개요!AI51)</f>
        <v/>
      </c>
      <c r="T65" s="64" t="str">
        <f>IF(개요!AJ51=0,"",개요!AJ51)</f>
        <v/>
      </c>
      <c r="U65" s="64" t="str">
        <f>IF(개요!AK51=0,"",개요!AK51)</f>
        <v/>
      </c>
      <c r="V65" s="64" t="str">
        <f>IF(개요!AL51=0,"",개요!AL51)</f>
        <v/>
      </c>
      <c r="W65" s="64" t="str">
        <f>IF(개요!AM51=0,"",개요!AM51)</f>
        <v/>
      </c>
      <c r="X65" s="64" t="str">
        <f>IF(개요!AN51=0,"",개요!AN51)</f>
        <v/>
      </c>
      <c r="Y65" s="64" t="str">
        <f>IF(개요!AO51=0,"",개요!AO51)</f>
        <v/>
      </c>
      <c r="Z65" s="64" t="str">
        <f>IF(개요!AP51=0,"",개요!AP51)</f>
        <v/>
      </c>
      <c r="AA65" s="64" t="str">
        <f>IF(개요!AQ51=0,"",개요!AQ51)</f>
        <v/>
      </c>
      <c r="AB65" s="64" t="str">
        <f>IF(개요!AR51=0,"",개요!AR51)</f>
        <v/>
      </c>
      <c r="AC65" s="64" t="str">
        <f>IF(개요!AS51=0,"",개요!AS51)</f>
        <v/>
      </c>
      <c r="AD65" s="64" t="str">
        <f>IF(개요!AT51=0,"",개요!AT51)</f>
        <v/>
      </c>
      <c r="AE65" s="64" t="str">
        <f>IF(개요!AU51=0,"",개요!AU51)</f>
        <v/>
      </c>
      <c r="AF65" s="64" t="str">
        <f>IF(개요!AV51=0,"",개요!AV51)</f>
        <v/>
      </c>
      <c r="AG65" s="64" t="str">
        <f>IF(개요!AW51=0,"",개요!AW51)</f>
        <v/>
      </c>
      <c r="AH65" s="64" t="str">
        <f>IF(개요!AX51=0,"",개요!AX51)</f>
        <v/>
      </c>
      <c r="AI65" s="64" t="str">
        <f>IF(개요!AY51=0,"",개요!AY51)</f>
        <v/>
      </c>
      <c r="AJ65" s="64" t="str">
        <f>IF(개요!AZ51=0,"",개요!AZ51)</f>
        <v/>
      </c>
      <c r="AK65" s="64" t="str">
        <f>IF(개요!BA51=0,"",개요!BA51)</f>
        <v/>
      </c>
      <c r="AL65" s="64" t="str">
        <f>IF(개요!BB51=0,"",개요!BB51)</f>
        <v/>
      </c>
      <c r="AM65" s="64" t="str">
        <f>IF(개요!BC51=0,"",개요!BC51)</f>
        <v/>
      </c>
      <c r="AN65" s="64" t="str">
        <f>IF(개요!BD51=0,"",개요!BD51)</f>
        <v/>
      </c>
      <c r="AO65" s="64" t="str">
        <f>IF(개요!BE51=0,"",개요!BE51)</f>
        <v/>
      </c>
      <c r="AP65" s="64" t="str">
        <f>IF(개요!BF51=0,"",개요!BF51)</f>
        <v/>
      </c>
      <c r="AQ65" s="64" t="str">
        <f>IF(개요!BG51=0,"",개요!BG51)</f>
        <v/>
      </c>
      <c r="AR65" s="64" t="str">
        <f>IF(개요!BH51=0,"",개요!BH51)</f>
        <v/>
      </c>
      <c r="AS65" s="64" t="str">
        <f>IF(개요!BI51=0,"",개요!BI51)</f>
        <v/>
      </c>
      <c r="AT65" s="64" t="str">
        <f>IF(개요!BJ51=0,"",개요!BJ51)</f>
        <v/>
      </c>
      <c r="AU65" s="64" t="str">
        <f>IF(개요!BK51=0,"",개요!BK51)</f>
        <v/>
      </c>
      <c r="AV65" s="64" t="str">
        <f>IF(개요!BL51=0,"",개요!BL51)</f>
        <v/>
      </c>
      <c r="AW65" s="64" t="str">
        <f>IF(개요!BM51=0,"",개요!BM51)</f>
        <v/>
      </c>
      <c r="AX65" s="64" t="str">
        <f>IF(개요!BN51=0,"",개요!BN51)</f>
        <v/>
      </c>
      <c r="AY65" s="64" t="str">
        <f>IF(개요!BO51=0,"",개요!BO51)</f>
        <v/>
      </c>
      <c r="AZ65" s="64" t="str">
        <f>IF(개요!BP51=0,"",개요!BP51)</f>
        <v/>
      </c>
      <c r="BA65" s="64" t="str">
        <f>IF(개요!BQ51=0,"",개요!BQ51)</f>
        <v/>
      </c>
      <c r="BB65" s="64" t="str">
        <f>IF(개요!BR51=0,"",개요!BR51)</f>
        <v/>
      </c>
      <c r="BC65" s="64" t="str">
        <f>IF(개요!BS51=0,"",개요!BS51)</f>
        <v/>
      </c>
      <c r="BD65" s="64" t="str">
        <f>IF(개요!BT51=0,"",개요!BT51)</f>
        <v/>
      </c>
      <c r="BE65" s="64" t="str">
        <f>IF(개요!BU51=0,"",개요!BU51)</f>
        <v/>
      </c>
      <c r="BF65" s="64" t="str">
        <f>IF(개요!BV51=0,"",개요!BV51)</f>
        <v/>
      </c>
      <c r="BG65" s="64" t="str">
        <f>IF(개요!BW51=0,"",개요!BW51)</f>
        <v/>
      </c>
      <c r="BH65" s="64" t="str">
        <f>IF(개요!BX51=0,"",개요!BX51)</f>
        <v/>
      </c>
      <c r="BI65" s="64" t="str">
        <f>IF(개요!BY51=0,"",개요!BY51)</f>
        <v/>
      </c>
      <c r="BJ65" s="64" t="str">
        <f>IF(개요!BZ51=0,"",개요!BZ51)</f>
        <v/>
      </c>
      <c r="BK65" s="64" t="str">
        <f>IF(개요!CA51=0,"",개요!CA51)</f>
        <v/>
      </c>
      <c r="BL65" s="64" t="str">
        <f>IF(개요!CB51=0,"",개요!CB51)</f>
        <v/>
      </c>
      <c r="BM65" s="64" t="str">
        <f>IF(개요!CC51=0,"",개요!CC51)</f>
        <v/>
      </c>
      <c r="BN65" s="64" t="str">
        <f>IF(개요!CD51=0,"",개요!CD51)</f>
        <v/>
      </c>
      <c r="BO65" s="64" t="str">
        <f>IF(개요!CE51=0,"",개요!CE51)</f>
        <v/>
      </c>
      <c r="BP65" s="64" t="str">
        <f>IF(개요!CF51=0,"",개요!CF51)</f>
        <v/>
      </c>
      <c r="BQ65" s="64" t="str">
        <f>IF(개요!CG51=0,"",개요!CG51)</f>
        <v/>
      </c>
      <c r="BR65" s="64" t="str">
        <f>IF(개요!CH51=0,"",개요!CH51)</f>
        <v/>
      </c>
      <c r="BS65" s="64" t="str">
        <f>IF(개요!CI51=0,"",개요!CI51)</f>
        <v/>
      </c>
      <c r="BT65" s="64" t="str">
        <f>IF(개요!CJ51=0,"",개요!CJ51)</f>
        <v/>
      </c>
      <c r="BU65" s="64" t="str">
        <f>IF(개요!CK51=0,"",개요!CK51)</f>
        <v/>
      </c>
      <c r="BV65" s="64" t="str">
        <f>IF(개요!CL51=0,"",개요!CL51)</f>
        <v/>
      </c>
      <c r="BW65" s="64" t="str">
        <f>IF(개요!CM51=0,"",개요!CM51)</f>
        <v/>
      </c>
      <c r="BX65" s="64" t="str">
        <f>IF(개요!CN51=0,"",개요!CN51)</f>
        <v/>
      </c>
      <c r="BY65" s="64" t="str">
        <f>IF(개요!CO51=0,"",개요!CO51)</f>
        <v/>
      </c>
      <c r="BZ65" s="64" t="str">
        <f>IF(개요!CP51=0,"",개요!CP51)</f>
        <v/>
      </c>
      <c r="CA65" s="64" t="str">
        <f>IF(개요!CQ51=0,"",개요!CQ51)</f>
        <v/>
      </c>
      <c r="CB65" s="64" t="str">
        <f>IF(개요!CR51=0,"",개요!CR51)</f>
        <v/>
      </c>
      <c r="CC65" s="64" t="str">
        <f>IF(개요!CS51=0,"",개요!CS51)</f>
        <v/>
      </c>
      <c r="CD65" s="64" t="str">
        <f>IF(개요!CT51=0,"",개요!CT51)</f>
        <v/>
      </c>
      <c r="CE65" s="64" t="str">
        <f>IF(개요!CU51=0,"",개요!CU51)</f>
        <v/>
      </c>
      <c r="CF65" s="64" t="str">
        <f>IF(개요!CV51=0,"",개요!CV51)</f>
        <v/>
      </c>
      <c r="CG65" s="64" t="str">
        <f>IF(개요!CW51=0,"",개요!CW51)</f>
        <v/>
      </c>
      <c r="CH65" s="64" t="str">
        <f>IF(개요!CX51=0,"",개요!CX51)</f>
        <v/>
      </c>
      <c r="CI65" s="64" t="str">
        <f>IF(개요!CY51=0,"",개요!CY51)</f>
        <v/>
      </c>
      <c r="CJ65" s="64" t="str">
        <f>IF(개요!CZ51=0,"",개요!CZ51)</f>
        <v/>
      </c>
      <c r="CK65" s="64" t="str">
        <f>IF(개요!DA51=0,"",개요!DA51)</f>
        <v/>
      </c>
      <c r="CL65" s="64" t="str">
        <f>IF(개요!DB51=0,"",개요!DB51)</f>
        <v/>
      </c>
      <c r="CM65" s="64" t="str">
        <f>IF(개요!DC51=0,"",개요!DC51)</f>
        <v/>
      </c>
      <c r="CN65" s="64" t="str">
        <f>IF(개요!DD51=0,"",개요!DD51)</f>
        <v/>
      </c>
      <c r="CO65" s="64" t="str">
        <f>IF(개요!DE51=0,"",개요!DE51)</f>
        <v/>
      </c>
      <c r="CP65" s="64" t="str">
        <f>IF(개요!DF51=0,"",개요!DF51)</f>
        <v/>
      </c>
      <c r="CQ65" s="64" t="str">
        <f>IF(개요!DG51=0,"",개요!DG51)</f>
        <v/>
      </c>
      <c r="CR65" s="64" t="str">
        <f>IF(개요!DH51=0,"",개요!DH51)</f>
        <v/>
      </c>
      <c r="CS65" s="64" t="str">
        <f>IF(개요!DI51=0,"",개요!DI51)</f>
        <v/>
      </c>
      <c r="CT65" s="64" t="str">
        <f>IF(개요!DJ51=0,"",개요!DJ51)</f>
        <v/>
      </c>
      <c r="CU65" s="64" t="str">
        <f>IF(개요!DK51=0,"",개요!DK51)</f>
        <v/>
      </c>
      <c r="CV65" s="64" t="str">
        <f>IF(개요!DL51=0,"",개요!DL51)</f>
        <v/>
      </c>
      <c r="CW65" s="64" t="str">
        <f>IF(개요!DM51=0,"",개요!DM51)</f>
        <v/>
      </c>
      <c r="CX65" s="64" t="str">
        <f>IF(개요!DN51=0,"",개요!DN51)</f>
        <v/>
      </c>
      <c r="CY65" s="65" t="str">
        <f t="shared" si="6"/>
        <v/>
      </c>
      <c r="DB65" s="21"/>
      <c r="DC65" s="21"/>
      <c r="DD65" s="21"/>
      <c r="DE65" s="67"/>
      <c r="DF65" s="68"/>
      <c r="DG65" s="67"/>
      <c r="DH65" s="67"/>
      <c r="DI65" s="69"/>
      <c r="DJ65" s="69"/>
      <c r="DK65" s="69"/>
      <c r="DL65" s="69"/>
    </row>
    <row r="66" spans="1:116" ht="15" hidden="1" customHeight="1" outlineLevel="1">
      <c r="A66" s="54">
        <v>45</v>
      </c>
      <c r="B66" s="63" t="str">
        <f>IF(개요!M52=0,"",개요!M52)</f>
        <v/>
      </c>
      <c r="C66" s="64" t="str">
        <f>IF(개요!S52=0,"",개요!S52)</f>
        <v/>
      </c>
      <c r="D66" s="64" t="str">
        <f>IF(개요!T52=0,"",개요!T52)</f>
        <v/>
      </c>
      <c r="E66" s="64" t="str">
        <f>IF(개요!U52=0,"",개요!U52)</f>
        <v/>
      </c>
      <c r="F66" s="64" t="str">
        <f>IF(개요!V52=0,"",개요!V52)</f>
        <v/>
      </c>
      <c r="G66" s="64" t="str">
        <f>IF(개요!W52=0,"",개요!W52)</f>
        <v/>
      </c>
      <c r="H66" s="64" t="str">
        <f>IF(개요!X52=0,"",개요!X52)</f>
        <v/>
      </c>
      <c r="I66" s="64" t="str">
        <f>IF(개요!Y52=0,"",개요!Y52)</f>
        <v/>
      </c>
      <c r="J66" s="64" t="str">
        <f>IF(개요!Z52=0,"",개요!Z52)</f>
        <v/>
      </c>
      <c r="K66" s="64" t="str">
        <f>IF(개요!AA52=0,"",개요!AA52)</f>
        <v/>
      </c>
      <c r="L66" s="64" t="str">
        <f>IF(개요!AB52=0,"",개요!AB52)</f>
        <v/>
      </c>
      <c r="M66" s="64" t="str">
        <f>IF(개요!AC52=0,"",개요!AC52)</f>
        <v/>
      </c>
      <c r="N66" s="64" t="str">
        <f>IF(개요!AD52=0,"",개요!AD52)</f>
        <v/>
      </c>
      <c r="O66" s="64" t="str">
        <f>IF(개요!AE52=0,"",개요!AE52)</f>
        <v/>
      </c>
      <c r="P66" s="64" t="str">
        <f>IF(개요!AF52=0,"",개요!AF52)</f>
        <v/>
      </c>
      <c r="Q66" s="64" t="str">
        <f>IF(개요!AG52=0,"",개요!AG52)</f>
        <v/>
      </c>
      <c r="R66" s="64" t="str">
        <f>IF(개요!AH52=0,"",개요!AH52)</f>
        <v/>
      </c>
      <c r="S66" s="64" t="str">
        <f>IF(개요!AI52=0,"",개요!AI52)</f>
        <v/>
      </c>
      <c r="T66" s="64" t="str">
        <f>IF(개요!AJ52=0,"",개요!AJ52)</f>
        <v/>
      </c>
      <c r="U66" s="64" t="str">
        <f>IF(개요!AK52=0,"",개요!AK52)</f>
        <v/>
      </c>
      <c r="V66" s="64" t="str">
        <f>IF(개요!AL52=0,"",개요!AL52)</f>
        <v/>
      </c>
      <c r="W66" s="64" t="str">
        <f>IF(개요!AM52=0,"",개요!AM52)</f>
        <v/>
      </c>
      <c r="X66" s="64" t="str">
        <f>IF(개요!AN52=0,"",개요!AN52)</f>
        <v/>
      </c>
      <c r="Y66" s="64" t="str">
        <f>IF(개요!AO52=0,"",개요!AO52)</f>
        <v/>
      </c>
      <c r="Z66" s="64" t="str">
        <f>IF(개요!AP52=0,"",개요!AP52)</f>
        <v/>
      </c>
      <c r="AA66" s="64" t="str">
        <f>IF(개요!AQ52=0,"",개요!AQ52)</f>
        <v/>
      </c>
      <c r="AB66" s="64" t="str">
        <f>IF(개요!AR52=0,"",개요!AR52)</f>
        <v/>
      </c>
      <c r="AC66" s="64" t="str">
        <f>IF(개요!AS52=0,"",개요!AS52)</f>
        <v/>
      </c>
      <c r="AD66" s="64" t="str">
        <f>IF(개요!AT52=0,"",개요!AT52)</f>
        <v/>
      </c>
      <c r="AE66" s="64" t="str">
        <f>IF(개요!AU52=0,"",개요!AU52)</f>
        <v/>
      </c>
      <c r="AF66" s="64" t="str">
        <f>IF(개요!AV52=0,"",개요!AV52)</f>
        <v/>
      </c>
      <c r="AG66" s="64" t="str">
        <f>IF(개요!AW52=0,"",개요!AW52)</f>
        <v/>
      </c>
      <c r="AH66" s="64" t="str">
        <f>IF(개요!AX52=0,"",개요!AX52)</f>
        <v/>
      </c>
      <c r="AI66" s="64" t="str">
        <f>IF(개요!AY52=0,"",개요!AY52)</f>
        <v/>
      </c>
      <c r="AJ66" s="64" t="str">
        <f>IF(개요!AZ52=0,"",개요!AZ52)</f>
        <v/>
      </c>
      <c r="AK66" s="64" t="str">
        <f>IF(개요!BA52=0,"",개요!BA52)</f>
        <v/>
      </c>
      <c r="AL66" s="64" t="str">
        <f>IF(개요!BB52=0,"",개요!BB52)</f>
        <v/>
      </c>
      <c r="AM66" s="64" t="str">
        <f>IF(개요!BC52=0,"",개요!BC52)</f>
        <v/>
      </c>
      <c r="AN66" s="64" t="str">
        <f>IF(개요!BD52=0,"",개요!BD52)</f>
        <v/>
      </c>
      <c r="AO66" s="64" t="str">
        <f>IF(개요!BE52=0,"",개요!BE52)</f>
        <v/>
      </c>
      <c r="AP66" s="64" t="str">
        <f>IF(개요!BF52=0,"",개요!BF52)</f>
        <v/>
      </c>
      <c r="AQ66" s="64" t="str">
        <f>IF(개요!BG52=0,"",개요!BG52)</f>
        <v/>
      </c>
      <c r="AR66" s="64" t="str">
        <f>IF(개요!BH52=0,"",개요!BH52)</f>
        <v/>
      </c>
      <c r="AS66" s="64" t="str">
        <f>IF(개요!BI52=0,"",개요!BI52)</f>
        <v/>
      </c>
      <c r="AT66" s="64" t="str">
        <f>IF(개요!BJ52=0,"",개요!BJ52)</f>
        <v/>
      </c>
      <c r="AU66" s="64" t="str">
        <f>IF(개요!BK52=0,"",개요!BK52)</f>
        <v/>
      </c>
      <c r="AV66" s="64" t="str">
        <f>IF(개요!BL52=0,"",개요!BL52)</f>
        <v/>
      </c>
      <c r="AW66" s="64" t="str">
        <f>IF(개요!BM52=0,"",개요!BM52)</f>
        <v/>
      </c>
      <c r="AX66" s="64" t="str">
        <f>IF(개요!BN52=0,"",개요!BN52)</f>
        <v/>
      </c>
      <c r="AY66" s="64" t="str">
        <f>IF(개요!BO52=0,"",개요!BO52)</f>
        <v/>
      </c>
      <c r="AZ66" s="64" t="str">
        <f>IF(개요!BP52=0,"",개요!BP52)</f>
        <v/>
      </c>
      <c r="BA66" s="64" t="str">
        <f>IF(개요!BQ52=0,"",개요!BQ52)</f>
        <v/>
      </c>
      <c r="BB66" s="64" t="str">
        <f>IF(개요!BR52=0,"",개요!BR52)</f>
        <v/>
      </c>
      <c r="BC66" s="64" t="str">
        <f>IF(개요!BS52=0,"",개요!BS52)</f>
        <v/>
      </c>
      <c r="BD66" s="64" t="str">
        <f>IF(개요!BT52=0,"",개요!BT52)</f>
        <v/>
      </c>
      <c r="BE66" s="64" t="str">
        <f>IF(개요!BU52=0,"",개요!BU52)</f>
        <v/>
      </c>
      <c r="BF66" s="64" t="str">
        <f>IF(개요!BV52=0,"",개요!BV52)</f>
        <v/>
      </c>
      <c r="BG66" s="64" t="str">
        <f>IF(개요!BW52=0,"",개요!BW52)</f>
        <v/>
      </c>
      <c r="BH66" s="64" t="str">
        <f>IF(개요!BX52=0,"",개요!BX52)</f>
        <v/>
      </c>
      <c r="BI66" s="64" t="str">
        <f>IF(개요!BY52=0,"",개요!BY52)</f>
        <v/>
      </c>
      <c r="BJ66" s="64" t="str">
        <f>IF(개요!BZ52=0,"",개요!BZ52)</f>
        <v/>
      </c>
      <c r="BK66" s="64" t="str">
        <f>IF(개요!CA52=0,"",개요!CA52)</f>
        <v/>
      </c>
      <c r="BL66" s="64" t="str">
        <f>IF(개요!CB52=0,"",개요!CB52)</f>
        <v/>
      </c>
      <c r="BM66" s="64" t="str">
        <f>IF(개요!CC52=0,"",개요!CC52)</f>
        <v/>
      </c>
      <c r="BN66" s="64" t="str">
        <f>IF(개요!CD52=0,"",개요!CD52)</f>
        <v/>
      </c>
      <c r="BO66" s="64" t="str">
        <f>IF(개요!CE52=0,"",개요!CE52)</f>
        <v/>
      </c>
      <c r="BP66" s="64" t="str">
        <f>IF(개요!CF52=0,"",개요!CF52)</f>
        <v/>
      </c>
      <c r="BQ66" s="64" t="str">
        <f>IF(개요!CG52=0,"",개요!CG52)</f>
        <v/>
      </c>
      <c r="BR66" s="64" t="str">
        <f>IF(개요!CH52=0,"",개요!CH52)</f>
        <v/>
      </c>
      <c r="BS66" s="64" t="str">
        <f>IF(개요!CI52=0,"",개요!CI52)</f>
        <v/>
      </c>
      <c r="BT66" s="64" t="str">
        <f>IF(개요!CJ52=0,"",개요!CJ52)</f>
        <v/>
      </c>
      <c r="BU66" s="64" t="str">
        <f>IF(개요!CK52=0,"",개요!CK52)</f>
        <v/>
      </c>
      <c r="BV66" s="64" t="str">
        <f>IF(개요!CL52=0,"",개요!CL52)</f>
        <v/>
      </c>
      <c r="BW66" s="64" t="str">
        <f>IF(개요!CM52=0,"",개요!CM52)</f>
        <v/>
      </c>
      <c r="BX66" s="64" t="str">
        <f>IF(개요!CN52=0,"",개요!CN52)</f>
        <v/>
      </c>
      <c r="BY66" s="64" t="str">
        <f>IF(개요!CO52=0,"",개요!CO52)</f>
        <v/>
      </c>
      <c r="BZ66" s="64" t="str">
        <f>IF(개요!CP52=0,"",개요!CP52)</f>
        <v/>
      </c>
      <c r="CA66" s="64" t="str">
        <f>IF(개요!CQ52=0,"",개요!CQ52)</f>
        <v/>
      </c>
      <c r="CB66" s="64" t="str">
        <f>IF(개요!CR52=0,"",개요!CR52)</f>
        <v/>
      </c>
      <c r="CC66" s="64" t="str">
        <f>IF(개요!CS52=0,"",개요!CS52)</f>
        <v/>
      </c>
      <c r="CD66" s="64" t="str">
        <f>IF(개요!CT52=0,"",개요!CT52)</f>
        <v/>
      </c>
      <c r="CE66" s="64" t="str">
        <f>IF(개요!CU52=0,"",개요!CU52)</f>
        <v/>
      </c>
      <c r="CF66" s="64" t="str">
        <f>IF(개요!CV52=0,"",개요!CV52)</f>
        <v/>
      </c>
      <c r="CG66" s="64" t="str">
        <f>IF(개요!CW52=0,"",개요!CW52)</f>
        <v/>
      </c>
      <c r="CH66" s="64" t="str">
        <f>IF(개요!CX52=0,"",개요!CX52)</f>
        <v/>
      </c>
      <c r="CI66" s="64" t="str">
        <f>IF(개요!CY52=0,"",개요!CY52)</f>
        <v/>
      </c>
      <c r="CJ66" s="64" t="str">
        <f>IF(개요!CZ52=0,"",개요!CZ52)</f>
        <v/>
      </c>
      <c r="CK66" s="64" t="str">
        <f>IF(개요!DA52=0,"",개요!DA52)</f>
        <v/>
      </c>
      <c r="CL66" s="64" t="str">
        <f>IF(개요!DB52=0,"",개요!DB52)</f>
        <v/>
      </c>
      <c r="CM66" s="64" t="str">
        <f>IF(개요!DC52=0,"",개요!DC52)</f>
        <v/>
      </c>
      <c r="CN66" s="64" t="str">
        <f>IF(개요!DD52=0,"",개요!DD52)</f>
        <v/>
      </c>
      <c r="CO66" s="64" t="str">
        <f>IF(개요!DE52=0,"",개요!DE52)</f>
        <v/>
      </c>
      <c r="CP66" s="64" t="str">
        <f>IF(개요!DF52=0,"",개요!DF52)</f>
        <v/>
      </c>
      <c r="CQ66" s="64" t="str">
        <f>IF(개요!DG52=0,"",개요!DG52)</f>
        <v/>
      </c>
      <c r="CR66" s="64" t="str">
        <f>IF(개요!DH52=0,"",개요!DH52)</f>
        <v/>
      </c>
      <c r="CS66" s="64" t="str">
        <f>IF(개요!DI52=0,"",개요!DI52)</f>
        <v/>
      </c>
      <c r="CT66" s="64" t="str">
        <f>IF(개요!DJ52=0,"",개요!DJ52)</f>
        <v/>
      </c>
      <c r="CU66" s="64" t="str">
        <f>IF(개요!DK52=0,"",개요!DK52)</f>
        <v/>
      </c>
      <c r="CV66" s="64" t="str">
        <f>IF(개요!DL52=0,"",개요!DL52)</f>
        <v/>
      </c>
      <c r="CW66" s="64" t="str">
        <f>IF(개요!DM52=0,"",개요!DM52)</f>
        <v/>
      </c>
      <c r="CX66" s="64" t="str">
        <f>IF(개요!DN52=0,"",개요!DN52)</f>
        <v/>
      </c>
      <c r="CY66" s="65" t="str">
        <f t="shared" si="6"/>
        <v/>
      </c>
      <c r="DB66" s="21"/>
      <c r="DC66" s="21"/>
      <c r="DD66" s="21"/>
      <c r="DE66" s="67"/>
      <c r="DF66" s="68"/>
      <c r="DG66" s="67"/>
      <c r="DH66" s="67"/>
      <c r="DI66" s="69"/>
      <c r="DJ66" s="69"/>
      <c r="DK66" s="69"/>
      <c r="DL66" s="69"/>
    </row>
    <row r="67" spans="1:116" ht="15" hidden="1" customHeight="1" outlineLevel="1">
      <c r="A67" s="54">
        <v>46</v>
      </c>
      <c r="B67" s="63" t="str">
        <f>IF(개요!M53=0,"",개요!M53)</f>
        <v/>
      </c>
      <c r="C67" s="64" t="str">
        <f>IF(개요!S53=0,"",개요!S53)</f>
        <v/>
      </c>
      <c r="D67" s="64" t="str">
        <f>IF(개요!T53=0,"",개요!T53)</f>
        <v/>
      </c>
      <c r="E67" s="64" t="str">
        <f>IF(개요!U53=0,"",개요!U53)</f>
        <v/>
      </c>
      <c r="F67" s="64" t="str">
        <f>IF(개요!V53=0,"",개요!V53)</f>
        <v/>
      </c>
      <c r="G67" s="64" t="str">
        <f>IF(개요!W53=0,"",개요!W53)</f>
        <v/>
      </c>
      <c r="H67" s="64" t="str">
        <f>IF(개요!X53=0,"",개요!X53)</f>
        <v/>
      </c>
      <c r="I67" s="64" t="str">
        <f>IF(개요!Y53=0,"",개요!Y53)</f>
        <v/>
      </c>
      <c r="J67" s="64" t="str">
        <f>IF(개요!Z53=0,"",개요!Z53)</f>
        <v/>
      </c>
      <c r="K67" s="64" t="str">
        <f>IF(개요!AA53=0,"",개요!AA53)</f>
        <v/>
      </c>
      <c r="L67" s="64" t="str">
        <f>IF(개요!AB53=0,"",개요!AB53)</f>
        <v/>
      </c>
      <c r="M67" s="64" t="str">
        <f>IF(개요!AC53=0,"",개요!AC53)</f>
        <v/>
      </c>
      <c r="N67" s="64" t="str">
        <f>IF(개요!AD53=0,"",개요!AD53)</f>
        <v/>
      </c>
      <c r="O67" s="64" t="str">
        <f>IF(개요!AE53=0,"",개요!AE53)</f>
        <v/>
      </c>
      <c r="P67" s="64" t="str">
        <f>IF(개요!AF53=0,"",개요!AF53)</f>
        <v/>
      </c>
      <c r="Q67" s="64" t="str">
        <f>IF(개요!AG53=0,"",개요!AG53)</f>
        <v/>
      </c>
      <c r="R67" s="64" t="str">
        <f>IF(개요!AH53=0,"",개요!AH53)</f>
        <v/>
      </c>
      <c r="S67" s="64" t="str">
        <f>IF(개요!AI53=0,"",개요!AI53)</f>
        <v/>
      </c>
      <c r="T67" s="64" t="str">
        <f>IF(개요!AJ53=0,"",개요!AJ53)</f>
        <v/>
      </c>
      <c r="U67" s="64" t="str">
        <f>IF(개요!AK53=0,"",개요!AK53)</f>
        <v/>
      </c>
      <c r="V67" s="64" t="str">
        <f>IF(개요!AL53=0,"",개요!AL53)</f>
        <v/>
      </c>
      <c r="W67" s="64" t="str">
        <f>IF(개요!AM53=0,"",개요!AM53)</f>
        <v/>
      </c>
      <c r="X67" s="64" t="str">
        <f>IF(개요!AN53=0,"",개요!AN53)</f>
        <v/>
      </c>
      <c r="Y67" s="64" t="str">
        <f>IF(개요!AO53=0,"",개요!AO53)</f>
        <v/>
      </c>
      <c r="Z67" s="64" t="str">
        <f>IF(개요!AP53=0,"",개요!AP53)</f>
        <v/>
      </c>
      <c r="AA67" s="64" t="str">
        <f>IF(개요!AQ53=0,"",개요!AQ53)</f>
        <v/>
      </c>
      <c r="AB67" s="64" t="str">
        <f>IF(개요!AR53=0,"",개요!AR53)</f>
        <v/>
      </c>
      <c r="AC67" s="64" t="str">
        <f>IF(개요!AS53=0,"",개요!AS53)</f>
        <v/>
      </c>
      <c r="AD67" s="64" t="str">
        <f>IF(개요!AT53=0,"",개요!AT53)</f>
        <v/>
      </c>
      <c r="AE67" s="64" t="str">
        <f>IF(개요!AU53=0,"",개요!AU53)</f>
        <v/>
      </c>
      <c r="AF67" s="64" t="str">
        <f>IF(개요!AV53=0,"",개요!AV53)</f>
        <v/>
      </c>
      <c r="AG67" s="64" t="str">
        <f>IF(개요!AW53=0,"",개요!AW53)</f>
        <v/>
      </c>
      <c r="AH67" s="64" t="str">
        <f>IF(개요!AX53=0,"",개요!AX53)</f>
        <v/>
      </c>
      <c r="AI67" s="64" t="str">
        <f>IF(개요!AY53=0,"",개요!AY53)</f>
        <v/>
      </c>
      <c r="AJ67" s="64" t="str">
        <f>IF(개요!AZ53=0,"",개요!AZ53)</f>
        <v/>
      </c>
      <c r="AK67" s="64" t="str">
        <f>IF(개요!BA53=0,"",개요!BA53)</f>
        <v/>
      </c>
      <c r="AL67" s="64" t="str">
        <f>IF(개요!BB53=0,"",개요!BB53)</f>
        <v/>
      </c>
      <c r="AM67" s="64" t="str">
        <f>IF(개요!BC53=0,"",개요!BC53)</f>
        <v/>
      </c>
      <c r="AN67" s="64" t="str">
        <f>IF(개요!BD53=0,"",개요!BD53)</f>
        <v/>
      </c>
      <c r="AO67" s="64" t="str">
        <f>IF(개요!BE53=0,"",개요!BE53)</f>
        <v/>
      </c>
      <c r="AP67" s="64" t="str">
        <f>IF(개요!BF53=0,"",개요!BF53)</f>
        <v/>
      </c>
      <c r="AQ67" s="64" t="str">
        <f>IF(개요!BG53=0,"",개요!BG53)</f>
        <v/>
      </c>
      <c r="AR67" s="64" t="str">
        <f>IF(개요!BH53=0,"",개요!BH53)</f>
        <v/>
      </c>
      <c r="AS67" s="64" t="str">
        <f>IF(개요!BI53=0,"",개요!BI53)</f>
        <v/>
      </c>
      <c r="AT67" s="64" t="str">
        <f>IF(개요!BJ53=0,"",개요!BJ53)</f>
        <v/>
      </c>
      <c r="AU67" s="64" t="str">
        <f>IF(개요!BK53=0,"",개요!BK53)</f>
        <v/>
      </c>
      <c r="AV67" s="64" t="str">
        <f>IF(개요!BL53=0,"",개요!BL53)</f>
        <v/>
      </c>
      <c r="AW67" s="64" t="str">
        <f>IF(개요!BM53=0,"",개요!BM53)</f>
        <v/>
      </c>
      <c r="AX67" s="64" t="str">
        <f>IF(개요!BN53=0,"",개요!BN53)</f>
        <v/>
      </c>
      <c r="AY67" s="64" t="str">
        <f>IF(개요!BO53=0,"",개요!BO53)</f>
        <v/>
      </c>
      <c r="AZ67" s="64" t="str">
        <f>IF(개요!BP53=0,"",개요!BP53)</f>
        <v/>
      </c>
      <c r="BA67" s="64" t="str">
        <f>IF(개요!BQ53=0,"",개요!BQ53)</f>
        <v/>
      </c>
      <c r="BB67" s="64" t="str">
        <f>IF(개요!BR53=0,"",개요!BR53)</f>
        <v/>
      </c>
      <c r="BC67" s="64" t="str">
        <f>IF(개요!BS53=0,"",개요!BS53)</f>
        <v/>
      </c>
      <c r="BD67" s="64" t="str">
        <f>IF(개요!BT53=0,"",개요!BT53)</f>
        <v/>
      </c>
      <c r="BE67" s="64" t="str">
        <f>IF(개요!BU53=0,"",개요!BU53)</f>
        <v/>
      </c>
      <c r="BF67" s="64" t="str">
        <f>IF(개요!BV53=0,"",개요!BV53)</f>
        <v/>
      </c>
      <c r="BG67" s="64" t="str">
        <f>IF(개요!BW53=0,"",개요!BW53)</f>
        <v/>
      </c>
      <c r="BH67" s="64" t="str">
        <f>IF(개요!BX53=0,"",개요!BX53)</f>
        <v/>
      </c>
      <c r="BI67" s="64" t="str">
        <f>IF(개요!BY53=0,"",개요!BY53)</f>
        <v/>
      </c>
      <c r="BJ67" s="64" t="str">
        <f>IF(개요!BZ53=0,"",개요!BZ53)</f>
        <v/>
      </c>
      <c r="BK67" s="64" t="str">
        <f>IF(개요!CA53=0,"",개요!CA53)</f>
        <v/>
      </c>
      <c r="BL67" s="64" t="str">
        <f>IF(개요!CB53=0,"",개요!CB53)</f>
        <v/>
      </c>
      <c r="BM67" s="64" t="str">
        <f>IF(개요!CC53=0,"",개요!CC53)</f>
        <v/>
      </c>
      <c r="BN67" s="64" t="str">
        <f>IF(개요!CD53=0,"",개요!CD53)</f>
        <v/>
      </c>
      <c r="BO67" s="64" t="str">
        <f>IF(개요!CE53=0,"",개요!CE53)</f>
        <v/>
      </c>
      <c r="BP67" s="64" t="str">
        <f>IF(개요!CF53=0,"",개요!CF53)</f>
        <v/>
      </c>
      <c r="BQ67" s="64" t="str">
        <f>IF(개요!CG53=0,"",개요!CG53)</f>
        <v/>
      </c>
      <c r="BR67" s="64" t="str">
        <f>IF(개요!CH53=0,"",개요!CH53)</f>
        <v/>
      </c>
      <c r="BS67" s="64" t="str">
        <f>IF(개요!CI53=0,"",개요!CI53)</f>
        <v/>
      </c>
      <c r="BT67" s="64" t="str">
        <f>IF(개요!CJ53=0,"",개요!CJ53)</f>
        <v/>
      </c>
      <c r="BU67" s="64" t="str">
        <f>IF(개요!CK53=0,"",개요!CK53)</f>
        <v/>
      </c>
      <c r="BV67" s="64" t="str">
        <f>IF(개요!CL53=0,"",개요!CL53)</f>
        <v/>
      </c>
      <c r="BW67" s="64" t="str">
        <f>IF(개요!CM53=0,"",개요!CM53)</f>
        <v/>
      </c>
      <c r="BX67" s="64" t="str">
        <f>IF(개요!CN53=0,"",개요!CN53)</f>
        <v/>
      </c>
      <c r="BY67" s="64" t="str">
        <f>IF(개요!CO53=0,"",개요!CO53)</f>
        <v/>
      </c>
      <c r="BZ67" s="64" t="str">
        <f>IF(개요!CP53=0,"",개요!CP53)</f>
        <v/>
      </c>
      <c r="CA67" s="64" t="str">
        <f>IF(개요!CQ53=0,"",개요!CQ53)</f>
        <v/>
      </c>
      <c r="CB67" s="64" t="str">
        <f>IF(개요!CR53=0,"",개요!CR53)</f>
        <v/>
      </c>
      <c r="CC67" s="64" t="str">
        <f>IF(개요!CS53=0,"",개요!CS53)</f>
        <v/>
      </c>
      <c r="CD67" s="64" t="str">
        <f>IF(개요!CT53=0,"",개요!CT53)</f>
        <v/>
      </c>
      <c r="CE67" s="64" t="str">
        <f>IF(개요!CU53=0,"",개요!CU53)</f>
        <v/>
      </c>
      <c r="CF67" s="64" t="str">
        <f>IF(개요!CV53=0,"",개요!CV53)</f>
        <v/>
      </c>
      <c r="CG67" s="64" t="str">
        <f>IF(개요!CW53=0,"",개요!CW53)</f>
        <v/>
      </c>
      <c r="CH67" s="64" t="str">
        <f>IF(개요!CX53=0,"",개요!CX53)</f>
        <v/>
      </c>
      <c r="CI67" s="64" t="str">
        <f>IF(개요!CY53=0,"",개요!CY53)</f>
        <v/>
      </c>
      <c r="CJ67" s="64" t="str">
        <f>IF(개요!CZ53=0,"",개요!CZ53)</f>
        <v/>
      </c>
      <c r="CK67" s="64" t="str">
        <f>IF(개요!DA53=0,"",개요!DA53)</f>
        <v/>
      </c>
      <c r="CL67" s="64" t="str">
        <f>IF(개요!DB53=0,"",개요!DB53)</f>
        <v/>
      </c>
      <c r="CM67" s="64" t="str">
        <f>IF(개요!DC53=0,"",개요!DC53)</f>
        <v/>
      </c>
      <c r="CN67" s="64" t="str">
        <f>IF(개요!DD53=0,"",개요!DD53)</f>
        <v/>
      </c>
      <c r="CO67" s="64" t="str">
        <f>IF(개요!DE53=0,"",개요!DE53)</f>
        <v/>
      </c>
      <c r="CP67" s="64" t="str">
        <f>IF(개요!DF53=0,"",개요!DF53)</f>
        <v/>
      </c>
      <c r="CQ67" s="64" t="str">
        <f>IF(개요!DG53=0,"",개요!DG53)</f>
        <v/>
      </c>
      <c r="CR67" s="64" t="str">
        <f>IF(개요!DH53=0,"",개요!DH53)</f>
        <v/>
      </c>
      <c r="CS67" s="64" t="str">
        <f>IF(개요!DI53=0,"",개요!DI53)</f>
        <v/>
      </c>
      <c r="CT67" s="64" t="str">
        <f>IF(개요!DJ53=0,"",개요!DJ53)</f>
        <v/>
      </c>
      <c r="CU67" s="64" t="str">
        <f>IF(개요!DK53=0,"",개요!DK53)</f>
        <v/>
      </c>
      <c r="CV67" s="64" t="str">
        <f>IF(개요!DL53=0,"",개요!DL53)</f>
        <v/>
      </c>
      <c r="CW67" s="64" t="str">
        <f>IF(개요!DM53=0,"",개요!DM53)</f>
        <v/>
      </c>
      <c r="CX67" s="64" t="str">
        <f>IF(개요!DN53=0,"",개요!DN53)</f>
        <v/>
      </c>
      <c r="CY67" s="65" t="str">
        <f t="shared" si="6"/>
        <v/>
      </c>
      <c r="DB67" s="21"/>
      <c r="DC67" s="21"/>
      <c r="DD67" s="21"/>
      <c r="DE67" s="67"/>
      <c r="DF67" s="68"/>
      <c r="DG67" s="67"/>
      <c r="DH67" s="67"/>
      <c r="DI67" s="69"/>
      <c r="DJ67" s="69"/>
      <c r="DK67" s="69"/>
      <c r="DL67" s="69"/>
    </row>
    <row r="68" spans="1:116" ht="15" hidden="1" customHeight="1" outlineLevel="1">
      <c r="A68" s="54">
        <v>47</v>
      </c>
      <c r="B68" s="63" t="str">
        <f>IF(개요!M54=0,"",개요!M54)</f>
        <v/>
      </c>
      <c r="C68" s="64" t="str">
        <f>IF(개요!S54=0,"",개요!S54)</f>
        <v/>
      </c>
      <c r="D68" s="64" t="str">
        <f>IF(개요!T54=0,"",개요!T54)</f>
        <v/>
      </c>
      <c r="E68" s="64" t="str">
        <f>IF(개요!U54=0,"",개요!U54)</f>
        <v/>
      </c>
      <c r="F68" s="64" t="str">
        <f>IF(개요!V54=0,"",개요!V54)</f>
        <v/>
      </c>
      <c r="G68" s="64" t="str">
        <f>IF(개요!W54=0,"",개요!W54)</f>
        <v/>
      </c>
      <c r="H68" s="64" t="str">
        <f>IF(개요!X54=0,"",개요!X54)</f>
        <v/>
      </c>
      <c r="I68" s="64" t="str">
        <f>IF(개요!Y54=0,"",개요!Y54)</f>
        <v/>
      </c>
      <c r="J68" s="64" t="str">
        <f>IF(개요!Z54=0,"",개요!Z54)</f>
        <v/>
      </c>
      <c r="K68" s="64" t="str">
        <f>IF(개요!AA54=0,"",개요!AA54)</f>
        <v/>
      </c>
      <c r="L68" s="64" t="str">
        <f>IF(개요!AB54=0,"",개요!AB54)</f>
        <v/>
      </c>
      <c r="M68" s="64" t="str">
        <f>IF(개요!AC54=0,"",개요!AC54)</f>
        <v/>
      </c>
      <c r="N68" s="64" t="str">
        <f>IF(개요!AD54=0,"",개요!AD54)</f>
        <v/>
      </c>
      <c r="O68" s="64" t="str">
        <f>IF(개요!AE54=0,"",개요!AE54)</f>
        <v/>
      </c>
      <c r="P68" s="64" t="str">
        <f>IF(개요!AF54=0,"",개요!AF54)</f>
        <v/>
      </c>
      <c r="Q68" s="64" t="str">
        <f>IF(개요!AG54=0,"",개요!AG54)</f>
        <v/>
      </c>
      <c r="R68" s="64" t="str">
        <f>IF(개요!AH54=0,"",개요!AH54)</f>
        <v/>
      </c>
      <c r="S68" s="64" t="str">
        <f>IF(개요!AI54=0,"",개요!AI54)</f>
        <v/>
      </c>
      <c r="T68" s="64" t="str">
        <f>IF(개요!AJ54=0,"",개요!AJ54)</f>
        <v/>
      </c>
      <c r="U68" s="64" t="str">
        <f>IF(개요!AK54=0,"",개요!AK54)</f>
        <v/>
      </c>
      <c r="V68" s="64" t="str">
        <f>IF(개요!AL54=0,"",개요!AL54)</f>
        <v/>
      </c>
      <c r="W68" s="64" t="str">
        <f>IF(개요!AM54=0,"",개요!AM54)</f>
        <v/>
      </c>
      <c r="X68" s="64" t="str">
        <f>IF(개요!AN54=0,"",개요!AN54)</f>
        <v/>
      </c>
      <c r="Y68" s="64" t="str">
        <f>IF(개요!AO54=0,"",개요!AO54)</f>
        <v/>
      </c>
      <c r="Z68" s="64" t="str">
        <f>IF(개요!AP54=0,"",개요!AP54)</f>
        <v/>
      </c>
      <c r="AA68" s="64" t="str">
        <f>IF(개요!AQ54=0,"",개요!AQ54)</f>
        <v/>
      </c>
      <c r="AB68" s="64" t="str">
        <f>IF(개요!AR54=0,"",개요!AR54)</f>
        <v/>
      </c>
      <c r="AC68" s="64" t="str">
        <f>IF(개요!AS54=0,"",개요!AS54)</f>
        <v/>
      </c>
      <c r="AD68" s="64" t="str">
        <f>IF(개요!AT54=0,"",개요!AT54)</f>
        <v/>
      </c>
      <c r="AE68" s="64" t="str">
        <f>IF(개요!AU54=0,"",개요!AU54)</f>
        <v/>
      </c>
      <c r="AF68" s="64" t="str">
        <f>IF(개요!AV54=0,"",개요!AV54)</f>
        <v/>
      </c>
      <c r="AG68" s="64" t="str">
        <f>IF(개요!AW54=0,"",개요!AW54)</f>
        <v/>
      </c>
      <c r="AH68" s="64" t="str">
        <f>IF(개요!AX54=0,"",개요!AX54)</f>
        <v/>
      </c>
      <c r="AI68" s="64" t="str">
        <f>IF(개요!AY54=0,"",개요!AY54)</f>
        <v/>
      </c>
      <c r="AJ68" s="64" t="str">
        <f>IF(개요!AZ54=0,"",개요!AZ54)</f>
        <v/>
      </c>
      <c r="AK68" s="64" t="str">
        <f>IF(개요!BA54=0,"",개요!BA54)</f>
        <v/>
      </c>
      <c r="AL68" s="64" t="str">
        <f>IF(개요!BB54=0,"",개요!BB54)</f>
        <v/>
      </c>
      <c r="AM68" s="64" t="str">
        <f>IF(개요!BC54=0,"",개요!BC54)</f>
        <v/>
      </c>
      <c r="AN68" s="64" t="str">
        <f>IF(개요!BD54=0,"",개요!BD54)</f>
        <v/>
      </c>
      <c r="AO68" s="64" t="str">
        <f>IF(개요!BE54=0,"",개요!BE54)</f>
        <v/>
      </c>
      <c r="AP68" s="64" t="str">
        <f>IF(개요!BF54=0,"",개요!BF54)</f>
        <v/>
      </c>
      <c r="AQ68" s="64" t="str">
        <f>IF(개요!BG54=0,"",개요!BG54)</f>
        <v/>
      </c>
      <c r="AR68" s="64" t="str">
        <f>IF(개요!BH54=0,"",개요!BH54)</f>
        <v/>
      </c>
      <c r="AS68" s="64" t="str">
        <f>IF(개요!BI54=0,"",개요!BI54)</f>
        <v/>
      </c>
      <c r="AT68" s="64" t="str">
        <f>IF(개요!BJ54=0,"",개요!BJ54)</f>
        <v/>
      </c>
      <c r="AU68" s="64" t="str">
        <f>IF(개요!BK54=0,"",개요!BK54)</f>
        <v/>
      </c>
      <c r="AV68" s="64" t="str">
        <f>IF(개요!BL54=0,"",개요!BL54)</f>
        <v/>
      </c>
      <c r="AW68" s="64" t="str">
        <f>IF(개요!BM54=0,"",개요!BM54)</f>
        <v/>
      </c>
      <c r="AX68" s="64" t="str">
        <f>IF(개요!BN54=0,"",개요!BN54)</f>
        <v/>
      </c>
      <c r="AY68" s="64" t="str">
        <f>IF(개요!BO54=0,"",개요!BO54)</f>
        <v/>
      </c>
      <c r="AZ68" s="64" t="str">
        <f>IF(개요!BP54=0,"",개요!BP54)</f>
        <v/>
      </c>
      <c r="BA68" s="64" t="str">
        <f>IF(개요!BQ54=0,"",개요!BQ54)</f>
        <v/>
      </c>
      <c r="BB68" s="64" t="str">
        <f>IF(개요!BR54=0,"",개요!BR54)</f>
        <v/>
      </c>
      <c r="BC68" s="64" t="str">
        <f>IF(개요!BS54=0,"",개요!BS54)</f>
        <v/>
      </c>
      <c r="BD68" s="64" t="str">
        <f>IF(개요!BT54=0,"",개요!BT54)</f>
        <v/>
      </c>
      <c r="BE68" s="64" t="str">
        <f>IF(개요!BU54=0,"",개요!BU54)</f>
        <v/>
      </c>
      <c r="BF68" s="64" t="str">
        <f>IF(개요!BV54=0,"",개요!BV54)</f>
        <v/>
      </c>
      <c r="BG68" s="64" t="str">
        <f>IF(개요!BW54=0,"",개요!BW54)</f>
        <v/>
      </c>
      <c r="BH68" s="64" t="str">
        <f>IF(개요!BX54=0,"",개요!BX54)</f>
        <v/>
      </c>
      <c r="BI68" s="64" t="str">
        <f>IF(개요!BY54=0,"",개요!BY54)</f>
        <v/>
      </c>
      <c r="BJ68" s="64" t="str">
        <f>IF(개요!BZ54=0,"",개요!BZ54)</f>
        <v/>
      </c>
      <c r="BK68" s="64" t="str">
        <f>IF(개요!CA54=0,"",개요!CA54)</f>
        <v/>
      </c>
      <c r="BL68" s="64" t="str">
        <f>IF(개요!CB54=0,"",개요!CB54)</f>
        <v/>
      </c>
      <c r="BM68" s="64" t="str">
        <f>IF(개요!CC54=0,"",개요!CC54)</f>
        <v/>
      </c>
      <c r="BN68" s="64" t="str">
        <f>IF(개요!CD54=0,"",개요!CD54)</f>
        <v/>
      </c>
      <c r="BO68" s="64" t="str">
        <f>IF(개요!CE54=0,"",개요!CE54)</f>
        <v/>
      </c>
      <c r="BP68" s="64" t="str">
        <f>IF(개요!CF54=0,"",개요!CF54)</f>
        <v/>
      </c>
      <c r="BQ68" s="64" t="str">
        <f>IF(개요!CG54=0,"",개요!CG54)</f>
        <v/>
      </c>
      <c r="BR68" s="64" t="str">
        <f>IF(개요!CH54=0,"",개요!CH54)</f>
        <v/>
      </c>
      <c r="BS68" s="64" t="str">
        <f>IF(개요!CI54=0,"",개요!CI54)</f>
        <v/>
      </c>
      <c r="BT68" s="64" t="str">
        <f>IF(개요!CJ54=0,"",개요!CJ54)</f>
        <v/>
      </c>
      <c r="BU68" s="64" t="str">
        <f>IF(개요!CK54=0,"",개요!CK54)</f>
        <v/>
      </c>
      <c r="BV68" s="64" t="str">
        <f>IF(개요!CL54=0,"",개요!CL54)</f>
        <v/>
      </c>
      <c r="BW68" s="64" t="str">
        <f>IF(개요!CM54=0,"",개요!CM54)</f>
        <v/>
      </c>
      <c r="BX68" s="64" t="str">
        <f>IF(개요!CN54=0,"",개요!CN54)</f>
        <v/>
      </c>
      <c r="BY68" s="64" t="str">
        <f>IF(개요!CO54=0,"",개요!CO54)</f>
        <v/>
      </c>
      <c r="BZ68" s="64" t="str">
        <f>IF(개요!CP54=0,"",개요!CP54)</f>
        <v/>
      </c>
      <c r="CA68" s="64" t="str">
        <f>IF(개요!CQ54=0,"",개요!CQ54)</f>
        <v/>
      </c>
      <c r="CB68" s="64" t="str">
        <f>IF(개요!CR54=0,"",개요!CR54)</f>
        <v/>
      </c>
      <c r="CC68" s="64" t="str">
        <f>IF(개요!CS54=0,"",개요!CS54)</f>
        <v/>
      </c>
      <c r="CD68" s="64" t="str">
        <f>IF(개요!CT54=0,"",개요!CT54)</f>
        <v/>
      </c>
      <c r="CE68" s="64" t="str">
        <f>IF(개요!CU54=0,"",개요!CU54)</f>
        <v/>
      </c>
      <c r="CF68" s="64" t="str">
        <f>IF(개요!CV54=0,"",개요!CV54)</f>
        <v/>
      </c>
      <c r="CG68" s="64" t="str">
        <f>IF(개요!CW54=0,"",개요!CW54)</f>
        <v/>
      </c>
      <c r="CH68" s="64" t="str">
        <f>IF(개요!CX54=0,"",개요!CX54)</f>
        <v/>
      </c>
      <c r="CI68" s="64" t="str">
        <f>IF(개요!CY54=0,"",개요!CY54)</f>
        <v/>
      </c>
      <c r="CJ68" s="64" t="str">
        <f>IF(개요!CZ54=0,"",개요!CZ54)</f>
        <v/>
      </c>
      <c r="CK68" s="64" t="str">
        <f>IF(개요!DA54=0,"",개요!DA54)</f>
        <v/>
      </c>
      <c r="CL68" s="64" t="str">
        <f>IF(개요!DB54=0,"",개요!DB54)</f>
        <v/>
      </c>
      <c r="CM68" s="64" t="str">
        <f>IF(개요!DC54=0,"",개요!DC54)</f>
        <v/>
      </c>
      <c r="CN68" s="64" t="str">
        <f>IF(개요!DD54=0,"",개요!DD54)</f>
        <v/>
      </c>
      <c r="CO68" s="64" t="str">
        <f>IF(개요!DE54=0,"",개요!DE54)</f>
        <v/>
      </c>
      <c r="CP68" s="64" t="str">
        <f>IF(개요!DF54=0,"",개요!DF54)</f>
        <v/>
      </c>
      <c r="CQ68" s="64" t="str">
        <f>IF(개요!DG54=0,"",개요!DG54)</f>
        <v/>
      </c>
      <c r="CR68" s="64" t="str">
        <f>IF(개요!DH54=0,"",개요!DH54)</f>
        <v/>
      </c>
      <c r="CS68" s="64" t="str">
        <f>IF(개요!DI54=0,"",개요!DI54)</f>
        <v/>
      </c>
      <c r="CT68" s="64" t="str">
        <f>IF(개요!DJ54=0,"",개요!DJ54)</f>
        <v/>
      </c>
      <c r="CU68" s="64" t="str">
        <f>IF(개요!DK54=0,"",개요!DK54)</f>
        <v/>
      </c>
      <c r="CV68" s="64" t="str">
        <f>IF(개요!DL54=0,"",개요!DL54)</f>
        <v/>
      </c>
      <c r="CW68" s="64" t="str">
        <f>IF(개요!DM54=0,"",개요!DM54)</f>
        <v/>
      </c>
      <c r="CX68" s="64" t="str">
        <f>IF(개요!DN54=0,"",개요!DN54)</f>
        <v/>
      </c>
      <c r="CY68" s="65" t="str">
        <f t="shared" si="6"/>
        <v/>
      </c>
      <c r="DB68" s="21"/>
      <c r="DC68" s="21"/>
      <c r="DD68" s="21"/>
      <c r="DE68" s="67"/>
      <c r="DF68" s="68"/>
      <c r="DG68" s="67"/>
      <c r="DH68" s="67"/>
      <c r="DI68" s="69"/>
      <c r="DJ68" s="69"/>
      <c r="DK68" s="69"/>
      <c r="DL68" s="69"/>
    </row>
    <row r="69" spans="1:116" ht="15" hidden="1" customHeight="1" outlineLevel="1">
      <c r="A69" s="54">
        <v>48</v>
      </c>
      <c r="B69" s="63" t="str">
        <f>IF(개요!M55=0,"",개요!M55)</f>
        <v/>
      </c>
      <c r="C69" s="64" t="str">
        <f>IF(개요!S55=0,"",개요!S55)</f>
        <v/>
      </c>
      <c r="D69" s="64" t="str">
        <f>IF(개요!T55=0,"",개요!T55)</f>
        <v/>
      </c>
      <c r="E69" s="64" t="str">
        <f>IF(개요!U55=0,"",개요!U55)</f>
        <v/>
      </c>
      <c r="F69" s="64" t="str">
        <f>IF(개요!V55=0,"",개요!V55)</f>
        <v/>
      </c>
      <c r="G69" s="64" t="str">
        <f>IF(개요!W55=0,"",개요!W55)</f>
        <v/>
      </c>
      <c r="H69" s="64" t="str">
        <f>IF(개요!X55=0,"",개요!X55)</f>
        <v/>
      </c>
      <c r="I69" s="64" t="str">
        <f>IF(개요!Y55=0,"",개요!Y55)</f>
        <v/>
      </c>
      <c r="J69" s="64" t="str">
        <f>IF(개요!Z55=0,"",개요!Z55)</f>
        <v/>
      </c>
      <c r="K69" s="64" t="str">
        <f>IF(개요!AA55=0,"",개요!AA55)</f>
        <v/>
      </c>
      <c r="L69" s="64" t="str">
        <f>IF(개요!AB55=0,"",개요!AB55)</f>
        <v/>
      </c>
      <c r="M69" s="64" t="str">
        <f>IF(개요!AC55=0,"",개요!AC55)</f>
        <v/>
      </c>
      <c r="N69" s="64" t="str">
        <f>IF(개요!AD55=0,"",개요!AD55)</f>
        <v/>
      </c>
      <c r="O69" s="64" t="str">
        <f>IF(개요!AE55=0,"",개요!AE55)</f>
        <v/>
      </c>
      <c r="P69" s="64" t="str">
        <f>IF(개요!AF55=0,"",개요!AF55)</f>
        <v/>
      </c>
      <c r="Q69" s="64" t="str">
        <f>IF(개요!AG55=0,"",개요!AG55)</f>
        <v/>
      </c>
      <c r="R69" s="64" t="str">
        <f>IF(개요!AH55=0,"",개요!AH55)</f>
        <v/>
      </c>
      <c r="S69" s="64" t="str">
        <f>IF(개요!AI55=0,"",개요!AI55)</f>
        <v/>
      </c>
      <c r="T69" s="64" t="str">
        <f>IF(개요!AJ55=0,"",개요!AJ55)</f>
        <v/>
      </c>
      <c r="U69" s="64" t="str">
        <f>IF(개요!AK55=0,"",개요!AK55)</f>
        <v/>
      </c>
      <c r="V69" s="64" t="str">
        <f>IF(개요!AL55=0,"",개요!AL55)</f>
        <v/>
      </c>
      <c r="W69" s="64" t="str">
        <f>IF(개요!AM55=0,"",개요!AM55)</f>
        <v/>
      </c>
      <c r="X69" s="64" t="str">
        <f>IF(개요!AN55=0,"",개요!AN55)</f>
        <v/>
      </c>
      <c r="Y69" s="64" t="str">
        <f>IF(개요!AO55=0,"",개요!AO55)</f>
        <v/>
      </c>
      <c r="Z69" s="64" t="str">
        <f>IF(개요!AP55=0,"",개요!AP55)</f>
        <v/>
      </c>
      <c r="AA69" s="64" t="str">
        <f>IF(개요!AQ55=0,"",개요!AQ55)</f>
        <v/>
      </c>
      <c r="AB69" s="64" t="str">
        <f>IF(개요!AR55=0,"",개요!AR55)</f>
        <v/>
      </c>
      <c r="AC69" s="64" t="str">
        <f>IF(개요!AS55=0,"",개요!AS55)</f>
        <v/>
      </c>
      <c r="AD69" s="64" t="str">
        <f>IF(개요!AT55=0,"",개요!AT55)</f>
        <v/>
      </c>
      <c r="AE69" s="64" t="str">
        <f>IF(개요!AU55=0,"",개요!AU55)</f>
        <v/>
      </c>
      <c r="AF69" s="64" t="str">
        <f>IF(개요!AV55=0,"",개요!AV55)</f>
        <v/>
      </c>
      <c r="AG69" s="64" t="str">
        <f>IF(개요!AW55=0,"",개요!AW55)</f>
        <v/>
      </c>
      <c r="AH69" s="64" t="str">
        <f>IF(개요!AX55=0,"",개요!AX55)</f>
        <v/>
      </c>
      <c r="AI69" s="64" t="str">
        <f>IF(개요!AY55=0,"",개요!AY55)</f>
        <v/>
      </c>
      <c r="AJ69" s="64" t="str">
        <f>IF(개요!AZ55=0,"",개요!AZ55)</f>
        <v/>
      </c>
      <c r="AK69" s="64" t="str">
        <f>IF(개요!BA55=0,"",개요!BA55)</f>
        <v/>
      </c>
      <c r="AL69" s="64" t="str">
        <f>IF(개요!BB55=0,"",개요!BB55)</f>
        <v/>
      </c>
      <c r="AM69" s="64" t="str">
        <f>IF(개요!BC55=0,"",개요!BC55)</f>
        <v/>
      </c>
      <c r="AN69" s="64" t="str">
        <f>IF(개요!BD55=0,"",개요!BD55)</f>
        <v/>
      </c>
      <c r="AO69" s="64" t="str">
        <f>IF(개요!BE55=0,"",개요!BE55)</f>
        <v/>
      </c>
      <c r="AP69" s="64" t="str">
        <f>IF(개요!BF55=0,"",개요!BF55)</f>
        <v/>
      </c>
      <c r="AQ69" s="64" t="str">
        <f>IF(개요!BG55=0,"",개요!BG55)</f>
        <v/>
      </c>
      <c r="AR69" s="64" t="str">
        <f>IF(개요!BH55=0,"",개요!BH55)</f>
        <v/>
      </c>
      <c r="AS69" s="64" t="str">
        <f>IF(개요!BI55=0,"",개요!BI55)</f>
        <v/>
      </c>
      <c r="AT69" s="64" t="str">
        <f>IF(개요!BJ55=0,"",개요!BJ55)</f>
        <v/>
      </c>
      <c r="AU69" s="64" t="str">
        <f>IF(개요!BK55=0,"",개요!BK55)</f>
        <v/>
      </c>
      <c r="AV69" s="64" t="str">
        <f>IF(개요!BL55=0,"",개요!BL55)</f>
        <v/>
      </c>
      <c r="AW69" s="64" t="str">
        <f>IF(개요!BM55=0,"",개요!BM55)</f>
        <v/>
      </c>
      <c r="AX69" s="64" t="str">
        <f>IF(개요!BN55=0,"",개요!BN55)</f>
        <v/>
      </c>
      <c r="AY69" s="64" t="str">
        <f>IF(개요!BO55=0,"",개요!BO55)</f>
        <v/>
      </c>
      <c r="AZ69" s="64" t="str">
        <f>IF(개요!BP55=0,"",개요!BP55)</f>
        <v/>
      </c>
      <c r="BA69" s="64" t="str">
        <f>IF(개요!BQ55=0,"",개요!BQ55)</f>
        <v/>
      </c>
      <c r="BB69" s="64" t="str">
        <f>IF(개요!BR55=0,"",개요!BR55)</f>
        <v/>
      </c>
      <c r="BC69" s="64" t="str">
        <f>IF(개요!BS55=0,"",개요!BS55)</f>
        <v/>
      </c>
      <c r="BD69" s="64" t="str">
        <f>IF(개요!BT55=0,"",개요!BT55)</f>
        <v/>
      </c>
      <c r="BE69" s="64" t="str">
        <f>IF(개요!BU55=0,"",개요!BU55)</f>
        <v/>
      </c>
      <c r="BF69" s="64" t="str">
        <f>IF(개요!BV55=0,"",개요!BV55)</f>
        <v/>
      </c>
      <c r="BG69" s="64" t="str">
        <f>IF(개요!BW55=0,"",개요!BW55)</f>
        <v/>
      </c>
      <c r="BH69" s="64" t="str">
        <f>IF(개요!BX55=0,"",개요!BX55)</f>
        <v/>
      </c>
      <c r="BI69" s="64" t="str">
        <f>IF(개요!BY55=0,"",개요!BY55)</f>
        <v/>
      </c>
      <c r="BJ69" s="64" t="str">
        <f>IF(개요!BZ55=0,"",개요!BZ55)</f>
        <v/>
      </c>
      <c r="BK69" s="64" t="str">
        <f>IF(개요!CA55=0,"",개요!CA55)</f>
        <v/>
      </c>
      <c r="BL69" s="64" t="str">
        <f>IF(개요!CB55=0,"",개요!CB55)</f>
        <v/>
      </c>
      <c r="BM69" s="64" t="str">
        <f>IF(개요!CC55=0,"",개요!CC55)</f>
        <v/>
      </c>
      <c r="BN69" s="64" t="str">
        <f>IF(개요!CD55=0,"",개요!CD55)</f>
        <v/>
      </c>
      <c r="BO69" s="64" t="str">
        <f>IF(개요!CE55=0,"",개요!CE55)</f>
        <v/>
      </c>
      <c r="BP69" s="64" t="str">
        <f>IF(개요!CF55=0,"",개요!CF55)</f>
        <v/>
      </c>
      <c r="BQ69" s="64" t="str">
        <f>IF(개요!CG55=0,"",개요!CG55)</f>
        <v/>
      </c>
      <c r="BR69" s="64" t="str">
        <f>IF(개요!CH55=0,"",개요!CH55)</f>
        <v/>
      </c>
      <c r="BS69" s="64" t="str">
        <f>IF(개요!CI55=0,"",개요!CI55)</f>
        <v/>
      </c>
      <c r="BT69" s="64" t="str">
        <f>IF(개요!CJ55=0,"",개요!CJ55)</f>
        <v/>
      </c>
      <c r="BU69" s="64" t="str">
        <f>IF(개요!CK55=0,"",개요!CK55)</f>
        <v/>
      </c>
      <c r="BV69" s="64" t="str">
        <f>IF(개요!CL55=0,"",개요!CL55)</f>
        <v/>
      </c>
      <c r="BW69" s="64" t="str">
        <f>IF(개요!CM55=0,"",개요!CM55)</f>
        <v/>
      </c>
      <c r="BX69" s="64" t="str">
        <f>IF(개요!CN55=0,"",개요!CN55)</f>
        <v/>
      </c>
      <c r="BY69" s="64" t="str">
        <f>IF(개요!CO55=0,"",개요!CO55)</f>
        <v/>
      </c>
      <c r="BZ69" s="64" t="str">
        <f>IF(개요!CP55=0,"",개요!CP55)</f>
        <v/>
      </c>
      <c r="CA69" s="64" t="str">
        <f>IF(개요!CQ55=0,"",개요!CQ55)</f>
        <v/>
      </c>
      <c r="CB69" s="64" t="str">
        <f>IF(개요!CR55=0,"",개요!CR55)</f>
        <v/>
      </c>
      <c r="CC69" s="64" t="str">
        <f>IF(개요!CS55=0,"",개요!CS55)</f>
        <v/>
      </c>
      <c r="CD69" s="64" t="str">
        <f>IF(개요!CT55=0,"",개요!CT55)</f>
        <v/>
      </c>
      <c r="CE69" s="64" t="str">
        <f>IF(개요!CU55=0,"",개요!CU55)</f>
        <v/>
      </c>
      <c r="CF69" s="64" t="str">
        <f>IF(개요!CV55=0,"",개요!CV55)</f>
        <v/>
      </c>
      <c r="CG69" s="64" t="str">
        <f>IF(개요!CW55=0,"",개요!CW55)</f>
        <v/>
      </c>
      <c r="CH69" s="64" t="str">
        <f>IF(개요!CX55=0,"",개요!CX55)</f>
        <v/>
      </c>
      <c r="CI69" s="64" t="str">
        <f>IF(개요!CY55=0,"",개요!CY55)</f>
        <v/>
      </c>
      <c r="CJ69" s="64" t="str">
        <f>IF(개요!CZ55=0,"",개요!CZ55)</f>
        <v/>
      </c>
      <c r="CK69" s="64" t="str">
        <f>IF(개요!DA55=0,"",개요!DA55)</f>
        <v/>
      </c>
      <c r="CL69" s="64" t="str">
        <f>IF(개요!DB55=0,"",개요!DB55)</f>
        <v/>
      </c>
      <c r="CM69" s="64" t="str">
        <f>IF(개요!DC55=0,"",개요!DC55)</f>
        <v/>
      </c>
      <c r="CN69" s="64" t="str">
        <f>IF(개요!DD55=0,"",개요!DD55)</f>
        <v/>
      </c>
      <c r="CO69" s="64" t="str">
        <f>IF(개요!DE55=0,"",개요!DE55)</f>
        <v/>
      </c>
      <c r="CP69" s="64" t="str">
        <f>IF(개요!DF55=0,"",개요!DF55)</f>
        <v/>
      </c>
      <c r="CQ69" s="64" t="str">
        <f>IF(개요!DG55=0,"",개요!DG55)</f>
        <v/>
      </c>
      <c r="CR69" s="64" t="str">
        <f>IF(개요!DH55=0,"",개요!DH55)</f>
        <v/>
      </c>
      <c r="CS69" s="64" t="str">
        <f>IF(개요!DI55=0,"",개요!DI55)</f>
        <v/>
      </c>
      <c r="CT69" s="64" t="str">
        <f>IF(개요!DJ55=0,"",개요!DJ55)</f>
        <v/>
      </c>
      <c r="CU69" s="64" t="str">
        <f>IF(개요!DK55=0,"",개요!DK55)</f>
        <v/>
      </c>
      <c r="CV69" s="64" t="str">
        <f>IF(개요!DL55=0,"",개요!DL55)</f>
        <v/>
      </c>
      <c r="CW69" s="64" t="str">
        <f>IF(개요!DM55=0,"",개요!DM55)</f>
        <v/>
      </c>
      <c r="CX69" s="64" t="str">
        <f>IF(개요!DN55=0,"",개요!DN55)</f>
        <v/>
      </c>
      <c r="CY69" s="65" t="str">
        <f t="shared" si="6"/>
        <v/>
      </c>
      <c r="DB69" s="21"/>
      <c r="DC69" s="21"/>
      <c r="DD69" s="21"/>
      <c r="DE69" s="67"/>
      <c r="DF69" s="68"/>
      <c r="DG69" s="67"/>
      <c r="DH69" s="67"/>
      <c r="DI69" s="69"/>
      <c r="DJ69" s="69"/>
      <c r="DK69" s="69"/>
      <c r="DL69" s="69"/>
    </row>
    <row r="70" spans="1:116" ht="15" hidden="1" customHeight="1" outlineLevel="1" thickBot="1">
      <c r="A70" s="54">
        <v>49</v>
      </c>
      <c r="B70" s="63" t="str">
        <f>IF(개요!M56=0,"",개요!M56)</f>
        <v/>
      </c>
      <c r="C70" s="64" t="str">
        <f>IF(개요!S56=0,"",개요!S56)</f>
        <v/>
      </c>
      <c r="D70" s="64" t="str">
        <f>IF(개요!T56=0,"",개요!T56)</f>
        <v/>
      </c>
      <c r="E70" s="64" t="str">
        <f>IF(개요!U56=0,"",개요!U56)</f>
        <v/>
      </c>
      <c r="F70" s="64" t="str">
        <f>IF(개요!V56=0,"",개요!V56)</f>
        <v/>
      </c>
      <c r="G70" s="64" t="str">
        <f>IF(개요!W56=0,"",개요!W56)</f>
        <v/>
      </c>
      <c r="H70" s="64" t="str">
        <f>IF(개요!X56=0,"",개요!X56)</f>
        <v/>
      </c>
      <c r="I70" s="64" t="str">
        <f>IF(개요!Y56=0,"",개요!Y56)</f>
        <v/>
      </c>
      <c r="J70" s="64" t="str">
        <f>IF(개요!Z56=0,"",개요!Z56)</f>
        <v/>
      </c>
      <c r="K70" s="64" t="str">
        <f>IF(개요!AA56=0,"",개요!AA56)</f>
        <v/>
      </c>
      <c r="L70" s="64" t="str">
        <f>IF(개요!AB56=0,"",개요!AB56)</f>
        <v/>
      </c>
      <c r="M70" s="64" t="str">
        <f>IF(개요!AC56=0,"",개요!AC56)</f>
        <v/>
      </c>
      <c r="N70" s="64" t="str">
        <f>IF(개요!AD56=0,"",개요!AD56)</f>
        <v/>
      </c>
      <c r="O70" s="64" t="str">
        <f>IF(개요!AE56=0,"",개요!AE56)</f>
        <v/>
      </c>
      <c r="P70" s="64" t="str">
        <f>IF(개요!AF56=0,"",개요!AF56)</f>
        <v/>
      </c>
      <c r="Q70" s="64" t="str">
        <f>IF(개요!AG56=0,"",개요!AG56)</f>
        <v/>
      </c>
      <c r="R70" s="64" t="str">
        <f>IF(개요!AH56=0,"",개요!AH56)</f>
        <v/>
      </c>
      <c r="S70" s="64" t="str">
        <f>IF(개요!AI56=0,"",개요!AI56)</f>
        <v/>
      </c>
      <c r="T70" s="64" t="str">
        <f>IF(개요!AJ56=0,"",개요!AJ56)</f>
        <v/>
      </c>
      <c r="U70" s="64" t="str">
        <f>IF(개요!AK56=0,"",개요!AK56)</f>
        <v/>
      </c>
      <c r="V70" s="64" t="str">
        <f>IF(개요!AL56=0,"",개요!AL56)</f>
        <v/>
      </c>
      <c r="W70" s="64" t="str">
        <f>IF(개요!AM56=0,"",개요!AM56)</f>
        <v/>
      </c>
      <c r="X70" s="64" t="str">
        <f>IF(개요!AN56=0,"",개요!AN56)</f>
        <v/>
      </c>
      <c r="Y70" s="64" t="str">
        <f>IF(개요!AO56=0,"",개요!AO56)</f>
        <v/>
      </c>
      <c r="Z70" s="64" t="str">
        <f>IF(개요!AP56=0,"",개요!AP56)</f>
        <v/>
      </c>
      <c r="AA70" s="64" t="str">
        <f>IF(개요!AQ56=0,"",개요!AQ56)</f>
        <v/>
      </c>
      <c r="AB70" s="64" t="str">
        <f>IF(개요!AR56=0,"",개요!AR56)</f>
        <v/>
      </c>
      <c r="AC70" s="64" t="str">
        <f>IF(개요!AS56=0,"",개요!AS56)</f>
        <v/>
      </c>
      <c r="AD70" s="64" t="str">
        <f>IF(개요!AT56=0,"",개요!AT56)</f>
        <v/>
      </c>
      <c r="AE70" s="64" t="str">
        <f>IF(개요!AU56=0,"",개요!AU56)</f>
        <v/>
      </c>
      <c r="AF70" s="64" t="str">
        <f>IF(개요!AV56=0,"",개요!AV56)</f>
        <v/>
      </c>
      <c r="AG70" s="64" t="str">
        <f>IF(개요!AW56=0,"",개요!AW56)</f>
        <v/>
      </c>
      <c r="AH70" s="64" t="str">
        <f>IF(개요!AX56=0,"",개요!AX56)</f>
        <v/>
      </c>
      <c r="AI70" s="64" t="str">
        <f>IF(개요!AY56=0,"",개요!AY56)</f>
        <v/>
      </c>
      <c r="AJ70" s="64" t="str">
        <f>IF(개요!AZ56=0,"",개요!AZ56)</f>
        <v/>
      </c>
      <c r="AK70" s="64" t="str">
        <f>IF(개요!BA56=0,"",개요!BA56)</f>
        <v/>
      </c>
      <c r="AL70" s="64" t="str">
        <f>IF(개요!BB56=0,"",개요!BB56)</f>
        <v/>
      </c>
      <c r="AM70" s="64" t="str">
        <f>IF(개요!BC56=0,"",개요!BC56)</f>
        <v/>
      </c>
      <c r="AN70" s="64" t="str">
        <f>IF(개요!BD56=0,"",개요!BD56)</f>
        <v/>
      </c>
      <c r="AO70" s="64" t="str">
        <f>IF(개요!BE56=0,"",개요!BE56)</f>
        <v/>
      </c>
      <c r="AP70" s="64" t="str">
        <f>IF(개요!BF56=0,"",개요!BF56)</f>
        <v/>
      </c>
      <c r="AQ70" s="64" t="str">
        <f>IF(개요!BG56=0,"",개요!BG56)</f>
        <v/>
      </c>
      <c r="AR70" s="64" t="str">
        <f>IF(개요!BH56=0,"",개요!BH56)</f>
        <v/>
      </c>
      <c r="AS70" s="64" t="str">
        <f>IF(개요!BI56=0,"",개요!BI56)</f>
        <v/>
      </c>
      <c r="AT70" s="64" t="str">
        <f>IF(개요!BJ56=0,"",개요!BJ56)</f>
        <v/>
      </c>
      <c r="AU70" s="64" t="str">
        <f>IF(개요!BK56=0,"",개요!BK56)</f>
        <v/>
      </c>
      <c r="AV70" s="64" t="str">
        <f>IF(개요!BL56=0,"",개요!BL56)</f>
        <v/>
      </c>
      <c r="AW70" s="64" t="str">
        <f>IF(개요!BM56=0,"",개요!BM56)</f>
        <v/>
      </c>
      <c r="AX70" s="64" t="str">
        <f>IF(개요!BN56=0,"",개요!BN56)</f>
        <v/>
      </c>
      <c r="AY70" s="64" t="str">
        <f>IF(개요!BO56=0,"",개요!BO56)</f>
        <v/>
      </c>
      <c r="AZ70" s="64" t="str">
        <f>IF(개요!BP56=0,"",개요!BP56)</f>
        <v/>
      </c>
      <c r="BA70" s="64" t="str">
        <f>IF(개요!BQ56=0,"",개요!BQ56)</f>
        <v/>
      </c>
      <c r="BB70" s="64" t="str">
        <f>IF(개요!BR56=0,"",개요!BR56)</f>
        <v/>
      </c>
      <c r="BC70" s="64" t="str">
        <f>IF(개요!BS56=0,"",개요!BS56)</f>
        <v/>
      </c>
      <c r="BD70" s="64" t="str">
        <f>IF(개요!BT56=0,"",개요!BT56)</f>
        <v/>
      </c>
      <c r="BE70" s="64" t="str">
        <f>IF(개요!BU56=0,"",개요!BU56)</f>
        <v/>
      </c>
      <c r="BF70" s="64" t="str">
        <f>IF(개요!BV56=0,"",개요!BV56)</f>
        <v/>
      </c>
      <c r="BG70" s="64" t="str">
        <f>IF(개요!BW56=0,"",개요!BW56)</f>
        <v/>
      </c>
      <c r="BH70" s="64" t="str">
        <f>IF(개요!BX56=0,"",개요!BX56)</f>
        <v/>
      </c>
      <c r="BI70" s="64" t="str">
        <f>IF(개요!BY56=0,"",개요!BY56)</f>
        <v/>
      </c>
      <c r="BJ70" s="64" t="str">
        <f>IF(개요!BZ56=0,"",개요!BZ56)</f>
        <v/>
      </c>
      <c r="BK70" s="64" t="str">
        <f>IF(개요!CA56=0,"",개요!CA56)</f>
        <v/>
      </c>
      <c r="BL70" s="64" t="str">
        <f>IF(개요!CB56=0,"",개요!CB56)</f>
        <v/>
      </c>
      <c r="BM70" s="64" t="str">
        <f>IF(개요!CC56=0,"",개요!CC56)</f>
        <v/>
      </c>
      <c r="BN70" s="64" t="str">
        <f>IF(개요!CD56=0,"",개요!CD56)</f>
        <v/>
      </c>
      <c r="BO70" s="64" t="str">
        <f>IF(개요!CE56=0,"",개요!CE56)</f>
        <v/>
      </c>
      <c r="BP70" s="64" t="str">
        <f>IF(개요!CF56=0,"",개요!CF56)</f>
        <v/>
      </c>
      <c r="BQ70" s="64" t="str">
        <f>IF(개요!CG56=0,"",개요!CG56)</f>
        <v/>
      </c>
      <c r="BR70" s="64" t="str">
        <f>IF(개요!CH56=0,"",개요!CH56)</f>
        <v/>
      </c>
      <c r="BS70" s="64" t="str">
        <f>IF(개요!CI56=0,"",개요!CI56)</f>
        <v/>
      </c>
      <c r="BT70" s="64" t="str">
        <f>IF(개요!CJ56=0,"",개요!CJ56)</f>
        <v/>
      </c>
      <c r="BU70" s="64" t="str">
        <f>IF(개요!CK56=0,"",개요!CK56)</f>
        <v/>
      </c>
      <c r="BV70" s="64" t="str">
        <f>IF(개요!CL56=0,"",개요!CL56)</f>
        <v/>
      </c>
      <c r="BW70" s="64" t="str">
        <f>IF(개요!CM56=0,"",개요!CM56)</f>
        <v/>
      </c>
      <c r="BX70" s="64" t="str">
        <f>IF(개요!CN56=0,"",개요!CN56)</f>
        <v/>
      </c>
      <c r="BY70" s="64" t="str">
        <f>IF(개요!CO56=0,"",개요!CO56)</f>
        <v/>
      </c>
      <c r="BZ70" s="64" t="str">
        <f>IF(개요!CP56=0,"",개요!CP56)</f>
        <v/>
      </c>
      <c r="CA70" s="64" t="str">
        <f>IF(개요!CQ56=0,"",개요!CQ56)</f>
        <v/>
      </c>
      <c r="CB70" s="64" t="str">
        <f>IF(개요!CR56=0,"",개요!CR56)</f>
        <v/>
      </c>
      <c r="CC70" s="64" t="str">
        <f>IF(개요!CS56=0,"",개요!CS56)</f>
        <v/>
      </c>
      <c r="CD70" s="64" t="str">
        <f>IF(개요!CT56=0,"",개요!CT56)</f>
        <v/>
      </c>
      <c r="CE70" s="64" t="str">
        <f>IF(개요!CU56=0,"",개요!CU56)</f>
        <v/>
      </c>
      <c r="CF70" s="64" t="str">
        <f>IF(개요!CV56=0,"",개요!CV56)</f>
        <v/>
      </c>
      <c r="CG70" s="64" t="str">
        <f>IF(개요!CW56=0,"",개요!CW56)</f>
        <v/>
      </c>
      <c r="CH70" s="64" t="str">
        <f>IF(개요!CX56=0,"",개요!CX56)</f>
        <v/>
      </c>
      <c r="CI70" s="64" t="str">
        <f>IF(개요!CY56=0,"",개요!CY56)</f>
        <v/>
      </c>
      <c r="CJ70" s="64" t="str">
        <f>IF(개요!CZ56=0,"",개요!CZ56)</f>
        <v/>
      </c>
      <c r="CK70" s="64" t="str">
        <f>IF(개요!DA56=0,"",개요!DA56)</f>
        <v/>
      </c>
      <c r="CL70" s="64" t="str">
        <f>IF(개요!DB56=0,"",개요!DB56)</f>
        <v/>
      </c>
      <c r="CM70" s="64" t="str">
        <f>IF(개요!DC56=0,"",개요!DC56)</f>
        <v/>
      </c>
      <c r="CN70" s="64" t="str">
        <f>IF(개요!DD56=0,"",개요!DD56)</f>
        <v/>
      </c>
      <c r="CO70" s="64" t="str">
        <f>IF(개요!DE56=0,"",개요!DE56)</f>
        <v/>
      </c>
      <c r="CP70" s="64" t="str">
        <f>IF(개요!DF56=0,"",개요!DF56)</f>
        <v/>
      </c>
      <c r="CQ70" s="64" t="str">
        <f>IF(개요!DG56=0,"",개요!DG56)</f>
        <v/>
      </c>
      <c r="CR70" s="64" t="str">
        <f>IF(개요!DH56=0,"",개요!DH56)</f>
        <v/>
      </c>
      <c r="CS70" s="64" t="str">
        <f>IF(개요!DI56=0,"",개요!DI56)</f>
        <v/>
      </c>
      <c r="CT70" s="64" t="str">
        <f>IF(개요!DJ56=0,"",개요!DJ56)</f>
        <v/>
      </c>
      <c r="CU70" s="64" t="str">
        <f>IF(개요!DK56=0,"",개요!DK56)</f>
        <v/>
      </c>
      <c r="CV70" s="64" t="str">
        <f>IF(개요!DL56=0,"",개요!DL56)</f>
        <v/>
      </c>
      <c r="CW70" s="64" t="str">
        <f>IF(개요!DM56=0,"",개요!DM56)</f>
        <v/>
      </c>
      <c r="CX70" s="64" t="str">
        <f>IF(개요!DN56=0,"",개요!DN56)</f>
        <v/>
      </c>
      <c r="CY70" s="65" t="str">
        <f t="shared" si="6"/>
        <v/>
      </c>
      <c r="DB70" s="21"/>
      <c r="DC70" s="21"/>
      <c r="DD70" s="21"/>
      <c r="DE70" s="67"/>
      <c r="DF70" s="68"/>
      <c r="DG70" s="67"/>
      <c r="DH70" s="67"/>
      <c r="DI70" s="69"/>
      <c r="DJ70" s="69"/>
      <c r="DK70" s="69"/>
      <c r="DL70" s="69"/>
    </row>
    <row r="71" spans="1:116" ht="15" customHeight="1" collapsed="1" thickBot="1">
      <c r="B71" s="70" t="s">
        <v>3551</v>
      </c>
      <c r="C71" s="71">
        <f t="shared" ref="C71:AH71" si="7">SUM(C22:C70)</f>
        <v>-10500000000</v>
      </c>
      <c r="D71" s="71">
        <f t="shared" si="7"/>
        <v>0</v>
      </c>
      <c r="E71" s="71">
        <f t="shared" si="7"/>
        <v>0</v>
      </c>
      <c r="F71" s="71">
        <f t="shared" si="7"/>
        <v>0</v>
      </c>
      <c r="G71" s="71">
        <f t="shared" si="7"/>
        <v>0</v>
      </c>
      <c r="H71" s="71">
        <f t="shared" si="7"/>
        <v>0</v>
      </c>
      <c r="I71" s="71">
        <f t="shared" si="7"/>
        <v>0</v>
      </c>
      <c r="J71" s="71">
        <f t="shared" si="7"/>
        <v>0</v>
      </c>
      <c r="K71" s="71">
        <f t="shared" si="7"/>
        <v>0</v>
      </c>
      <c r="L71" s="71">
        <f t="shared" si="7"/>
        <v>0</v>
      </c>
      <c r="M71" s="71">
        <f t="shared" si="7"/>
        <v>0</v>
      </c>
      <c r="N71" s="71">
        <f t="shared" si="7"/>
        <v>0</v>
      </c>
      <c r="O71" s="71">
        <f t="shared" si="7"/>
        <v>0</v>
      </c>
      <c r="P71" s="71">
        <f t="shared" si="7"/>
        <v>0</v>
      </c>
      <c r="Q71" s="71">
        <f t="shared" si="7"/>
        <v>0</v>
      </c>
      <c r="R71" s="71">
        <f t="shared" si="7"/>
        <v>0</v>
      </c>
      <c r="S71" s="71">
        <f t="shared" si="7"/>
        <v>0</v>
      </c>
      <c r="T71" s="71">
        <f t="shared" si="7"/>
        <v>0</v>
      </c>
      <c r="U71" s="71">
        <f t="shared" si="7"/>
        <v>0</v>
      </c>
      <c r="V71" s="71">
        <f t="shared" si="7"/>
        <v>0</v>
      </c>
      <c r="W71" s="71">
        <f t="shared" si="7"/>
        <v>0</v>
      </c>
      <c r="X71" s="71">
        <f t="shared" si="7"/>
        <v>0</v>
      </c>
      <c r="Y71" s="71">
        <f t="shared" si="7"/>
        <v>0</v>
      </c>
      <c r="Z71" s="71">
        <f t="shared" si="7"/>
        <v>0</v>
      </c>
      <c r="AA71" s="71">
        <f t="shared" si="7"/>
        <v>0</v>
      </c>
      <c r="AB71" s="71">
        <f t="shared" si="7"/>
        <v>0</v>
      </c>
      <c r="AC71" s="71">
        <f t="shared" si="7"/>
        <v>0</v>
      </c>
      <c r="AD71" s="71">
        <f t="shared" si="7"/>
        <v>0</v>
      </c>
      <c r="AE71" s="71">
        <f t="shared" si="7"/>
        <v>0</v>
      </c>
      <c r="AF71" s="71">
        <f t="shared" si="7"/>
        <v>0</v>
      </c>
      <c r="AG71" s="71">
        <f t="shared" si="7"/>
        <v>0</v>
      </c>
      <c r="AH71" s="71">
        <f t="shared" si="7"/>
        <v>0</v>
      </c>
      <c r="AI71" s="71">
        <f t="shared" ref="AI71:BN71" si="8">SUM(AI22:AI70)</f>
        <v>0</v>
      </c>
      <c r="AJ71" s="71">
        <f t="shared" si="8"/>
        <v>0</v>
      </c>
      <c r="AK71" s="71">
        <f t="shared" si="8"/>
        <v>0</v>
      </c>
      <c r="AL71" s="71">
        <f t="shared" si="8"/>
        <v>0</v>
      </c>
      <c r="AM71" s="71">
        <f t="shared" si="8"/>
        <v>0</v>
      </c>
      <c r="AN71" s="71">
        <f t="shared" si="8"/>
        <v>0</v>
      </c>
      <c r="AO71" s="71">
        <f t="shared" si="8"/>
        <v>0</v>
      </c>
      <c r="AP71" s="71">
        <f t="shared" si="8"/>
        <v>0</v>
      </c>
      <c r="AQ71" s="71">
        <f t="shared" si="8"/>
        <v>0</v>
      </c>
      <c r="AR71" s="71">
        <f t="shared" si="8"/>
        <v>0</v>
      </c>
      <c r="AS71" s="71">
        <f t="shared" si="8"/>
        <v>0</v>
      </c>
      <c r="AT71" s="71">
        <f t="shared" si="8"/>
        <v>0</v>
      </c>
      <c r="AU71" s="71">
        <f t="shared" si="8"/>
        <v>0</v>
      </c>
      <c r="AV71" s="71">
        <f t="shared" si="8"/>
        <v>0</v>
      </c>
      <c r="AW71" s="71">
        <f t="shared" si="8"/>
        <v>0</v>
      </c>
      <c r="AX71" s="71">
        <f t="shared" si="8"/>
        <v>0</v>
      </c>
      <c r="AY71" s="71">
        <f t="shared" si="8"/>
        <v>0</v>
      </c>
      <c r="AZ71" s="71">
        <f t="shared" si="8"/>
        <v>0</v>
      </c>
      <c r="BA71" s="71">
        <f t="shared" si="8"/>
        <v>0</v>
      </c>
      <c r="BB71" s="71">
        <f t="shared" si="8"/>
        <v>0</v>
      </c>
      <c r="BC71" s="71">
        <f t="shared" si="8"/>
        <v>0</v>
      </c>
      <c r="BD71" s="71">
        <f t="shared" si="8"/>
        <v>0</v>
      </c>
      <c r="BE71" s="71">
        <f t="shared" si="8"/>
        <v>0</v>
      </c>
      <c r="BF71" s="71">
        <f t="shared" si="8"/>
        <v>0</v>
      </c>
      <c r="BG71" s="71">
        <f t="shared" si="8"/>
        <v>0</v>
      </c>
      <c r="BH71" s="71">
        <f t="shared" si="8"/>
        <v>0</v>
      </c>
      <c r="BI71" s="71">
        <f t="shared" si="8"/>
        <v>0</v>
      </c>
      <c r="BJ71" s="71">
        <f t="shared" si="8"/>
        <v>0</v>
      </c>
      <c r="BK71" s="71">
        <f t="shared" si="8"/>
        <v>0</v>
      </c>
      <c r="BL71" s="71">
        <f t="shared" si="8"/>
        <v>0</v>
      </c>
      <c r="BM71" s="71">
        <f t="shared" si="8"/>
        <v>0</v>
      </c>
      <c r="BN71" s="71">
        <f t="shared" si="8"/>
        <v>0</v>
      </c>
      <c r="BO71" s="71">
        <f t="shared" ref="BO71:BW71" si="9">SUM(BO22:BO70)</f>
        <v>0</v>
      </c>
      <c r="BP71" s="71">
        <f t="shared" si="9"/>
        <v>0</v>
      </c>
      <c r="BQ71" s="71">
        <f t="shared" si="9"/>
        <v>0</v>
      </c>
      <c r="BR71" s="71">
        <f t="shared" si="9"/>
        <v>0</v>
      </c>
      <c r="BS71" s="71">
        <f t="shared" si="9"/>
        <v>0</v>
      </c>
      <c r="BT71" s="71">
        <f t="shared" si="9"/>
        <v>0</v>
      </c>
      <c r="BU71" s="71">
        <f t="shared" si="9"/>
        <v>0</v>
      </c>
      <c r="BV71" s="71">
        <f t="shared" si="9"/>
        <v>0</v>
      </c>
      <c r="BW71" s="71">
        <f t="shared" si="9"/>
        <v>0</v>
      </c>
      <c r="BX71" s="71">
        <f t="shared" ref="BX71:CX71" si="10">SUM(BX22:BX70)</f>
        <v>0</v>
      </c>
      <c r="BY71" s="71">
        <f t="shared" si="10"/>
        <v>0</v>
      </c>
      <c r="BZ71" s="71">
        <f t="shared" si="10"/>
        <v>0</v>
      </c>
      <c r="CA71" s="71">
        <f t="shared" si="10"/>
        <v>0</v>
      </c>
      <c r="CB71" s="71">
        <f t="shared" si="10"/>
        <v>0</v>
      </c>
      <c r="CC71" s="71">
        <f t="shared" si="10"/>
        <v>0</v>
      </c>
      <c r="CD71" s="71">
        <f t="shared" si="10"/>
        <v>0</v>
      </c>
      <c r="CE71" s="71">
        <f t="shared" si="10"/>
        <v>0</v>
      </c>
      <c r="CF71" s="71">
        <f t="shared" si="10"/>
        <v>0</v>
      </c>
      <c r="CG71" s="71">
        <f t="shared" si="10"/>
        <v>0</v>
      </c>
      <c r="CH71" s="71">
        <f t="shared" si="10"/>
        <v>0</v>
      </c>
      <c r="CI71" s="71">
        <f t="shared" si="10"/>
        <v>0</v>
      </c>
      <c r="CJ71" s="71">
        <f t="shared" si="10"/>
        <v>0</v>
      </c>
      <c r="CK71" s="71">
        <f t="shared" si="10"/>
        <v>0</v>
      </c>
      <c r="CL71" s="71">
        <f t="shared" si="10"/>
        <v>0</v>
      </c>
      <c r="CM71" s="71">
        <f t="shared" si="10"/>
        <v>0</v>
      </c>
      <c r="CN71" s="71">
        <f t="shared" si="10"/>
        <v>0</v>
      </c>
      <c r="CO71" s="71">
        <f t="shared" si="10"/>
        <v>0</v>
      </c>
      <c r="CP71" s="71">
        <f t="shared" si="10"/>
        <v>0</v>
      </c>
      <c r="CQ71" s="71">
        <f t="shared" si="10"/>
        <v>0</v>
      </c>
      <c r="CR71" s="71">
        <f t="shared" si="10"/>
        <v>0</v>
      </c>
      <c r="CS71" s="71">
        <f t="shared" si="10"/>
        <v>0</v>
      </c>
      <c r="CT71" s="71">
        <f t="shared" si="10"/>
        <v>0</v>
      </c>
      <c r="CU71" s="71">
        <f t="shared" si="10"/>
        <v>0</v>
      </c>
      <c r="CV71" s="71">
        <f t="shared" si="10"/>
        <v>0</v>
      </c>
      <c r="CW71" s="71">
        <f t="shared" si="10"/>
        <v>0</v>
      </c>
      <c r="CX71" s="71">
        <f t="shared" si="10"/>
        <v>0</v>
      </c>
      <c r="CY71" s="72">
        <f>SUM(CY22:CY70)</f>
        <v>12836750306.345901</v>
      </c>
      <c r="CZ71" s="21"/>
      <c r="DA71" s="21"/>
      <c r="DB71" s="21"/>
      <c r="DC71" s="61"/>
      <c r="DD71" s="61"/>
      <c r="DE71" s="61"/>
      <c r="DF71" s="61"/>
      <c r="DG71" s="61"/>
      <c r="DH71" s="61"/>
      <c r="DI71" s="54"/>
      <c r="DJ71" s="54"/>
      <c r="DK71" s="54"/>
      <c r="DL71" s="54"/>
    </row>
    <row r="72" spans="1:116" ht="15" customHeight="1">
      <c r="DG72" s="73"/>
    </row>
    <row r="73" spans="1:116" ht="15" customHeight="1">
      <c r="A73" s="128" t="s">
        <v>3596</v>
      </c>
      <c r="B73" s="128" t="s">
        <v>3597</v>
      </c>
      <c r="C73" s="128"/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128"/>
      <c r="V73" s="128"/>
      <c r="W73" s="128"/>
      <c r="X73" s="128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128"/>
      <c r="AO73" s="128"/>
      <c r="AP73" s="128"/>
      <c r="AQ73" s="128"/>
      <c r="AR73" s="128"/>
      <c r="AS73" s="128"/>
      <c r="AT73" s="128"/>
      <c r="AU73" s="128"/>
      <c r="AV73" s="128"/>
      <c r="AW73" s="128"/>
      <c r="AX73" s="128"/>
      <c r="AY73" s="128"/>
      <c r="AZ73" s="128"/>
      <c r="BA73" s="128"/>
      <c r="BB73" s="128"/>
      <c r="BC73" s="128"/>
      <c r="BD73" s="128"/>
      <c r="BE73" s="128"/>
      <c r="BF73" s="128"/>
      <c r="BG73" s="128"/>
      <c r="BH73" s="128"/>
      <c r="BI73" s="128"/>
      <c r="BJ73" s="128"/>
      <c r="BK73" s="128"/>
      <c r="BL73" s="128"/>
      <c r="BM73" s="128"/>
      <c r="BN73" s="128"/>
      <c r="BO73" s="128"/>
      <c r="BP73" s="128"/>
      <c r="BQ73" s="128"/>
      <c r="BR73" s="128"/>
      <c r="BS73" s="128"/>
      <c r="BT73" s="128"/>
      <c r="BU73" s="128"/>
      <c r="BV73" s="128"/>
      <c r="BW73" s="128"/>
      <c r="BX73" s="128"/>
      <c r="BY73" s="128"/>
      <c r="BZ73" s="128"/>
      <c r="CA73" s="128"/>
      <c r="CB73" s="128"/>
      <c r="CC73" s="128"/>
      <c r="CD73" s="128"/>
      <c r="CE73" s="128"/>
      <c r="CF73" s="128"/>
      <c r="CG73" s="128"/>
      <c r="CH73" s="128"/>
      <c r="CI73" s="128"/>
      <c r="CJ73" s="128"/>
      <c r="CK73" s="128"/>
      <c r="CL73" s="128"/>
      <c r="CM73" s="128"/>
      <c r="CN73" s="128"/>
      <c r="CO73" s="128"/>
      <c r="CP73" s="128"/>
      <c r="CQ73" s="128"/>
      <c r="CR73" s="128"/>
      <c r="CS73" s="128"/>
      <c r="CT73" s="128"/>
      <c r="CU73" s="128"/>
      <c r="CV73" s="128"/>
      <c r="CW73" s="128"/>
      <c r="CX73" s="128"/>
      <c r="CY73" s="128"/>
      <c r="CZ73" s="36"/>
      <c r="DA73" s="36"/>
      <c r="DB73" s="36"/>
      <c r="DC73" s="36"/>
      <c r="DD73" s="36"/>
      <c r="DE73" s="36"/>
      <c r="DF73" s="36"/>
      <c r="DG73" s="36"/>
      <c r="DH73" s="36"/>
      <c r="DI73" s="36"/>
      <c r="DJ73" s="36"/>
      <c r="DK73" s="36"/>
      <c r="DL73" s="36"/>
    </row>
    <row r="74" spans="1:116" ht="15" customHeight="1" thickBot="1">
      <c r="A74" s="21"/>
      <c r="B74" s="74"/>
      <c r="C74" s="21"/>
      <c r="D74" s="21"/>
      <c r="E74" s="21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6"/>
      <c r="CZ74" s="36"/>
      <c r="DA74" s="36"/>
      <c r="DB74" s="21"/>
      <c r="DC74" s="21"/>
      <c r="DD74" s="21"/>
      <c r="DE74" s="21"/>
      <c r="DF74" s="21"/>
      <c r="DG74" s="21"/>
      <c r="DH74" s="21"/>
      <c r="DI74" s="21"/>
      <c r="DJ74" s="21"/>
      <c r="DK74" s="21"/>
      <c r="DL74" s="21"/>
    </row>
    <row r="75" spans="1:116" ht="15" customHeight="1">
      <c r="A75" s="21"/>
      <c r="B75" s="75"/>
      <c r="C75" s="76" t="s">
        <v>3552</v>
      </c>
      <c r="D75" s="77" t="s">
        <v>3553</v>
      </c>
      <c r="E75" s="21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6"/>
      <c r="CV75" s="36"/>
      <c r="CW75" s="36"/>
      <c r="CX75" s="36"/>
      <c r="CY75" s="36"/>
      <c r="CZ75" s="36"/>
      <c r="DA75" s="36"/>
      <c r="DB75" s="21"/>
      <c r="DC75" s="21"/>
      <c r="DD75" s="21"/>
      <c r="DE75" s="21"/>
      <c r="DF75" s="21"/>
      <c r="DG75" s="21"/>
      <c r="DH75" s="21"/>
      <c r="DI75" s="21"/>
      <c r="DJ75" s="21"/>
      <c r="DK75" s="21"/>
      <c r="DL75" s="21"/>
    </row>
    <row r="76" spans="1:116" ht="15" customHeight="1">
      <c r="A76" s="21"/>
      <c r="B76" s="78" t="s">
        <v>3554</v>
      </c>
      <c r="C76" s="79">
        <f>SUMIF($B$94:$B$142,"업무집행사원(GP)",$G$94:$G$142)</f>
        <v>100000000</v>
      </c>
      <c r="D76" s="80">
        <f>SUMIF($B$94:$B$142,"유한책임사원(LP)",$G$94:$G$142)</f>
        <v>10400000000</v>
      </c>
      <c r="E76" s="21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21"/>
      <c r="DC76" s="21"/>
      <c r="DD76" s="21"/>
      <c r="DE76" s="21"/>
      <c r="DF76" s="21"/>
      <c r="DG76" s="21"/>
      <c r="DH76" s="21"/>
      <c r="DI76" s="21"/>
      <c r="DJ76" s="21"/>
      <c r="DK76" s="21"/>
      <c r="DL76" s="21"/>
    </row>
    <row r="77" spans="1:116" ht="15" customHeight="1">
      <c r="A77" s="21"/>
      <c r="B77" s="78" t="s">
        <v>3555</v>
      </c>
      <c r="C77" s="79">
        <f>SUMIF($B$94:$B$142,"업무집행사원(GP)",$I$94:$I$142)</f>
        <v>100000000</v>
      </c>
      <c r="D77" s="80">
        <f>SUMIF($B$94:$B$142,"유한책임사원(LP)",$I$94:$I$142)</f>
        <v>10400000000</v>
      </c>
      <c r="E77" s="21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6"/>
      <c r="CP77" s="36"/>
      <c r="CQ77" s="36"/>
      <c r="CR77" s="36"/>
      <c r="CS77" s="36"/>
      <c r="CT77" s="36"/>
      <c r="CU77" s="36"/>
      <c r="CV77" s="36"/>
      <c r="CW77" s="36"/>
      <c r="CX77" s="36"/>
      <c r="CY77" s="36"/>
      <c r="CZ77" s="36"/>
      <c r="DA77" s="36"/>
      <c r="DB77" s="21"/>
      <c r="DC77" s="21"/>
      <c r="DD77" s="21"/>
      <c r="DE77" s="21"/>
      <c r="DF77" s="21"/>
      <c r="DG77" s="21"/>
      <c r="DH77" s="21"/>
      <c r="DI77" s="21"/>
      <c r="DJ77" s="21"/>
      <c r="DK77" s="21"/>
      <c r="DL77" s="21"/>
    </row>
    <row r="78" spans="1:116" ht="15" customHeight="1" thickBot="1">
      <c r="A78" s="21"/>
      <c r="B78" s="81" t="s">
        <v>3556</v>
      </c>
      <c r="C78" s="82">
        <f>SUMIF($B$94:$B$142,"업무집행사원(GP)",$J$94:$J$142)</f>
        <v>22254764.822341919</v>
      </c>
      <c r="D78" s="83">
        <f>SUMIF($B$94:$B$142,"유한책임사원(LP)",$J$94:$J$142)</f>
        <v>2314495541.5235596</v>
      </c>
      <c r="E78" s="21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6"/>
      <c r="CP78" s="36"/>
      <c r="CQ78" s="36"/>
      <c r="CR78" s="36"/>
      <c r="CS78" s="36"/>
      <c r="CT78" s="36"/>
      <c r="CU78" s="36"/>
      <c r="CV78" s="36"/>
      <c r="CW78" s="36"/>
      <c r="CX78" s="36"/>
      <c r="CY78" s="36"/>
      <c r="CZ78" s="36"/>
      <c r="DA78" s="36"/>
      <c r="DB78" s="21"/>
      <c r="DC78" s="21"/>
      <c r="DD78" s="21"/>
      <c r="DE78" s="21"/>
      <c r="DF78" s="21"/>
      <c r="DG78" s="21"/>
      <c r="DH78" s="21"/>
      <c r="DI78" s="21"/>
      <c r="DJ78" s="21"/>
      <c r="DK78" s="21"/>
      <c r="DL78" s="21"/>
    </row>
    <row r="79" spans="1:116" ht="15" customHeight="1" thickBot="1">
      <c r="A79" s="21"/>
      <c r="B79" s="74"/>
      <c r="C79" s="21"/>
      <c r="D79" s="21"/>
      <c r="E79" s="21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6"/>
      <c r="CP79" s="36"/>
      <c r="CQ79" s="36"/>
      <c r="CR79" s="36"/>
      <c r="CS79" s="36"/>
      <c r="CT79" s="36"/>
      <c r="CU79" s="36"/>
      <c r="CV79" s="36"/>
      <c r="CW79" s="36"/>
      <c r="CX79" s="36"/>
      <c r="CY79" s="36"/>
      <c r="CZ79" s="36"/>
      <c r="DA79" s="36"/>
      <c r="DB79" s="21"/>
      <c r="DC79" s="21"/>
      <c r="DD79" s="21"/>
      <c r="DE79" s="21"/>
      <c r="DF79" s="21"/>
      <c r="DG79" s="21"/>
      <c r="DH79" s="21"/>
      <c r="DI79" s="21"/>
      <c r="DJ79" s="21"/>
      <c r="DK79" s="21"/>
      <c r="DL79" s="21"/>
    </row>
    <row r="80" spans="1:116" ht="15" customHeight="1">
      <c r="A80" s="21"/>
      <c r="B80" s="75"/>
      <c r="C80" s="76" t="s">
        <v>3557</v>
      </c>
      <c r="D80" s="76" t="s">
        <v>3558</v>
      </c>
      <c r="E80" s="77" t="s">
        <v>3559</v>
      </c>
      <c r="F80" s="21"/>
      <c r="G80" s="21"/>
      <c r="H80" s="36"/>
      <c r="I80" s="36"/>
      <c r="J80" s="36"/>
      <c r="K80" s="36"/>
      <c r="L80" s="84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6"/>
      <c r="CP80" s="36"/>
      <c r="CQ80" s="36"/>
      <c r="CR80" s="36"/>
      <c r="CS80" s="36"/>
      <c r="CT80" s="36"/>
      <c r="CU80" s="36"/>
      <c r="CV80" s="36"/>
      <c r="CW80" s="36"/>
      <c r="CX80" s="36"/>
      <c r="CY80" s="36"/>
      <c r="CZ80" s="36"/>
      <c r="DA80" s="36"/>
      <c r="DB80" s="21"/>
      <c r="DC80" s="21"/>
      <c r="DD80" s="21"/>
      <c r="DE80" s="21"/>
      <c r="DF80" s="21"/>
      <c r="DG80" s="21"/>
      <c r="DH80" s="21"/>
      <c r="DI80" s="21"/>
      <c r="DJ80" s="21"/>
      <c r="DK80" s="21"/>
      <c r="DL80" s="21"/>
    </row>
    <row r="81" spans="1:116" ht="15" customHeight="1">
      <c r="A81" s="21"/>
      <c r="B81" s="78" t="s">
        <v>3554</v>
      </c>
      <c r="C81" s="64">
        <f>SUMIF($C$94:$C$142,"선순위출자자",$G$94:$G$142)</f>
        <v>10400000000</v>
      </c>
      <c r="D81" s="64">
        <f>SUMIF($C$94:$C$142,"중순위출자자",$G$94:$G$142)</f>
        <v>0</v>
      </c>
      <c r="E81" s="80">
        <f>SUMIF($C$94:$C$142,"후순위출자자",$G$94:$G$142)</f>
        <v>100000000</v>
      </c>
      <c r="F81" s="21"/>
      <c r="G81" s="21"/>
      <c r="H81" s="36"/>
      <c r="I81" s="36"/>
      <c r="J81" s="36"/>
      <c r="K81" s="36"/>
      <c r="L81" s="84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/>
      <c r="CW81" s="36"/>
      <c r="CX81" s="36"/>
      <c r="CY81" s="36"/>
      <c r="CZ81" s="36"/>
      <c r="DA81" s="36"/>
      <c r="DB81" s="21"/>
      <c r="DC81" s="21"/>
      <c r="DD81" s="21"/>
      <c r="DE81" s="21"/>
      <c r="DF81" s="21"/>
      <c r="DG81" s="21"/>
      <c r="DH81" s="21"/>
      <c r="DI81" s="21"/>
      <c r="DJ81" s="21"/>
      <c r="DK81" s="21"/>
      <c r="DL81" s="21"/>
    </row>
    <row r="82" spans="1:116" ht="15" customHeight="1">
      <c r="A82" s="21"/>
      <c r="B82" s="78" t="s">
        <v>3555</v>
      </c>
      <c r="C82" s="64">
        <f>SUMIF($C$94:$C$142,"선순위출자자",$I$94:$I$142)</f>
        <v>10400000000</v>
      </c>
      <c r="D82" s="64">
        <f>SUMIF($C$94:$C$142,"중순위출자자",$I$94:$I$142)</f>
        <v>0</v>
      </c>
      <c r="E82" s="80">
        <f>SUMIF($C$94:$C$142,"후순위출자자",$I$94:$I$142)</f>
        <v>100000000</v>
      </c>
      <c r="F82" s="21"/>
      <c r="G82" s="21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6"/>
      <c r="CR82" s="36"/>
      <c r="CS82" s="36"/>
      <c r="CT82" s="36"/>
      <c r="CU82" s="36"/>
      <c r="CV82" s="36"/>
      <c r="CW82" s="36"/>
      <c r="CX82" s="36"/>
      <c r="CY82" s="36"/>
      <c r="CZ82" s="36"/>
      <c r="DA82" s="36"/>
      <c r="DB82" s="21"/>
      <c r="DC82" s="21"/>
      <c r="DD82" s="21"/>
      <c r="DE82" s="21"/>
      <c r="DF82" s="21"/>
      <c r="DG82" s="21"/>
      <c r="DH82" s="21"/>
      <c r="DI82" s="21"/>
      <c r="DJ82" s="21"/>
      <c r="DK82" s="21"/>
      <c r="DL82" s="21"/>
    </row>
    <row r="83" spans="1:116" ht="15" customHeight="1" thickBot="1">
      <c r="A83" s="21"/>
      <c r="B83" s="81" t="s">
        <v>3556</v>
      </c>
      <c r="C83" s="82">
        <f>SUMIF($C$94:$C$142,"선순위출자자",$J$94:$J$142)</f>
        <v>2314495541.5235596</v>
      </c>
      <c r="D83" s="82">
        <f>SUMIF($C$94:$C$142,"중순위출자자",$J$94:$J$142)</f>
        <v>0</v>
      </c>
      <c r="E83" s="83">
        <f>SUMIF($C$94:$C$142,"후순위출자자",$J$94:$J$142)</f>
        <v>22254764.822341919</v>
      </c>
      <c r="F83" s="21"/>
      <c r="G83" s="21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6"/>
      <c r="CR83" s="36"/>
      <c r="CS83" s="36"/>
      <c r="CT83" s="36"/>
      <c r="CU83" s="36"/>
      <c r="CV83" s="36"/>
      <c r="CW83" s="36"/>
      <c r="CX83" s="36"/>
      <c r="CY83" s="36"/>
      <c r="CZ83" s="36"/>
      <c r="DA83" s="36"/>
      <c r="DB83" s="21"/>
      <c r="DC83" s="21"/>
      <c r="DD83" s="21"/>
      <c r="DE83" s="21"/>
      <c r="DF83" s="21"/>
      <c r="DG83" s="21"/>
      <c r="DH83" s="21"/>
      <c r="DI83" s="21"/>
      <c r="DJ83" s="21"/>
      <c r="DK83" s="21"/>
      <c r="DL83" s="21"/>
    </row>
    <row r="84" spans="1:116" ht="15" customHeight="1" thickBot="1">
      <c r="A84" s="21"/>
      <c r="B84" s="36"/>
      <c r="C84" s="85"/>
      <c r="D84" s="86"/>
      <c r="E84" s="86"/>
      <c r="F84" s="86"/>
      <c r="G84" s="86"/>
      <c r="H84" s="86"/>
      <c r="I84" s="86"/>
      <c r="J84" s="86"/>
      <c r="K84" s="21"/>
      <c r="L84" s="21"/>
      <c r="M84" s="21"/>
      <c r="N84" s="21"/>
      <c r="O84" s="21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6"/>
      <c r="CR84" s="36"/>
      <c r="CS84" s="36"/>
      <c r="CT84" s="36"/>
      <c r="CU84" s="36"/>
      <c r="CV84" s="36"/>
      <c r="CW84" s="36"/>
      <c r="CX84" s="36"/>
      <c r="CY84" s="36"/>
      <c r="CZ84" s="36"/>
      <c r="DA84" s="36"/>
      <c r="DB84" s="21"/>
      <c r="DC84" s="21"/>
      <c r="DD84" s="21"/>
      <c r="DE84" s="21"/>
      <c r="DF84" s="21"/>
      <c r="DG84" s="21"/>
      <c r="DH84" s="21"/>
      <c r="DI84" s="21"/>
      <c r="DJ84" s="21"/>
      <c r="DK84" s="21"/>
      <c r="DL84" s="21"/>
    </row>
    <row r="85" spans="1:116" ht="15" customHeight="1">
      <c r="A85" s="21"/>
      <c r="B85" s="87"/>
      <c r="C85" s="88" t="s">
        <v>3560</v>
      </c>
      <c r="D85" s="89" t="s">
        <v>3508</v>
      </c>
      <c r="E85" s="89" t="s">
        <v>3561</v>
      </c>
      <c r="F85" s="89" t="s">
        <v>3509</v>
      </c>
      <c r="G85" s="89" t="s">
        <v>3562</v>
      </c>
      <c r="H85" s="89" t="s">
        <v>3510</v>
      </c>
      <c r="I85" s="89" t="s">
        <v>3511</v>
      </c>
      <c r="J85" s="90" t="s">
        <v>3563</v>
      </c>
      <c r="K85" s="84"/>
      <c r="M85" s="84"/>
      <c r="N85" s="84"/>
      <c r="O85" s="84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6"/>
      <c r="CR85" s="36"/>
      <c r="CS85" s="36"/>
      <c r="CT85" s="36"/>
      <c r="CU85" s="36"/>
      <c r="CV85" s="36"/>
      <c r="CW85" s="36"/>
      <c r="CX85" s="36"/>
      <c r="CY85" s="36"/>
      <c r="CZ85" s="36"/>
      <c r="DA85" s="36"/>
      <c r="DB85" s="21"/>
      <c r="DC85" s="21"/>
      <c r="DD85" s="21"/>
      <c r="DE85" s="21"/>
      <c r="DF85" s="21"/>
      <c r="DG85" s="21"/>
      <c r="DH85" s="21"/>
      <c r="DI85" s="21"/>
      <c r="DJ85" s="21"/>
      <c r="DK85" s="21"/>
      <c r="DL85" s="21"/>
    </row>
    <row r="86" spans="1:116" ht="15" customHeight="1">
      <c r="A86" s="21"/>
      <c r="B86" s="91" t="s">
        <v>3564</v>
      </c>
      <c r="C86" s="92">
        <f>C82</f>
        <v>10400000000</v>
      </c>
      <c r="D86" s="92">
        <f>IF(C89=0,0,C83)</f>
        <v>2314495541.5235596</v>
      </c>
      <c r="E86" s="64">
        <f>IF(D89=0,0,D82)</f>
        <v>0</v>
      </c>
      <c r="F86" s="92">
        <f>IF(E89=0,0,D83)</f>
        <v>0</v>
      </c>
      <c r="G86" s="64">
        <f>IF(F89=0,0,E82)</f>
        <v>100000000</v>
      </c>
      <c r="H86" s="64">
        <f>IF(G89=0,0,E83)</f>
        <v>22254764.822341919</v>
      </c>
      <c r="I86" s="64">
        <f>IF(($C$15-SUM(C86:H86))*$E$14&lt;0,0,$C$15-SUM(C86:H86))*$E$14</f>
        <v>2606987185.5308199</v>
      </c>
      <c r="J86" s="93">
        <f>IF($C$15-SUM(C86:I86)&lt;0,0,$C$15-SUM(C86:I86))</f>
        <v>10427948742.12328</v>
      </c>
      <c r="K86" s="84"/>
      <c r="L86" s="84"/>
      <c r="M86" s="84"/>
      <c r="N86" s="84"/>
      <c r="O86" s="84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6"/>
      <c r="CR86" s="36"/>
      <c r="CS86" s="36"/>
      <c r="CT86" s="36"/>
      <c r="CU86" s="36"/>
      <c r="CV86" s="36"/>
      <c r="CW86" s="36"/>
      <c r="CX86" s="36"/>
      <c r="CY86" s="36"/>
      <c r="CZ86" s="36"/>
      <c r="DA86" s="36"/>
      <c r="DB86" s="21"/>
      <c r="DC86" s="21"/>
      <c r="DD86" s="21"/>
      <c r="DE86" s="21"/>
      <c r="DF86" s="21"/>
      <c r="DG86" s="21"/>
      <c r="DH86" s="21"/>
      <c r="DI86" s="21"/>
      <c r="DJ86" s="21"/>
      <c r="DK86" s="21"/>
      <c r="DL86" s="21"/>
    </row>
    <row r="87" spans="1:116" ht="15" customHeight="1">
      <c r="A87" s="21"/>
      <c r="B87" s="91" t="s">
        <v>3565</v>
      </c>
      <c r="C87" s="64">
        <f>$C$15</f>
        <v>25871686234</v>
      </c>
      <c r="D87" s="64">
        <f t="shared" ref="D87:J87" si="11">C89</f>
        <v>15471686234</v>
      </c>
      <c r="E87" s="64">
        <f t="shared" si="11"/>
        <v>13157190692.47644</v>
      </c>
      <c r="F87" s="64">
        <f t="shared" si="11"/>
        <v>13157190692.47644</v>
      </c>
      <c r="G87" s="64">
        <f t="shared" si="11"/>
        <v>13157190692.47644</v>
      </c>
      <c r="H87" s="64">
        <f t="shared" si="11"/>
        <v>13057190692.47644</v>
      </c>
      <c r="I87" s="64">
        <f t="shared" si="11"/>
        <v>13034935927.654099</v>
      </c>
      <c r="J87" s="93">
        <f t="shared" si="11"/>
        <v>10427948742.12328</v>
      </c>
      <c r="K87" s="84"/>
      <c r="L87" s="84"/>
      <c r="M87" s="84"/>
      <c r="N87" s="84"/>
      <c r="O87" s="84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6"/>
      <c r="CR87" s="36"/>
      <c r="CS87" s="36"/>
      <c r="CT87" s="36"/>
      <c r="CU87" s="36"/>
      <c r="CV87" s="36"/>
      <c r="CW87" s="36"/>
      <c r="CX87" s="36"/>
      <c r="CY87" s="36"/>
      <c r="CZ87" s="36"/>
      <c r="DA87" s="36"/>
      <c r="DB87" s="21"/>
      <c r="DC87" s="21"/>
      <c r="DD87" s="21"/>
      <c r="DE87" s="21"/>
      <c r="DF87" s="21"/>
      <c r="DG87" s="21"/>
      <c r="DH87" s="21"/>
      <c r="DI87" s="21"/>
      <c r="DJ87" s="21"/>
      <c r="DK87" s="21"/>
      <c r="DL87" s="21"/>
    </row>
    <row r="88" spans="1:116" ht="15" customHeight="1">
      <c r="A88" s="21"/>
      <c r="B88" s="91" t="s">
        <v>3566</v>
      </c>
      <c r="C88" s="64">
        <f t="shared" ref="C88:G88" si="12">IF(C86&lt;0,0,IF(C86&gt;C87,C87,C86))</f>
        <v>10400000000</v>
      </c>
      <c r="D88" s="64">
        <f>IF(D86&gt;D87,D87,D86)</f>
        <v>2314495541.5235596</v>
      </c>
      <c r="E88" s="64">
        <f t="shared" si="12"/>
        <v>0</v>
      </c>
      <c r="F88" s="64">
        <f>IF(F86&gt;F87,F87,F86)</f>
        <v>0</v>
      </c>
      <c r="G88" s="64">
        <f t="shared" si="12"/>
        <v>100000000</v>
      </c>
      <c r="H88" s="64">
        <f>IF(H86&gt;H87,H87,H86)</f>
        <v>22254764.822341919</v>
      </c>
      <c r="I88" s="64">
        <f>IF(I86&lt;0,0,IF(I86&gt;I87,I87,I86))</f>
        <v>2606987185.5308199</v>
      </c>
      <c r="J88" s="93">
        <f>IF(J86&lt;0,0,IF(J86&gt;J87,J87,J86))</f>
        <v>10427948742.12328</v>
      </c>
      <c r="K88" s="84"/>
      <c r="L88" s="84"/>
      <c r="M88" s="84"/>
      <c r="N88" s="84"/>
      <c r="O88" s="84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6"/>
      <c r="CR88" s="36"/>
      <c r="CS88" s="36"/>
      <c r="CT88" s="36"/>
      <c r="CU88" s="36"/>
      <c r="CV88" s="36"/>
      <c r="CW88" s="36"/>
      <c r="CX88" s="36"/>
      <c r="CY88" s="36"/>
      <c r="CZ88" s="36"/>
      <c r="DA88" s="36"/>
      <c r="DB88" s="21"/>
      <c r="DC88" s="21"/>
      <c r="DD88" s="21"/>
      <c r="DE88" s="21"/>
      <c r="DF88" s="21"/>
      <c r="DG88" s="21"/>
      <c r="DH88" s="21"/>
      <c r="DI88" s="21"/>
      <c r="DJ88" s="21"/>
      <c r="DK88" s="21"/>
      <c r="DL88" s="21"/>
    </row>
    <row r="89" spans="1:116" ht="15" customHeight="1">
      <c r="A89" s="21"/>
      <c r="B89" s="94" t="s">
        <v>3567</v>
      </c>
      <c r="C89" s="64">
        <f>IF(C86&lt;0,-C86+C87,IF(C87-C88&gt;0,C87-C88,0))</f>
        <v>15471686234</v>
      </c>
      <c r="D89" s="64">
        <f t="shared" ref="D89:J89" si="13">IF(D87-D88&gt;0,D87-D88,0)</f>
        <v>13157190692.47644</v>
      </c>
      <c r="E89" s="64">
        <f t="shared" si="13"/>
        <v>13157190692.47644</v>
      </c>
      <c r="F89" s="64">
        <f t="shared" si="13"/>
        <v>13157190692.47644</v>
      </c>
      <c r="G89" s="64">
        <f t="shared" si="13"/>
        <v>13057190692.47644</v>
      </c>
      <c r="H89" s="64">
        <f t="shared" si="13"/>
        <v>13034935927.654099</v>
      </c>
      <c r="I89" s="64">
        <f>IF(I87-I88&gt;0,I87-I88,0)</f>
        <v>10427948742.12328</v>
      </c>
      <c r="J89" s="93">
        <f t="shared" si="13"/>
        <v>0</v>
      </c>
      <c r="K89" s="84"/>
      <c r="L89" s="84"/>
      <c r="M89" s="84"/>
      <c r="N89" s="84"/>
      <c r="O89" s="84"/>
      <c r="P89" s="36"/>
      <c r="Q89" s="36"/>
      <c r="R89" s="95"/>
      <c r="S89" s="96"/>
      <c r="T89" s="95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6"/>
      <c r="CR89" s="36"/>
      <c r="CS89" s="36"/>
      <c r="CT89" s="36"/>
      <c r="CU89" s="36"/>
      <c r="CV89" s="36"/>
      <c r="CW89" s="36"/>
      <c r="CX89" s="36"/>
      <c r="CY89" s="36"/>
      <c r="CZ89" s="36"/>
      <c r="DA89" s="36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</row>
    <row r="90" spans="1:116" ht="15" customHeight="1" thickBot="1">
      <c r="B90" s="97" t="s">
        <v>3568</v>
      </c>
      <c r="C90" s="98" t="str">
        <f>IF(C89&gt;0,"다음으로 이동", "분배종료")</f>
        <v>다음으로 이동</v>
      </c>
      <c r="D90" s="98" t="str">
        <f>IF(C89=0,"",IF(D89&gt;0,"다음으로 이동", "분배종료"))</f>
        <v>다음으로 이동</v>
      </c>
      <c r="E90" s="98" t="str">
        <f>IF(D89=0,"",IF(E89&gt;0,"다음으로 이동", "분배종료"))</f>
        <v>다음으로 이동</v>
      </c>
      <c r="F90" s="98" t="str">
        <f t="shared" ref="F90:I90" si="14">IF(E89=0,"",IF(F89&gt;0,"다음으로 이동", "분배종료"))</f>
        <v>다음으로 이동</v>
      </c>
      <c r="G90" s="98" t="str">
        <f t="shared" si="14"/>
        <v>다음으로 이동</v>
      </c>
      <c r="H90" s="98" t="str">
        <f t="shared" si="14"/>
        <v>다음으로 이동</v>
      </c>
      <c r="I90" s="98" t="str">
        <f t="shared" si="14"/>
        <v>다음으로 이동</v>
      </c>
      <c r="J90" s="99" t="str">
        <f>IF(I89=0,"",IF(INT(J89)&gt;0,"다음으로 이동", "분배종료"))</f>
        <v>분배종료</v>
      </c>
      <c r="DB90" s="45"/>
    </row>
    <row r="91" spans="1:116" ht="15" customHeight="1" thickBot="1">
      <c r="E91" s="66"/>
      <c r="H91" s="85"/>
      <c r="I91" s="86"/>
      <c r="J91" s="86"/>
      <c r="K91" s="86"/>
      <c r="L91" s="86"/>
      <c r="M91" s="86"/>
      <c r="N91" s="86"/>
      <c r="O91" s="86"/>
      <c r="DB91" s="45"/>
    </row>
    <row r="92" spans="1:116" ht="15" customHeight="1" thickBot="1">
      <c r="B92" s="131" t="s">
        <v>3569</v>
      </c>
      <c r="C92" s="132"/>
      <c r="D92" s="132"/>
      <c r="E92" s="132"/>
      <c r="F92" s="132"/>
      <c r="G92" s="132"/>
      <c r="H92" s="132"/>
      <c r="I92" s="132"/>
      <c r="J92" s="133"/>
      <c r="K92" s="131" t="s">
        <v>3570</v>
      </c>
      <c r="L92" s="134"/>
      <c r="M92" s="134"/>
      <c r="N92" s="134"/>
      <c r="O92" s="134"/>
      <c r="P92" s="134"/>
      <c r="Q92" s="134"/>
      <c r="R92" s="135"/>
      <c r="S92" s="131" t="s">
        <v>3571</v>
      </c>
      <c r="T92" s="135"/>
      <c r="U92" s="135"/>
      <c r="DB92" s="45"/>
    </row>
    <row r="93" spans="1:116" s="100" customFormat="1" ht="15" customHeight="1" thickBot="1">
      <c r="A93" s="54"/>
      <c r="B93" s="136" t="s">
        <v>3572</v>
      </c>
      <c r="C93" s="137" t="s">
        <v>3573</v>
      </c>
      <c r="D93" s="137" t="s">
        <v>3550</v>
      </c>
      <c r="E93" s="137" t="s">
        <v>3574</v>
      </c>
      <c r="F93" s="138" t="s">
        <v>3575</v>
      </c>
      <c r="G93" s="137" t="s">
        <v>3554</v>
      </c>
      <c r="H93" s="137" t="s">
        <v>3576</v>
      </c>
      <c r="I93" s="137" t="s">
        <v>3577</v>
      </c>
      <c r="J93" s="138" t="s">
        <v>3578</v>
      </c>
      <c r="K93" s="139" t="s">
        <v>3560</v>
      </c>
      <c r="L93" s="138" t="s">
        <v>3579</v>
      </c>
      <c r="M93" s="138" t="s">
        <v>3561</v>
      </c>
      <c r="N93" s="138" t="s">
        <v>3580</v>
      </c>
      <c r="O93" s="138" t="s">
        <v>3562</v>
      </c>
      <c r="P93" s="138" t="s">
        <v>3581</v>
      </c>
      <c r="Q93" s="138" t="s">
        <v>3582</v>
      </c>
      <c r="R93" s="140" t="s">
        <v>3563</v>
      </c>
      <c r="S93" s="138" t="s">
        <v>3583</v>
      </c>
      <c r="T93" s="138" t="s">
        <v>3584</v>
      </c>
      <c r="U93" s="140" t="s">
        <v>3585</v>
      </c>
      <c r="AE93" s="54"/>
      <c r="AR93" s="54"/>
      <c r="AS93" s="54"/>
      <c r="AT93" s="54"/>
      <c r="AU93" s="54"/>
      <c r="AV93" s="54"/>
      <c r="AW93" s="54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 s="54"/>
      <c r="BQ93" s="54"/>
      <c r="BR93" s="54"/>
      <c r="BS93" s="54"/>
      <c r="BT93" s="54"/>
      <c r="BU93" s="54"/>
      <c r="BV93" s="54"/>
      <c r="BW93" s="54"/>
      <c r="BX93" s="54"/>
      <c r="BY93" s="54"/>
      <c r="BZ93" s="54"/>
      <c r="CA93" s="54"/>
      <c r="CB93" s="54"/>
      <c r="CC93" s="54"/>
      <c r="CD93" s="54"/>
      <c r="CE93" s="54"/>
      <c r="CF93" s="54"/>
      <c r="CG93" s="54"/>
      <c r="CH93" s="54"/>
      <c r="CI93" s="54"/>
      <c r="CJ93" s="54"/>
      <c r="CK93" s="54"/>
      <c r="CL93" s="54"/>
      <c r="CM93" s="54"/>
      <c r="CN93" s="54"/>
      <c r="CO93" s="54"/>
      <c r="CP93" s="54"/>
      <c r="CQ93" s="54"/>
      <c r="CR93" s="54"/>
      <c r="CS93" s="54"/>
      <c r="CT93" s="54"/>
      <c r="CU93" s="54"/>
      <c r="CV93" s="54"/>
      <c r="CW93" s="54"/>
      <c r="CY93" s="54"/>
      <c r="CZ93" s="54"/>
      <c r="DA93" s="54"/>
      <c r="DB93" s="54"/>
      <c r="DC93" s="54"/>
      <c r="DD93" s="54"/>
      <c r="DE93" s="54"/>
      <c r="DF93" s="54"/>
      <c r="DG93" s="54"/>
      <c r="DH93" s="54"/>
      <c r="DI93" s="54"/>
      <c r="DJ93" s="54"/>
      <c r="DK93" s="54"/>
    </row>
    <row r="94" spans="1:116" ht="15" customHeight="1">
      <c r="A94" s="54">
        <v>1</v>
      </c>
      <c r="B94" s="101" t="str">
        <f>IF(개요!K8="","",개요!K8)</f>
        <v>업무집행사원(GP)</v>
      </c>
      <c r="C94" s="102" t="str">
        <f>IF(개요!L8="","",개요!L8)</f>
        <v>후순위출자자</v>
      </c>
      <c r="D94" s="102" t="str">
        <f>IF(개요!M8="","",개요!M8)</f>
        <v>코리아에셋투자증권㈜</v>
      </c>
      <c r="E94" s="103">
        <f>IF(개요!R8="-","",개요!R8)</f>
        <v>4.7619047619047623E-3</v>
      </c>
      <c r="F94" s="103">
        <f>IFERROR(G94/HLOOKUP(C94,$B$80:$E$83,2,0),"")</f>
        <v>0.5</v>
      </c>
      <c r="G94" s="67">
        <f>IF(개요!Q8=0,"",개요!Q8)</f>
        <v>50000000</v>
      </c>
      <c r="H94" s="67">
        <f t="shared" ref="H94:H125" si="15">IF(CY22=0,"",CY22)</f>
        <v>61127382.411170959</v>
      </c>
      <c r="I94" s="64">
        <f>IF(개요!O8=0,"",개요!O8-개요!P8)</f>
        <v>50000000</v>
      </c>
      <c r="J94" s="64">
        <f>IFERROR(IF(G94&lt;&gt;"",H94-I94,""),"")</f>
        <v>11127382.411170959</v>
      </c>
      <c r="K94" s="104" t="str">
        <f>IFERROR(IF($C94="선순위출자자",IF($C$87&gt;$C$88,$I94,$C$88*$F94),""),"")</f>
        <v/>
      </c>
      <c r="L94" s="64" t="str">
        <f>IFERROR(IF($C94="선순위출자자",IF(AND($D$86=$D$88,$D$88&lt;&gt;0),$J94,$D$88*$F94),""),"")</f>
        <v/>
      </c>
      <c r="M94" s="64" t="str">
        <f>IFERROR(IF($C94="중순위출자자",IF($E$87&gt;$E$88,$I94,$E$88*$F94),""),"")</f>
        <v/>
      </c>
      <c r="N94" s="64" t="str">
        <f>IFERROR(IF($C94="중순위출자자",IF(AND($F$86=$F$88,$F$88&lt;&gt;0),$J94,$F$88*$F94),""),"")</f>
        <v/>
      </c>
      <c r="O94" s="64">
        <f>IFERROR(IF($C94="후순위출자자",IF($G$87&gt;$G$88,$I94,$G$88*$F94),""),"")</f>
        <v>50000000</v>
      </c>
      <c r="P94" s="64">
        <f>IFERROR(IF($C94="후순위출자자",IF(AND($H$86=$H$88,$H$88&lt;&gt;0),$J94,$H$88*$F94),""),"")</f>
        <v>11127382.411170959</v>
      </c>
      <c r="Q94" s="79">
        <f t="shared" ref="Q94:Q125" si="16">IFERROR(IF(B94="유한책임사원(LP)","",$I$87*$E$14*(G94/$C$76)),"")</f>
        <v>1303493592.7654099</v>
      </c>
      <c r="R94" s="80">
        <f t="shared" ref="R94:R125" si="17">IFERROR($J$87*E94,"")</f>
        <v>49656898.772015624</v>
      </c>
      <c r="S94" s="79">
        <f t="shared" ref="S94:S125" si="18">IF(I94="","",SUM(K94:R94))</f>
        <v>1414277873.9485965</v>
      </c>
      <c r="T94" s="105">
        <f t="shared" ref="T94:T125" si="19">IF(G94="","",S94/(G94/$E$12))</f>
        <v>28.285557478971931</v>
      </c>
      <c r="U94" s="31" t="b">
        <f>IF(개요!EA8=0,"",ROUND(개요!EA8,3)=ROUND((T94),3))</f>
        <v>1</v>
      </c>
      <c r="DL94" s="21"/>
    </row>
    <row r="95" spans="1:116" ht="15" customHeight="1">
      <c r="A95" s="54">
        <v>2</v>
      </c>
      <c r="B95" s="101" t="str">
        <f>IF(개요!K9="","",개요!K9)</f>
        <v>업무집행사원(GP)</v>
      </c>
      <c r="C95" s="102" t="str">
        <f>IF(개요!L9="","",개요!L9)</f>
        <v>후순위출자자</v>
      </c>
      <c r="D95" s="102" t="str">
        <f>IF(개요!M9="","",개요!M9)</f>
        <v>창인파트너스㈜</v>
      </c>
      <c r="E95" s="103">
        <f>IF(개요!R9="-","",개요!R9)</f>
        <v>4.7619047619047623E-3</v>
      </c>
      <c r="F95" s="103">
        <f t="shared" ref="F95:F142" si="20">IFERROR(G95/HLOOKUP(C95,$B$80:$E$83,2,0),"")</f>
        <v>0.5</v>
      </c>
      <c r="G95" s="67">
        <f>IF(개요!Q9=0,"",개요!Q9)</f>
        <v>50000000</v>
      </c>
      <c r="H95" s="67">
        <f t="shared" si="15"/>
        <v>61127382.411170959</v>
      </c>
      <c r="I95" s="64">
        <f>IF(개요!O9=0,"",개요!O9-개요!P9)</f>
        <v>50000000</v>
      </c>
      <c r="J95" s="64">
        <f t="shared" ref="J95:J142" si="21">IFERROR(IF(G95&lt;&gt;"",H95-I95,""),"")</f>
        <v>11127382.411170959</v>
      </c>
      <c r="K95" s="104" t="str">
        <f t="shared" ref="K95:K142" si="22">IFERROR(IF($C95="선순위출자자",IF($C$87&gt;$C$88,$I95,$C$88*$F95),""),"")</f>
        <v/>
      </c>
      <c r="L95" s="64" t="str">
        <f t="shared" ref="L95:L142" si="23">IFERROR(IF($C95="선순위출자자",IF(AND($D$86=$D$88,$D$88&lt;&gt;0),$J95,$D$88*$F95),""),"")</f>
        <v/>
      </c>
      <c r="M95" s="64" t="str">
        <f t="shared" ref="M95:M142" si="24">IFERROR(IF($C95="중순위출자자",IF($E$87&gt;$E$88,$I95,$E$88*$F95),""),"")</f>
        <v/>
      </c>
      <c r="N95" s="64" t="str">
        <f t="shared" ref="N95:N142" si="25">IFERROR(IF($C95="중순위출자자",IF(AND($F$86=$F$88,$F$88&lt;&gt;0),$J95,$F$88*$F95),""),"")</f>
        <v/>
      </c>
      <c r="O95" s="64">
        <f t="shared" ref="O95:O142" si="26">IFERROR(IF($C95="후순위출자자",IF($G$87&gt;$G$88,$I95,$G$88*$F95),""),"")</f>
        <v>50000000</v>
      </c>
      <c r="P95" s="64">
        <f t="shared" ref="P95:P142" si="27">IFERROR(IF($C95="후순위출자자",IF(AND($H$86=$H$88,$H$88&lt;&gt;0),$J95,$H$88*$F95),""),"")</f>
        <v>11127382.411170959</v>
      </c>
      <c r="Q95" s="79">
        <f t="shared" si="16"/>
        <v>1303493592.7654099</v>
      </c>
      <c r="R95" s="80">
        <f t="shared" si="17"/>
        <v>49656898.772015624</v>
      </c>
      <c r="S95" s="79">
        <f t="shared" si="18"/>
        <v>1414277873.9485965</v>
      </c>
      <c r="T95" s="105">
        <f t="shared" si="19"/>
        <v>28.285557478971931</v>
      </c>
      <c r="U95" s="31" t="b">
        <f>IF(개요!EA9=0,"",ROUND(개요!EA9,3)=ROUND((T95),3))</f>
        <v>1</v>
      </c>
      <c r="DL95" s="21"/>
    </row>
    <row r="96" spans="1:116" ht="15" customHeight="1">
      <c r="A96" s="54">
        <v>3</v>
      </c>
      <c r="B96" s="101" t="str">
        <f>IF(개요!K10="","",개요!K10)</f>
        <v>유한책임사원(LP)</v>
      </c>
      <c r="C96" s="102" t="str">
        <f>IF(개요!L10="","",개요!L10)</f>
        <v>선순위출자자</v>
      </c>
      <c r="D96" s="102" t="str">
        <f>IF(개요!M10="","",개요!M10)</f>
        <v>P펀드</v>
      </c>
      <c r="E96" s="103">
        <f>IF(개요!R10="-","",개요!R10)</f>
        <v>0.5714285714285714</v>
      </c>
      <c r="F96" s="103">
        <f t="shared" si="20"/>
        <v>0.57692307692307687</v>
      </c>
      <c r="G96" s="67">
        <f>IF(개요!Q10=0,"",개요!Q10)</f>
        <v>6000000000</v>
      </c>
      <c r="H96" s="67">
        <f t="shared" si="15"/>
        <v>7335285889.3405151</v>
      </c>
      <c r="I96" s="64">
        <f>IF(개요!O10=0,"",개요!O10-개요!P10)</f>
        <v>6000000000</v>
      </c>
      <c r="J96" s="64">
        <f t="shared" si="21"/>
        <v>1335285889.3405151</v>
      </c>
      <c r="K96" s="104">
        <f t="shared" si="22"/>
        <v>6000000000</v>
      </c>
      <c r="L96" s="64">
        <f t="shared" si="23"/>
        <v>1335285889.3405151</v>
      </c>
      <c r="M96" s="64" t="str">
        <f t="shared" si="24"/>
        <v/>
      </c>
      <c r="N96" s="64" t="str">
        <f t="shared" si="25"/>
        <v/>
      </c>
      <c r="O96" s="64" t="str">
        <f t="shared" si="26"/>
        <v/>
      </c>
      <c r="P96" s="64" t="str">
        <f t="shared" si="27"/>
        <v/>
      </c>
      <c r="Q96" s="79" t="str">
        <f t="shared" si="16"/>
        <v/>
      </c>
      <c r="R96" s="80">
        <f t="shared" si="17"/>
        <v>5958827852.6418734</v>
      </c>
      <c r="S96" s="79">
        <f t="shared" si="18"/>
        <v>13294113741.982388</v>
      </c>
      <c r="T96" s="105">
        <f t="shared" si="19"/>
        <v>2.2156856236637315</v>
      </c>
      <c r="U96" s="31" t="b">
        <f>IF(개요!EA10=0,"",ROUND(개요!EA10,3)=ROUND((T96),3))</f>
        <v>1</v>
      </c>
      <c r="DL96" s="21"/>
    </row>
    <row r="97" spans="1:116" ht="15" customHeight="1">
      <c r="A97" s="54">
        <v>4</v>
      </c>
      <c r="B97" s="101" t="str">
        <f>IF(개요!K11="","",개요!K11)</f>
        <v>유한책임사원(LP)</v>
      </c>
      <c r="C97" s="102" t="str">
        <f>IF(개요!L11="","",개요!L11)</f>
        <v>선순위출자자</v>
      </c>
      <c r="D97" s="102" t="str">
        <f>IF(개요!M11="","",개요!M11)</f>
        <v>M사</v>
      </c>
      <c r="E97" s="103">
        <f>IF(개요!R11="-","",개요!R11)</f>
        <v>9.5238095238095233E-2</v>
      </c>
      <c r="F97" s="103">
        <f t="shared" si="20"/>
        <v>9.6153846153846159E-2</v>
      </c>
      <c r="G97" s="67">
        <f>IF(개요!Q11=0,"",개요!Q11)</f>
        <v>1000000000</v>
      </c>
      <c r="H97" s="67">
        <f t="shared" si="15"/>
        <v>1222547648.2234192</v>
      </c>
      <c r="I97" s="64">
        <f>IF(개요!O11=0,"",개요!O11-개요!P11)</f>
        <v>1000000000</v>
      </c>
      <c r="J97" s="64">
        <f t="shared" si="21"/>
        <v>222547648.22341919</v>
      </c>
      <c r="K97" s="104">
        <f t="shared" si="22"/>
        <v>1000000000</v>
      </c>
      <c r="L97" s="64">
        <f t="shared" si="23"/>
        <v>222547648.22341919</v>
      </c>
      <c r="M97" s="64" t="str">
        <f t="shared" si="24"/>
        <v/>
      </c>
      <c r="N97" s="64" t="str">
        <f t="shared" si="25"/>
        <v/>
      </c>
      <c r="O97" s="64" t="str">
        <f t="shared" si="26"/>
        <v/>
      </c>
      <c r="P97" s="64" t="str">
        <f t="shared" si="27"/>
        <v/>
      </c>
      <c r="Q97" s="79" t="str">
        <f t="shared" si="16"/>
        <v/>
      </c>
      <c r="R97" s="80">
        <f t="shared" si="17"/>
        <v>993137975.44031227</v>
      </c>
      <c r="S97" s="79">
        <f t="shared" si="18"/>
        <v>2215685623.6637316</v>
      </c>
      <c r="T97" s="105">
        <f t="shared" si="19"/>
        <v>2.2156856236637315</v>
      </c>
      <c r="U97" s="31" t="b">
        <f>IF(개요!EA11=0,"",ROUND(개요!EA11,3)=ROUND((T97),3))</f>
        <v>1</v>
      </c>
      <c r="DL97" s="21"/>
    </row>
    <row r="98" spans="1:116" ht="15" customHeight="1">
      <c r="A98" s="54">
        <v>5</v>
      </c>
      <c r="B98" s="101" t="str">
        <f>IF(개요!K12="","",개요!K12)</f>
        <v>유한책임사원(LP)</v>
      </c>
      <c r="C98" s="102" t="str">
        <f>IF(개요!L12="","",개요!L12)</f>
        <v>선순위출자자</v>
      </c>
      <c r="D98" s="102" t="str">
        <f>IF(개요!M12="","",개요!M12)</f>
        <v>흥국생명보험㈜</v>
      </c>
      <c r="E98" s="103">
        <f>IF(개요!R12="-","",개요!R12)</f>
        <v>9.5238095238095233E-2</v>
      </c>
      <c r="F98" s="103">
        <f t="shared" si="20"/>
        <v>9.6153846153846159E-2</v>
      </c>
      <c r="G98" s="67">
        <f>IF(개요!Q12=0,"",개요!Q12)</f>
        <v>1000000000</v>
      </c>
      <c r="H98" s="67">
        <f t="shared" si="15"/>
        <v>1222547648.2234192</v>
      </c>
      <c r="I98" s="64">
        <f>IF(개요!O12=0,"",개요!O12-개요!P12)</f>
        <v>1000000000</v>
      </c>
      <c r="J98" s="64">
        <f t="shared" si="21"/>
        <v>222547648.22341919</v>
      </c>
      <c r="K98" s="104">
        <f t="shared" si="22"/>
        <v>1000000000</v>
      </c>
      <c r="L98" s="64">
        <f t="shared" si="23"/>
        <v>222547648.22341919</v>
      </c>
      <c r="M98" s="64" t="str">
        <f t="shared" si="24"/>
        <v/>
      </c>
      <c r="N98" s="64" t="str">
        <f t="shared" si="25"/>
        <v/>
      </c>
      <c r="O98" s="64" t="str">
        <f t="shared" si="26"/>
        <v/>
      </c>
      <c r="P98" s="64" t="str">
        <f t="shared" si="27"/>
        <v/>
      </c>
      <c r="Q98" s="79" t="str">
        <f t="shared" si="16"/>
        <v/>
      </c>
      <c r="R98" s="80">
        <f t="shared" si="17"/>
        <v>993137975.44031227</v>
      </c>
      <c r="S98" s="79">
        <f t="shared" si="18"/>
        <v>2215685623.6637316</v>
      </c>
      <c r="T98" s="105">
        <f t="shared" si="19"/>
        <v>2.2156856236637315</v>
      </c>
      <c r="U98" s="31" t="b">
        <f>IF(개요!EA12=0,"",ROUND(개요!EA12,3)=ROUND((T98),3))</f>
        <v>1</v>
      </c>
      <c r="DL98" s="21"/>
    </row>
    <row r="99" spans="1:116" ht="15" customHeight="1">
      <c r="A99" s="54">
        <v>6</v>
      </c>
      <c r="B99" s="101" t="str">
        <f>IF(개요!K13="","",개요!K13)</f>
        <v>유한책임사원(LP)</v>
      </c>
      <c r="C99" s="102" t="str">
        <f>IF(개요!L13="","",개요!L13)</f>
        <v>선순위출자자</v>
      </c>
      <c r="D99" s="102" t="str">
        <f>IF(개요!M13="","",개요!M13)</f>
        <v>M사</v>
      </c>
      <c r="E99" s="103">
        <f>IF(개요!R13="-","",개요!R13)</f>
        <v>9.5238095238095233E-2</v>
      </c>
      <c r="F99" s="103">
        <f t="shared" si="20"/>
        <v>9.6153846153846159E-2</v>
      </c>
      <c r="G99" s="67">
        <f>IF(개요!Q13=0,"",개요!Q13)</f>
        <v>1000000000</v>
      </c>
      <c r="H99" s="67">
        <f t="shared" si="15"/>
        <v>1222547648.2234192</v>
      </c>
      <c r="I99" s="64">
        <f>IF(개요!O13=0,"",개요!O13-개요!P13)</f>
        <v>1000000000</v>
      </c>
      <c r="J99" s="64">
        <f t="shared" si="21"/>
        <v>222547648.22341919</v>
      </c>
      <c r="K99" s="104">
        <f t="shared" si="22"/>
        <v>1000000000</v>
      </c>
      <c r="L99" s="64">
        <f t="shared" si="23"/>
        <v>222547648.22341919</v>
      </c>
      <c r="M99" s="64" t="str">
        <f t="shared" si="24"/>
        <v/>
      </c>
      <c r="N99" s="64" t="str">
        <f t="shared" si="25"/>
        <v/>
      </c>
      <c r="O99" s="64" t="str">
        <f t="shared" si="26"/>
        <v/>
      </c>
      <c r="P99" s="64" t="str">
        <f t="shared" si="27"/>
        <v/>
      </c>
      <c r="Q99" s="79" t="str">
        <f t="shared" si="16"/>
        <v/>
      </c>
      <c r="R99" s="80">
        <f t="shared" si="17"/>
        <v>993137975.44031227</v>
      </c>
      <c r="S99" s="79">
        <f t="shared" si="18"/>
        <v>2215685623.6637316</v>
      </c>
      <c r="T99" s="105">
        <f t="shared" si="19"/>
        <v>2.2156856236637315</v>
      </c>
      <c r="U99" s="31" t="b">
        <f>IF(개요!EA13=0,"",ROUND(개요!EA13,3)=ROUND((T99),3))</f>
        <v>1</v>
      </c>
      <c r="DL99" s="21"/>
    </row>
    <row r="100" spans="1:116" ht="15" customHeight="1">
      <c r="A100" s="54">
        <v>7</v>
      </c>
      <c r="B100" s="101" t="str">
        <f>IF(개요!K14="","",개요!K14)</f>
        <v>유한책임사원(LP)</v>
      </c>
      <c r="C100" s="102" t="str">
        <f>IF(개요!L14="","",개요!L14)</f>
        <v>선순위출자자</v>
      </c>
      <c r="D100" s="102" t="str">
        <f>IF(개요!M14="","",개요!M14)</f>
        <v>김OO</v>
      </c>
      <c r="E100" s="103">
        <f>IF(개요!R14="-","",개요!R14)</f>
        <v>3.8095238095238099E-2</v>
      </c>
      <c r="F100" s="103">
        <f t="shared" si="20"/>
        <v>3.8461538461538464E-2</v>
      </c>
      <c r="G100" s="67">
        <f>IF(개요!Q14=0,"",개요!Q14)</f>
        <v>400000000</v>
      </c>
      <c r="H100" s="67">
        <f t="shared" si="15"/>
        <v>489019059.28936768</v>
      </c>
      <c r="I100" s="64">
        <f>IF(개요!O14=0,"",개요!O14-개요!P14)</f>
        <v>400000000</v>
      </c>
      <c r="J100" s="64">
        <f t="shared" si="21"/>
        <v>89019059.289367676</v>
      </c>
      <c r="K100" s="104">
        <f t="shared" si="22"/>
        <v>400000000</v>
      </c>
      <c r="L100" s="64">
        <f t="shared" si="23"/>
        <v>89019059.289367676</v>
      </c>
      <c r="M100" s="64" t="str">
        <f t="shared" si="24"/>
        <v/>
      </c>
      <c r="N100" s="64" t="str">
        <f t="shared" si="25"/>
        <v/>
      </c>
      <c r="O100" s="64" t="str">
        <f t="shared" si="26"/>
        <v/>
      </c>
      <c r="P100" s="64" t="str">
        <f t="shared" si="27"/>
        <v/>
      </c>
      <c r="Q100" s="79" t="str">
        <f t="shared" si="16"/>
        <v/>
      </c>
      <c r="R100" s="80">
        <f t="shared" si="17"/>
        <v>397255190.17612499</v>
      </c>
      <c r="S100" s="79">
        <f t="shared" si="18"/>
        <v>886274249.46549273</v>
      </c>
      <c r="T100" s="105">
        <f t="shared" si="19"/>
        <v>2.2156856236637319</v>
      </c>
      <c r="U100" s="31" t="b">
        <f>IF(개요!EA14=0,"",ROUND(개요!EA14,3)=ROUND((T100),3))</f>
        <v>1</v>
      </c>
      <c r="DL100" s="21"/>
    </row>
    <row r="101" spans="1:116" ht="15" customHeight="1">
      <c r="A101" s="54">
        <v>8</v>
      </c>
      <c r="B101" s="101" t="str">
        <f>IF(개요!K15="","",개요!K15)</f>
        <v>유한책임사원(LP)</v>
      </c>
      <c r="C101" s="102" t="str">
        <f>IF(개요!L15="","",개요!L15)</f>
        <v>선순위출자자</v>
      </c>
      <c r="D101" s="102" t="str">
        <f>IF(개요!M15="","",개요!M15)</f>
        <v>손OO</v>
      </c>
      <c r="E101" s="103">
        <f>IF(개요!R15="-","",개요!R15)</f>
        <v>2.3809523809523808E-2</v>
      </c>
      <c r="F101" s="103">
        <f t="shared" si="20"/>
        <v>2.403846153846154E-2</v>
      </c>
      <c r="G101" s="67">
        <f>IF(개요!Q15=0,"",개요!Q15)</f>
        <v>250000000</v>
      </c>
      <c r="H101" s="67">
        <f t="shared" si="15"/>
        <v>305636912.0558548</v>
      </c>
      <c r="I101" s="64">
        <f>IF(개요!O15=0,"",개요!O15-개요!P15)</f>
        <v>250000000</v>
      </c>
      <c r="J101" s="64">
        <f t="shared" si="21"/>
        <v>55636912.055854797</v>
      </c>
      <c r="K101" s="104">
        <f t="shared" si="22"/>
        <v>250000000</v>
      </c>
      <c r="L101" s="64">
        <f t="shared" si="23"/>
        <v>55636912.055854797</v>
      </c>
      <c r="M101" s="64" t="str">
        <f t="shared" si="24"/>
        <v/>
      </c>
      <c r="N101" s="64" t="str">
        <f t="shared" si="25"/>
        <v/>
      </c>
      <c r="O101" s="64" t="str">
        <f t="shared" si="26"/>
        <v/>
      </c>
      <c r="P101" s="64" t="str">
        <f t="shared" si="27"/>
        <v/>
      </c>
      <c r="Q101" s="79" t="str">
        <f t="shared" si="16"/>
        <v/>
      </c>
      <c r="R101" s="80">
        <f t="shared" si="17"/>
        <v>248284493.86007807</v>
      </c>
      <c r="S101" s="79">
        <f t="shared" si="18"/>
        <v>553921405.91593289</v>
      </c>
      <c r="T101" s="105">
        <f t="shared" si="19"/>
        <v>2.2156856236637315</v>
      </c>
      <c r="U101" s="31" t="b">
        <f>IF(개요!EA15=0,"",ROUND(개요!EA15,3)=ROUND((T101),3))</f>
        <v>1</v>
      </c>
      <c r="DL101" s="21"/>
    </row>
    <row r="102" spans="1:116" ht="15" customHeight="1">
      <c r="A102" s="54">
        <v>9</v>
      </c>
      <c r="B102" s="101" t="str">
        <f>IF(개요!K16="","",개요!K16)</f>
        <v>유한책임사원(LP)</v>
      </c>
      <c r="C102" s="102" t="str">
        <f>IF(개요!L16="","",개요!L16)</f>
        <v>선순위출자자</v>
      </c>
      <c r="D102" s="102" t="str">
        <f>IF(개요!M16="","",개요!M16)</f>
        <v>임OO</v>
      </c>
      <c r="E102" s="103">
        <f>IF(개요!R16="-","",개요!R16)</f>
        <v>2.3809523809523808E-2</v>
      </c>
      <c r="F102" s="103">
        <f t="shared" si="20"/>
        <v>2.403846153846154E-2</v>
      </c>
      <c r="G102" s="67">
        <f>IF(개요!Q16=0,"",개요!Q16)</f>
        <v>250000000</v>
      </c>
      <c r="H102" s="67">
        <f t="shared" si="15"/>
        <v>305636912.0558548</v>
      </c>
      <c r="I102" s="64">
        <f>IF(개요!O16=0,"",개요!O16-개요!P16)</f>
        <v>250000000</v>
      </c>
      <c r="J102" s="64">
        <f t="shared" si="21"/>
        <v>55636912.055854797</v>
      </c>
      <c r="K102" s="104">
        <f t="shared" si="22"/>
        <v>250000000</v>
      </c>
      <c r="L102" s="64">
        <f t="shared" si="23"/>
        <v>55636912.055854797</v>
      </c>
      <c r="M102" s="64" t="str">
        <f t="shared" si="24"/>
        <v/>
      </c>
      <c r="N102" s="64" t="str">
        <f t="shared" si="25"/>
        <v/>
      </c>
      <c r="O102" s="64" t="str">
        <f t="shared" si="26"/>
        <v/>
      </c>
      <c r="P102" s="64" t="str">
        <f t="shared" si="27"/>
        <v/>
      </c>
      <c r="Q102" s="79" t="str">
        <f t="shared" si="16"/>
        <v/>
      </c>
      <c r="R102" s="80">
        <f t="shared" si="17"/>
        <v>248284493.86007807</v>
      </c>
      <c r="S102" s="79">
        <f t="shared" si="18"/>
        <v>553921405.91593289</v>
      </c>
      <c r="T102" s="105">
        <f t="shared" si="19"/>
        <v>2.2156856236637315</v>
      </c>
      <c r="U102" s="31" t="b">
        <f>IF(개요!EA16=0,"",ROUND(개요!EA16,3)=ROUND((T102),3))</f>
        <v>1</v>
      </c>
      <c r="DL102" s="21"/>
    </row>
    <row r="103" spans="1:116" ht="15" customHeight="1" thickBot="1">
      <c r="A103" s="54">
        <v>10</v>
      </c>
      <c r="B103" s="101" t="str">
        <f>IF(개요!K17="","",개요!K17)</f>
        <v>유한책임사원(LP)</v>
      </c>
      <c r="C103" s="102" t="str">
        <f>IF(개요!L17="","",개요!L17)</f>
        <v>선순위출자자</v>
      </c>
      <c r="D103" s="102" t="str">
        <f>IF(개요!M17="","",개요!M17)</f>
        <v>최OO</v>
      </c>
      <c r="E103" s="103">
        <f>IF(개요!R17="-","",개요!R17)</f>
        <v>2.3809523809523808E-2</v>
      </c>
      <c r="F103" s="103">
        <f t="shared" si="20"/>
        <v>2.403846153846154E-2</v>
      </c>
      <c r="G103" s="67">
        <f>IF(개요!Q17=0,"",개요!Q17)</f>
        <v>250000000</v>
      </c>
      <c r="H103" s="67">
        <f t="shared" si="15"/>
        <v>305636912.0558548</v>
      </c>
      <c r="I103" s="64">
        <f>IF(개요!O17=0,"",개요!O17-개요!P17)</f>
        <v>250000000</v>
      </c>
      <c r="J103" s="64">
        <f t="shared" si="21"/>
        <v>55636912.055854797</v>
      </c>
      <c r="K103" s="104">
        <f t="shared" si="22"/>
        <v>250000000</v>
      </c>
      <c r="L103" s="64">
        <f t="shared" si="23"/>
        <v>55636912.055854797</v>
      </c>
      <c r="M103" s="64" t="str">
        <f t="shared" si="24"/>
        <v/>
      </c>
      <c r="N103" s="64" t="str">
        <f t="shared" si="25"/>
        <v/>
      </c>
      <c r="O103" s="64" t="str">
        <f t="shared" si="26"/>
        <v/>
      </c>
      <c r="P103" s="64" t="str">
        <f t="shared" si="27"/>
        <v/>
      </c>
      <c r="Q103" s="79" t="str">
        <f t="shared" si="16"/>
        <v/>
      </c>
      <c r="R103" s="80">
        <f t="shared" si="17"/>
        <v>248284493.86007807</v>
      </c>
      <c r="S103" s="79">
        <f t="shared" si="18"/>
        <v>553921405.91593289</v>
      </c>
      <c r="T103" s="105">
        <f t="shared" si="19"/>
        <v>2.2156856236637315</v>
      </c>
      <c r="U103" s="31" t="b">
        <f>IF(개요!EA17=0,"",ROUND(개요!EA17,3)=ROUND((T103),3))</f>
        <v>1</v>
      </c>
      <c r="DL103" s="21"/>
    </row>
    <row r="104" spans="1:116" ht="15" hidden="1" customHeight="1" outlineLevel="1">
      <c r="A104" s="54">
        <v>11</v>
      </c>
      <c r="B104" s="101" t="str">
        <f>IF(개요!K18="","",개요!K18)</f>
        <v>유한책임사원(LP)</v>
      </c>
      <c r="C104" s="102" t="str">
        <f>IF(개요!L18="","",개요!L18)</f>
        <v>선순위출자자</v>
      </c>
      <c r="D104" s="102" t="str">
        <f>IF(개요!M18="","",개요!M18)</f>
        <v>한OO</v>
      </c>
      <c r="E104" s="103">
        <f>IF(개요!R18="-","",개요!R18)</f>
        <v>2.3809523809523808E-2</v>
      </c>
      <c r="F104" s="103">
        <f t="shared" si="20"/>
        <v>2.403846153846154E-2</v>
      </c>
      <c r="G104" s="67">
        <f>IF(개요!Q18=0,"",개요!Q18)</f>
        <v>250000000</v>
      </c>
      <c r="H104" s="67">
        <f t="shared" si="15"/>
        <v>305636912.0558548</v>
      </c>
      <c r="I104" s="64">
        <f>IF(개요!O18=0,"",개요!O18-개요!P18)</f>
        <v>250000000</v>
      </c>
      <c r="J104" s="64">
        <f t="shared" si="21"/>
        <v>55636912.055854797</v>
      </c>
      <c r="K104" s="104">
        <f t="shared" si="22"/>
        <v>250000000</v>
      </c>
      <c r="L104" s="64">
        <f t="shared" si="23"/>
        <v>55636912.055854797</v>
      </c>
      <c r="M104" s="64" t="str">
        <f t="shared" si="24"/>
        <v/>
      </c>
      <c r="N104" s="64" t="str">
        <f t="shared" si="25"/>
        <v/>
      </c>
      <c r="O104" s="64" t="str">
        <f t="shared" si="26"/>
        <v/>
      </c>
      <c r="P104" s="64" t="str">
        <f t="shared" si="27"/>
        <v/>
      </c>
      <c r="Q104" s="79" t="str">
        <f t="shared" si="16"/>
        <v/>
      </c>
      <c r="R104" s="80">
        <f t="shared" si="17"/>
        <v>248284493.86007807</v>
      </c>
      <c r="S104" s="79">
        <f t="shared" si="18"/>
        <v>553921405.91593289</v>
      </c>
      <c r="T104" s="105">
        <f t="shared" si="19"/>
        <v>2.2156856236637315</v>
      </c>
      <c r="U104" s="31" t="b">
        <f>IF(개요!EA18=0,"",ROUND(개요!EA18,3)=ROUND((T104),3))</f>
        <v>1</v>
      </c>
      <c r="DL104" s="21"/>
    </row>
    <row r="105" spans="1:116" ht="15" hidden="1" customHeight="1" outlineLevel="1">
      <c r="A105" s="54">
        <v>12</v>
      </c>
      <c r="B105" s="101" t="str">
        <f>IF(개요!K19="","",개요!K19)</f>
        <v/>
      </c>
      <c r="C105" s="102" t="str">
        <f>IF(개요!L19="","",개요!L19)</f>
        <v/>
      </c>
      <c r="D105" s="102" t="str">
        <f>IF(개요!M19="","",개요!M19)</f>
        <v/>
      </c>
      <c r="E105" s="103">
        <f>IF(개요!R19="-","",개요!R19)</f>
        <v>0</v>
      </c>
      <c r="F105" s="103" t="str">
        <f t="shared" si="20"/>
        <v/>
      </c>
      <c r="G105" s="67" t="str">
        <f>IF(개요!Q19=0,"",개요!Q19)</f>
        <v/>
      </c>
      <c r="H105" s="67" t="str">
        <f t="shared" si="15"/>
        <v/>
      </c>
      <c r="I105" s="64" t="str">
        <f>IF(개요!O19=0,"",개요!O19-개요!P19)</f>
        <v/>
      </c>
      <c r="J105" s="64" t="str">
        <f t="shared" si="21"/>
        <v/>
      </c>
      <c r="K105" s="104" t="str">
        <f t="shared" si="22"/>
        <v/>
      </c>
      <c r="L105" s="64" t="str">
        <f t="shared" si="23"/>
        <v/>
      </c>
      <c r="M105" s="64" t="str">
        <f t="shared" si="24"/>
        <v/>
      </c>
      <c r="N105" s="64" t="str">
        <f t="shared" si="25"/>
        <v/>
      </c>
      <c r="O105" s="64" t="str">
        <f t="shared" si="26"/>
        <v/>
      </c>
      <c r="P105" s="64" t="str">
        <f t="shared" si="27"/>
        <v/>
      </c>
      <c r="Q105" s="79" t="str">
        <f t="shared" si="16"/>
        <v/>
      </c>
      <c r="R105" s="80">
        <f t="shared" si="17"/>
        <v>0</v>
      </c>
      <c r="S105" s="79" t="str">
        <f t="shared" si="18"/>
        <v/>
      </c>
      <c r="T105" s="105" t="str">
        <f t="shared" si="19"/>
        <v/>
      </c>
      <c r="U105" s="31" t="str">
        <f>IF(개요!EA19=0,"",ROUND(개요!EA19,3)=ROUND((T105),3))</f>
        <v/>
      </c>
      <c r="DL105" s="21"/>
    </row>
    <row r="106" spans="1:116" ht="15" hidden="1" customHeight="1" outlineLevel="1">
      <c r="A106" s="54">
        <v>13</v>
      </c>
      <c r="B106" s="101" t="str">
        <f>IF(개요!K20="","",개요!K20)</f>
        <v/>
      </c>
      <c r="C106" s="102" t="str">
        <f>IF(개요!L20="","",개요!L20)</f>
        <v/>
      </c>
      <c r="D106" s="102" t="str">
        <f>IF(개요!M20="","",개요!M20)</f>
        <v/>
      </c>
      <c r="E106" s="103">
        <f>IF(개요!R20="-","",개요!R20)</f>
        <v>0</v>
      </c>
      <c r="F106" s="103" t="str">
        <f t="shared" si="20"/>
        <v/>
      </c>
      <c r="G106" s="67" t="str">
        <f>IF(개요!Q20=0,"",개요!Q20)</f>
        <v/>
      </c>
      <c r="H106" s="67" t="str">
        <f t="shared" si="15"/>
        <v/>
      </c>
      <c r="I106" s="64" t="str">
        <f>IF(개요!O20=0,"",개요!O20-개요!P20)</f>
        <v/>
      </c>
      <c r="J106" s="64" t="str">
        <f t="shared" si="21"/>
        <v/>
      </c>
      <c r="K106" s="104" t="str">
        <f t="shared" si="22"/>
        <v/>
      </c>
      <c r="L106" s="64" t="str">
        <f t="shared" si="23"/>
        <v/>
      </c>
      <c r="M106" s="64" t="str">
        <f t="shared" si="24"/>
        <v/>
      </c>
      <c r="N106" s="64" t="str">
        <f t="shared" si="25"/>
        <v/>
      </c>
      <c r="O106" s="64" t="str">
        <f t="shared" si="26"/>
        <v/>
      </c>
      <c r="P106" s="64" t="str">
        <f t="shared" si="27"/>
        <v/>
      </c>
      <c r="Q106" s="79" t="str">
        <f t="shared" si="16"/>
        <v/>
      </c>
      <c r="R106" s="80">
        <f t="shared" si="17"/>
        <v>0</v>
      </c>
      <c r="S106" s="79" t="str">
        <f t="shared" si="18"/>
        <v/>
      </c>
      <c r="T106" s="105" t="str">
        <f t="shared" si="19"/>
        <v/>
      </c>
      <c r="U106" s="31" t="str">
        <f>IF(개요!EA20=0,"",ROUND(개요!EA20,3)=ROUND((T106),3))</f>
        <v/>
      </c>
      <c r="DL106" s="21"/>
    </row>
    <row r="107" spans="1:116" ht="15" hidden="1" customHeight="1" outlineLevel="1">
      <c r="A107" s="54">
        <v>14</v>
      </c>
      <c r="B107" s="101" t="str">
        <f>IF(개요!K21="","",개요!K21)</f>
        <v/>
      </c>
      <c r="C107" s="102" t="str">
        <f>IF(개요!L21="","",개요!L21)</f>
        <v/>
      </c>
      <c r="D107" s="102" t="str">
        <f>IF(개요!M21="","",개요!M21)</f>
        <v/>
      </c>
      <c r="E107" s="103">
        <f>IF(개요!R21="-","",개요!R21)</f>
        <v>0</v>
      </c>
      <c r="F107" s="103" t="str">
        <f t="shared" si="20"/>
        <v/>
      </c>
      <c r="G107" s="67" t="str">
        <f>IF(개요!Q21=0,"",개요!Q21)</f>
        <v/>
      </c>
      <c r="H107" s="67" t="str">
        <f t="shared" si="15"/>
        <v/>
      </c>
      <c r="I107" s="64" t="str">
        <f>IF(개요!O21=0,"",개요!O21-개요!P21)</f>
        <v/>
      </c>
      <c r="J107" s="64" t="str">
        <f t="shared" si="21"/>
        <v/>
      </c>
      <c r="K107" s="104" t="str">
        <f t="shared" si="22"/>
        <v/>
      </c>
      <c r="L107" s="64" t="str">
        <f t="shared" si="23"/>
        <v/>
      </c>
      <c r="M107" s="64" t="str">
        <f t="shared" si="24"/>
        <v/>
      </c>
      <c r="N107" s="64" t="str">
        <f t="shared" si="25"/>
        <v/>
      </c>
      <c r="O107" s="64" t="str">
        <f t="shared" si="26"/>
        <v/>
      </c>
      <c r="P107" s="64" t="str">
        <f t="shared" si="27"/>
        <v/>
      </c>
      <c r="Q107" s="79" t="str">
        <f t="shared" si="16"/>
        <v/>
      </c>
      <c r="R107" s="80">
        <f t="shared" si="17"/>
        <v>0</v>
      </c>
      <c r="S107" s="79" t="str">
        <f t="shared" si="18"/>
        <v/>
      </c>
      <c r="T107" s="105" t="str">
        <f t="shared" si="19"/>
        <v/>
      </c>
      <c r="U107" s="31" t="str">
        <f>IF(개요!EA21=0,"",ROUND(개요!EA21,3)=ROUND((T107),3))</f>
        <v/>
      </c>
      <c r="DL107" s="21"/>
    </row>
    <row r="108" spans="1:116" ht="15" hidden="1" customHeight="1" outlineLevel="1">
      <c r="A108" s="54">
        <v>15</v>
      </c>
      <c r="B108" s="101" t="str">
        <f>IF(개요!K22="","",개요!K22)</f>
        <v/>
      </c>
      <c r="C108" s="102" t="str">
        <f>IF(개요!L22="","",개요!L22)</f>
        <v/>
      </c>
      <c r="D108" s="102" t="str">
        <f>IF(개요!M22="","",개요!M22)</f>
        <v/>
      </c>
      <c r="E108" s="103">
        <f>IF(개요!R22="-","",개요!R22)</f>
        <v>0</v>
      </c>
      <c r="F108" s="103" t="str">
        <f t="shared" si="20"/>
        <v/>
      </c>
      <c r="G108" s="67" t="str">
        <f>IF(개요!Q22=0,"",개요!Q22)</f>
        <v/>
      </c>
      <c r="H108" s="67" t="str">
        <f t="shared" si="15"/>
        <v/>
      </c>
      <c r="I108" s="64" t="str">
        <f>IF(개요!O22=0,"",개요!O22-개요!P22)</f>
        <v/>
      </c>
      <c r="J108" s="64" t="str">
        <f t="shared" si="21"/>
        <v/>
      </c>
      <c r="K108" s="104" t="str">
        <f t="shared" si="22"/>
        <v/>
      </c>
      <c r="L108" s="64" t="str">
        <f t="shared" si="23"/>
        <v/>
      </c>
      <c r="M108" s="64" t="str">
        <f t="shared" si="24"/>
        <v/>
      </c>
      <c r="N108" s="64" t="str">
        <f t="shared" si="25"/>
        <v/>
      </c>
      <c r="O108" s="64" t="str">
        <f t="shared" si="26"/>
        <v/>
      </c>
      <c r="P108" s="64" t="str">
        <f t="shared" si="27"/>
        <v/>
      </c>
      <c r="Q108" s="79" t="str">
        <f t="shared" si="16"/>
        <v/>
      </c>
      <c r="R108" s="80">
        <f t="shared" si="17"/>
        <v>0</v>
      </c>
      <c r="S108" s="79" t="str">
        <f t="shared" si="18"/>
        <v/>
      </c>
      <c r="T108" s="105" t="str">
        <f t="shared" si="19"/>
        <v/>
      </c>
      <c r="U108" s="31" t="str">
        <f>IF(개요!EA22=0,"",ROUND(개요!EA22,3)=ROUND((T108),3))</f>
        <v/>
      </c>
      <c r="DL108" s="21"/>
    </row>
    <row r="109" spans="1:116" ht="15" hidden="1" customHeight="1" outlineLevel="1">
      <c r="A109" s="54">
        <v>16</v>
      </c>
      <c r="B109" s="101" t="str">
        <f>IF(개요!K23="","",개요!K23)</f>
        <v/>
      </c>
      <c r="C109" s="102" t="str">
        <f>IF(개요!L23="","",개요!L23)</f>
        <v/>
      </c>
      <c r="D109" s="102" t="str">
        <f>IF(개요!M23="","",개요!M23)</f>
        <v/>
      </c>
      <c r="E109" s="103">
        <f>IF(개요!R23="-","",개요!R23)</f>
        <v>0</v>
      </c>
      <c r="F109" s="103" t="str">
        <f t="shared" si="20"/>
        <v/>
      </c>
      <c r="G109" s="67" t="str">
        <f>IF(개요!Q23=0,"",개요!Q23)</f>
        <v/>
      </c>
      <c r="H109" s="67" t="str">
        <f t="shared" si="15"/>
        <v/>
      </c>
      <c r="I109" s="64" t="str">
        <f>IF(개요!O23=0,"",개요!O23-개요!P23)</f>
        <v/>
      </c>
      <c r="J109" s="64" t="str">
        <f t="shared" si="21"/>
        <v/>
      </c>
      <c r="K109" s="104" t="str">
        <f t="shared" si="22"/>
        <v/>
      </c>
      <c r="L109" s="64" t="str">
        <f t="shared" si="23"/>
        <v/>
      </c>
      <c r="M109" s="64" t="str">
        <f t="shared" si="24"/>
        <v/>
      </c>
      <c r="N109" s="64" t="str">
        <f t="shared" si="25"/>
        <v/>
      </c>
      <c r="O109" s="64" t="str">
        <f t="shared" si="26"/>
        <v/>
      </c>
      <c r="P109" s="64" t="str">
        <f t="shared" si="27"/>
        <v/>
      </c>
      <c r="Q109" s="79" t="str">
        <f t="shared" si="16"/>
        <v/>
      </c>
      <c r="R109" s="80">
        <f t="shared" si="17"/>
        <v>0</v>
      </c>
      <c r="S109" s="79" t="str">
        <f t="shared" si="18"/>
        <v/>
      </c>
      <c r="T109" s="105" t="str">
        <f t="shared" si="19"/>
        <v/>
      </c>
      <c r="U109" s="31" t="str">
        <f>IF(개요!EA23=0,"",ROUND(개요!EA23,3)=ROUND((T109),3))</f>
        <v/>
      </c>
      <c r="DL109" s="21"/>
    </row>
    <row r="110" spans="1:116" ht="15" hidden="1" customHeight="1" outlineLevel="1">
      <c r="A110" s="54">
        <v>17</v>
      </c>
      <c r="B110" s="101" t="str">
        <f>IF(개요!K24="","",개요!K24)</f>
        <v/>
      </c>
      <c r="C110" s="102" t="str">
        <f>IF(개요!L24="","",개요!L24)</f>
        <v/>
      </c>
      <c r="D110" s="102" t="str">
        <f>IF(개요!M24="","",개요!M24)</f>
        <v/>
      </c>
      <c r="E110" s="103">
        <f>IF(개요!R24="-","",개요!R24)</f>
        <v>0</v>
      </c>
      <c r="F110" s="103" t="str">
        <f t="shared" si="20"/>
        <v/>
      </c>
      <c r="G110" s="67" t="str">
        <f>IF(개요!Q24=0,"",개요!Q24)</f>
        <v/>
      </c>
      <c r="H110" s="67" t="str">
        <f t="shared" si="15"/>
        <v/>
      </c>
      <c r="I110" s="64" t="str">
        <f>IF(개요!O24=0,"",개요!O24-개요!P24)</f>
        <v/>
      </c>
      <c r="J110" s="64" t="str">
        <f t="shared" si="21"/>
        <v/>
      </c>
      <c r="K110" s="104" t="str">
        <f t="shared" si="22"/>
        <v/>
      </c>
      <c r="L110" s="64" t="str">
        <f t="shared" si="23"/>
        <v/>
      </c>
      <c r="M110" s="64" t="str">
        <f t="shared" si="24"/>
        <v/>
      </c>
      <c r="N110" s="64" t="str">
        <f t="shared" si="25"/>
        <v/>
      </c>
      <c r="O110" s="64" t="str">
        <f t="shared" si="26"/>
        <v/>
      </c>
      <c r="P110" s="64" t="str">
        <f t="shared" si="27"/>
        <v/>
      </c>
      <c r="Q110" s="79" t="str">
        <f t="shared" si="16"/>
        <v/>
      </c>
      <c r="R110" s="80">
        <f t="shared" si="17"/>
        <v>0</v>
      </c>
      <c r="S110" s="79" t="str">
        <f t="shared" si="18"/>
        <v/>
      </c>
      <c r="T110" s="105" t="str">
        <f t="shared" si="19"/>
        <v/>
      </c>
      <c r="U110" s="31" t="str">
        <f>IF(개요!EA24=0,"",ROUND(개요!EA24,3)=ROUND((T110),3))</f>
        <v/>
      </c>
      <c r="DL110" s="21"/>
    </row>
    <row r="111" spans="1:116" ht="15" hidden="1" customHeight="1" outlineLevel="1">
      <c r="A111" s="54">
        <v>18</v>
      </c>
      <c r="B111" s="101" t="str">
        <f>IF(개요!K25="","",개요!K25)</f>
        <v/>
      </c>
      <c r="C111" s="102" t="str">
        <f>IF(개요!L25="","",개요!L25)</f>
        <v/>
      </c>
      <c r="D111" s="102" t="str">
        <f>IF(개요!M25="","",개요!M25)</f>
        <v/>
      </c>
      <c r="E111" s="103">
        <f>IF(개요!R25="-","",개요!R25)</f>
        <v>0</v>
      </c>
      <c r="F111" s="103" t="str">
        <f t="shared" si="20"/>
        <v/>
      </c>
      <c r="G111" s="67" t="str">
        <f>IF(개요!Q25=0,"",개요!Q25)</f>
        <v/>
      </c>
      <c r="H111" s="67" t="str">
        <f t="shared" si="15"/>
        <v/>
      </c>
      <c r="I111" s="64" t="str">
        <f>IF(개요!O25=0,"",개요!O25-개요!P25)</f>
        <v/>
      </c>
      <c r="J111" s="64" t="str">
        <f t="shared" si="21"/>
        <v/>
      </c>
      <c r="K111" s="104" t="str">
        <f t="shared" si="22"/>
        <v/>
      </c>
      <c r="L111" s="64" t="str">
        <f t="shared" si="23"/>
        <v/>
      </c>
      <c r="M111" s="64" t="str">
        <f t="shared" si="24"/>
        <v/>
      </c>
      <c r="N111" s="64" t="str">
        <f t="shared" si="25"/>
        <v/>
      </c>
      <c r="O111" s="64" t="str">
        <f t="shared" si="26"/>
        <v/>
      </c>
      <c r="P111" s="64" t="str">
        <f t="shared" si="27"/>
        <v/>
      </c>
      <c r="Q111" s="79" t="str">
        <f t="shared" si="16"/>
        <v/>
      </c>
      <c r="R111" s="80">
        <f t="shared" si="17"/>
        <v>0</v>
      </c>
      <c r="S111" s="79" t="str">
        <f t="shared" si="18"/>
        <v/>
      </c>
      <c r="T111" s="105" t="str">
        <f t="shared" si="19"/>
        <v/>
      </c>
      <c r="U111" s="31" t="str">
        <f>IF(개요!EA25=0,"",ROUND(개요!EA25,3)=ROUND((T111),3))</f>
        <v/>
      </c>
      <c r="DL111" s="21"/>
    </row>
    <row r="112" spans="1:116" ht="15" hidden="1" customHeight="1" outlineLevel="1">
      <c r="A112" s="54">
        <v>19</v>
      </c>
      <c r="B112" s="101" t="str">
        <f>IF(개요!K26="","",개요!K26)</f>
        <v/>
      </c>
      <c r="C112" s="102" t="str">
        <f>IF(개요!L26="","",개요!L26)</f>
        <v/>
      </c>
      <c r="D112" s="102" t="str">
        <f>IF(개요!M26="","",개요!M26)</f>
        <v/>
      </c>
      <c r="E112" s="103">
        <f>IF(개요!R26="-","",개요!R26)</f>
        <v>0</v>
      </c>
      <c r="F112" s="103" t="str">
        <f t="shared" si="20"/>
        <v/>
      </c>
      <c r="G112" s="67" t="str">
        <f>IF(개요!Q26=0,"",개요!Q26)</f>
        <v/>
      </c>
      <c r="H112" s="67" t="str">
        <f t="shared" si="15"/>
        <v/>
      </c>
      <c r="I112" s="64" t="str">
        <f>IF(개요!O26=0,"",개요!O26-개요!P26)</f>
        <v/>
      </c>
      <c r="J112" s="64" t="str">
        <f t="shared" si="21"/>
        <v/>
      </c>
      <c r="K112" s="104" t="str">
        <f t="shared" si="22"/>
        <v/>
      </c>
      <c r="L112" s="64" t="str">
        <f t="shared" si="23"/>
        <v/>
      </c>
      <c r="M112" s="64" t="str">
        <f t="shared" si="24"/>
        <v/>
      </c>
      <c r="N112" s="64" t="str">
        <f t="shared" si="25"/>
        <v/>
      </c>
      <c r="O112" s="64" t="str">
        <f t="shared" si="26"/>
        <v/>
      </c>
      <c r="P112" s="64" t="str">
        <f t="shared" si="27"/>
        <v/>
      </c>
      <c r="Q112" s="79" t="str">
        <f t="shared" si="16"/>
        <v/>
      </c>
      <c r="R112" s="80">
        <f t="shared" si="17"/>
        <v>0</v>
      </c>
      <c r="S112" s="79" t="str">
        <f t="shared" si="18"/>
        <v/>
      </c>
      <c r="T112" s="105" t="str">
        <f t="shared" si="19"/>
        <v/>
      </c>
      <c r="U112" s="31" t="str">
        <f>IF(개요!EA26=0,"",ROUND(개요!EA26,3)=ROUND((T112),3))</f>
        <v/>
      </c>
      <c r="DL112" s="21"/>
    </row>
    <row r="113" spans="1:116" ht="15" hidden="1" customHeight="1" outlineLevel="1">
      <c r="A113" s="54">
        <v>20</v>
      </c>
      <c r="B113" s="101" t="str">
        <f>IF(개요!K27="","",개요!K27)</f>
        <v/>
      </c>
      <c r="C113" s="102" t="str">
        <f>IF(개요!L27="","",개요!L27)</f>
        <v/>
      </c>
      <c r="D113" s="102" t="str">
        <f>IF(개요!M27="","",개요!M27)</f>
        <v/>
      </c>
      <c r="E113" s="103">
        <f>IF(개요!R27="-","",개요!R27)</f>
        <v>0</v>
      </c>
      <c r="F113" s="103" t="str">
        <f t="shared" si="20"/>
        <v/>
      </c>
      <c r="G113" s="67" t="str">
        <f>IF(개요!Q27=0,"",개요!Q27)</f>
        <v/>
      </c>
      <c r="H113" s="67" t="str">
        <f t="shared" si="15"/>
        <v/>
      </c>
      <c r="I113" s="64" t="str">
        <f>IF(개요!O27=0,"",개요!O27-개요!P27)</f>
        <v/>
      </c>
      <c r="J113" s="64" t="str">
        <f t="shared" si="21"/>
        <v/>
      </c>
      <c r="K113" s="104" t="str">
        <f t="shared" si="22"/>
        <v/>
      </c>
      <c r="L113" s="64" t="str">
        <f t="shared" si="23"/>
        <v/>
      </c>
      <c r="M113" s="64" t="str">
        <f t="shared" si="24"/>
        <v/>
      </c>
      <c r="N113" s="64" t="str">
        <f t="shared" si="25"/>
        <v/>
      </c>
      <c r="O113" s="64" t="str">
        <f t="shared" si="26"/>
        <v/>
      </c>
      <c r="P113" s="64" t="str">
        <f t="shared" si="27"/>
        <v/>
      </c>
      <c r="Q113" s="79" t="str">
        <f t="shared" si="16"/>
        <v/>
      </c>
      <c r="R113" s="80">
        <f t="shared" si="17"/>
        <v>0</v>
      </c>
      <c r="S113" s="79" t="str">
        <f t="shared" si="18"/>
        <v/>
      </c>
      <c r="T113" s="105" t="str">
        <f t="shared" si="19"/>
        <v/>
      </c>
      <c r="U113" s="31" t="str">
        <f>IF(개요!EA27=0,"",ROUND(개요!EA27,3)=ROUND((T113),3))</f>
        <v/>
      </c>
      <c r="DL113" s="21"/>
    </row>
    <row r="114" spans="1:116" ht="15" hidden="1" customHeight="1" outlineLevel="1">
      <c r="A114" s="54">
        <v>21</v>
      </c>
      <c r="B114" s="101" t="str">
        <f>IF(개요!K28="","",개요!K28)</f>
        <v/>
      </c>
      <c r="C114" s="102" t="str">
        <f>IF(개요!L28="","",개요!L28)</f>
        <v/>
      </c>
      <c r="D114" s="102" t="str">
        <f>IF(개요!M28="","",개요!M28)</f>
        <v/>
      </c>
      <c r="E114" s="103">
        <f>IF(개요!R28="-","",개요!R28)</f>
        <v>0</v>
      </c>
      <c r="F114" s="103" t="str">
        <f t="shared" si="20"/>
        <v/>
      </c>
      <c r="G114" s="67" t="str">
        <f>IF(개요!Q28=0,"",개요!Q28)</f>
        <v/>
      </c>
      <c r="H114" s="67" t="str">
        <f t="shared" si="15"/>
        <v/>
      </c>
      <c r="I114" s="64" t="str">
        <f>IF(개요!O28=0,"",개요!O28-개요!P28)</f>
        <v/>
      </c>
      <c r="J114" s="64" t="str">
        <f t="shared" si="21"/>
        <v/>
      </c>
      <c r="K114" s="104" t="str">
        <f t="shared" si="22"/>
        <v/>
      </c>
      <c r="L114" s="64" t="str">
        <f t="shared" si="23"/>
        <v/>
      </c>
      <c r="M114" s="64" t="str">
        <f t="shared" si="24"/>
        <v/>
      </c>
      <c r="N114" s="64" t="str">
        <f t="shared" si="25"/>
        <v/>
      </c>
      <c r="O114" s="64" t="str">
        <f t="shared" si="26"/>
        <v/>
      </c>
      <c r="P114" s="64" t="str">
        <f t="shared" si="27"/>
        <v/>
      </c>
      <c r="Q114" s="79" t="str">
        <f t="shared" si="16"/>
        <v/>
      </c>
      <c r="R114" s="80">
        <f t="shared" si="17"/>
        <v>0</v>
      </c>
      <c r="S114" s="79" t="str">
        <f t="shared" si="18"/>
        <v/>
      </c>
      <c r="T114" s="105" t="str">
        <f t="shared" si="19"/>
        <v/>
      </c>
      <c r="U114" s="31" t="str">
        <f>IF(개요!EA28=0,"",ROUND(개요!EA28,3)=ROUND((T114),3))</f>
        <v/>
      </c>
      <c r="DL114" s="21"/>
    </row>
    <row r="115" spans="1:116" ht="15" hidden="1" customHeight="1" outlineLevel="1">
      <c r="A115" s="54">
        <v>22</v>
      </c>
      <c r="B115" s="101" t="str">
        <f>IF(개요!K29="","",개요!K29)</f>
        <v/>
      </c>
      <c r="C115" s="102" t="str">
        <f>IF(개요!L29="","",개요!L29)</f>
        <v/>
      </c>
      <c r="D115" s="102" t="str">
        <f>IF(개요!M29="","",개요!M29)</f>
        <v/>
      </c>
      <c r="E115" s="103">
        <f>IF(개요!R29="-","",개요!R29)</f>
        <v>0</v>
      </c>
      <c r="F115" s="103" t="str">
        <f t="shared" si="20"/>
        <v/>
      </c>
      <c r="G115" s="67" t="str">
        <f>IF(개요!Q29=0,"",개요!Q29)</f>
        <v/>
      </c>
      <c r="H115" s="67" t="str">
        <f t="shared" si="15"/>
        <v/>
      </c>
      <c r="I115" s="64" t="str">
        <f>IF(개요!O29=0,"",개요!O29-개요!P29)</f>
        <v/>
      </c>
      <c r="J115" s="64" t="str">
        <f t="shared" si="21"/>
        <v/>
      </c>
      <c r="K115" s="104" t="str">
        <f t="shared" si="22"/>
        <v/>
      </c>
      <c r="L115" s="64" t="str">
        <f t="shared" si="23"/>
        <v/>
      </c>
      <c r="M115" s="64" t="str">
        <f t="shared" si="24"/>
        <v/>
      </c>
      <c r="N115" s="64" t="str">
        <f t="shared" si="25"/>
        <v/>
      </c>
      <c r="O115" s="64" t="str">
        <f t="shared" si="26"/>
        <v/>
      </c>
      <c r="P115" s="64" t="str">
        <f t="shared" si="27"/>
        <v/>
      </c>
      <c r="Q115" s="79" t="str">
        <f t="shared" si="16"/>
        <v/>
      </c>
      <c r="R115" s="80">
        <f t="shared" si="17"/>
        <v>0</v>
      </c>
      <c r="S115" s="79" t="str">
        <f t="shared" si="18"/>
        <v/>
      </c>
      <c r="T115" s="105" t="str">
        <f t="shared" si="19"/>
        <v/>
      </c>
      <c r="U115" s="31" t="str">
        <f>IF(개요!EA29=0,"",ROUND(개요!EA29,3)=ROUND((T115),3))</f>
        <v/>
      </c>
      <c r="DL115" s="21"/>
    </row>
    <row r="116" spans="1:116" ht="15" hidden="1" customHeight="1" outlineLevel="1">
      <c r="A116" s="54">
        <v>23</v>
      </c>
      <c r="B116" s="101" t="str">
        <f>IF(개요!K30="","",개요!K30)</f>
        <v/>
      </c>
      <c r="C116" s="102" t="str">
        <f>IF(개요!L30="","",개요!L30)</f>
        <v/>
      </c>
      <c r="D116" s="102" t="str">
        <f>IF(개요!M30="","",개요!M30)</f>
        <v/>
      </c>
      <c r="E116" s="103">
        <f>IF(개요!R30="-","",개요!R30)</f>
        <v>0</v>
      </c>
      <c r="F116" s="103" t="str">
        <f t="shared" si="20"/>
        <v/>
      </c>
      <c r="G116" s="67" t="str">
        <f>IF(개요!Q30=0,"",개요!Q30)</f>
        <v/>
      </c>
      <c r="H116" s="67" t="str">
        <f t="shared" si="15"/>
        <v/>
      </c>
      <c r="I116" s="64" t="str">
        <f>IF(개요!O30=0,"",개요!O30-개요!P30)</f>
        <v/>
      </c>
      <c r="J116" s="64" t="str">
        <f t="shared" si="21"/>
        <v/>
      </c>
      <c r="K116" s="104" t="str">
        <f t="shared" si="22"/>
        <v/>
      </c>
      <c r="L116" s="64" t="str">
        <f t="shared" si="23"/>
        <v/>
      </c>
      <c r="M116" s="64" t="str">
        <f t="shared" si="24"/>
        <v/>
      </c>
      <c r="N116" s="64" t="str">
        <f t="shared" si="25"/>
        <v/>
      </c>
      <c r="O116" s="64" t="str">
        <f t="shared" si="26"/>
        <v/>
      </c>
      <c r="P116" s="64" t="str">
        <f t="shared" si="27"/>
        <v/>
      </c>
      <c r="Q116" s="79" t="str">
        <f t="shared" si="16"/>
        <v/>
      </c>
      <c r="R116" s="80">
        <f t="shared" si="17"/>
        <v>0</v>
      </c>
      <c r="S116" s="79" t="str">
        <f t="shared" si="18"/>
        <v/>
      </c>
      <c r="T116" s="105" t="str">
        <f t="shared" si="19"/>
        <v/>
      </c>
      <c r="U116" s="31" t="str">
        <f>IF(개요!EA30=0,"",ROUND(개요!EA30,3)=ROUND((T116),3))</f>
        <v/>
      </c>
      <c r="DL116" s="21"/>
    </row>
    <row r="117" spans="1:116" ht="15" hidden="1" customHeight="1" outlineLevel="1">
      <c r="A117" s="54">
        <v>24</v>
      </c>
      <c r="B117" s="101" t="str">
        <f>IF(개요!K31="","",개요!K31)</f>
        <v/>
      </c>
      <c r="C117" s="102" t="str">
        <f>IF(개요!L31="","",개요!L31)</f>
        <v/>
      </c>
      <c r="D117" s="102" t="str">
        <f>IF(개요!M31="","",개요!M31)</f>
        <v/>
      </c>
      <c r="E117" s="103">
        <f>IF(개요!R31="-","",개요!R31)</f>
        <v>0</v>
      </c>
      <c r="F117" s="103" t="str">
        <f t="shared" si="20"/>
        <v/>
      </c>
      <c r="G117" s="67" t="str">
        <f>IF(개요!Q31=0,"",개요!Q31)</f>
        <v/>
      </c>
      <c r="H117" s="67" t="str">
        <f t="shared" si="15"/>
        <v/>
      </c>
      <c r="I117" s="64" t="str">
        <f>IF(개요!O31=0,"",개요!O31-개요!P31)</f>
        <v/>
      </c>
      <c r="J117" s="64" t="str">
        <f t="shared" si="21"/>
        <v/>
      </c>
      <c r="K117" s="104" t="str">
        <f t="shared" si="22"/>
        <v/>
      </c>
      <c r="L117" s="64" t="str">
        <f t="shared" si="23"/>
        <v/>
      </c>
      <c r="M117" s="64" t="str">
        <f t="shared" si="24"/>
        <v/>
      </c>
      <c r="N117" s="64" t="str">
        <f t="shared" si="25"/>
        <v/>
      </c>
      <c r="O117" s="64" t="str">
        <f t="shared" si="26"/>
        <v/>
      </c>
      <c r="P117" s="64" t="str">
        <f t="shared" si="27"/>
        <v/>
      </c>
      <c r="Q117" s="79" t="str">
        <f t="shared" si="16"/>
        <v/>
      </c>
      <c r="R117" s="80">
        <f t="shared" si="17"/>
        <v>0</v>
      </c>
      <c r="S117" s="79" t="str">
        <f t="shared" si="18"/>
        <v/>
      </c>
      <c r="T117" s="105" t="str">
        <f t="shared" si="19"/>
        <v/>
      </c>
      <c r="U117" s="31" t="str">
        <f>IF(개요!EA31=0,"",ROUND(개요!EA31,3)=ROUND((T117),3))</f>
        <v/>
      </c>
      <c r="DL117" s="21"/>
    </row>
    <row r="118" spans="1:116" ht="15" hidden="1" customHeight="1" outlineLevel="1">
      <c r="A118" s="54">
        <v>25</v>
      </c>
      <c r="B118" s="101" t="str">
        <f>IF(개요!K32="","",개요!K32)</f>
        <v/>
      </c>
      <c r="C118" s="102" t="str">
        <f>IF(개요!L32="","",개요!L32)</f>
        <v/>
      </c>
      <c r="D118" s="102" t="str">
        <f>IF(개요!M32="","",개요!M32)</f>
        <v/>
      </c>
      <c r="E118" s="103">
        <f>IF(개요!R32="-","",개요!R32)</f>
        <v>0</v>
      </c>
      <c r="F118" s="103" t="str">
        <f t="shared" si="20"/>
        <v/>
      </c>
      <c r="G118" s="67" t="str">
        <f>IF(개요!Q32=0,"",개요!Q32)</f>
        <v/>
      </c>
      <c r="H118" s="67" t="str">
        <f t="shared" si="15"/>
        <v/>
      </c>
      <c r="I118" s="64" t="str">
        <f>IF(개요!O32=0,"",개요!O32-개요!P32)</f>
        <v/>
      </c>
      <c r="J118" s="64" t="str">
        <f t="shared" si="21"/>
        <v/>
      </c>
      <c r="K118" s="104" t="str">
        <f t="shared" si="22"/>
        <v/>
      </c>
      <c r="L118" s="64" t="str">
        <f t="shared" si="23"/>
        <v/>
      </c>
      <c r="M118" s="64" t="str">
        <f t="shared" si="24"/>
        <v/>
      </c>
      <c r="N118" s="64" t="str">
        <f t="shared" si="25"/>
        <v/>
      </c>
      <c r="O118" s="64" t="str">
        <f t="shared" si="26"/>
        <v/>
      </c>
      <c r="P118" s="64" t="str">
        <f t="shared" si="27"/>
        <v/>
      </c>
      <c r="Q118" s="79" t="str">
        <f t="shared" si="16"/>
        <v/>
      </c>
      <c r="R118" s="80">
        <f t="shared" si="17"/>
        <v>0</v>
      </c>
      <c r="S118" s="79" t="str">
        <f t="shared" si="18"/>
        <v/>
      </c>
      <c r="T118" s="105" t="str">
        <f t="shared" si="19"/>
        <v/>
      </c>
      <c r="U118" s="31" t="str">
        <f>IF(개요!EA32=0,"",ROUND(개요!EA32,3)=ROUND((T118),3))</f>
        <v/>
      </c>
      <c r="DL118" s="21"/>
    </row>
    <row r="119" spans="1:116" ht="15" hidden="1" customHeight="1" outlineLevel="1">
      <c r="A119" s="54">
        <v>26</v>
      </c>
      <c r="B119" s="101" t="str">
        <f>IF(개요!K33="","",개요!K33)</f>
        <v/>
      </c>
      <c r="C119" s="102" t="str">
        <f>IF(개요!L33="","",개요!L33)</f>
        <v/>
      </c>
      <c r="D119" s="102" t="str">
        <f>IF(개요!M33="","",개요!M33)</f>
        <v/>
      </c>
      <c r="E119" s="103">
        <f>IF(개요!R33="-","",개요!R33)</f>
        <v>0</v>
      </c>
      <c r="F119" s="103" t="str">
        <f t="shared" si="20"/>
        <v/>
      </c>
      <c r="G119" s="67" t="str">
        <f>IF(개요!Q33=0,"",개요!Q33)</f>
        <v/>
      </c>
      <c r="H119" s="67" t="str">
        <f t="shared" si="15"/>
        <v/>
      </c>
      <c r="I119" s="64" t="str">
        <f>IF(개요!O33=0,"",개요!O33-개요!P33)</f>
        <v/>
      </c>
      <c r="J119" s="64" t="str">
        <f t="shared" si="21"/>
        <v/>
      </c>
      <c r="K119" s="104" t="str">
        <f t="shared" si="22"/>
        <v/>
      </c>
      <c r="L119" s="64" t="str">
        <f t="shared" si="23"/>
        <v/>
      </c>
      <c r="M119" s="64" t="str">
        <f t="shared" si="24"/>
        <v/>
      </c>
      <c r="N119" s="64" t="str">
        <f t="shared" si="25"/>
        <v/>
      </c>
      <c r="O119" s="64" t="str">
        <f t="shared" si="26"/>
        <v/>
      </c>
      <c r="P119" s="64" t="str">
        <f t="shared" si="27"/>
        <v/>
      </c>
      <c r="Q119" s="79" t="str">
        <f t="shared" si="16"/>
        <v/>
      </c>
      <c r="R119" s="80">
        <f t="shared" si="17"/>
        <v>0</v>
      </c>
      <c r="S119" s="79" t="str">
        <f t="shared" si="18"/>
        <v/>
      </c>
      <c r="T119" s="105" t="str">
        <f t="shared" si="19"/>
        <v/>
      </c>
      <c r="U119" s="31" t="str">
        <f>IF(개요!EA33=0,"",ROUND(개요!EA33,3)=ROUND((T119),3))</f>
        <v/>
      </c>
      <c r="DL119" s="21"/>
    </row>
    <row r="120" spans="1:116" ht="15" hidden="1" customHeight="1" outlineLevel="1">
      <c r="A120" s="54">
        <v>27</v>
      </c>
      <c r="B120" s="101" t="str">
        <f>IF(개요!K34="","",개요!K34)</f>
        <v/>
      </c>
      <c r="C120" s="102" t="str">
        <f>IF(개요!L34="","",개요!L34)</f>
        <v/>
      </c>
      <c r="D120" s="102" t="str">
        <f>IF(개요!M34="","",개요!M34)</f>
        <v/>
      </c>
      <c r="E120" s="103">
        <f>IF(개요!R34="-","",개요!R34)</f>
        <v>0</v>
      </c>
      <c r="F120" s="103" t="str">
        <f t="shared" si="20"/>
        <v/>
      </c>
      <c r="G120" s="67" t="str">
        <f>IF(개요!Q34=0,"",개요!Q34)</f>
        <v/>
      </c>
      <c r="H120" s="67" t="str">
        <f t="shared" si="15"/>
        <v/>
      </c>
      <c r="I120" s="64" t="str">
        <f>IF(개요!O34=0,"",개요!O34-개요!P34)</f>
        <v/>
      </c>
      <c r="J120" s="64" t="str">
        <f t="shared" si="21"/>
        <v/>
      </c>
      <c r="K120" s="104" t="str">
        <f t="shared" si="22"/>
        <v/>
      </c>
      <c r="L120" s="64" t="str">
        <f t="shared" si="23"/>
        <v/>
      </c>
      <c r="M120" s="64" t="str">
        <f t="shared" si="24"/>
        <v/>
      </c>
      <c r="N120" s="64" t="str">
        <f t="shared" si="25"/>
        <v/>
      </c>
      <c r="O120" s="64" t="str">
        <f t="shared" si="26"/>
        <v/>
      </c>
      <c r="P120" s="64" t="str">
        <f t="shared" si="27"/>
        <v/>
      </c>
      <c r="Q120" s="79" t="str">
        <f t="shared" si="16"/>
        <v/>
      </c>
      <c r="R120" s="80">
        <f t="shared" si="17"/>
        <v>0</v>
      </c>
      <c r="S120" s="79" t="str">
        <f t="shared" si="18"/>
        <v/>
      </c>
      <c r="T120" s="105" t="str">
        <f t="shared" si="19"/>
        <v/>
      </c>
      <c r="U120" s="31" t="str">
        <f>IF(개요!EA34=0,"",ROUND(개요!EA34,3)=ROUND((T120),3))</f>
        <v/>
      </c>
      <c r="DL120" s="21"/>
    </row>
    <row r="121" spans="1:116" ht="15" hidden="1" customHeight="1" outlineLevel="1">
      <c r="A121" s="54">
        <v>28</v>
      </c>
      <c r="B121" s="101" t="str">
        <f>IF(개요!K35="","",개요!K35)</f>
        <v/>
      </c>
      <c r="C121" s="102" t="str">
        <f>IF(개요!L35="","",개요!L35)</f>
        <v/>
      </c>
      <c r="D121" s="102" t="str">
        <f>IF(개요!M35="","",개요!M35)</f>
        <v/>
      </c>
      <c r="E121" s="103">
        <f>IF(개요!R35="-","",개요!R35)</f>
        <v>0</v>
      </c>
      <c r="F121" s="103" t="str">
        <f t="shared" si="20"/>
        <v/>
      </c>
      <c r="G121" s="67" t="str">
        <f>IF(개요!Q35=0,"",개요!Q35)</f>
        <v/>
      </c>
      <c r="H121" s="67" t="str">
        <f t="shared" si="15"/>
        <v/>
      </c>
      <c r="I121" s="64" t="str">
        <f>IF(개요!O35=0,"",개요!O35-개요!P35)</f>
        <v/>
      </c>
      <c r="J121" s="64" t="str">
        <f t="shared" si="21"/>
        <v/>
      </c>
      <c r="K121" s="104" t="str">
        <f t="shared" si="22"/>
        <v/>
      </c>
      <c r="L121" s="64" t="str">
        <f t="shared" si="23"/>
        <v/>
      </c>
      <c r="M121" s="64" t="str">
        <f t="shared" si="24"/>
        <v/>
      </c>
      <c r="N121" s="64" t="str">
        <f t="shared" si="25"/>
        <v/>
      </c>
      <c r="O121" s="64" t="str">
        <f t="shared" si="26"/>
        <v/>
      </c>
      <c r="P121" s="64" t="str">
        <f t="shared" si="27"/>
        <v/>
      </c>
      <c r="Q121" s="79" t="str">
        <f t="shared" si="16"/>
        <v/>
      </c>
      <c r="R121" s="80">
        <f t="shared" si="17"/>
        <v>0</v>
      </c>
      <c r="S121" s="79" t="str">
        <f t="shared" si="18"/>
        <v/>
      </c>
      <c r="T121" s="105" t="str">
        <f t="shared" si="19"/>
        <v/>
      </c>
      <c r="U121" s="31" t="str">
        <f>IF(개요!EA35=0,"",ROUND(개요!EA35,3)=ROUND((T121),3))</f>
        <v/>
      </c>
      <c r="DL121" s="21"/>
    </row>
    <row r="122" spans="1:116" ht="15" hidden="1" customHeight="1" outlineLevel="1">
      <c r="A122" s="54">
        <v>29</v>
      </c>
      <c r="B122" s="101" t="str">
        <f>IF(개요!K36="","",개요!K36)</f>
        <v/>
      </c>
      <c r="C122" s="102" t="str">
        <f>IF(개요!L36="","",개요!L36)</f>
        <v/>
      </c>
      <c r="D122" s="102" t="str">
        <f>IF(개요!M36="","",개요!M36)</f>
        <v/>
      </c>
      <c r="E122" s="103">
        <f>IF(개요!R36="-","",개요!R36)</f>
        <v>0</v>
      </c>
      <c r="F122" s="103" t="str">
        <f t="shared" si="20"/>
        <v/>
      </c>
      <c r="G122" s="67" t="str">
        <f>IF(개요!Q36=0,"",개요!Q36)</f>
        <v/>
      </c>
      <c r="H122" s="67" t="str">
        <f t="shared" si="15"/>
        <v/>
      </c>
      <c r="I122" s="64" t="str">
        <f>IF(개요!O36=0,"",개요!O36-개요!P36)</f>
        <v/>
      </c>
      <c r="J122" s="64" t="str">
        <f t="shared" si="21"/>
        <v/>
      </c>
      <c r="K122" s="104" t="str">
        <f t="shared" si="22"/>
        <v/>
      </c>
      <c r="L122" s="64" t="str">
        <f t="shared" si="23"/>
        <v/>
      </c>
      <c r="M122" s="64" t="str">
        <f t="shared" si="24"/>
        <v/>
      </c>
      <c r="N122" s="64" t="str">
        <f t="shared" si="25"/>
        <v/>
      </c>
      <c r="O122" s="64" t="str">
        <f t="shared" si="26"/>
        <v/>
      </c>
      <c r="P122" s="64" t="str">
        <f t="shared" si="27"/>
        <v/>
      </c>
      <c r="Q122" s="79" t="str">
        <f t="shared" si="16"/>
        <v/>
      </c>
      <c r="R122" s="80">
        <f t="shared" si="17"/>
        <v>0</v>
      </c>
      <c r="S122" s="79" t="str">
        <f t="shared" si="18"/>
        <v/>
      </c>
      <c r="T122" s="105" t="str">
        <f t="shared" si="19"/>
        <v/>
      </c>
      <c r="U122" s="31" t="str">
        <f>IF(개요!EA36=0,"",ROUND(개요!EA36,3)=ROUND((T122),3))</f>
        <v/>
      </c>
      <c r="DL122" s="21"/>
    </row>
    <row r="123" spans="1:116" ht="15" hidden="1" customHeight="1" outlineLevel="1">
      <c r="A123" s="54">
        <v>30</v>
      </c>
      <c r="B123" s="101" t="str">
        <f>IF(개요!K37="","",개요!K37)</f>
        <v/>
      </c>
      <c r="C123" s="102" t="str">
        <f>IF(개요!L37="","",개요!L37)</f>
        <v/>
      </c>
      <c r="D123" s="102" t="str">
        <f>IF(개요!M37="","",개요!M37)</f>
        <v/>
      </c>
      <c r="E123" s="103">
        <f>IF(개요!R37="-","",개요!R37)</f>
        <v>0</v>
      </c>
      <c r="F123" s="103" t="str">
        <f t="shared" si="20"/>
        <v/>
      </c>
      <c r="G123" s="67" t="str">
        <f>IF(개요!Q37=0,"",개요!Q37)</f>
        <v/>
      </c>
      <c r="H123" s="67" t="str">
        <f t="shared" si="15"/>
        <v/>
      </c>
      <c r="I123" s="64" t="str">
        <f>IF(개요!O37=0,"",개요!O37-개요!P37)</f>
        <v/>
      </c>
      <c r="J123" s="64" t="str">
        <f t="shared" si="21"/>
        <v/>
      </c>
      <c r="K123" s="104" t="str">
        <f t="shared" si="22"/>
        <v/>
      </c>
      <c r="L123" s="64" t="str">
        <f t="shared" si="23"/>
        <v/>
      </c>
      <c r="M123" s="64" t="str">
        <f t="shared" si="24"/>
        <v/>
      </c>
      <c r="N123" s="64" t="str">
        <f t="shared" si="25"/>
        <v/>
      </c>
      <c r="O123" s="64" t="str">
        <f t="shared" si="26"/>
        <v/>
      </c>
      <c r="P123" s="64" t="str">
        <f t="shared" si="27"/>
        <v/>
      </c>
      <c r="Q123" s="79" t="str">
        <f t="shared" si="16"/>
        <v/>
      </c>
      <c r="R123" s="80">
        <f t="shared" si="17"/>
        <v>0</v>
      </c>
      <c r="S123" s="79" t="str">
        <f t="shared" si="18"/>
        <v/>
      </c>
      <c r="T123" s="105" t="str">
        <f t="shared" si="19"/>
        <v/>
      </c>
      <c r="U123" s="31" t="str">
        <f>IF(개요!EA37=0,"",ROUND(개요!EA37,3)=ROUND((T123),3))</f>
        <v/>
      </c>
      <c r="DL123" s="21"/>
    </row>
    <row r="124" spans="1:116" ht="15" hidden="1" customHeight="1" outlineLevel="1">
      <c r="A124" s="54">
        <v>31</v>
      </c>
      <c r="B124" s="101" t="str">
        <f>IF(개요!K38="","",개요!K38)</f>
        <v/>
      </c>
      <c r="C124" s="102" t="str">
        <f>IF(개요!L38="","",개요!L38)</f>
        <v/>
      </c>
      <c r="D124" s="102" t="str">
        <f>IF(개요!M38="","",개요!M38)</f>
        <v/>
      </c>
      <c r="E124" s="103">
        <f>IF(개요!R38="-","",개요!R38)</f>
        <v>0</v>
      </c>
      <c r="F124" s="103" t="str">
        <f t="shared" si="20"/>
        <v/>
      </c>
      <c r="G124" s="67" t="str">
        <f>IF(개요!Q38=0,"",개요!Q38)</f>
        <v/>
      </c>
      <c r="H124" s="67" t="str">
        <f t="shared" si="15"/>
        <v/>
      </c>
      <c r="I124" s="64" t="str">
        <f>IF(개요!O38=0,"",개요!O38-개요!P38)</f>
        <v/>
      </c>
      <c r="J124" s="64" t="str">
        <f t="shared" si="21"/>
        <v/>
      </c>
      <c r="K124" s="104" t="str">
        <f t="shared" si="22"/>
        <v/>
      </c>
      <c r="L124" s="64" t="str">
        <f t="shared" si="23"/>
        <v/>
      </c>
      <c r="M124" s="64" t="str">
        <f t="shared" si="24"/>
        <v/>
      </c>
      <c r="N124" s="64" t="str">
        <f t="shared" si="25"/>
        <v/>
      </c>
      <c r="O124" s="64" t="str">
        <f t="shared" si="26"/>
        <v/>
      </c>
      <c r="P124" s="64" t="str">
        <f t="shared" si="27"/>
        <v/>
      </c>
      <c r="Q124" s="79" t="str">
        <f t="shared" si="16"/>
        <v/>
      </c>
      <c r="R124" s="80">
        <f t="shared" si="17"/>
        <v>0</v>
      </c>
      <c r="S124" s="79" t="str">
        <f t="shared" si="18"/>
        <v/>
      </c>
      <c r="T124" s="105" t="str">
        <f t="shared" si="19"/>
        <v/>
      </c>
      <c r="U124" s="31" t="str">
        <f>IF(개요!EA38=0,"",ROUND(개요!EA38,3)=ROUND((T124),3))</f>
        <v/>
      </c>
      <c r="DL124" s="21"/>
    </row>
    <row r="125" spans="1:116" ht="15" hidden="1" customHeight="1" outlineLevel="1">
      <c r="A125" s="54">
        <v>32</v>
      </c>
      <c r="B125" s="101" t="str">
        <f>IF(개요!K39="","",개요!K39)</f>
        <v/>
      </c>
      <c r="C125" s="102" t="str">
        <f>IF(개요!L39="","",개요!L39)</f>
        <v/>
      </c>
      <c r="D125" s="102" t="str">
        <f>IF(개요!M39="","",개요!M39)</f>
        <v/>
      </c>
      <c r="E125" s="103">
        <f>IF(개요!R39="-","",개요!R39)</f>
        <v>0</v>
      </c>
      <c r="F125" s="103" t="str">
        <f t="shared" si="20"/>
        <v/>
      </c>
      <c r="G125" s="67" t="str">
        <f>IF(개요!Q39=0,"",개요!Q39)</f>
        <v/>
      </c>
      <c r="H125" s="67" t="str">
        <f t="shared" si="15"/>
        <v/>
      </c>
      <c r="I125" s="64" t="str">
        <f>IF(개요!O39=0,"",개요!O39-개요!P39)</f>
        <v/>
      </c>
      <c r="J125" s="64" t="str">
        <f t="shared" si="21"/>
        <v/>
      </c>
      <c r="K125" s="104" t="str">
        <f t="shared" si="22"/>
        <v/>
      </c>
      <c r="L125" s="64" t="str">
        <f t="shared" si="23"/>
        <v/>
      </c>
      <c r="M125" s="64" t="str">
        <f t="shared" si="24"/>
        <v/>
      </c>
      <c r="N125" s="64" t="str">
        <f t="shared" si="25"/>
        <v/>
      </c>
      <c r="O125" s="64" t="str">
        <f t="shared" si="26"/>
        <v/>
      </c>
      <c r="P125" s="64" t="str">
        <f t="shared" si="27"/>
        <v/>
      </c>
      <c r="Q125" s="79" t="str">
        <f t="shared" si="16"/>
        <v/>
      </c>
      <c r="R125" s="80">
        <f t="shared" si="17"/>
        <v>0</v>
      </c>
      <c r="S125" s="79" t="str">
        <f t="shared" si="18"/>
        <v/>
      </c>
      <c r="T125" s="105" t="str">
        <f t="shared" si="19"/>
        <v/>
      </c>
      <c r="U125" s="31" t="str">
        <f>IF(개요!EA39=0,"",ROUND(개요!EA39,3)=ROUND((T125),3))</f>
        <v/>
      </c>
      <c r="DL125" s="21"/>
    </row>
    <row r="126" spans="1:116" ht="15" hidden="1" customHeight="1" outlineLevel="1">
      <c r="A126" s="54">
        <v>33</v>
      </c>
      <c r="B126" s="101" t="str">
        <f>IF(개요!K40="","",개요!K40)</f>
        <v/>
      </c>
      <c r="C126" s="102" t="str">
        <f>IF(개요!L40="","",개요!L40)</f>
        <v/>
      </c>
      <c r="D126" s="102" t="str">
        <f>IF(개요!M40="","",개요!M40)</f>
        <v/>
      </c>
      <c r="E126" s="103">
        <f>IF(개요!R40="-","",개요!R40)</f>
        <v>0</v>
      </c>
      <c r="F126" s="103" t="str">
        <f t="shared" si="20"/>
        <v/>
      </c>
      <c r="G126" s="67" t="str">
        <f>IF(개요!Q40=0,"",개요!Q40)</f>
        <v/>
      </c>
      <c r="H126" s="67" t="str">
        <f t="shared" ref="H126:H142" si="28">IF(CY54=0,"",CY54)</f>
        <v/>
      </c>
      <c r="I126" s="64" t="str">
        <f>IF(개요!O40=0,"",개요!O40-개요!P40)</f>
        <v/>
      </c>
      <c r="J126" s="64" t="str">
        <f t="shared" si="21"/>
        <v/>
      </c>
      <c r="K126" s="104" t="str">
        <f t="shared" si="22"/>
        <v/>
      </c>
      <c r="L126" s="64" t="str">
        <f t="shared" si="23"/>
        <v/>
      </c>
      <c r="M126" s="64" t="str">
        <f t="shared" si="24"/>
        <v/>
      </c>
      <c r="N126" s="64" t="str">
        <f t="shared" si="25"/>
        <v/>
      </c>
      <c r="O126" s="64" t="str">
        <f t="shared" si="26"/>
        <v/>
      </c>
      <c r="P126" s="64" t="str">
        <f t="shared" si="27"/>
        <v/>
      </c>
      <c r="Q126" s="79" t="str">
        <f t="shared" ref="Q126:Q142" si="29">IFERROR(IF(B126="유한책임사원(LP)","",$I$87*$E$14*(G126/$C$76)),"")</f>
        <v/>
      </c>
      <c r="R126" s="80">
        <f t="shared" ref="R126:R142" si="30">IFERROR($J$87*E126,"")</f>
        <v>0</v>
      </c>
      <c r="S126" s="79" t="str">
        <f t="shared" ref="S126:S142" si="31">IF(I126="","",SUM(K126:R126))</f>
        <v/>
      </c>
      <c r="T126" s="105" t="str">
        <f t="shared" ref="T126:T142" si="32">IF(G126="","",S126/(G126/$E$12))</f>
        <v/>
      </c>
      <c r="U126" s="31" t="str">
        <f>IF(개요!EA40=0,"",ROUND(개요!EA40,3)=ROUND((T126),3))</f>
        <v/>
      </c>
      <c r="DL126" s="21"/>
    </row>
    <row r="127" spans="1:116" ht="15" hidden="1" customHeight="1" outlineLevel="1">
      <c r="A127" s="54">
        <v>34</v>
      </c>
      <c r="B127" s="101" t="str">
        <f>IF(개요!K41="","",개요!K41)</f>
        <v/>
      </c>
      <c r="C127" s="102" t="str">
        <f>IF(개요!L41="","",개요!L41)</f>
        <v/>
      </c>
      <c r="D127" s="102" t="str">
        <f>IF(개요!M41="","",개요!M41)</f>
        <v/>
      </c>
      <c r="E127" s="103">
        <f>IF(개요!R41="-","",개요!R41)</f>
        <v>0</v>
      </c>
      <c r="F127" s="103" t="str">
        <f t="shared" si="20"/>
        <v/>
      </c>
      <c r="G127" s="67" t="str">
        <f>IF(개요!Q41=0,"",개요!Q41)</f>
        <v/>
      </c>
      <c r="H127" s="67" t="str">
        <f t="shared" si="28"/>
        <v/>
      </c>
      <c r="I127" s="64" t="str">
        <f>IF(개요!O41=0,"",개요!O41-개요!P41)</f>
        <v/>
      </c>
      <c r="J127" s="64" t="str">
        <f t="shared" si="21"/>
        <v/>
      </c>
      <c r="K127" s="104" t="str">
        <f t="shared" si="22"/>
        <v/>
      </c>
      <c r="L127" s="64" t="str">
        <f t="shared" si="23"/>
        <v/>
      </c>
      <c r="M127" s="64" t="str">
        <f t="shared" si="24"/>
        <v/>
      </c>
      <c r="N127" s="64" t="str">
        <f t="shared" si="25"/>
        <v/>
      </c>
      <c r="O127" s="64" t="str">
        <f t="shared" si="26"/>
        <v/>
      </c>
      <c r="P127" s="64" t="str">
        <f t="shared" si="27"/>
        <v/>
      </c>
      <c r="Q127" s="79" t="str">
        <f t="shared" si="29"/>
        <v/>
      </c>
      <c r="R127" s="80">
        <f t="shared" si="30"/>
        <v>0</v>
      </c>
      <c r="S127" s="79" t="str">
        <f t="shared" si="31"/>
        <v/>
      </c>
      <c r="T127" s="105" t="str">
        <f t="shared" si="32"/>
        <v/>
      </c>
      <c r="U127" s="31" t="str">
        <f>IF(개요!EA41=0,"",ROUND(개요!EA41,3)=ROUND((T127),3))</f>
        <v/>
      </c>
      <c r="DL127" s="21"/>
    </row>
    <row r="128" spans="1:116" ht="15" hidden="1" customHeight="1" outlineLevel="1">
      <c r="A128" s="54">
        <v>35</v>
      </c>
      <c r="B128" s="101" t="str">
        <f>IF(개요!K42="","",개요!K42)</f>
        <v/>
      </c>
      <c r="C128" s="102" t="str">
        <f>IF(개요!L42="","",개요!L42)</f>
        <v/>
      </c>
      <c r="D128" s="102" t="str">
        <f>IF(개요!M42="","",개요!M42)</f>
        <v/>
      </c>
      <c r="E128" s="103">
        <f>IF(개요!R42="-","",개요!R42)</f>
        <v>0</v>
      </c>
      <c r="F128" s="103" t="str">
        <f t="shared" si="20"/>
        <v/>
      </c>
      <c r="G128" s="67" t="str">
        <f>IF(개요!Q42=0,"",개요!Q42)</f>
        <v/>
      </c>
      <c r="H128" s="67" t="str">
        <f t="shared" si="28"/>
        <v/>
      </c>
      <c r="I128" s="64" t="str">
        <f>IF(개요!O42=0,"",개요!O42-개요!P42)</f>
        <v/>
      </c>
      <c r="J128" s="64" t="str">
        <f t="shared" si="21"/>
        <v/>
      </c>
      <c r="K128" s="104" t="str">
        <f t="shared" si="22"/>
        <v/>
      </c>
      <c r="L128" s="64" t="str">
        <f t="shared" si="23"/>
        <v/>
      </c>
      <c r="M128" s="64" t="str">
        <f t="shared" si="24"/>
        <v/>
      </c>
      <c r="N128" s="64" t="str">
        <f t="shared" si="25"/>
        <v/>
      </c>
      <c r="O128" s="64" t="str">
        <f t="shared" si="26"/>
        <v/>
      </c>
      <c r="P128" s="64" t="str">
        <f t="shared" si="27"/>
        <v/>
      </c>
      <c r="Q128" s="79" t="str">
        <f t="shared" si="29"/>
        <v/>
      </c>
      <c r="R128" s="80">
        <f t="shared" si="30"/>
        <v>0</v>
      </c>
      <c r="S128" s="79" t="str">
        <f t="shared" si="31"/>
        <v/>
      </c>
      <c r="T128" s="105" t="str">
        <f t="shared" si="32"/>
        <v/>
      </c>
      <c r="U128" s="31" t="str">
        <f>IF(개요!EA42=0,"",ROUND(개요!EA42,3)=ROUND((T128),3))</f>
        <v/>
      </c>
      <c r="DL128" s="21"/>
    </row>
    <row r="129" spans="1:116" ht="15" hidden="1" customHeight="1" outlineLevel="1">
      <c r="A129" s="54">
        <v>36</v>
      </c>
      <c r="B129" s="101" t="str">
        <f>IF(개요!K43="","",개요!K43)</f>
        <v/>
      </c>
      <c r="C129" s="102" t="str">
        <f>IF(개요!L43="","",개요!L43)</f>
        <v/>
      </c>
      <c r="D129" s="102" t="str">
        <f>IF(개요!M43="","",개요!M43)</f>
        <v/>
      </c>
      <c r="E129" s="103">
        <f>IF(개요!R43="-","",개요!R43)</f>
        <v>0</v>
      </c>
      <c r="F129" s="103" t="str">
        <f t="shared" si="20"/>
        <v/>
      </c>
      <c r="G129" s="67" t="str">
        <f>IF(개요!Q43=0,"",개요!Q43)</f>
        <v/>
      </c>
      <c r="H129" s="67" t="str">
        <f t="shared" si="28"/>
        <v/>
      </c>
      <c r="I129" s="64" t="str">
        <f>IF(개요!O43=0,"",개요!O43-개요!P43)</f>
        <v/>
      </c>
      <c r="J129" s="64" t="str">
        <f t="shared" si="21"/>
        <v/>
      </c>
      <c r="K129" s="104" t="str">
        <f t="shared" si="22"/>
        <v/>
      </c>
      <c r="L129" s="64" t="str">
        <f t="shared" si="23"/>
        <v/>
      </c>
      <c r="M129" s="64" t="str">
        <f t="shared" si="24"/>
        <v/>
      </c>
      <c r="N129" s="64" t="str">
        <f t="shared" si="25"/>
        <v/>
      </c>
      <c r="O129" s="64" t="str">
        <f t="shared" si="26"/>
        <v/>
      </c>
      <c r="P129" s="64" t="str">
        <f t="shared" si="27"/>
        <v/>
      </c>
      <c r="Q129" s="79" t="str">
        <f t="shared" si="29"/>
        <v/>
      </c>
      <c r="R129" s="80">
        <f t="shared" si="30"/>
        <v>0</v>
      </c>
      <c r="S129" s="79" t="str">
        <f t="shared" si="31"/>
        <v/>
      </c>
      <c r="T129" s="105" t="str">
        <f t="shared" si="32"/>
        <v/>
      </c>
      <c r="U129" s="31" t="str">
        <f>IF(개요!EA43=0,"",ROUND(개요!EA43,3)=ROUND((T129),3))</f>
        <v/>
      </c>
      <c r="DL129" s="21"/>
    </row>
    <row r="130" spans="1:116" ht="15" hidden="1" customHeight="1" outlineLevel="1">
      <c r="A130" s="54">
        <v>37</v>
      </c>
      <c r="B130" s="101" t="str">
        <f>IF(개요!K44="","",개요!K44)</f>
        <v/>
      </c>
      <c r="C130" s="102" t="str">
        <f>IF(개요!L44="","",개요!L44)</f>
        <v/>
      </c>
      <c r="D130" s="102" t="str">
        <f>IF(개요!M44="","",개요!M44)</f>
        <v/>
      </c>
      <c r="E130" s="103">
        <f>IF(개요!R44="-","",개요!R44)</f>
        <v>0</v>
      </c>
      <c r="F130" s="103" t="str">
        <f t="shared" si="20"/>
        <v/>
      </c>
      <c r="G130" s="67" t="str">
        <f>IF(개요!Q44=0,"",개요!Q44)</f>
        <v/>
      </c>
      <c r="H130" s="67" t="str">
        <f t="shared" si="28"/>
        <v/>
      </c>
      <c r="I130" s="64" t="str">
        <f>IF(개요!O44=0,"",개요!O44-개요!P44)</f>
        <v/>
      </c>
      <c r="J130" s="64" t="str">
        <f t="shared" si="21"/>
        <v/>
      </c>
      <c r="K130" s="104" t="str">
        <f t="shared" si="22"/>
        <v/>
      </c>
      <c r="L130" s="64" t="str">
        <f t="shared" si="23"/>
        <v/>
      </c>
      <c r="M130" s="64" t="str">
        <f t="shared" si="24"/>
        <v/>
      </c>
      <c r="N130" s="64" t="str">
        <f t="shared" si="25"/>
        <v/>
      </c>
      <c r="O130" s="64" t="str">
        <f t="shared" si="26"/>
        <v/>
      </c>
      <c r="P130" s="64" t="str">
        <f t="shared" si="27"/>
        <v/>
      </c>
      <c r="Q130" s="79" t="str">
        <f t="shared" si="29"/>
        <v/>
      </c>
      <c r="R130" s="80">
        <f t="shared" si="30"/>
        <v>0</v>
      </c>
      <c r="S130" s="79" t="str">
        <f t="shared" si="31"/>
        <v/>
      </c>
      <c r="T130" s="105" t="str">
        <f t="shared" si="32"/>
        <v/>
      </c>
      <c r="U130" s="31" t="str">
        <f>IF(개요!EA44=0,"",ROUND(개요!EA44,3)=ROUND((T130),3))</f>
        <v/>
      </c>
      <c r="DL130" s="21"/>
    </row>
    <row r="131" spans="1:116" ht="15" hidden="1" customHeight="1" outlineLevel="1">
      <c r="A131" s="54">
        <v>38</v>
      </c>
      <c r="B131" s="101" t="str">
        <f>IF(개요!K45="","",개요!K45)</f>
        <v/>
      </c>
      <c r="C131" s="102" t="str">
        <f>IF(개요!L45="","",개요!L45)</f>
        <v/>
      </c>
      <c r="D131" s="102" t="str">
        <f>IF(개요!M45="","",개요!M45)</f>
        <v/>
      </c>
      <c r="E131" s="103">
        <f>IF(개요!R45="-","",개요!R45)</f>
        <v>0</v>
      </c>
      <c r="F131" s="103" t="str">
        <f t="shared" si="20"/>
        <v/>
      </c>
      <c r="G131" s="67" t="str">
        <f>IF(개요!Q45=0,"",개요!Q45)</f>
        <v/>
      </c>
      <c r="H131" s="67" t="str">
        <f t="shared" si="28"/>
        <v/>
      </c>
      <c r="I131" s="64" t="str">
        <f>IF(개요!O45=0,"",개요!O45-개요!P45)</f>
        <v/>
      </c>
      <c r="J131" s="64" t="str">
        <f t="shared" si="21"/>
        <v/>
      </c>
      <c r="K131" s="104" t="str">
        <f t="shared" si="22"/>
        <v/>
      </c>
      <c r="L131" s="64" t="str">
        <f t="shared" si="23"/>
        <v/>
      </c>
      <c r="M131" s="64" t="str">
        <f t="shared" si="24"/>
        <v/>
      </c>
      <c r="N131" s="64" t="str">
        <f t="shared" si="25"/>
        <v/>
      </c>
      <c r="O131" s="64" t="str">
        <f t="shared" si="26"/>
        <v/>
      </c>
      <c r="P131" s="64" t="str">
        <f t="shared" si="27"/>
        <v/>
      </c>
      <c r="Q131" s="79" t="str">
        <f t="shared" si="29"/>
        <v/>
      </c>
      <c r="R131" s="80">
        <f t="shared" si="30"/>
        <v>0</v>
      </c>
      <c r="S131" s="79" t="str">
        <f t="shared" si="31"/>
        <v/>
      </c>
      <c r="T131" s="105" t="str">
        <f t="shared" si="32"/>
        <v/>
      </c>
      <c r="U131" s="31" t="str">
        <f>IF(개요!EA45=0,"",ROUND(개요!EA45,3)=ROUND((T131),3))</f>
        <v/>
      </c>
      <c r="DL131" s="21"/>
    </row>
    <row r="132" spans="1:116" ht="15" hidden="1" customHeight="1" outlineLevel="1">
      <c r="A132" s="54">
        <v>39</v>
      </c>
      <c r="B132" s="101" t="str">
        <f>IF(개요!K46="","",개요!K46)</f>
        <v/>
      </c>
      <c r="C132" s="102" t="str">
        <f>IF(개요!L46="","",개요!L46)</f>
        <v/>
      </c>
      <c r="D132" s="102" t="str">
        <f>IF(개요!M46="","",개요!M46)</f>
        <v/>
      </c>
      <c r="E132" s="103">
        <f>IF(개요!R46="-","",개요!R46)</f>
        <v>0</v>
      </c>
      <c r="F132" s="103" t="str">
        <f t="shared" si="20"/>
        <v/>
      </c>
      <c r="G132" s="67" t="str">
        <f>IF(개요!Q46=0,"",개요!Q46)</f>
        <v/>
      </c>
      <c r="H132" s="67" t="str">
        <f t="shared" si="28"/>
        <v/>
      </c>
      <c r="I132" s="64" t="str">
        <f>IF(개요!O46=0,"",개요!O46-개요!P46)</f>
        <v/>
      </c>
      <c r="J132" s="64" t="str">
        <f t="shared" si="21"/>
        <v/>
      </c>
      <c r="K132" s="104" t="str">
        <f t="shared" si="22"/>
        <v/>
      </c>
      <c r="L132" s="64" t="str">
        <f t="shared" si="23"/>
        <v/>
      </c>
      <c r="M132" s="64" t="str">
        <f t="shared" si="24"/>
        <v/>
      </c>
      <c r="N132" s="64" t="str">
        <f t="shared" si="25"/>
        <v/>
      </c>
      <c r="O132" s="64" t="str">
        <f t="shared" si="26"/>
        <v/>
      </c>
      <c r="P132" s="64" t="str">
        <f t="shared" si="27"/>
        <v/>
      </c>
      <c r="Q132" s="79" t="str">
        <f t="shared" si="29"/>
        <v/>
      </c>
      <c r="R132" s="80">
        <f t="shared" si="30"/>
        <v>0</v>
      </c>
      <c r="S132" s="79" t="str">
        <f t="shared" si="31"/>
        <v/>
      </c>
      <c r="T132" s="105" t="str">
        <f t="shared" si="32"/>
        <v/>
      </c>
      <c r="U132" s="31" t="str">
        <f>IF(개요!EA46=0,"",ROUND(개요!EA46,3)=ROUND((T132),3))</f>
        <v/>
      </c>
      <c r="DL132" s="21"/>
    </row>
    <row r="133" spans="1:116" ht="15" hidden="1" customHeight="1" outlineLevel="1">
      <c r="A133" s="54">
        <v>40</v>
      </c>
      <c r="B133" s="101" t="str">
        <f>IF(개요!K47="","",개요!K47)</f>
        <v/>
      </c>
      <c r="C133" s="102" t="str">
        <f>IF(개요!L47="","",개요!L47)</f>
        <v/>
      </c>
      <c r="D133" s="102" t="str">
        <f>IF(개요!M47="","",개요!M47)</f>
        <v/>
      </c>
      <c r="E133" s="103">
        <f>IF(개요!R47="-","",개요!R47)</f>
        <v>0</v>
      </c>
      <c r="F133" s="103" t="str">
        <f t="shared" si="20"/>
        <v/>
      </c>
      <c r="G133" s="67" t="str">
        <f>IF(개요!Q47=0,"",개요!Q47)</f>
        <v/>
      </c>
      <c r="H133" s="67" t="str">
        <f t="shared" si="28"/>
        <v/>
      </c>
      <c r="I133" s="64" t="str">
        <f>IF(개요!O47=0,"",개요!O47-개요!P47)</f>
        <v/>
      </c>
      <c r="J133" s="64" t="str">
        <f t="shared" si="21"/>
        <v/>
      </c>
      <c r="K133" s="104" t="str">
        <f t="shared" si="22"/>
        <v/>
      </c>
      <c r="L133" s="64" t="str">
        <f t="shared" si="23"/>
        <v/>
      </c>
      <c r="M133" s="64" t="str">
        <f t="shared" si="24"/>
        <v/>
      </c>
      <c r="N133" s="64" t="str">
        <f t="shared" si="25"/>
        <v/>
      </c>
      <c r="O133" s="64" t="str">
        <f t="shared" si="26"/>
        <v/>
      </c>
      <c r="P133" s="64" t="str">
        <f t="shared" si="27"/>
        <v/>
      </c>
      <c r="Q133" s="79" t="str">
        <f t="shared" si="29"/>
        <v/>
      </c>
      <c r="R133" s="80">
        <f t="shared" si="30"/>
        <v>0</v>
      </c>
      <c r="S133" s="79" t="str">
        <f t="shared" si="31"/>
        <v/>
      </c>
      <c r="T133" s="105" t="str">
        <f t="shared" si="32"/>
        <v/>
      </c>
      <c r="U133" s="31" t="str">
        <f>IF(개요!EA47=0,"",ROUND(개요!EA47,3)=ROUND((T133),3))</f>
        <v/>
      </c>
      <c r="DL133" s="21"/>
    </row>
    <row r="134" spans="1:116" ht="15" hidden="1" customHeight="1" outlineLevel="1">
      <c r="A134" s="54">
        <v>41</v>
      </c>
      <c r="B134" s="101" t="str">
        <f>IF(개요!K48="","",개요!K48)</f>
        <v/>
      </c>
      <c r="C134" s="102" t="str">
        <f>IF(개요!L48="","",개요!L48)</f>
        <v/>
      </c>
      <c r="D134" s="102" t="str">
        <f>IF(개요!M48="","",개요!M48)</f>
        <v/>
      </c>
      <c r="E134" s="103">
        <f>IF(개요!R48="-","",개요!R48)</f>
        <v>0</v>
      </c>
      <c r="F134" s="103" t="str">
        <f t="shared" si="20"/>
        <v/>
      </c>
      <c r="G134" s="67" t="str">
        <f>IF(개요!Q48=0,"",개요!Q48)</f>
        <v/>
      </c>
      <c r="H134" s="67" t="str">
        <f t="shared" si="28"/>
        <v/>
      </c>
      <c r="I134" s="64" t="str">
        <f>IF(개요!O48=0,"",개요!O48-개요!P48)</f>
        <v/>
      </c>
      <c r="J134" s="64" t="str">
        <f t="shared" si="21"/>
        <v/>
      </c>
      <c r="K134" s="104" t="str">
        <f t="shared" si="22"/>
        <v/>
      </c>
      <c r="L134" s="64" t="str">
        <f t="shared" si="23"/>
        <v/>
      </c>
      <c r="M134" s="64" t="str">
        <f t="shared" si="24"/>
        <v/>
      </c>
      <c r="N134" s="64" t="str">
        <f t="shared" si="25"/>
        <v/>
      </c>
      <c r="O134" s="64" t="str">
        <f t="shared" si="26"/>
        <v/>
      </c>
      <c r="P134" s="64" t="str">
        <f t="shared" si="27"/>
        <v/>
      </c>
      <c r="Q134" s="79" t="str">
        <f t="shared" si="29"/>
        <v/>
      </c>
      <c r="R134" s="80">
        <f t="shared" si="30"/>
        <v>0</v>
      </c>
      <c r="S134" s="79" t="str">
        <f t="shared" si="31"/>
        <v/>
      </c>
      <c r="T134" s="105" t="str">
        <f t="shared" si="32"/>
        <v/>
      </c>
      <c r="U134" s="31" t="str">
        <f>IF(개요!EA48=0,"",ROUND(개요!EA48,3)=ROUND((T134),3))</f>
        <v/>
      </c>
      <c r="DL134" s="21"/>
    </row>
    <row r="135" spans="1:116" ht="15" hidden="1" customHeight="1" outlineLevel="1">
      <c r="A135" s="54">
        <v>42</v>
      </c>
      <c r="B135" s="101" t="str">
        <f>IF(개요!K49="","",개요!K49)</f>
        <v/>
      </c>
      <c r="C135" s="102" t="str">
        <f>IF(개요!L49="","",개요!L49)</f>
        <v/>
      </c>
      <c r="D135" s="102" t="str">
        <f>IF(개요!M49="","",개요!M49)</f>
        <v/>
      </c>
      <c r="E135" s="103">
        <f>IF(개요!R49="-","",개요!R49)</f>
        <v>0</v>
      </c>
      <c r="F135" s="103" t="str">
        <f t="shared" si="20"/>
        <v/>
      </c>
      <c r="G135" s="67" t="str">
        <f>IF(개요!Q49=0,"",개요!Q49)</f>
        <v/>
      </c>
      <c r="H135" s="67" t="str">
        <f t="shared" si="28"/>
        <v/>
      </c>
      <c r="I135" s="64" t="str">
        <f>IF(개요!O49=0,"",개요!O49-개요!P49)</f>
        <v/>
      </c>
      <c r="J135" s="64" t="str">
        <f t="shared" si="21"/>
        <v/>
      </c>
      <c r="K135" s="104" t="str">
        <f t="shared" si="22"/>
        <v/>
      </c>
      <c r="L135" s="64" t="str">
        <f t="shared" si="23"/>
        <v/>
      </c>
      <c r="M135" s="64" t="str">
        <f t="shared" si="24"/>
        <v/>
      </c>
      <c r="N135" s="64" t="str">
        <f t="shared" si="25"/>
        <v/>
      </c>
      <c r="O135" s="64" t="str">
        <f t="shared" si="26"/>
        <v/>
      </c>
      <c r="P135" s="64" t="str">
        <f t="shared" si="27"/>
        <v/>
      </c>
      <c r="Q135" s="79" t="str">
        <f t="shared" si="29"/>
        <v/>
      </c>
      <c r="R135" s="80">
        <f t="shared" si="30"/>
        <v>0</v>
      </c>
      <c r="S135" s="79" t="str">
        <f t="shared" si="31"/>
        <v/>
      </c>
      <c r="T135" s="105" t="str">
        <f t="shared" si="32"/>
        <v/>
      </c>
      <c r="U135" s="31" t="str">
        <f>IF(개요!EA49=0,"",ROUND(개요!EA49,3)=ROUND((T135),3))</f>
        <v/>
      </c>
      <c r="DL135" s="21"/>
    </row>
    <row r="136" spans="1:116" ht="15" hidden="1" customHeight="1" outlineLevel="1">
      <c r="A136" s="54">
        <v>43</v>
      </c>
      <c r="B136" s="101" t="str">
        <f>IF(개요!K50="","",개요!K50)</f>
        <v/>
      </c>
      <c r="C136" s="102" t="str">
        <f>IF(개요!L50="","",개요!L50)</f>
        <v/>
      </c>
      <c r="D136" s="102" t="str">
        <f>IF(개요!M50="","",개요!M50)</f>
        <v/>
      </c>
      <c r="E136" s="103">
        <f>IF(개요!R50="-","",개요!R50)</f>
        <v>0</v>
      </c>
      <c r="F136" s="103" t="str">
        <f t="shared" si="20"/>
        <v/>
      </c>
      <c r="G136" s="67" t="str">
        <f>IF(개요!Q50=0,"",개요!Q50)</f>
        <v/>
      </c>
      <c r="H136" s="67" t="str">
        <f t="shared" si="28"/>
        <v/>
      </c>
      <c r="I136" s="64" t="str">
        <f>IF(개요!O50=0,"",개요!O50-개요!P50)</f>
        <v/>
      </c>
      <c r="J136" s="64" t="str">
        <f t="shared" si="21"/>
        <v/>
      </c>
      <c r="K136" s="104" t="str">
        <f t="shared" si="22"/>
        <v/>
      </c>
      <c r="L136" s="64" t="str">
        <f t="shared" si="23"/>
        <v/>
      </c>
      <c r="M136" s="64" t="str">
        <f t="shared" si="24"/>
        <v/>
      </c>
      <c r="N136" s="64" t="str">
        <f t="shared" si="25"/>
        <v/>
      </c>
      <c r="O136" s="64" t="str">
        <f t="shared" si="26"/>
        <v/>
      </c>
      <c r="P136" s="64" t="str">
        <f t="shared" si="27"/>
        <v/>
      </c>
      <c r="Q136" s="79" t="str">
        <f t="shared" si="29"/>
        <v/>
      </c>
      <c r="R136" s="80">
        <f t="shared" si="30"/>
        <v>0</v>
      </c>
      <c r="S136" s="79" t="str">
        <f t="shared" si="31"/>
        <v/>
      </c>
      <c r="T136" s="105" t="str">
        <f t="shared" si="32"/>
        <v/>
      </c>
      <c r="U136" s="31" t="str">
        <f>IF(개요!EA50=0,"",ROUND(개요!EA50,3)=ROUND((T136),3))</f>
        <v/>
      </c>
      <c r="DL136" s="21"/>
    </row>
    <row r="137" spans="1:116" ht="15" hidden="1" customHeight="1" outlineLevel="1">
      <c r="A137" s="54">
        <v>44</v>
      </c>
      <c r="B137" s="101" t="str">
        <f>IF(개요!K51="","",개요!K51)</f>
        <v/>
      </c>
      <c r="C137" s="102" t="str">
        <f>IF(개요!L51="","",개요!L51)</f>
        <v/>
      </c>
      <c r="D137" s="102" t="str">
        <f>IF(개요!M51="","",개요!M51)</f>
        <v/>
      </c>
      <c r="E137" s="103">
        <f>IF(개요!R51="-","",개요!R51)</f>
        <v>0</v>
      </c>
      <c r="F137" s="103" t="str">
        <f t="shared" si="20"/>
        <v/>
      </c>
      <c r="G137" s="67" t="str">
        <f>IF(개요!Q51=0,"",개요!Q51)</f>
        <v/>
      </c>
      <c r="H137" s="67" t="str">
        <f t="shared" si="28"/>
        <v/>
      </c>
      <c r="I137" s="64" t="str">
        <f>IF(개요!O51=0,"",개요!O51-개요!P51)</f>
        <v/>
      </c>
      <c r="J137" s="64" t="str">
        <f t="shared" si="21"/>
        <v/>
      </c>
      <c r="K137" s="104" t="str">
        <f t="shared" si="22"/>
        <v/>
      </c>
      <c r="L137" s="64" t="str">
        <f t="shared" si="23"/>
        <v/>
      </c>
      <c r="M137" s="64" t="str">
        <f t="shared" si="24"/>
        <v/>
      </c>
      <c r="N137" s="64" t="str">
        <f t="shared" si="25"/>
        <v/>
      </c>
      <c r="O137" s="64" t="str">
        <f t="shared" si="26"/>
        <v/>
      </c>
      <c r="P137" s="64" t="str">
        <f t="shared" si="27"/>
        <v/>
      </c>
      <c r="Q137" s="79" t="str">
        <f t="shared" si="29"/>
        <v/>
      </c>
      <c r="R137" s="80">
        <f t="shared" si="30"/>
        <v>0</v>
      </c>
      <c r="S137" s="79" t="str">
        <f t="shared" si="31"/>
        <v/>
      </c>
      <c r="T137" s="105" t="str">
        <f t="shared" si="32"/>
        <v/>
      </c>
      <c r="U137" s="31" t="str">
        <f>IF(개요!EA51=0,"",ROUND(개요!EA51,3)=ROUND((T137),3))</f>
        <v/>
      </c>
      <c r="DL137" s="21"/>
    </row>
    <row r="138" spans="1:116" ht="15" hidden="1" customHeight="1" outlineLevel="1">
      <c r="A138" s="54">
        <v>45</v>
      </c>
      <c r="B138" s="101" t="str">
        <f>IF(개요!K52="","",개요!K52)</f>
        <v/>
      </c>
      <c r="C138" s="102" t="str">
        <f>IF(개요!L52="","",개요!L52)</f>
        <v/>
      </c>
      <c r="D138" s="102" t="str">
        <f>IF(개요!M52="","",개요!M52)</f>
        <v/>
      </c>
      <c r="E138" s="103">
        <f>IF(개요!R52="-","",개요!R52)</f>
        <v>0</v>
      </c>
      <c r="F138" s="103" t="str">
        <f t="shared" si="20"/>
        <v/>
      </c>
      <c r="G138" s="67" t="str">
        <f>IF(개요!Q52=0,"",개요!Q52)</f>
        <v/>
      </c>
      <c r="H138" s="67" t="str">
        <f t="shared" si="28"/>
        <v/>
      </c>
      <c r="I138" s="64" t="str">
        <f>IF(개요!O52=0,"",개요!O52-개요!P52)</f>
        <v/>
      </c>
      <c r="J138" s="64" t="str">
        <f t="shared" si="21"/>
        <v/>
      </c>
      <c r="K138" s="104" t="str">
        <f t="shared" si="22"/>
        <v/>
      </c>
      <c r="L138" s="64" t="str">
        <f t="shared" si="23"/>
        <v/>
      </c>
      <c r="M138" s="64" t="str">
        <f t="shared" si="24"/>
        <v/>
      </c>
      <c r="N138" s="64" t="str">
        <f t="shared" si="25"/>
        <v/>
      </c>
      <c r="O138" s="64" t="str">
        <f t="shared" si="26"/>
        <v/>
      </c>
      <c r="P138" s="64" t="str">
        <f t="shared" si="27"/>
        <v/>
      </c>
      <c r="Q138" s="79" t="str">
        <f t="shared" si="29"/>
        <v/>
      </c>
      <c r="R138" s="80">
        <f t="shared" si="30"/>
        <v>0</v>
      </c>
      <c r="S138" s="79" t="str">
        <f t="shared" si="31"/>
        <v/>
      </c>
      <c r="T138" s="105" t="str">
        <f t="shared" si="32"/>
        <v/>
      </c>
      <c r="U138" s="31" t="str">
        <f>IF(개요!EA52=0,"",ROUND(개요!EA52,3)=ROUND((T138),3))</f>
        <v/>
      </c>
      <c r="DL138" s="21"/>
    </row>
    <row r="139" spans="1:116" ht="15" hidden="1" customHeight="1" outlineLevel="1">
      <c r="A139" s="54">
        <v>46</v>
      </c>
      <c r="B139" s="101" t="str">
        <f>IF(개요!K53="","",개요!K53)</f>
        <v/>
      </c>
      <c r="C139" s="102" t="str">
        <f>IF(개요!L53="","",개요!L53)</f>
        <v/>
      </c>
      <c r="D139" s="102" t="str">
        <f>IF(개요!M53="","",개요!M53)</f>
        <v/>
      </c>
      <c r="E139" s="103">
        <f>IF(개요!R53="-","",개요!R53)</f>
        <v>0</v>
      </c>
      <c r="F139" s="103" t="str">
        <f t="shared" si="20"/>
        <v/>
      </c>
      <c r="G139" s="67" t="str">
        <f>IF(개요!Q53=0,"",개요!Q53)</f>
        <v/>
      </c>
      <c r="H139" s="67" t="str">
        <f t="shared" si="28"/>
        <v/>
      </c>
      <c r="I139" s="64" t="str">
        <f>IF(개요!O53=0,"",개요!O53-개요!P53)</f>
        <v/>
      </c>
      <c r="J139" s="64" t="str">
        <f t="shared" si="21"/>
        <v/>
      </c>
      <c r="K139" s="104" t="str">
        <f t="shared" si="22"/>
        <v/>
      </c>
      <c r="L139" s="64" t="str">
        <f t="shared" si="23"/>
        <v/>
      </c>
      <c r="M139" s="64" t="str">
        <f t="shared" si="24"/>
        <v/>
      </c>
      <c r="N139" s="64" t="str">
        <f t="shared" si="25"/>
        <v/>
      </c>
      <c r="O139" s="64" t="str">
        <f t="shared" si="26"/>
        <v/>
      </c>
      <c r="P139" s="64" t="str">
        <f t="shared" si="27"/>
        <v/>
      </c>
      <c r="Q139" s="79" t="str">
        <f t="shared" si="29"/>
        <v/>
      </c>
      <c r="R139" s="80">
        <f t="shared" si="30"/>
        <v>0</v>
      </c>
      <c r="S139" s="79" t="str">
        <f t="shared" si="31"/>
        <v/>
      </c>
      <c r="T139" s="105" t="str">
        <f t="shared" si="32"/>
        <v/>
      </c>
      <c r="U139" s="31" t="str">
        <f>IF(개요!EA53=0,"",ROUND(개요!EA53,3)=ROUND((T139),3))</f>
        <v/>
      </c>
      <c r="DL139" s="21"/>
    </row>
    <row r="140" spans="1:116" ht="15" hidden="1" customHeight="1" outlineLevel="1">
      <c r="A140" s="54">
        <v>47</v>
      </c>
      <c r="B140" s="101" t="str">
        <f>IF(개요!K54="","",개요!K54)</f>
        <v/>
      </c>
      <c r="C140" s="102" t="str">
        <f>IF(개요!L54="","",개요!L54)</f>
        <v/>
      </c>
      <c r="D140" s="102" t="str">
        <f>IF(개요!M54="","",개요!M54)</f>
        <v/>
      </c>
      <c r="E140" s="103">
        <f>IF(개요!R54="-","",개요!R54)</f>
        <v>0</v>
      </c>
      <c r="F140" s="103" t="str">
        <f t="shared" si="20"/>
        <v/>
      </c>
      <c r="G140" s="67" t="str">
        <f>IF(개요!Q54=0,"",개요!Q54)</f>
        <v/>
      </c>
      <c r="H140" s="67" t="str">
        <f t="shared" si="28"/>
        <v/>
      </c>
      <c r="I140" s="64" t="str">
        <f>IF(개요!O54=0,"",개요!O54-개요!P54)</f>
        <v/>
      </c>
      <c r="J140" s="64" t="str">
        <f t="shared" si="21"/>
        <v/>
      </c>
      <c r="K140" s="104" t="str">
        <f t="shared" si="22"/>
        <v/>
      </c>
      <c r="L140" s="64" t="str">
        <f t="shared" si="23"/>
        <v/>
      </c>
      <c r="M140" s="64" t="str">
        <f t="shared" si="24"/>
        <v/>
      </c>
      <c r="N140" s="64" t="str">
        <f t="shared" si="25"/>
        <v/>
      </c>
      <c r="O140" s="64" t="str">
        <f t="shared" si="26"/>
        <v/>
      </c>
      <c r="P140" s="64" t="str">
        <f t="shared" si="27"/>
        <v/>
      </c>
      <c r="Q140" s="79" t="str">
        <f t="shared" si="29"/>
        <v/>
      </c>
      <c r="R140" s="80">
        <f t="shared" si="30"/>
        <v>0</v>
      </c>
      <c r="S140" s="79" t="str">
        <f t="shared" si="31"/>
        <v/>
      </c>
      <c r="T140" s="105" t="str">
        <f t="shared" si="32"/>
        <v/>
      </c>
      <c r="U140" s="31" t="str">
        <f>IF(개요!EA54=0,"",ROUND(개요!EA54,3)=ROUND((T140),3))</f>
        <v/>
      </c>
      <c r="DL140" s="21"/>
    </row>
    <row r="141" spans="1:116" ht="15" hidden="1" customHeight="1" outlineLevel="1">
      <c r="A141" s="54">
        <v>48</v>
      </c>
      <c r="B141" s="101" t="str">
        <f>IF(개요!K55="","",개요!K55)</f>
        <v/>
      </c>
      <c r="C141" s="102" t="str">
        <f>IF(개요!L55="","",개요!L55)</f>
        <v/>
      </c>
      <c r="D141" s="102" t="str">
        <f>IF(개요!M55="","",개요!M55)</f>
        <v/>
      </c>
      <c r="E141" s="103">
        <f>IF(개요!R55="-","",개요!R55)</f>
        <v>0</v>
      </c>
      <c r="F141" s="103" t="str">
        <f t="shared" si="20"/>
        <v/>
      </c>
      <c r="G141" s="67" t="str">
        <f>IF(개요!Q55=0,"",개요!Q55)</f>
        <v/>
      </c>
      <c r="H141" s="67" t="str">
        <f t="shared" si="28"/>
        <v/>
      </c>
      <c r="I141" s="64" t="str">
        <f>IF(개요!O55=0,"",개요!O55-개요!P55)</f>
        <v/>
      </c>
      <c r="J141" s="64" t="str">
        <f t="shared" si="21"/>
        <v/>
      </c>
      <c r="K141" s="104" t="str">
        <f t="shared" si="22"/>
        <v/>
      </c>
      <c r="L141" s="64" t="str">
        <f t="shared" si="23"/>
        <v/>
      </c>
      <c r="M141" s="64" t="str">
        <f t="shared" si="24"/>
        <v/>
      </c>
      <c r="N141" s="64" t="str">
        <f t="shared" si="25"/>
        <v/>
      </c>
      <c r="O141" s="64" t="str">
        <f t="shared" si="26"/>
        <v/>
      </c>
      <c r="P141" s="64" t="str">
        <f t="shared" si="27"/>
        <v/>
      </c>
      <c r="Q141" s="79" t="str">
        <f t="shared" si="29"/>
        <v/>
      </c>
      <c r="R141" s="80">
        <f t="shared" si="30"/>
        <v>0</v>
      </c>
      <c r="S141" s="79" t="str">
        <f t="shared" si="31"/>
        <v/>
      </c>
      <c r="T141" s="105" t="str">
        <f t="shared" si="32"/>
        <v/>
      </c>
      <c r="U141" s="31" t="str">
        <f>IF(개요!EA55=0,"",ROUND(개요!EA55,3)=ROUND((T141),3))</f>
        <v/>
      </c>
      <c r="DL141" s="21"/>
    </row>
    <row r="142" spans="1:116" ht="15" hidden="1" customHeight="1" outlineLevel="1" thickBot="1">
      <c r="A142" s="54">
        <v>49</v>
      </c>
      <c r="B142" s="101" t="str">
        <f>IF(개요!K56="","",개요!K56)</f>
        <v/>
      </c>
      <c r="C142" s="102" t="str">
        <f>IF(개요!L56="","",개요!L56)</f>
        <v/>
      </c>
      <c r="D142" s="102" t="str">
        <f>IF(개요!M56="","",개요!M56)</f>
        <v/>
      </c>
      <c r="E142" s="103">
        <f>IF(개요!R56="-","",개요!R56)</f>
        <v>0</v>
      </c>
      <c r="F142" s="103" t="str">
        <f t="shared" si="20"/>
        <v/>
      </c>
      <c r="G142" s="67" t="str">
        <f>IF(개요!Q56=0,"",개요!Q56)</f>
        <v/>
      </c>
      <c r="H142" s="67" t="str">
        <f t="shared" si="28"/>
        <v/>
      </c>
      <c r="I142" s="64" t="str">
        <f>IF(개요!O56=0,"",개요!O56-개요!P56)</f>
        <v/>
      </c>
      <c r="J142" s="64" t="str">
        <f t="shared" si="21"/>
        <v/>
      </c>
      <c r="K142" s="104" t="str">
        <f t="shared" si="22"/>
        <v/>
      </c>
      <c r="L142" s="64" t="str">
        <f t="shared" si="23"/>
        <v/>
      </c>
      <c r="M142" s="64" t="str">
        <f t="shared" si="24"/>
        <v/>
      </c>
      <c r="N142" s="64" t="str">
        <f t="shared" si="25"/>
        <v/>
      </c>
      <c r="O142" s="64" t="str">
        <f t="shared" si="26"/>
        <v/>
      </c>
      <c r="P142" s="64" t="str">
        <f t="shared" si="27"/>
        <v/>
      </c>
      <c r="Q142" s="79" t="str">
        <f t="shared" si="29"/>
        <v/>
      </c>
      <c r="R142" s="80">
        <f t="shared" si="30"/>
        <v>0</v>
      </c>
      <c r="S142" s="79" t="str">
        <f t="shared" si="31"/>
        <v/>
      </c>
      <c r="T142" s="105" t="str">
        <f t="shared" si="32"/>
        <v/>
      </c>
      <c r="U142" s="31" t="str">
        <f>IF(개요!EA56=0,"",ROUND(개요!EA56,3)=ROUND((T142),3))</f>
        <v/>
      </c>
      <c r="DL142" s="21"/>
    </row>
    <row r="143" spans="1:116" ht="15" customHeight="1" collapsed="1" thickBot="1">
      <c r="B143" s="827" t="s">
        <v>3551</v>
      </c>
      <c r="C143" s="828"/>
      <c r="D143" s="828"/>
      <c r="E143" s="106">
        <f t="shared" ref="E143:J143" si="33">SUM(E94:E142)</f>
        <v>1</v>
      </c>
      <c r="F143" s="106">
        <f>SUM(F94:F142)</f>
        <v>2</v>
      </c>
      <c r="G143" s="107">
        <f t="shared" si="33"/>
        <v>10500000000</v>
      </c>
      <c r="H143" s="107">
        <f t="shared" si="33"/>
        <v>12836750306.345901</v>
      </c>
      <c r="I143" s="107">
        <f t="shared" si="33"/>
        <v>10500000000</v>
      </c>
      <c r="J143" s="107">
        <f t="shared" si="33"/>
        <v>2336750306.3459015</v>
      </c>
      <c r="K143" s="108">
        <f t="shared" ref="K143:S143" si="34">SUM(K94:K142)</f>
        <v>10400000000</v>
      </c>
      <c r="L143" s="109">
        <f t="shared" si="34"/>
        <v>2314495541.5235596</v>
      </c>
      <c r="M143" s="109">
        <f t="shared" si="34"/>
        <v>0</v>
      </c>
      <c r="N143" s="109">
        <f t="shared" si="34"/>
        <v>0</v>
      </c>
      <c r="O143" s="109">
        <f t="shared" si="34"/>
        <v>100000000</v>
      </c>
      <c r="P143" s="109">
        <f t="shared" si="34"/>
        <v>22254764.822341919</v>
      </c>
      <c r="Q143" s="109">
        <f t="shared" si="34"/>
        <v>2606987185.5308199</v>
      </c>
      <c r="R143" s="110">
        <f t="shared" si="34"/>
        <v>10427948742.123281</v>
      </c>
      <c r="S143" s="109">
        <f t="shared" si="34"/>
        <v>25871686233.999992</v>
      </c>
      <c r="T143" s="111" t="b">
        <f>INT(SUM(개요!EA8:EA56))=INT(SUM(검증!T94:T142))</f>
        <v>1</v>
      </c>
      <c r="U143" s="112"/>
      <c r="DL143" s="21"/>
    </row>
    <row r="144" spans="1:116" ht="15" customHeight="1">
      <c r="DB144" s="45"/>
      <c r="DD144" s="45"/>
    </row>
    <row r="145" spans="1:116" ht="15" customHeight="1">
      <c r="A145" s="128" t="s">
        <v>3598</v>
      </c>
      <c r="B145" s="128" t="s">
        <v>3599</v>
      </c>
      <c r="C145" s="128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28"/>
      <c r="AH145" s="128"/>
      <c r="AI145" s="128"/>
      <c r="AJ145" s="128"/>
      <c r="AK145" s="128"/>
      <c r="AL145" s="128"/>
      <c r="AM145" s="128"/>
      <c r="AN145" s="128"/>
      <c r="AO145" s="128"/>
      <c r="AP145" s="128"/>
      <c r="AQ145" s="128"/>
      <c r="AR145" s="128"/>
      <c r="AS145" s="128"/>
      <c r="AT145" s="128"/>
      <c r="AU145" s="128"/>
      <c r="AV145" s="128"/>
      <c r="AW145" s="128"/>
      <c r="AX145" s="128"/>
      <c r="AY145" s="128"/>
      <c r="AZ145" s="128"/>
      <c r="BA145" s="128"/>
      <c r="BB145" s="128"/>
      <c r="BC145" s="128"/>
      <c r="BD145" s="128"/>
      <c r="BE145" s="128"/>
      <c r="BF145" s="128"/>
      <c r="BG145" s="128"/>
      <c r="BH145" s="128"/>
      <c r="BI145" s="128"/>
      <c r="BJ145" s="128"/>
      <c r="BK145" s="128"/>
      <c r="BL145" s="128"/>
      <c r="BM145" s="128"/>
      <c r="BN145" s="128"/>
      <c r="BO145" s="128"/>
      <c r="BP145" s="128"/>
      <c r="BQ145" s="128"/>
      <c r="BR145" s="128"/>
      <c r="BS145" s="128"/>
      <c r="BT145" s="128"/>
      <c r="BU145" s="128"/>
      <c r="BV145" s="128"/>
      <c r="BW145" s="128"/>
      <c r="BX145" s="128"/>
      <c r="BY145" s="128"/>
      <c r="BZ145" s="128"/>
      <c r="CA145" s="128"/>
      <c r="CB145" s="128"/>
      <c r="CC145" s="128"/>
      <c r="CD145" s="128"/>
      <c r="CE145" s="128"/>
      <c r="CF145" s="128"/>
      <c r="CG145" s="128"/>
      <c r="CH145" s="128"/>
      <c r="CI145" s="128"/>
      <c r="CJ145" s="128"/>
      <c r="CK145" s="128"/>
      <c r="CL145" s="128"/>
      <c r="CM145" s="128"/>
      <c r="CN145" s="128"/>
      <c r="CO145" s="128"/>
      <c r="CP145" s="128"/>
      <c r="CQ145" s="128"/>
      <c r="CR145" s="128"/>
      <c r="CS145" s="128"/>
      <c r="CT145" s="128"/>
      <c r="CU145" s="128"/>
      <c r="CV145" s="128"/>
      <c r="CW145" s="128"/>
      <c r="CX145" s="128"/>
      <c r="CY145" s="128"/>
      <c r="CZ145" s="36"/>
      <c r="DA145" s="36"/>
      <c r="DB145" s="36"/>
      <c r="DC145" s="36"/>
      <c r="DD145" s="36"/>
      <c r="DE145" s="36"/>
      <c r="DF145" s="36"/>
      <c r="DG145" s="36"/>
      <c r="DH145" s="36"/>
      <c r="DI145" s="36"/>
      <c r="DJ145" s="36"/>
      <c r="DK145" s="36"/>
      <c r="DL145" s="36"/>
    </row>
    <row r="146" spans="1:116" ht="15" customHeight="1" thickBot="1">
      <c r="DF146" s="113"/>
    </row>
    <row r="147" spans="1:116" ht="15" customHeight="1">
      <c r="B147" s="75"/>
      <c r="C147" s="76" t="s">
        <v>3552</v>
      </c>
      <c r="D147" s="77" t="s">
        <v>3553</v>
      </c>
      <c r="DF147" s="113"/>
    </row>
    <row r="148" spans="1:116" ht="15" customHeight="1">
      <c r="B148" s="78" t="s">
        <v>3554</v>
      </c>
      <c r="C148" s="79">
        <f>SUMIF($B$166:$B$214,"업무집행사원(GP)",$G$166:$G$214)</f>
        <v>100000000</v>
      </c>
      <c r="D148" s="80">
        <f>SUMIF($B$166:$B$214,"유한책임사원(LP)",$G$166:$G$214)</f>
        <v>10400000000</v>
      </c>
      <c r="DF148" s="113"/>
    </row>
    <row r="149" spans="1:116" ht="15" customHeight="1">
      <c r="B149" s="78" t="s">
        <v>3555</v>
      </c>
      <c r="C149" s="79">
        <f>SUMIF($B$238:$B$286,"업무집행사원(GP)",$I$238:$I$286)</f>
        <v>100000000</v>
      </c>
      <c r="D149" s="80">
        <f>SUMIF($B$238:$B$286,"유한책임사원(LP)",$I$238:$I$286)</f>
        <v>10400000000</v>
      </c>
      <c r="DF149" s="113"/>
    </row>
    <row r="150" spans="1:116" ht="15" customHeight="1" thickBot="1">
      <c r="B150" s="81" t="s">
        <v>3556</v>
      </c>
      <c r="C150" s="82">
        <f>SUMIF($B$238:$B$286,"업무집행사원(GP)",$J$238:$J$286)</f>
        <v>22254764.822341919</v>
      </c>
      <c r="D150" s="83">
        <f>SUMIF($B$238:$B$286,"유한책임사원(LP)",$J$238:$J$286)</f>
        <v>2314495541.5235596</v>
      </c>
      <c r="DF150" s="113"/>
    </row>
    <row r="151" spans="1:116" ht="15" customHeight="1" thickBot="1">
      <c r="DF151" s="113"/>
    </row>
    <row r="152" spans="1:116" ht="15" customHeight="1">
      <c r="B152" s="75"/>
      <c r="C152" s="76" t="s">
        <v>3557</v>
      </c>
      <c r="D152" s="76" t="s">
        <v>3558</v>
      </c>
      <c r="E152" s="77" t="s">
        <v>3559</v>
      </c>
      <c r="F152" s="21"/>
      <c r="G152" s="21"/>
      <c r="H152" s="21"/>
      <c r="DF152" s="113"/>
    </row>
    <row r="153" spans="1:116" ht="15" customHeight="1">
      <c r="B153" s="78" t="s">
        <v>3554</v>
      </c>
      <c r="C153" s="64">
        <f>SUMIF($C$166:$C$214,"선순위출자자",$G$166:$G$214)</f>
        <v>10400000000</v>
      </c>
      <c r="D153" s="64">
        <f>SUMIF($C$166:$C$214,"중순위출자자",$G$166:$G$214)</f>
        <v>0</v>
      </c>
      <c r="E153" s="80">
        <f>SUMIF($C$166:$C$214,"후순위출자자",$G$166:$G$214)</f>
        <v>100000000</v>
      </c>
      <c r="F153" s="21"/>
      <c r="G153" s="21"/>
      <c r="H153" s="21"/>
      <c r="DF153" s="113"/>
    </row>
    <row r="154" spans="1:116" ht="15" customHeight="1">
      <c r="B154" s="78" t="s">
        <v>3555</v>
      </c>
      <c r="C154" s="64">
        <f>SUMIF($C$166:$C$214,"선순위출자자",$I$166:$I$214)</f>
        <v>10400000000</v>
      </c>
      <c r="D154" s="64">
        <f>SUMIF($C$166:$C$214,"중순위출자자",$I$166:$I$214)</f>
        <v>0</v>
      </c>
      <c r="E154" s="80">
        <f>SUMIF($C$166:$C$214,"후순위출자자",$I$166:$I$214)</f>
        <v>100000000</v>
      </c>
      <c r="F154" s="21"/>
      <c r="G154" s="21"/>
      <c r="H154" s="21"/>
      <c r="DF154" s="113"/>
    </row>
    <row r="155" spans="1:116" ht="15" customHeight="1" thickBot="1">
      <c r="B155" s="81" t="s">
        <v>3556</v>
      </c>
      <c r="C155" s="82">
        <f>SUMIF($C$166:$C$214,"선순위출자자",$J$166:$J$214)</f>
        <v>2314495541.5235596</v>
      </c>
      <c r="D155" s="82">
        <f>SUMIF($C$166:$C$214,"중순위출자자",$J$166:$J$214)</f>
        <v>0</v>
      </c>
      <c r="E155" s="83">
        <f>SUMIF($C$166:$C$214,"후순위출자자",$J$166:$J$214)</f>
        <v>22254764.822341919</v>
      </c>
      <c r="F155" s="21"/>
      <c r="G155" s="21"/>
      <c r="H155" s="21"/>
      <c r="DF155" s="113"/>
    </row>
    <row r="156" spans="1:116" ht="15" customHeight="1" thickBot="1">
      <c r="DF156" s="113"/>
    </row>
    <row r="157" spans="1:116" ht="15" customHeight="1">
      <c r="A157" s="21"/>
      <c r="B157" s="87"/>
      <c r="C157" s="88" t="s">
        <v>3560</v>
      </c>
      <c r="D157" s="89" t="s">
        <v>3586</v>
      </c>
      <c r="E157" s="89" t="s">
        <v>3587</v>
      </c>
      <c r="F157" s="89" t="s">
        <v>3512</v>
      </c>
      <c r="G157" s="89" t="s">
        <v>3513</v>
      </c>
      <c r="H157" s="90" t="s">
        <v>3514</v>
      </c>
      <c r="I157" s="84"/>
      <c r="J157" s="84"/>
      <c r="K157" s="84"/>
      <c r="L157" s="84"/>
      <c r="M157" s="84"/>
      <c r="N157" s="36"/>
      <c r="DD157" s="113"/>
      <c r="DK157" s="21"/>
      <c r="DL157" s="21"/>
    </row>
    <row r="158" spans="1:116" ht="15" customHeight="1">
      <c r="A158" s="21"/>
      <c r="B158" s="91" t="s">
        <v>3564</v>
      </c>
      <c r="C158" s="92">
        <f>C154</f>
        <v>10400000000</v>
      </c>
      <c r="D158" s="64">
        <f>IF(C161=0,0,D154)</f>
        <v>0</v>
      </c>
      <c r="E158" s="64">
        <f>IF(D161=0,0,E154)</f>
        <v>100000000</v>
      </c>
      <c r="F158" s="92">
        <f>IF(E161=0,0,SUM(C155:E155))</f>
        <v>2336750306.3459015</v>
      </c>
      <c r="G158" s="64">
        <f>IF(($C$15-SUM(C158:F158))*$E$14&lt;0,0,$C$15-SUM(C158:F158))*$E$14</f>
        <v>2606987185.5308199</v>
      </c>
      <c r="H158" s="93">
        <f>IF($C$15-SUM(C158:G158)&lt;0,0,$C$15-SUM(C158:G158))</f>
        <v>10427948742.12328</v>
      </c>
      <c r="I158" s="84"/>
      <c r="J158" s="84"/>
      <c r="K158" s="84"/>
      <c r="L158" s="84"/>
      <c r="M158" s="84"/>
      <c r="N158" s="36"/>
      <c r="DD158" s="113"/>
      <c r="DK158" s="21"/>
      <c r="DL158" s="21"/>
    </row>
    <row r="159" spans="1:116" ht="15" customHeight="1">
      <c r="A159" s="21"/>
      <c r="B159" s="91" t="s">
        <v>3565</v>
      </c>
      <c r="C159" s="64">
        <f>$C$15</f>
        <v>25871686234</v>
      </c>
      <c r="D159" s="64">
        <f>C161</f>
        <v>15471686234</v>
      </c>
      <c r="E159" s="64">
        <f>D161</f>
        <v>15471686234</v>
      </c>
      <c r="F159" s="64">
        <f>E161</f>
        <v>15371686234</v>
      </c>
      <c r="G159" s="64">
        <f>F161</f>
        <v>13034935927.654099</v>
      </c>
      <c r="H159" s="93">
        <f>G161</f>
        <v>10427948742.12328</v>
      </c>
      <c r="I159" s="84"/>
      <c r="J159" s="84"/>
      <c r="K159" s="84"/>
      <c r="L159" s="84"/>
      <c r="M159" s="84"/>
      <c r="N159" s="36"/>
      <c r="DD159" s="113"/>
      <c r="DK159" s="21"/>
      <c r="DL159" s="21"/>
    </row>
    <row r="160" spans="1:116" ht="15" customHeight="1">
      <c r="A160" s="21"/>
      <c r="B160" s="91" t="s">
        <v>3566</v>
      </c>
      <c r="C160" s="64">
        <f t="shared" ref="C160:F160" si="35">IF(C158&lt;0,0,IF(C158&gt;C159,C159,C158))</f>
        <v>10400000000</v>
      </c>
      <c r="D160" s="64">
        <f t="shared" si="35"/>
        <v>0</v>
      </c>
      <c r="E160" s="64">
        <f t="shared" si="35"/>
        <v>100000000</v>
      </c>
      <c r="F160" s="64">
        <f t="shared" si="35"/>
        <v>2336750306.3459015</v>
      </c>
      <c r="G160" s="64">
        <f>IF(G158&lt;0,0,IF(G158&gt;G159,G159,G158))</f>
        <v>2606987185.5308199</v>
      </c>
      <c r="H160" s="93">
        <f>IF(H158&lt;0,0,IF(H158&gt;H159,H159,H158))</f>
        <v>10427948742.12328</v>
      </c>
      <c r="I160" s="84"/>
      <c r="J160" s="84"/>
      <c r="K160" s="84"/>
      <c r="L160" s="84"/>
      <c r="M160" s="84"/>
      <c r="N160" s="36"/>
      <c r="DD160" s="113"/>
      <c r="DK160" s="21"/>
      <c r="DL160" s="21"/>
    </row>
    <row r="161" spans="1:116" ht="15" customHeight="1">
      <c r="A161" s="21"/>
      <c r="B161" s="94" t="s">
        <v>3567</v>
      </c>
      <c r="C161" s="64">
        <f>IF(C158&lt;0,-C158+C159,IF(C159-C160&gt;0,C159-C160,0))</f>
        <v>15471686234</v>
      </c>
      <c r="D161" s="64">
        <f t="shared" ref="D161:E161" si="36">IF(D159-D160&gt;0,D159-D160,0)</f>
        <v>15471686234</v>
      </c>
      <c r="E161" s="64">
        <f t="shared" si="36"/>
        <v>15371686234</v>
      </c>
      <c r="F161" s="64">
        <f>IF(F159-F160&gt;0,F159-F160,0)</f>
        <v>13034935927.654099</v>
      </c>
      <c r="G161" s="64">
        <f>IF(G159-G160&gt;0,G159-G160,0)</f>
        <v>10427948742.12328</v>
      </c>
      <c r="H161" s="93">
        <f>IF(H159-H160&gt;0,H159-H160,0)</f>
        <v>0</v>
      </c>
      <c r="I161" s="84"/>
      <c r="J161" s="84"/>
      <c r="K161" s="84"/>
      <c r="L161" s="84"/>
      <c r="M161" s="84"/>
      <c r="N161" s="36"/>
      <c r="DD161" s="113"/>
      <c r="DK161" s="21"/>
      <c r="DL161" s="21"/>
    </row>
    <row r="162" spans="1:116" ht="15" customHeight="1" thickBot="1">
      <c r="B162" s="97" t="s">
        <v>3568</v>
      </c>
      <c r="C162" s="98" t="str">
        <f>IF(C161&gt;0,"다음으로 이동", "분배종료")</f>
        <v>다음으로 이동</v>
      </c>
      <c r="D162" s="98" t="str">
        <f>IF(C161=0,"",IF(D161&gt;0,"다음으로 이동", "분배종료"))</f>
        <v>다음으로 이동</v>
      </c>
      <c r="E162" s="98" t="str">
        <f>IF(D161=0,"",IF(E161&gt;0,"다음으로 이동", "분배종료"))</f>
        <v>다음으로 이동</v>
      </c>
      <c r="F162" s="98" t="str">
        <f>IF(E161=0,"",IF(F161&gt;0,"다음으로 이동", "분배종료"))</f>
        <v>다음으로 이동</v>
      </c>
      <c r="G162" s="98" t="str">
        <f>IF(F161=0,"",IF(G161&gt;0,"다음으로 이동", "분배종료"))</f>
        <v>다음으로 이동</v>
      </c>
      <c r="H162" s="99" t="str">
        <f>IF(G161=0,"",IF(INT(H161)&gt;0,"다음으로 이동", "분배종료"))</f>
        <v>분배종료</v>
      </c>
      <c r="DD162" s="113"/>
      <c r="DK162" s="21"/>
      <c r="DL162" s="21"/>
    </row>
    <row r="163" spans="1:116" ht="15" customHeight="1" thickBot="1">
      <c r="E163" s="66"/>
      <c r="H163" s="85"/>
      <c r="I163" s="86"/>
      <c r="J163" s="86"/>
      <c r="K163" s="86"/>
      <c r="L163" s="86"/>
      <c r="M163" s="86"/>
      <c r="N163" s="86"/>
      <c r="O163" s="86"/>
      <c r="DF163" s="113"/>
    </row>
    <row r="164" spans="1:116" ht="15" customHeight="1" thickBot="1">
      <c r="B164" s="131" t="s">
        <v>3569</v>
      </c>
      <c r="C164" s="132"/>
      <c r="D164" s="132"/>
      <c r="E164" s="132"/>
      <c r="F164" s="132"/>
      <c r="G164" s="132"/>
      <c r="H164" s="132"/>
      <c r="I164" s="132"/>
      <c r="J164" s="133"/>
      <c r="K164" s="134" t="s">
        <v>3570</v>
      </c>
      <c r="L164" s="134"/>
      <c r="M164" s="134"/>
      <c r="N164" s="134"/>
      <c r="O164" s="134"/>
      <c r="P164" s="134"/>
      <c r="Q164" s="131" t="s">
        <v>3571</v>
      </c>
      <c r="R164" s="135"/>
      <c r="S164" s="135"/>
      <c r="T164" s="21"/>
      <c r="DF164" s="113"/>
    </row>
    <row r="165" spans="1:116" ht="15" customHeight="1" thickBot="1">
      <c r="A165" s="54"/>
      <c r="B165" s="136" t="s">
        <v>3572</v>
      </c>
      <c r="C165" s="137" t="s">
        <v>3573</v>
      </c>
      <c r="D165" s="137" t="s">
        <v>3550</v>
      </c>
      <c r="E165" s="137" t="s">
        <v>3574</v>
      </c>
      <c r="F165" s="138" t="s">
        <v>3575</v>
      </c>
      <c r="G165" s="137" t="s">
        <v>3554</v>
      </c>
      <c r="H165" s="137" t="s">
        <v>3576</v>
      </c>
      <c r="I165" s="137" t="s">
        <v>3577</v>
      </c>
      <c r="J165" s="140" t="s">
        <v>3578</v>
      </c>
      <c r="K165" s="138" t="s">
        <v>3560</v>
      </c>
      <c r="L165" s="138" t="s">
        <v>3586</v>
      </c>
      <c r="M165" s="138" t="s">
        <v>3587</v>
      </c>
      <c r="N165" s="138" t="s">
        <v>3588</v>
      </c>
      <c r="O165" s="138" t="s">
        <v>3589</v>
      </c>
      <c r="P165" s="138" t="s">
        <v>3590</v>
      </c>
      <c r="Q165" s="139" t="s">
        <v>3583</v>
      </c>
      <c r="R165" s="138" t="s">
        <v>3584</v>
      </c>
      <c r="S165" s="140" t="s">
        <v>3585</v>
      </c>
      <c r="DE165" s="113"/>
      <c r="DL165" s="21"/>
    </row>
    <row r="166" spans="1:116" ht="15" customHeight="1">
      <c r="A166" s="54">
        <v>1</v>
      </c>
      <c r="B166" s="101" t="str">
        <f>IF(개요!K8="","",개요!K8)</f>
        <v>업무집행사원(GP)</v>
      </c>
      <c r="C166" s="102" t="str">
        <f>IF(개요!L8="","",개요!L8)</f>
        <v>후순위출자자</v>
      </c>
      <c r="D166" s="102" t="str">
        <f>IF(개요!M8="","",개요!M8)</f>
        <v>코리아에셋투자증권㈜</v>
      </c>
      <c r="E166" s="103">
        <f>IF(개요!R8="-","",개요!R8)</f>
        <v>4.7619047619047623E-3</v>
      </c>
      <c r="F166" s="103">
        <f>IFERROR(G166/HLOOKUP(C166,$B$152:$E$155,2,0),"")</f>
        <v>0.5</v>
      </c>
      <c r="G166" s="64">
        <f>IF(개요!Q8=0,"",개요!Q8)</f>
        <v>50000000</v>
      </c>
      <c r="H166" s="64">
        <f t="shared" ref="H166:H197" si="37">IF(CY22=0,"",CY22)</f>
        <v>61127382.411170959</v>
      </c>
      <c r="I166" s="64">
        <f>IF(개요!O8=0,"",개요!O8-개요!P8)</f>
        <v>50000000</v>
      </c>
      <c r="J166" s="93">
        <f>IFERROR(IF(G166&lt;&gt;"",H166-I166,""),"")</f>
        <v>11127382.411170959</v>
      </c>
      <c r="K166" s="64" t="str">
        <f>IFERROR(IF($C166="선순위출자자",IF($C$159&gt;$C$160,$I166,$C$160*$F166),""),"")</f>
        <v/>
      </c>
      <c r="L166" s="64" t="str">
        <f>IFERROR(IF($C166="중순위출자자",IF($D$159&gt;$D$160,$I166,$D$160*$F166),""),"")</f>
        <v/>
      </c>
      <c r="M166" s="64">
        <f>IFERROR(IF($C166="후순위출자자",IF($E$159&gt;$E$160,$I166,$E$160*$F166),""),"")</f>
        <v>50000000</v>
      </c>
      <c r="N166" s="64">
        <f t="shared" ref="N166:N197" si="38">IFERROR(IF(AND($F$158=$F$160,$F$160&lt;&gt;0),$J166,$F$160*$E166),"")</f>
        <v>11127382.411170959</v>
      </c>
      <c r="O166" s="79">
        <f t="shared" ref="O166:O197" si="39">IFERROR(IF(B166="유한책임사원(LP)","",$G$159*$E$14*(G166/$C$148)),"")</f>
        <v>1303493592.7654099</v>
      </c>
      <c r="P166" s="79">
        <f t="shared" ref="P166:P197" si="40">IFERROR($H$159*E166,"")</f>
        <v>49656898.772015624</v>
      </c>
      <c r="Q166" s="114">
        <f t="shared" ref="Q166:Q197" si="41">IF(I166="","",SUM(K166:P166))</f>
        <v>1414277873.9485965</v>
      </c>
      <c r="R166" s="115">
        <f t="shared" ref="R166:R197" si="42">IF(G166="","",Q166/(G166/$E$12))</f>
        <v>28.285557478971931</v>
      </c>
      <c r="S166" s="27" t="b">
        <f>IF(개요!EA8=0,"",ROUND(개요!EA8,3)=ROUND(R166,3))</f>
        <v>1</v>
      </c>
      <c r="DE166" s="113"/>
      <c r="DL166" s="21"/>
    </row>
    <row r="167" spans="1:116" ht="15" customHeight="1">
      <c r="A167" s="54">
        <v>2</v>
      </c>
      <c r="B167" s="101" t="str">
        <f>IF(개요!K9="","",개요!K9)</f>
        <v>업무집행사원(GP)</v>
      </c>
      <c r="C167" s="102" t="str">
        <f>IF(개요!L9="","",개요!L9)</f>
        <v>후순위출자자</v>
      </c>
      <c r="D167" s="102" t="str">
        <f>IF(개요!M9="","",개요!M9)</f>
        <v>창인파트너스㈜</v>
      </c>
      <c r="E167" s="103">
        <f>IF(개요!R9="-","",개요!R9)</f>
        <v>4.7619047619047623E-3</v>
      </c>
      <c r="F167" s="103">
        <f t="shared" ref="F167:F214" si="43">IFERROR(G167/HLOOKUP(C167,$B$152:$E$155,2,0),"")</f>
        <v>0.5</v>
      </c>
      <c r="G167" s="64">
        <f>IF(개요!Q9=0,"",개요!Q9)</f>
        <v>50000000</v>
      </c>
      <c r="H167" s="64">
        <f t="shared" si="37"/>
        <v>61127382.411170959</v>
      </c>
      <c r="I167" s="64">
        <f>IF(개요!O9=0,"",개요!O9-개요!P9)</f>
        <v>50000000</v>
      </c>
      <c r="J167" s="93">
        <f t="shared" ref="J167:J214" si="44">IFERROR(IF(G167&lt;&gt;"",H167-I167,""),"")</f>
        <v>11127382.411170959</v>
      </c>
      <c r="K167" s="64" t="str">
        <f t="shared" ref="K167:K214" si="45">IFERROR(IF($C167="선순위출자자",IF($C$159&gt;$C$160,$I167,$C$160*$F167),""),"")</f>
        <v/>
      </c>
      <c r="L167" s="64" t="str">
        <f t="shared" ref="L167:L214" si="46">IFERROR(IF($C167="중순위출자자",IF($D$159&gt;$D$160,$I167,$D$160*$F167),""),"")</f>
        <v/>
      </c>
      <c r="M167" s="64">
        <f t="shared" ref="M167:M214" si="47">IFERROR(IF($C167="후순위출자자",IF($E$159&gt;$E$160,$I167,$E$160*$F167),""),"")</f>
        <v>50000000</v>
      </c>
      <c r="N167" s="64">
        <f t="shared" si="38"/>
        <v>11127382.411170959</v>
      </c>
      <c r="O167" s="79">
        <f t="shared" si="39"/>
        <v>1303493592.7654099</v>
      </c>
      <c r="P167" s="79">
        <f t="shared" si="40"/>
        <v>49656898.772015624</v>
      </c>
      <c r="Q167" s="114">
        <f t="shared" si="41"/>
        <v>1414277873.9485965</v>
      </c>
      <c r="R167" s="115">
        <f t="shared" si="42"/>
        <v>28.285557478971931</v>
      </c>
      <c r="S167" s="31" t="b">
        <f>IF(개요!EA9=0,"",ROUND(개요!EA9,3)=ROUND(R167,3))</f>
        <v>1</v>
      </c>
      <c r="DE167" s="113"/>
      <c r="DL167" s="21"/>
    </row>
    <row r="168" spans="1:116" ht="15" customHeight="1">
      <c r="A168" s="54">
        <v>3</v>
      </c>
      <c r="B168" s="101" t="str">
        <f>IF(개요!K10="","",개요!K10)</f>
        <v>유한책임사원(LP)</v>
      </c>
      <c r="C168" s="102" t="str">
        <f>IF(개요!L10="","",개요!L10)</f>
        <v>선순위출자자</v>
      </c>
      <c r="D168" s="102" t="str">
        <f>IF(개요!M10="","",개요!M10)</f>
        <v>P펀드</v>
      </c>
      <c r="E168" s="103">
        <f>IF(개요!R10="-","",개요!R10)</f>
        <v>0.5714285714285714</v>
      </c>
      <c r="F168" s="103">
        <f t="shared" si="43"/>
        <v>0.57692307692307687</v>
      </c>
      <c r="G168" s="64">
        <f>IF(개요!Q10=0,"",개요!Q10)</f>
        <v>6000000000</v>
      </c>
      <c r="H168" s="64">
        <f t="shared" si="37"/>
        <v>7335285889.3405151</v>
      </c>
      <c r="I168" s="64">
        <f>IF(개요!O10=0,"",개요!O10-개요!P10)</f>
        <v>6000000000</v>
      </c>
      <c r="J168" s="93">
        <f t="shared" si="44"/>
        <v>1335285889.3405151</v>
      </c>
      <c r="K168" s="64">
        <f t="shared" si="45"/>
        <v>6000000000</v>
      </c>
      <c r="L168" s="64" t="str">
        <f t="shared" si="46"/>
        <v/>
      </c>
      <c r="M168" s="64" t="str">
        <f t="shared" si="47"/>
        <v/>
      </c>
      <c r="N168" s="64">
        <f t="shared" si="38"/>
        <v>1335285889.3405151</v>
      </c>
      <c r="O168" s="79" t="str">
        <f t="shared" si="39"/>
        <v/>
      </c>
      <c r="P168" s="79">
        <f t="shared" si="40"/>
        <v>5958827852.6418734</v>
      </c>
      <c r="Q168" s="114">
        <f t="shared" si="41"/>
        <v>13294113741.982388</v>
      </c>
      <c r="R168" s="115">
        <f t="shared" si="42"/>
        <v>2.2156856236637315</v>
      </c>
      <c r="S168" s="31" t="b">
        <f>IF(개요!EA10=0,"",ROUND(개요!EA10,3)=ROUND(R168,3))</f>
        <v>1</v>
      </c>
      <c r="DE168" s="113"/>
      <c r="DL168" s="21"/>
    </row>
    <row r="169" spans="1:116" ht="15" customHeight="1">
      <c r="A169" s="54">
        <v>4</v>
      </c>
      <c r="B169" s="101" t="str">
        <f>IF(개요!K11="","",개요!K11)</f>
        <v>유한책임사원(LP)</v>
      </c>
      <c r="C169" s="102" t="str">
        <f>IF(개요!L11="","",개요!L11)</f>
        <v>선순위출자자</v>
      </c>
      <c r="D169" s="102" t="str">
        <f>IF(개요!M11="","",개요!M11)</f>
        <v>M사</v>
      </c>
      <c r="E169" s="103">
        <f>IF(개요!R11="-","",개요!R11)</f>
        <v>9.5238095238095233E-2</v>
      </c>
      <c r="F169" s="103">
        <f t="shared" si="43"/>
        <v>9.6153846153846159E-2</v>
      </c>
      <c r="G169" s="64">
        <f>IF(개요!Q11=0,"",개요!Q11)</f>
        <v>1000000000</v>
      </c>
      <c r="H169" s="64">
        <f t="shared" si="37"/>
        <v>1222547648.2234192</v>
      </c>
      <c r="I169" s="64">
        <f>IF(개요!O11=0,"",개요!O11-개요!P11)</f>
        <v>1000000000</v>
      </c>
      <c r="J169" s="93">
        <f t="shared" si="44"/>
        <v>222547648.22341919</v>
      </c>
      <c r="K169" s="64">
        <f t="shared" si="45"/>
        <v>1000000000</v>
      </c>
      <c r="L169" s="64" t="str">
        <f t="shared" si="46"/>
        <v/>
      </c>
      <c r="M169" s="64" t="str">
        <f t="shared" si="47"/>
        <v/>
      </c>
      <c r="N169" s="64">
        <f t="shared" si="38"/>
        <v>222547648.22341919</v>
      </c>
      <c r="O169" s="79" t="str">
        <f t="shared" si="39"/>
        <v/>
      </c>
      <c r="P169" s="79">
        <f t="shared" si="40"/>
        <v>993137975.44031227</v>
      </c>
      <c r="Q169" s="114">
        <f t="shared" si="41"/>
        <v>2215685623.6637316</v>
      </c>
      <c r="R169" s="115">
        <f t="shared" si="42"/>
        <v>2.2156856236637315</v>
      </c>
      <c r="S169" s="31" t="b">
        <f>IF(개요!EA11=0,"",ROUND(개요!EA11,3)=ROUND(R169,3))</f>
        <v>1</v>
      </c>
      <c r="DE169" s="113"/>
      <c r="DL169" s="21"/>
    </row>
    <row r="170" spans="1:116" ht="15" customHeight="1">
      <c r="A170" s="54">
        <v>5</v>
      </c>
      <c r="B170" s="101" t="str">
        <f>IF(개요!K12="","",개요!K12)</f>
        <v>유한책임사원(LP)</v>
      </c>
      <c r="C170" s="102" t="str">
        <f>IF(개요!L12="","",개요!L12)</f>
        <v>선순위출자자</v>
      </c>
      <c r="D170" s="102" t="str">
        <f>IF(개요!M12="","",개요!M12)</f>
        <v>흥국생명보험㈜</v>
      </c>
      <c r="E170" s="103">
        <f>IF(개요!R12="-","",개요!R12)</f>
        <v>9.5238095238095233E-2</v>
      </c>
      <c r="F170" s="103">
        <f t="shared" si="43"/>
        <v>9.6153846153846159E-2</v>
      </c>
      <c r="G170" s="64">
        <f>IF(개요!Q12=0,"",개요!Q12)</f>
        <v>1000000000</v>
      </c>
      <c r="H170" s="64">
        <f t="shared" si="37"/>
        <v>1222547648.2234192</v>
      </c>
      <c r="I170" s="64">
        <f>IF(개요!O12=0,"",개요!O12-개요!P12)</f>
        <v>1000000000</v>
      </c>
      <c r="J170" s="93">
        <f t="shared" si="44"/>
        <v>222547648.22341919</v>
      </c>
      <c r="K170" s="64">
        <f t="shared" si="45"/>
        <v>1000000000</v>
      </c>
      <c r="L170" s="64" t="str">
        <f t="shared" si="46"/>
        <v/>
      </c>
      <c r="M170" s="64" t="str">
        <f t="shared" si="47"/>
        <v/>
      </c>
      <c r="N170" s="64">
        <f t="shared" si="38"/>
        <v>222547648.22341919</v>
      </c>
      <c r="O170" s="79" t="str">
        <f t="shared" si="39"/>
        <v/>
      </c>
      <c r="P170" s="79">
        <f t="shared" si="40"/>
        <v>993137975.44031227</v>
      </c>
      <c r="Q170" s="114">
        <f t="shared" si="41"/>
        <v>2215685623.6637316</v>
      </c>
      <c r="R170" s="115">
        <f t="shared" si="42"/>
        <v>2.2156856236637315</v>
      </c>
      <c r="S170" s="31" t="b">
        <f>IF(개요!EA12=0,"",ROUND(개요!EA12,3)=ROUND(R170,3))</f>
        <v>1</v>
      </c>
      <c r="DE170" s="113"/>
      <c r="DL170" s="21"/>
    </row>
    <row r="171" spans="1:116" ht="15" customHeight="1">
      <c r="A171" s="54">
        <v>6</v>
      </c>
      <c r="B171" s="101" t="str">
        <f>IF(개요!K13="","",개요!K13)</f>
        <v>유한책임사원(LP)</v>
      </c>
      <c r="C171" s="102" t="str">
        <f>IF(개요!L13="","",개요!L13)</f>
        <v>선순위출자자</v>
      </c>
      <c r="D171" s="102" t="str">
        <f>IF(개요!M13="","",개요!M13)</f>
        <v>M사</v>
      </c>
      <c r="E171" s="103">
        <f>IF(개요!R13="-","",개요!R13)</f>
        <v>9.5238095238095233E-2</v>
      </c>
      <c r="F171" s="103">
        <f t="shared" si="43"/>
        <v>9.6153846153846159E-2</v>
      </c>
      <c r="G171" s="64">
        <f>IF(개요!Q13=0,"",개요!Q13)</f>
        <v>1000000000</v>
      </c>
      <c r="H171" s="64">
        <f t="shared" si="37"/>
        <v>1222547648.2234192</v>
      </c>
      <c r="I171" s="64">
        <f>IF(개요!O13=0,"",개요!O13-개요!P13)</f>
        <v>1000000000</v>
      </c>
      <c r="J171" s="93">
        <f t="shared" si="44"/>
        <v>222547648.22341919</v>
      </c>
      <c r="K171" s="64">
        <f t="shared" si="45"/>
        <v>1000000000</v>
      </c>
      <c r="L171" s="64" t="str">
        <f t="shared" si="46"/>
        <v/>
      </c>
      <c r="M171" s="64" t="str">
        <f t="shared" si="47"/>
        <v/>
      </c>
      <c r="N171" s="64">
        <f t="shared" si="38"/>
        <v>222547648.22341919</v>
      </c>
      <c r="O171" s="79" t="str">
        <f t="shared" si="39"/>
        <v/>
      </c>
      <c r="P171" s="79">
        <f t="shared" si="40"/>
        <v>993137975.44031227</v>
      </c>
      <c r="Q171" s="114">
        <f t="shared" si="41"/>
        <v>2215685623.6637316</v>
      </c>
      <c r="R171" s="115">
        <f t="shared" si="42"/>
        <v>2.2156856236637315</v>
      </c>
      <c r="S171" s="31" t="b">
        <f>IF(개요!EA13=0,"",ROUND(개요!EA13,3)=ROUND(R171,3))</f>
        <v>1</v>
      </c>
      <c r="DE171" s="113"/>
      <c r="DL171" s="21"/>
    </row>
    <row r="172" spans="1:116" ht="15" customHeight="1">
      <c r="A172" s="54">
        <v>7</v>
      </c>
      <c r="B172" s="101" t="str">
        <f>IF(개요!K14="","",개요!K14)</f>
        <v>유한책임사원(LP)</v>
      </c>
      <c r="C172" s="102" t="str">
        <f>IF(개요!L14="","",개요!L14)</f>
        <v>선순위출자자</v>
      </c>
      <c r="D172" s="102" t="str">
        <f>IF(개요!M14="","",개요!M14)</f>
        <v>김OO</v>
      </c>
      <c r="E172" s="103">
        <f>IF(개요!R14="-","",개요!R14)</f>
        <v>3.8095238095238099E-2</v>
      </c>
      <c r="F172" s="103">
        <f t="shared" si="43"/>
        <v>3.8461538461538464E-2</v>
      </c>
      <c r="G172" s="64">
        <f>IF(개요!Q14=0,"",개요!Q14)</f>
        <v>400000000</v>
      </c>
      <c r="H172" s="64">
        <f t="shared" si="37"/>
        <v>489019059.28936768</v>
      </c>
      <c r="I172" s="64">
        <f>IF(개요!O14=0,"",개요!O14-개요!P14)</f>
        <v>400000000</v>
      </c>
      <c r="J172" s="93">
        <f t="shared" si="44"/>
        <v>89019059.289367676</v>
      </c>
      <c r="K172" s="64">
        <f t="shared" si="45"/>
        <v>400000000</v>
      </c>
      <c r="L172" s="64" t="str">
        <f t="shared" si="46"/>
        <v/>
      </c>
      <c r="M172" s="64" t="str">
        <f t="shared" si="47"/>
        <v/>
      </c>
      <c r="N172" s="64">
        <f t="shared" si="38"/>
        <v>89019059.289367676</v>
      </c>
      <c r="O172" s="79" t="str">
        <f t="shared" si="39"/>
        <v/>
      </c>
      <c r="P172" s="79">
        <f t="shared" si="40"/>
        <v>397255190.17612499</v>
      </c>
      <c r="Q172" s="114">
        <f t="shared" si="41"/>
        <v>886274249.46549273</v>
      </c>
      <c r="R172" s="115">
        <f t="shared" si="42"/>
        <v>2.2156856236637319</v>
      </c>
      <c r="S172" s="31" t="b">
        <f>IF(개요!EA14=0,"",ROUND(개요!EA14,3)=ROUND(R172,3))</f>
        <v>1</v>
      </c>
      <c r="DE172" s="113"/>
      <c r="DL172" s="21"/>
    </row>
    <row r="173" spans="1:116" ht="15" customHeight="1">
      <c r="A173" s="54">
        <v>8</v>
      </c>
      <c r="B173" s="101" t="str">
        <f>IF(개요!K15="","",개요!K15)</f>
        <v>유한책임사원(LP)</v>
      </c>
      <c r="C173" s="102" t="str">
        <f>IF(개요!L15="","",개요!L15)</f>
        <v>선순위출자자</v>
      </c>
      <c r="D173" s="102" t="str">
        <f>IF(개요!M15="","",개요!M15)</f>
        <v>손OO</v>
      </c>
      <c r="E173" s="103">
        <f>IF(개요!R15="-","",개요!R15)</f>
        <v>2.3809523809523808E-2</v>
      </c>
      <c r="F173" s="103">
        <f t="shared" si="43"/>
        <v>2.403846153846154E-2</v>
      </c>
      <c r="G173" s="64">
        <f>IF(개요!Q15=0,"",개요!Q15)</f>
        <v>250000000</v>
      </c>
      <c r="H173" s="64">
        <f t="shared" si="37"/>
        <v>305636912.0558548</v>
      </c>
      <c r="I173" s="64">
        <f>IF(개요!O15=0,"",개요!O15-개요!P15)</f>
        <v>250000000</v>
      </c>
      <c r="J173" s="93">
        <f t="shared" si="44"/>
        <v>55636912.055854797</v>
      </c>
      <c r="K173" s="64">
        <f t="shared" si="45"/>
        <v>250000000</v>
      </c>
      <c r="L173" s="64" t="str">
        <f t="shared" si="46"/>
        <v/>
      </c>
      <c r="M173" s="64" t="str">
        <f t="shared" si="47"/>
        <v/>
      </c>
      <c r="N173" s="64">
        <f t="shared" si="38"/>
        <v>55636912.055854797</v>
      </c>
      <c r="O173" s="79" t="str">
        <f t="shared" si="39"/>
        <v/>
      </c>
      <c r="P173" s="79">
        <f t="shared" si="40"/>
        <v>248284493.86007807</v>
      </c>
      <c r="Q173" s="114">
        <f t="shared" si="41"/>
        <v>553921405.91593289</v>
      </c>
      <c r="R173" s="115">
        <f t="shared" si="42"/>
        <v>2.2156856236637315</v>
      </c>
      <c r="S173" s="31" t="b">
        <f>IF(개요!EA15=0,"",ROUND(개요!EA15,3)=ROUND(R173,3))</f>
        <v>1</v>
      </c>
      <c r="DE173" s="113"/>
      <c r="DL173" s="21"/>
    </row>
    <row r="174" spans="1:116" ht="15" customHeight="1">
      <c r="A174" s="54">
        <v>9</v>
      </c>
      <c r="B174" s="101" t="str">
        <f>IF(개요!K16="","",개요!K16)</f>
        <v>유한책임사원(LP)</v>
      </c>
      <c r="C174" s="102" t="str">
        <f>IF(개요!L16="","",개요!L16)</f>
        <v>선순위출자자</v>
      </c>
      <c r="D174" s="102" t="str">
        <f>IF(개요!M16="","",개요!M16)</f>
        <v>임OO</v>
      </c>
      <c r="E174" s="103">
        <f>IF(개요!R16="-","",개요!R16)</f>
        <v>2.3809523809523808E-2</v>
      </c>
      <c r="F174" s="103">
        <f t="shared" si="43"/>
        <v>2.403846153846154E-2</v>
      </c>
      <c r="G174" s="64">
        <f>IF(개요!Q16=0,"",개요!Q16)</f>
        <v>250000000</v>
      </c>
      <c r="H174" s="64">
        <f t="shared" si="37"/>
        <v>305636912.0558548</v>
      </c>
      <c r="I174" s="64">
        <f>IF(개요!O16=0,"",개요!O16-개요!P16)</f>
        <v>250000000</v>
      </c>
      <c r="J174" s="93">
        <f t="shared" si="44"/>
        <v>55636912.055854797</v>
      </c>
      <c r="K174" s="64">
        <f t="shared" si="45"/>
        <v>250000000</v>
      </c>
      <c r="L174" s="64" t="str">
        <f t="shared" si="46"/>
        <v/>
      </c>
      <c r="M174" s="64" t="str">
        <f t="shared" si="47"/>
        <v/>
      </c>
      <c r="N174" s="64">
        <f t="shared" si="38"/>
        <v>55636912.055854797</v>
      </c>
      <c r="O174" s="79" t="str">
        <f t="shared" si="39"/>
        <v/>
      </c>
      <c r="P174" s="79">
        <f t="shared" si="40"/>
        <v>248284493.86007807</v>
      </c>
      <c r="Q174" s="114">
        <f t="shared" si="41"/>
        <v>553921405.91593289</v>
      </c>
      <c r="R174" s="115">
        <f t="shared" si="42"/>
        <v>2.2156856236637315</v>
      </c>
      <c r="S174" s="31" t="b">
        <f>IF(개요!EA16=0,"",ROUND(개요!EA16,3)=ROUND(R174,3))</f>
        <v>1</v>
      </c>
      <c r="DE174" s="113"/>
      <c r="DL174" s="21"/>
    </row>
    <row r="175" spans="1:116" ht="15" customHeight="1" thickBot="1">
      <c r="A175" s="54">
        <v>10</v>
      </c>
      <c r="B175" s="101" t="str">
        <f>IF(개요!K17="","",개요!K17)</f>
        <v>유한책임사원(LP)</v>
      </c>
      <c r="C175" s="102" t="str">
        <f>IF(개요!L17="","",개요!L17)</f>
        <v>선순위출자자</v>
      </c>
      <c r="D175" s="102" t="str">
        <f>IF(개요!M17="","",개요!M17)</f>
        <v>최OO</v>
      </c>
      <c r="E175" s="103">
        <f>IF(개요!R17="-","",개요!R17)</f>
        <v>2.3809523809523808E-2</v>
      </c>
      <c r="F175" s="103">
        <f t="shared" si="43"/>
        <v>2.403846153846154E-2</v>
      </c>
      <c r="G175" s="64">
        <f>IF(개요!Q17=0,"",개요!Q17)</f>
        <v>250000000</v>
      </c>
      <c r="H175" s="64">
        <f t="shared" si="37"/>
        <v>305636912.0558548</v>
      </c>
      <c r="I175" s="64">
        <f>IF(개요!O17=0,"",개요!O17-개요!P17)</f>
        <v>250000000</v>
      </c>
      <c r="J175" s="93">
        <f t="shared" si="44"/>
        <v>55636912.055854797</v>
      </c>
      <c r="K175" s="64">
        <f t="shared" si="45"/>
        <v>250000000</v>
      </c>
      <c r="L175" s="64" t="str">
        <f t="shared" si="46"/>
        <v/>
      </c>
      <c r="M175" s="64" t="str">
        <f t="shared" si="47"/>
        <v/>
      </c>
      <c r="N175" s="64">
        <f t="shared" si="38"/>
        <v>55636912.055854797</v>
      </c>
      <c r="O175" s="79" t="str">
        <f t="shared" si="39"/>
        <v/>
      </c>
      <c r="P175" s="79">
        <f t="shared" si="40"/>
        <v>248284493.86007807</v>
      </c>
      <c r="Q175" s="114">
        <f t="shared" si="41"/>
        <v>553921405.91593289</v>
      </c>
      <c r="R175" s="115">
        <f t="shared" si="42"/>
        <v>2.2156856236637315</v>
      </c>
      <c r="S175" s="31" t="b">
        <f>IF(개요!EA17=0,"",ROUND(개요!EA17,3)=ROUND(R175,3))</f>
        <v>1</v>
      </c>
      <c r="DE175" s="113"/>
      <c r="DL175" s="21"/>
    </row>
    <row r="176" spans="1:116" ht="15" hidden="1" customHeight="1" outlineLevel="1">
      <c r="A176" s="54">
        <v>11</v>
      </c>
      <c r="B176" s="101" t="str">
        <f>IF(개요!K18="","",개요!K18)</f>
        <v>유한책임사원(LP)</v>
      </c>
      <c r="C176" s="102" t="str">
        <f>IF(개요!L18="","",개요!L18)</f>
        <v>선순위출자자</v>
      </c>
      <c r="D176" s="102" t="str">
        <f>IF(개요!M18="","",개요!M18)</f>
        <v>한OO</v>
      </c>
      <c r="E176" s="103">
        <f>IF(개요!R18="-","",개요!R18)</f>
        <v>2.3809523809523808E-2</v>
      </c>
      <c r="F176" s="103">
        <f t="shared" si="43"/>
        <v>2.403846153846154E-2</v>
      </c>
      <c r="G176" s="64">
        <f>IF(개요!Q18=0,"",개요!Q18)</f>
        <v>250000000</v>
      </c>
      <c r="H176" s="64">
        <f t="shared" si="37"/>
        <v>305636912.0558548</v>
      </c>
      <c r="I176" s="64">
        <f>IF(개요!O18=0,"",개요!O18-개요!P18)</f>
        <v>250000000</v>
      </c>
      <c r="J176" s="93">
        <f t="shared" si="44"/>
        <v>55636912.055854797</v>
      </c>
      <c r="K176" s="64">
        <f t="shared" si="45"/>
        <v>250000000</v>
      </c>
      <c r="L176" s="64" t="str">
        <f t="shared" si="46"/>
        <v/>
      </c>
      <c r="M176" s="64" t="str">
        <f t="shared" si="47"/>
        <v/>
      </c>
      <c r="N176" s="64">
        <f t="shared" si="38"/>
        <v>55636912.055854797</v>
      </c>
      <c r="O176" s="79" t="str">
        <f t="shared" si="39"/>
        <v/>
      </c>
      <c r="P176" s="79">
        <f t="shared" si="40"/>
        <v>248284493.86007807</v>
      </c>
      <c r="Q176" s="114">
        <f t="shared" si="41"/>
        <v>553921405.91593289</v>
      </c>
      <c r="R176" s="115">
        <f t="shared" si="42"/>
        <v>2.2156856236637315</v>
      </c>
      <c r="S176" s="31" t="b">
        <f>IF(개요!EA18=0,"",ROUND(개요!EA18,3)=ROUND(R176,3))</f>
        <v>1</v>
      </c>
      <c r="DE176" s="113"/>
      <c r="DL176" s="21"/>
    </row>
    <row r="177" spans="1:116" ht="15" hidden="1" customHeight="1" outlineLevel="1">
      <c r="A177" s="54">
        <v>12</v>
      </c>
      <c r="B177" s="101" t="str">
        <f>IF(개요!K19="","",개요!K19)</f>
        <v/>
      </c>
      <c r="C177" s="102" t="str">
        <f>IF(개요!L19="","",개요!L19)</f>
        <v/>
      </c>
      <c r="D177" s="102" t="str">
        <f>IF(개요!M19="","",개요!M19)</f>
        <v/>
      </c>
      <c r="E177" s="103">
        <f>IF(개요!R19="-","",개요!R19)</f>
        <v>0</v>
      </c>
      <c r="F177" s="103" t="str">
        <f t="shared" si="43"/>
        <v/>
      </c>
      <c r="G177" s="64" t="str">
        <f>IF(개요!Q19=0,"",개요!Q19)</f>
        <v/>
      </c>
      <c r="H177" s="64" t="str">
        <f t="shared" si="37"/>
        <v/>
      </c>
      <c r="I177" s="64" t="str">
        <f>IF(개요!O19=0,"",개요!O19-개요!P19)</f>
        <v/>
      </c>
      <c r="J177" s="93" t="str">
        <f t="shared" si="44"/>
        <v/>
      </c>
      <c r="K177" s="64" t="str">
        <f t="shared" si="45"/>
        <v/>
      </c>
      <c r="L177" s="64" t="str">
        <f t="shared" si="46"/>
        <v/>
      </c>
      <c r="M177" s="64" t="str">
        <f t="shared" si="47"/>
        <v/>
      </c>
      <c r="N177" s="64" t="str">
        <f t="shared" si="38"/>
        <v/>
      </c>
      <c r="O177" s="79" t="str">
        <f t="shared" si="39"/>
        <v/>
      </c>
      <c r="P177" s="79">
        <f t="shared" si="40"/>
        <v>0</v>
      </c>
      <c r="Q177" s="114" t="str">
        <f t="shared" si="41"/>
        <v/>
      </c>
      <c r="R177" s="115" t="str">
        <f t="shared" si="42"/>
        <v/>
      </c>
      <c r="S177" s="31" t="str">
        <f>IF(개요!EA19=0,"",ROUND(개요!EA19,3)=ROUND(R177,3))</f>
        <v/>
      </c>
      <c r="DE177" s="113"/>
      <c r="DL177" s="21"/>
    </row>
    <row r="178" spans="1:116" ht="15" hidden="1" customHeight="1" outlineLevel="1">
      <c r="A178" s="54">
        <v>13</v>
      </c>
      <c r="B178" s="101" t="str">
        <f>IF(개요!K20="","",개요!K20)</f>
        <v/>
      </c>
      <c r="C178" s="102" t="str">
        <f>IF(개요!L20="","",개요!L20)</f>
        <v/>
      </c>
      <c r="D178" s="102" t="str">
        <f>IF(개요!M20="","",개요!M20)</f>
        <v/>
      </c>
      <c r="E178" s="103">
        <f>IF(개요!R20="-","",개요!R20)</f>
        <v>0</v>
      </c>
      <c r="F178" s="103" t="str">
        <f t="shared" si="43"/>
        <v/>
      </c>
      <c r="G178" s="64" t="str">
        <f>IF(개요!Q20=0,"",개요!Q20)</f>
        <v/>
      </c>
      <c r="H178" s="64" t="str">
        <f t="shared" si="37"/>
        <v/>
      </c>
      <c r="I178" s="64" t="str">
        <f>IF(개요!O20=0,"",개요!O20-개요!P20)</f>
        <v/>
      </c>
      <c r="J178" s="93" t="str">
        <f t="shared" si="44"/>
        <v/>
      </c>
      <c r="K178" s="64" t="str">
        <f t="shared" si="45"/>
        <v/>
      </c>
      <c r="L178" s="64" t="str">
        <f t="shared" si="46"/>
        <v/>
      </c>
      <c r="M178" s="64" t="str">
        <f t="shared" si="47"/>
        <v/>
      </c>
      <c r="N178" s="64" t="str">
        <f t="shared" si="38"/>
        <v/>
      </c>
      <c r="O178" s="79" t="str">
        <f t="shared" si="39"/>
        <v/>
      </c>
      <c r="P178" s="79">
        <f t="shared" si="40"/>
        <v>0</v>
      </c>
      <c r="Q178" s="114" t="str">
        <f t="shared" si="41"/>
        <v/>
      </c>
      <c r="R178" s="115" t="str">
        <f t="shared" si="42"/>
        <v/>
      </c>
      <c r="S178" s="31" t="str">
        <f>IF(개요!EA20=0,"",ROUND(개요!EA20,3)=ROUND(R178,3))</f>
        <v/>
      </c>
      <c r="DE178" s="113"/>
      <c r="DL178" s="21"/>
    </row>
    <row r="179" spans="1:116" ht="15" hidden="1" customHeight="1" outlineLevel="1">
      <c r="A179" s="54">
        <v>14</v>
      </c>
      <c r="B179" s="101" t="str">
        <f>IF(개요!K21="","",개요!K21)</f>
        <v/>
      </c>
      <c r="C179" s="102" t="str">
        <f>IF(개요!L21="","",개요!L21)</f>
        <v/>
      </c>
      <c r="D179" s="102" t="str">
        <f>IF(개요!M21="","",개요!M21)</f>
        <v/>
      </c>
      <c r="E179" s="103">
        <f>IF(개요!R21="-","",개요!R21)</f>
        <v>0</v>
      </c>
      <c r="F179" s="103" t="str">
        <f t="shared" si="43"/>
        <v/>
      </c>
      <c r="G179" s="64" t="str">
        <f>IF(개요!Q21=0,"",개요!Q21)</f>
        <v/>
      </c>
      <c r="H179" s="64" t="str">
        <f t="shared" si="37"/>
        <v/>
      </c>
      <c r="I179" s="64" t="str">
        <f>IF(개요!O21=0,"",개요!O21-개요!P21)</f>
        <v/>
      </c>
      <c r="J179" s="93" t="str">
        <f t="shared" si="44"/>
        <v/>
      </c>
      <c r="K179" s="64" t="str">
        <f t="shared" si="45"/>
        <v/>
      </c>
      <c r="L179" s="64" t="str">
        <f t="shared" si="46"/>
        <v/>
      </c>
      <c r="M179" s="64" t="str">
        <f t="shared" si="47"/>
        <v/>
      </c>
      <c r="N179" s="64" t="str">
        <f t="shared" si="38"/>
        <v/>
      </c>
      <c r="O179" s="79" t="str">
        <f t="shared" si="39"/>
        <v/>
      </c>
      <c r="P179" s="79">
        <f t="shared" si="40"/>
        <v>0</v>
      </c>
      <c r="Q179" s="114" t="str">
        <f t="shared" si="41"/>
        <v/>
      </c>
      <c r="R179" s="115" t="str">
        <f t="shared" si="42"/>
        <v/>
      </c>
      <c r="S179" s="31" t="str">
        <f>IF(개요!EA21=0,"",ROUND(개요!EA21,3)=ROUND(R179,3))</f>
        <v/>
      </c>
      <c r="DE179" s="113"/>
      <c r="DL179" s="21"/>
    </row>
    <row r="180" spans="1:116" ht="15" hidden="1" customHeight="1" outlineLevel="1">
      <c r="A180" s="54">
        <v>15</v>
      </c>
      <c r="B180" s="101" t="str">
        <f>IF(개요!K22="","",개요!K22)</f>
        <v/>
      </c>
      <c r="C180" s="102" t="str">
        <f>IF(개요!L22="","",개요!L22)</f>
        <v/>
      </c>
      <c r="D180" s="102" t="str">
        <f>IF(개요!M22="","",개요!M22)</f>
        <v/>
      </c>
      <c r="E180" s="103">
        <f>IF(개요!R22="-","",개요!R22)</f>
        <v>0</v>
      </c>
      <c r="F180" s="103" t="str">
        <f t="shared" si="43"/>
        <v/>
      </c>
      <c r="G180" s="64" t="str">
        <f>IF(개요!Q22=0,"",개요!Q22)</f>
        <v/>
      </c>
      <c r="H180" s="64" t="str">
        <f t="shared" si="37"/>
        <v/>
      </c>
      <c r="I180" s="64" t="str">
        <f>IF(개요!O22=0,"",개요!O22-개요!P22)</f>
        <v/>
      </c>
      <c r="J180" s="93" t="str">
        <f t="shared" si="44"/>
        <v/>
      </c>
      <c r="K180" s="64" t="str">
        <f t="shared" si="45"/>
        <v/>
      </c>
      <c r="L180" s="64" t="str">
        <f t="shared" si="46"/>
        <v/>
      </c>
      <c r="M180" s="64" t="str">
        <f t="shared" si="47"/>
        <v/>
      </c>
      <c r="N180" s="64" t="str">
        <f t="shared" si="38"/>
        <v/>
      </c>
      <c r="O180" s="79" t="str">
        <f t="shared" si="39"/>
        <v/>
      </c>
      <c r="P180" s="79">
        <f t="shared" si="40"/>
        <v>0</v>
      </c>
      <c r="Q180" s="114" t="str">
        <f t="shared" si="41"/>
        <v/>
      </c>
      <c r="R180" s="115" t="str">
        <f t="shared" si="42"/>
        <v/>
      </c>
      <c r="S180" s="31" t="str">
        <f>IF(개요!EA22=0,"",ROUND(개요!EA22,3)=ROUND(R180,3))</f>
        <v/>
      </c>
      <c r="DE180" s="113"/>
      <c r="DL180" s="21"/>
    </row>
    <row r="181" spans="1:116" ht="15" hidden="1" customHeight="1" outlineLevel="1">
      <c r="A181" s="54">
        <v>16</v>
      </c>
      <c r="B181" s="101" t="str">
        <f>IF(개요!K23="","",개요!K23)</f>
        <v/>
      </c>
      <c r="C181" s="102" t="str">
        <f>IF(개요!L23="","",개요!L23)</f>
        <v/>
      </c>
      <c r="D181" s="102" t="str">
        <f>IF(개요!M23="","",개요!M23)</f>
        <v/>
      </c>
      <c r="E181" s="103">
        <f>IF(개요!R23="-","",개요!R23)</f>
        <v>0</v>
      </c>
      <c r="F181" s="103" t="str">
        <f t="shared" si="43"/>
        <v/>
      </c>
      <c r="G181" s="64" t="str">
        <f>IF(개요!Q23=0,"",개요!Q23)</f>
        <v/>
      </c>
      <c r="H181" s="64" t="str">
        <f t="shared" si="37"/>
        <v/>
      </c>
      <c r="I181" s="64" t="str">
        <f>IF(개요!O23=0,"",개요!O23-개요!P23)</f>
        <v/>
      </c>
      <c r="J181" s="93" t="str">
        <f t="shared" si="44"/>
        <v/>
      </c>
      <c r="K181" s="64" t="str">
        <f t="shared" si="45"/>
        <v/>
      </c>
      <c r="L181" s="64" t="str">
        <f t="shared" si="46"/>
        <v/>
      </c>
      <c r="M181" s="64" t="str">
        <f t="shared" si="47"/>
        <v/>
      </c>
      <c r="N181" s="64" t="str">
        <f t="shared" si="38"/>
        <v/>
      </c>
      <c r="O181" s="79" t="str">
        <f t="shared" si="39"/>
        <v/>
      </c>
      <c r="P181" s="79">
        <f t="shared" si="40"/>
        <v>0</v>
      </c>
      <c r="Q181" s="114" t="str">
        <f t="shared" si="41"/>
        <v/>
      </c>
      <c r="R181" s="115" t="str">
        <f t="shared" si="42"/>
        <v/>
      </c>
      <c r="S181" s="31" t="str">
        <f>IF(개요!EA23=0,"",ROUND(개요!EA23,3)=ROUND(R181,3))</f>
        <v/>
      </c>
      <c r="DE181" s="113"/>
      <c r="DL181" s="21"/>
    </row>
    <row r="182" spans="1:116" ht="15" hidden="1" customHeight="1" outlineLevel="1">
      <c r="A182" s="54">
        <v>17</v>
      </c>
      <c r="B182" s="101" t="str">
        <f>IF(개요!K24="","",개요!K24)</f>
        <v/>
      </c>
      <c r="C182" s="102" t="str">
        <f>IF(개요!L24="","",개요!L24)</f>
        <v/>
      </c>
      <c r="D182" s="102" t="str">
        <f>IF(개요!M24="","",개요!M24)</f>
        <v/>
      </c>
      <c r="E182" s="103">
        <f>IF(개요!R24="-","",개요!R24)</f>
        <v>0</v>
      </c>
      <c r="F182" s="103" t="str">
        <f t="shared" si="43"/>
        <v/>
      </c>
      <c r="G182" s="64" t="str">
        <f>IF(개요!Q24=0,"",개요!Q24)</f>
        <v/>
      </c>
      <c r="H182" s="64" t="str">
        <f t="shared" si="37"/>
        <v/>
      </c>
      <c r="I182" s="64" t="str">
        <f>IF(개요!O24=0,"",개요!O24-개요!P24)</f>
        <v/>
      </c>
      <c r="J182" s="93" t="str">
        <f t="shared" si="44"/>
        <v/>
      </c>
      <c r="K182" s="64" t="str">
        <f t="shared" si="45"/>
        <v/>
      </c>
      <c r="L182" s="64" t="str">
        <f t="shared" si="46"/>
        <v/>
      </c>
      <c r="M182" s="64" t="str">
        <f t="shared" si="47"/>
        <v/>
      </c>
      <c r="N182" s="64" t="str">
        <f t="shared" si="38"/>
        <v/>
      </c>
      <c r="O182" s="79" t="str">
        <f t="shared" si="39"/>
        <v/>
      </c>
      <c r="P182" s="79">
        <f t="shared" si="40"/>
        <v>0</v>
      </c>
      <c r="Q182" s="114" t="str">
        <f t="shared" si="41"/>
        <v/>
      </c>
      <c r="R182" s="115" t="str">
        <f t="shared" si="42"/>
        <v/>
      </c>
      <c r="S182" s="31" t="str">
        <f>IF(개요!EA24=0,"",ROUND(개요!EA24,3)=ROUND(R182,3))</f>
        <v/>
      </c>
      <c r="DE182" s="113"/>
      <c r="DL182" s="21"/>
    </row>
    <row r="183" spans="1:116" ht="15" hidden="1" customHeight="1" outlineLevel="1">
      <c r="A183" s="54">
        <v>18</v>
      </c>
      <c r="B183" s="101" t="str">
        <f>IF(개요!K25="","",개요!K25)</f>
        <v/>
      </c>
      <c r="C183" s="102" t="str">
        <f>IF(개요!L25="","",개요!L25)</f>
        <v/>
      </c>
      <c r="D183" s="102" t="str">
        <f>IF(개요!M25="","",개요!M25)</f>
        <v/>
      </c>
      <c r="E183" s="103">
        <f>IF(개요!R25="-","",개요!R25)</f>
        <v>0</v>
      </c>
      <c r="F183" s="103" t="str">
        <f t="shared" si="43"/>
        <v/>
      </c>
      <c r="G183" s="64" t="str">
        <f>IF(개요!Q25=0,"",개요!Q25)</f>
        <v/>
      </c>
      <c r="H183" s="64" t="str">
        <f t="shared" si="37"/>
        <v/>
      </c>
      <c r="I183" s="64" t="str">
        <f>IF(개요!O25=0,"",개요!O25-개요!P25)</f>
        <v/>
      </c>
      <c r="J183" s="93" t="str">
        <f t="shared" si="44"/>
        <v/>
      </c>
      <c r="K183" s="64" t="str">
        <f t="shared" si="45"/>
        <v/>
      </c>
      <c r="L183" s="64" t="str">
        <f t="shared" si="46"/>
        <v/>
      </c>
      <c r="M183" s="64" t="str">
        <f t="shared" si="47"/>
        <v/>
      </c>
      <c r="N183" s="64" t="str">
        <f t="shared" si="38"/>
        <v/>
      </c>
      <c r="O183" s="79" t="str">
        <f t="shared" si="39"/>
        <v/>
      </c>
      <c r="P183" s="79">
        <f t="shared" si="40"/>
        <v>0</v>
      </c>
      <c r="Q183" s="114" t="str">
        <f t="shared" si="41"/>
        <v/>
      </c>
      <c r="R183" s="115" t="str">
        <f t="shared" si="42"/>
        <v/>
      </c>
      <c r="S183" s="31" t="str">
        <f>IF(개요!EA25=0,"",ROUND(개요!EA25,3)=ROUND(R183,3))</f>
        <v/>
      </c>
      <c r="DE183" s="113"/>
      <c r="DL183" s="21"/>
    </row>
    <row r="184" spans="1:116" ht="15" hidden="1" customHeight="1" outlineLevel="1">
      <c r="A184" s="54">
        <v>19</v>
      </c>
      <c r="B184" s="101" t="str">
        <f>IF(개요!K26="","",개요!K26)</f>
        <v/>
      </c>
      <c r="C184" s="102" t="str">
        <f>IF(개요!L26="","",개요!L26)</f>
        <v/>
      </c>
      <c r="D184" s="102" t="str">
        <f>IF(개요!M26="","",개요!M26)</f>
        <v/>
      </c>
      <c r="E184" s="103">
        <f>IF(개요!R26="-","",개요!R26)</f>
        <v>0</v>
      </c>
      <c r="F184" s="103" t="str">
        <f t="shared" si="43"/>
        <v/>
      </c>
      <c r="G184" s="64" t="str">
        <f>IF(개요!Q26=0,"",개요!Q26)</f>
        <v/>
      </c>
      <c r="H184" s="64" t="str">
        <f t="shared" si="37"/>
        <v/>
      </c>
      <c r="I184" s="64" t="str">
        <f>IF(개요!O26=0,"",개요!O26-개요!P26)</f>
        <v/>
      </c>
      <c r="J184" s="93" t="str">
        <f t="shared" si="44"/>
        <v/>
      </c>
      <c r="K184" s="64" t="str">
        <f t="shared" si="45"/>
        <v/>
      </c>
      <c r="L184" s="64" t="str">
        <f t="shared" si="46"/>
        <v/>
      </c>
      <c r="M184" s="64" t="str">
        <f t="shared" si="47"/>
        <v/>
      </c>
      <c r="N184" s="64" t="str">
        <f t="shared" si="38"/>
        <v/>
      </c>
      <c r="O184" s="79" t="str">
        <f t="shared" si="39"/>
        <v/>
      </c>
      <c r="P184" s="79">
        <f t="shared" si="40"/>
        <v>0</v>
      </c>
      <c r="Q184" s="114" t="str">
        <f t="shared" si="41"/>
        <v/>
      </c>
      <c r="R184" s="115" t="str">
        <f t="shared" si="42"/>
        <v/>
      </c>
      <c r="S184" s="31" t="str">
        <f>IF(개요!EA26=0,"",ROUND(개요!EA26,3)=ROUND(R184,3))</f>
        <v/>
      </c>
      <c r="DE184" s="113"/>
      <c r="DL184" s="21"/>
    </row>
    <row r="185" spans="1:116" ht="15" hidden="1" customHeight="1" outlineLevel="1">
      <c r="A185" s="54">
        <v>20</v>
      </c>
      <c r="B185" s="101" t="str">
        <f>IF(개요!K27="","",개요!K27)</f>
        <v/>
      </c>
      <c r="C185" s="102" t="str">
        <f>IF(개요!L27="","",개요!L27)</f>
        <v/>
      </c>
      <c r="D185" s="102" t="str">
        <f>IF(개요!M27="","",개요!M27)</f>
        <v/>
      </c>
      <c r="E185" s="103">
        <f>IF(개요!R27="-","",개요!R27)</f>
        <v>0</v>
      </c>
      <c r="F185" s="103" t="str">
        <f t="shared" si="43"/>
        <v/>
      </c>
      <c r="G185" s="64" t="str">
        <f>IF(개요!Q27=0,"",개요!Q27)</f>
        <v/>
      </c>
      <c r="H185" s="64" t="str">
        <f t="shared" si="37"/>
        <v/>
      </c>
      <c r="I185" s="64" t="str">
        <f>IF(개요!O27=0,"",개요!O27-개요!P27)</f>
        <v/>
      </c>
      <c r="J185" s="93" t="str">
        <f t="shared" si="44"/>
        <v/>
      </c>
      <c r="K185" s="64" t="str">
        <f t="shared" si="45"/>
        <v/>
      </c>
      <c r="L185" s="64" t="str">
        <f t="shared" si="46"/>
        <v/>
      </c>
      <c r="M185" s="64" t="str">
        <f t="shared" si="47"/>
        <v/>
      </c>
      <c r="N185" s="64" t="str">
        <f t="shared" si="38"/>
        <v/>
      </c>
      <c r="O185" s="79" t="str">
        <f t="shared" si="39"/>
        <v/>
      </c>
      <c r="P185" s="79">
        <f t="shared" si="40"/>
        <v>0</v>
      </c>
      <c r="Q185" s="114" t="str">
        <f t="shared" si="41"/>
        <v/>
      </c>
      <c r="R185" s="115" t="str">
        <f t="shared" si="42"/>
        <v/>
      </c>
      <c r="S185" s="31" t="str">
        <f>IF(개요!EA27=0,"",ROUND(개요!EA27,3)=ROUND(R185,3))</f>
        <v/>
      </c>
      <c r="DE185" s="113"/>
      <c r="DL185" s="21"/>
    </row>
    <row r="186" spans="1:116" ht="15" hidden="1" customHeight="1" outlineLevel="1">
      <c r="A186" s="54">
        <v>21</v>
      </c>
      <c r="B186" s="101" t="str">
        <f>IF(개요!K28="","",개요!K28)</f>
        <v/>
      </c>
      <c r="C186" s="102" t="str">
        <f>IF(개요!L28="","",개요!L28)</f>
        <v/>
      </c>
      <c r="D186" s="102" t="str">
        <f>IF(개요!M28="","",개요!M28)</f>
        <v/>
      </c>
      <c r="E186" s="103">
        <f>IF(개요!R28="-","",개요!R28)</f>
        <v>0</v>
      </c>
      <c r="F186" s="103" t="str">
        <f t="shared" si="43"/>
        <v/>
      </c>
      <c r="G186" s="64" t="str">
        <f>IF(개요!Q28=0,"",개요!Q28)</f>
        <v/>
      </c>
      <c r="H186" s="64" t="str">
        <f t="shared" si="37"/>
        <v/>
      </c>
      <c r="I186" s="64" t="str">
        <f>IF(개요!O28=0,"",개요!O28-개요!P28)</f>
        <v/>
      </c>
      <c r="J186" s="93" t="str">
        <f t="shared" si="44"/>
        <v/>
      </c>
      <c r="K186" s="64" t="str">
        <f t="shared" si="45"/>
        <v/>
      </c>
      <c r="L186" s="64" t="str">
        <f t="shared" si="46"/>
        <v/>
      </c>
      <c r="M186" s="64" t="str">
        <f t="shared" si="47"/>
        <v/>
      </c>
      <c r="N186" s="64" t="str">
        <f t="shared" si="38"/>
        <v/>
      </c>
      <c r="O186" s="79" t="str">
        <f t="shared" si="39"/>
        <v/>
      </c>
      <c r="P186" s="79">
        <f t="shared" si="40"/>
        <v>0</v>
      </c>
      <c r="Q186" s="114" t="str">
        <f t="shared" si="41"/>
        <v/>
      </c>
      <c r="R186" s="115" t="str">
        <f t="shared" si="42"/>
        <v/>
      </c>
      <c r="S186" s="31" t="str">
        <f>IF(개요!EA28=0,"",ROUND(개요!EA28,3)=ROUND(R186,3))</f>
        <v/>
      </c>
      <c r="DE186" s="113"/>
      <c r="DL186" s="21"/>
    </row>
    <row r="187" spans="1:116" ht="15" hidden="1" customHeight="1" outlineLevel="1">
      <c r="A187" s="54">
        <v>22</v>
      </c>
      <c r="B187" s="101" t="str">
        <f>IF(개요!K29="","",개요!K29)</f>
        <v/>
      </c>
      <c r="C187" s="102" t="str">
        <f>IF(개요!L29="","",개요!L29)</f>
        <v/>
      </c>
      <c r="D187" s="102" t="str">
        <f>IF(개요!M29="","",개요!M29)</f>
        <v/>
      </c>
      <c r="E187" s="103">
        <f>IF(개요!R29="-","",개요!R29)</f>
        <v>0</v>
      </c>
      <c r="F187" s="103" t="str">
        <f t="shared" si="43"/>
        <v/>
      </c>
      <c r="G187" s="64" t="str">
        <f>IF(개요!Q29=0,"",개요!Q29)</f>
        <v/>
      </c>
      <c r="H187" s="64" t="str">
        <f t="shared" si="37"/>
        <v/>
      </c>
      <c r="I187" s="64" t="str">
        <f>IF(개요!O29=0,"",개요!O29-개요!P29)</f>
        <v/>
      </c>
      <c r="J187" s="93" t="str">
        <f t="shared" si="44"/>
        <v/>
      </c>
      <c r="K187" s="64" t="str">
        <f t="shared" si="45"/>
        <v/>
      </c>
      <c r="L187" s="64" t="str">
        <f t="shared" si="46"/>
        <v/>
      </c>
      <c r="M187" s="64" t="str">
        <f t="shared" si="47"/>
        <v/>
      </c>
      <c r="N187" s="64" t="str">
        <f t="shared" si="38"/>
        <v/>
      </c>
      <c r="O187" s="79" t="str">
        <f t="shared" si="39"/>
        <v/>
      </c>
      <c r="P187" s="79">
        <f t="shared" si="40"/>
        <v>0</v>
      </c>
      <c r="Q187" s="114" t="str">
        <f t="shared" si="41"/>
        <v/>
      </c>
      <c r="R187" s="115" t="str">
        <f t="shared" si="42"/>
        <v/>
      </c>
      <c r="S187" s="31" t="str">
        <f>IF(개요!EA29=0,"",ROUND(개요!EA29,3)=ROUND(R187,3))</f>
        <v/>
      </c>
      <c r="DE187" s="113"/>
      <c r="DL187" s="21"/>
    </row>
    <row r="188" spans="1:116" ht="15" hidden="1" customHeight="1" outlineLevel="1">
      <c r="A188" s="54">
        <v>23</v>
      </c>
      <c r="B188" s="101" t="str">
        <f>IF(개요!K30="","",개요!K30)</f>
        <v/>
      </c>
      <c r="C188" s="102" t="str">
        <f>IF(개요!L30="","",개요!L30)</f>
        <v/>
      </c>
      <c r="D188" s="102" t="str">
        <f>IF(개요!M30="","",개요!M30)</f>
        <v/>
      </c>
      <c r="E188" s="103">
        <f>IF(개요!R30="-","",개요!R30)</f>
        <v>0</v>
      </c>
      <c r="F188" s="103" t="str">
        <f t="shared" si="43"/>
        <v/>
      </c>
      <c r="G188" s="64" t="str">
        <f>IF(개요!Q30=0,"",개요!Q30)</f>
        <v/>
      </c>
      <c r="H188" s="64" t="str">
        <f t="shared" si="37"/>
        <v/>
      </c>
      <c r="I188" s="64" t="str">
        <f>IF(개요!O30=0,"",개요!O30-개요!P30)</f>
        <v/>
      </c>
      <c r="J188" s="93" t="str">
        <f t="shared" si="44"/>
        <v/>
      </c>
      <c r="K188" s="64" t="str">
        <f t="shared" si="45"/>
        <v/>
      </c>
      <c r="L188" s="64" t="str">
        <f t="shared" si="46"/>
        <v/>
      </c>
      <c r="M188" s="64" t="str">
        <f t="shared" si="47"/>
        <v/>
      </c>
      <c r="N188" s="64" t="str">
        <f t="shared" si="38"/>
        <v/>
      </c>
      <c r="O188" s="79" t="str">
        <f t="shared" si="39"/>
        <v/>
      </c>
      <c r="P188" s="79">
        <f t="shared" si="40"/>
        <v>0</v>
      </c>
      <c r="Q188" s="114" t="str">
        <f t="shared" si="41"/>
        <v/>
      </c>
      <c r="R188" s="115" t="str">
        <f t="shared" si="42"/>
        <v/>
      </c>
      <c r="S188" s="31" t="str">
        <f>IF(개요!EA30=0,"",ROUND(개요!EA30,3)=ROUND(R188,3))</f>
        <v/>
      </c>
      <c r="DE188" s="113"/>
      <c r="DL188" s="21"/>
    </row>
    <row r="189" spans="1:116" ht="15" hidden="1" customHeight="1" outlineLevel="1">
      <c r="A189" s="54">
        <v>24</v>
      </c>
      <c r="B189" s="101" t="str">
        <f>IF(개요!K31="","",개요!K31)</f>
        <v/>
      </c>
      <c r="C189" s="102" t="str">
        <f>IF(개요!L31="","",개요!L31)</f>
        <v/>
      </c>
      <c r="D189" s="102" t="str">
        <f>IF(개요!M31="","",개요!M31)</f>
        <v/>
      </c>
      <c r="E189" s="103">
        <f>IF(개요!R31="-","",개요!R31)</f>
        <v>0</v>
      </c>
      <c r="F189" s="103" t="str">
        <f t="shared" si="43"/>
        <v/>
      </c>
      <c r="G189" s="64" t="str">
        <f>IF(개요!Q31=0,"",개요!Q31)</f>
        <v/>
      </c>
      <c r="H189" s="64" t="str">
        <f t="shared" si="37"/>
        <v/>
      </c>
      <c r="I189" s="64" t="str">
        <f>IF(개요!O31=0,"",개요!O31-개요!P31)</f>
        <v/>
      </c>
      <c r="J189" s="93" t="str">
        <f t="shared" si="44"/>
        <v/>
      </c>
      <c r="K189" s="64" t="str">
        <f t="shared" si="45"/>
        <v/>
      </c>
      <c r="L189" s="64" t="str">
        <f t="shared" si="46"/>
        <v/>
      </c>
      <c r="M189" s="64" t="str">
        <f t="shared" si="47"/>
        <v/>
      </c>
      <c r="N189" s="64" t="str">
        <f t="shared" si="38"/>
        <v/>
      </c>
      <c r="O189" s="79" t="str">
        <f t="shared" si="39"/>
        <v/>
      </c>
      <c r="P189" s="79">
        <f t="shared" si="40"/>
        <v>0</v>
      </c>
      <c r="Q189" s="114" t="str">
        <f t="shared" si="41"/>
        <v/>
      </c>
      <c r="R189" s="115" t="str">
        <f t="shared" si="42"/>
        <v/>
      </c>
      <c r="S189" s="31" t="str">
        <f>IF(개요!EA31=0,"",ROUND(개요!EA31,3)=ROUND(R189,3))</f>
        <v/>
      </c>
      <c r="DE189" s="113"/>
      <c r="DL189" s="21"/>
    </row>
    <row r="190" spans="1:116" ht="15" hidden="1" customHeight="1" outlineLevel="1">
      <c r="A190" s="54">
        <v>25</v>
      </c>
      <c r="B190" s="101" t="str">
        <f>IF(개요!K32="","",개요!K32)</f>
        <v/>
      </c>
      <c r="C190" s="102" t="str">
        <f>IF(개요!L32="","",개요!L32)</f>
        <v/>
      </c>
      <c r="D190" s="102" t="str">
        <f>IF(개요!M32="","",개요!M32)</f>
        <v/>
      </c>
      <c r="E190" s="103">
        <f>IF(개요!R32="-","",개요!R32)</f>
        <v>0</v>
      </c>
      <c r="F190" s="103" t="str">
        <f t="shared" si="43"/>
        <v/>
      </c>
      <c r="G190" s="64" t="str">
        <f>IF(개요!Q32=0,"",개요!Q32)</f>
        <v/>
      </c>
      <c r="H190" s="64" t="str">
        <f t="shared" si="37"/>
        <v/>
      </c>
      <c r="I190" s="64" t="str">
        <f>IF(개요!O32=0,"",개요!O32-개요!P32)</f>
        <v/>
      </c>
      <c r="J190" s="93" t="str">
        <f t="shared" si="44"/>
        <v/>
      </c>
      <c r="K190" s="64" t="str">
        <f t="shared" si="45"/>
        <v/>
      </c>
      <c r="L190" s="64" t="str">
        <f t="shared" si="46"/>
        <v/>
      </c>
      <c r="M190" s="64" t="str">
        <f t="shared" si="47"/>
        <v/>
      </c>
      <c r="N190" s="64" t="str">
        <f t="shared" si="38"/>
        <v/>
      </c>
      <c r="O190" s="79" t="str">
        <f t="shared" si="39"/>
        <v/>
      </c>
      <c r="P190" s="79">
        <f t="shared" si="40"/>
        <v>0</v>
      </c>
      <c r="Q190" s="114" t="str">
        <f t="shared" si="41"/>
        <v/>
      </c>
      <c r="R190" s="115" t="str">
        <f t="shared" si="42"/>
        <v/>
      </c>
      <c r="S190" s="31" t="str">
        <f>IF(개요!EA32=0,"",ROUND(개요!EA32,3)=ROUND(R190,3))</f>
        <v/>
      </c>
      <c r="DE190" s="113"/>
      <c r="DL190" s="21"/>
    </row>
    <row r="191" spans="1:116" ht="15" hidden="1" customHeight="1" outlineLevel="1">
      <c r="A191" s="54">
        <v>26</v>
      </c>
      <c r="B191" s="101" t="str">
        <f>IF(개요!K33="","",개요!K33)</f>
        <v/>
      </c>
      <c r="C191" s="102" t="str">
        <f>IF(개요!L33="","",개요!L33)</f>
        <v/>
      </c>
      <c r="D191" s="102" t="str">
        <f>IF(개요!M33="","",개요!M33)</f>
        <v/>
      </c>
      <c r="E191" s="103">
        <f>IF(개요!R33="-","",개요!R33)</f>
        <v>0</v>
      </c>
      <c r="F191" s="103" t="str">
        <f t="shared" si="43"/>
        <v/>
      </c>
      <c r="G191" s="64" t="str">
        <f>IF(개요!Q33=0,"",개요!Q33)</f>
        <v/>
      </c>
      <c r="H191" s="64" t="str">
        <f t="shared" si="37"/>
        <v/>
      </c>
      <c r="I191" s="64" t="str">
        <f>IF(개요!O33=0,"",개요!O33-개요!P33)</f>
        <v/>
      </c>
      <c r="J191" s="93" t="str">
        <f t="shared" si="44"/>
        <v/>
      </c>
      <c r="K191" s="64" t="str">
        <f t="shared" si="45"/>
        <v/>
      </c>
      <c r="L191" s="64" t="str">
        <f t="shared" si="46"/>
        <v/>
      </c>
      <c r="M191" s="64" t="str">
        <f t="shared" si="47"/>
        <v/>
      </c>
      <c r="N191" s="64" t="str">
        <f t="shared" si="38"/>
        <v/>
      </c>
      <c r="O191" s="79" t="str">
        <f t="shared" si="39"/>
        <v/>
      </c>
      <c r="P191" s="79">
        <f t="shared" si="40"/>
        <v>0</v>
      </c>
      <c r="Q191" s="114" t="str">
        <f t="shared" si="41"/>
        <v/>
      </c>
      <c r="R191" s="115" t="str">
        <f t="shared" si="42"/>
        <v/>
      </c>
      <c r="S191" s="31" t="str">
        <f>IF(개요!EA33=0,"",ROUND(개요!EA33,3)=ROUND(R191,3))</f>
        <v/>
      </c>
      <c r="DE191" s="113"/>
      <c r="DL191" s="21"/>
    </row>
    <row r="192" spans="1:116" ht="15" hidden="1" customHeight="1" outlineLevel="1">
      <c r="A192" s="54">
        <v>27</v>
      </c>
      <c r="B192" s="101" t="str">
        <f>IF(개요!K34="","",개요!K34)</f>
        <v/>
      </c>
      <c r="C192" s="102" t="str">
        <f>IF(개요!L34="","",개요!L34)</f>
        <v/>
      </c>
      <c r="D192" s="102" t="str">
        <f>IF(개요!M34="","",개요!M34)</f>
        <v/>
      </c>
      <c r="E192" s="103">
        <f>IF(개요!R34="-","",개요!R34)</f>
        <v>0</v>
      </c>
      <c r="F192" s="103" t="str">
        <f t="shared" si="43"/>
        <v/>
      </c>
      <c r="G192" s="64" t="str">
        <f>IF(개요!Q34=0,"",개요!Q34)</f>
        <v/>
      </c>
      <c r="H192" s="64" t="str">
        <f t="shared" si="37"/>
        <v/>
      </c>
      <c r="I192" s="64" t="str">
        <f>IF(개요!O34=0,"",개요!O34-개요!P34)</f>
        <v/>
      </c>
      <c r="J192" s="93" t="str">
        <f t="shared" si="44"/>
        <v/>
      </c>
      <c r="K192" s="64" t="str">
        <f t="shared" si="45"/>
        <v/>
      </c>
      <c r="L192" s="64" t="str">
        <f t="shared" si="46"/>
        <v/>
      </c>
      <c r="M192" s="64" t="str">
        <f t="shared" si="47"/>
        <v/>
      </c>
      <c r="N192" s="64" t="str">
        <f t="shared" si="38"/>
        <v/>
      </c>
      <c r="O192" s="79" t="str">
        <f t="shared" si="39"/>
        <v/>
      </c>
      <c r="P192" s="79">
        <f t="shared" si="40"/>
        <v>0</v>
      </c>
      <c r="Q192" s="114" t="str">
        <f t="shared" si="41"/>
        <v/>
      </c>
      <c r="R192" s="115" t="str">
        <f t="shared" si="42"/>
        <v/>
      </c>
      <c r="S192" s="31" t="str">
        <f>IF(개요!EA34=0,"",ROUND(개요!EA34,3)=ROUND(R192,3))</f>
        <v/>
      </c>
      <c r="DE192" s="113"/>
      <c r="DL192" s="21"/>
    </row>
    <row r="193" spans="1:116" ht="15" hidden="1" customHeight="1" outlineLevel="1">
      <c r="A193" s="54">
        <v>28</v>
      </c>
      <c r="B193" s="101" t="str">
        <f>IF(개요!K35="","",개요!K35)</f>
        <v/>
      </c>
      <c r="C193" s="102" t="str">
        <f>IF(개요!L35="","",개요!L35)</f>
        <v/>
      </c>
      <c r="D193" s="102" t="str">
        <f>IF(개요!M35="","",개요!M35)</f>
        <v/>
      </c>
      <c r="E193" s="103">
        <f>IF(개요!R35="-","",개요!R35)</f>
        <v>0</v>
      </c>
      <c r="F193" s="103" t="str">
        <f t="shared" si="43"/>
        <v/>
      </c>
      <c r="G193" s="64" t="str">
        <f>IF(개요!Q35=0,"",개요!Q35)</f>
        <v/>
      </c>
      <c r="H193" s="64" t="str">
        <f t="shared" si="37"/>
        <v/>
      </c>
      <c r="I193" s="64" t="str">
        <f>IF(개요!O35=0,"",개요!O35-개요!P35)</f>
        <v/>
      </c>
      <c r="J193" s="93" t="str">
        <f t="shared" si="44"/>
        <v/>
      </c>
      <c r="K193" s="64" t="str">
        <f t="shared" si="45"/>
        <v/>
      </c>
      <c r="L193" s="64" t="str">
        <f t="shared" si="46"/>
        <v/>
      </c>
      <c r="M193" s="64" t="str">
        <f t="shared" si="47"/>
        <v/>
      </c>
      <c r="N193" s="64" t="str">
        <f t="shared" si="38"/>
        <v/>
      </c>
      <c r="O193" s="79" t="str">
        <f t="shared" si="39"/>
        <v/>
      </c>
      <c r="P193" s="79">
        <f t="shared" si="40"/>
        <v>0</v>
      </c>
      <c r="Q193" s="114" t="str">
        <f t="shared" si="41"/>
        <v/>
      </c>
      <c r="R193" s="115" t="str">
        <f t="shared" si="42"/>
        <v/>
      </c>
      <c r="S193" s="31" t="str">
        <f>IF(개요!EA35=0,"",ROUND(개요!EA35,3)=ROUND(R193,3))</f>
        <v/>
      </c>
      <c r="DE193" s="113"/>
      <c r="DL193" s="21"/>
    </row>
    <row r="194" spans="1:116" ht="15" hidden="1" customHeight="1" outlineLevel="1">
      <c r="A194" s="54">
        <v>29</v>
      </c>
      <c r="B194" s="101" t="str">
        <f>IF(개요!K36="","",개요!K36)</f>
        <v/>
      </c>
      <c r="C194" s="102" t="str">
        <f>IF(개요!L36="","",개요!L36)</f>
        <v/>
      </c>
      <c r="D194" s="102" t="str">
        <f>IF(개요!M36="","",개요!M36)</f>
        <v/>
      </c>
      <c r="E194" s="103">
        <f>IF(개요!R36="-","",개요!R36)</f>
        <v>0</v>
      </c>
      <c r="F194" s="103" t="str">
        <f t="shared" si="43"/>
        <v/>
      </c>
      <c r="G194" s="64" t="str">
        <f>IF(개요!Q36=0,"",개요!Q36)</f>
        <v/>
      </c>
      <c r="H194" s="64" t="str">
        <f t="shared" si="37"/>
        <v/>
      </c>
      <c r="I194" s="64" t="str">
        <f>IF(개요!O36=0,"",개요!O36-개요!P36)</f>
        <v/>
      </c>
      <c r="J194" s="93" t="str">
        <f t="shared" si="44"/>
        <v/>
      </c>
      <c r="K194" s="64" t="str">
        <f t="shared" si="45"/>
        <v/>
      </c>
      <c r="L194" s="64" t="str">
        <f t="shared" si="46"/>
        <v/>
      </c>
      <c r="M194" s="64" t="str">
        <f t="shared" si="47"/>
        <v/>
      </c>
      <c r="N194" s="64" t="str">
        <f t="shared" si="38"/>
        <v/>
      </c>
      <c r="O194" s="79" t="str">
        <f t="shared" si="39"/>
        <v/>
      </c>
      <c r="P194" s="79">
        <f t="shared" si="40"/>
        <v>0</v>
      </c>
      <c r="Q194" s="114" t="str">
        <f t="shared" si="41"/>
        <v/>
      </c>
      <c r="R194" s="115" t="str">
        <f t="shared" si="42"/>
        <v/>
      </c>
      <c r="S194" s="31" t="str">
        <f>IF(개요!EA36=0,"",ROUND(개요!EA36,3)=ROUND(R194,3))</f>
        <v/>
      </c>
      <c r="DE194" s="113"/>
      <c r="DL194" s="21"/>
    </row>
    <row r="195" spans="1:116" ht="15" hidden="1" customHeight="1" outlineLevel="1">
      <c r="A195" s="54">
        <v>30</v>
      </c>
      <c r="B195" s="101" t="str">
        <f>IF(개요!K37="","",개요!K37)</f>
        <v/>
      </c>
      <c r="C195" s="102" t="str">
        <f>IF(개요!L37="","",개요!L37)</f>
        <v/>
      </c>
      <c r="D195" s="102" t="str">
        <f>IF(개요!M37="","",개요!M37)</f>
        <v/>
      </c>
      <c r="E195" s="103">
        <f>IF(개요!R37="-","",개요!R37)</f>
        <v>0</v>
      </c>
      <c r="F195" s="103" t="str">
        <f t="shared" si="43"/>
        <v/>
      </c>
      <c r="G195" s="64" t="str">
        <f>IF(개요!Q37=0,"",개요!Q37)</f>
        <v/>
      </c>
      <c r="H195" s="64" t="str">
        <f t="shared" si="37"/>
        <v/>
      </c>
      <c r="I195" s="64" t="str">
        <f>IF(개요!O37=0,"",개요!O37-개요!P37)</f>
        <v/>
      </c>
      <c r="J195" s="93" t="str">
        <f t="shared" si="44"/>
        <v/>
      </c>
      <c r="K195" s="64" t="str">
        <f t="shared" si="45"/>
        <v/>
      </c>
      <c r="L195" s="64" t="str">
        <f t="shared" si="46"/>
        <v/>
      </c>
      <c r="M195" s="64" t="str">
        <f t="shared" si="47"/>
        <v/>
      </c>
      <c r="N195" s="64" t="str">
        <f t="shared" si="38"/>
        <v/>
      </c>
      <c r="O195" s="79" t="str">
        <f t="shared" si="39"/>
        <v/>
      </c>
      <c r="P195" s="79">
        <f t="shared" si="40"/>
        <v>0</v>
      </c>
      <c r="Q195" s="114" t="str">
        <f t="shared" si="41"/>
        <v/>
      </c>
      <c r="R195" s="115" t="str">
        <f t="shared" si="42"/>
        <v/>
      </c>
      <c r="S195" s="31" t="str">
        <f>IF(개요!EA37=0,"",ROUND(개요!EA37,3)=ROUND(R195,3))</f>
        <v/>
      </c>
      <c r="DE195" s="113"/>
      <c r="DL195" s="21"/>
    </row>
    <row r="196" spans="1:116" ht="15" hidden="1" customHeight="1" outlineLevel="1">
      <c r="A196" s="54">
        <v>31</v>
      </c>
      <c r="B196" s="101" t="str">
        <f>IF(개요!K38="","",개요!K38)</f>
        <v/>
      </c>
      <c r="C196" s="102" t="str">
        <f>IF(개요!L38="","",개요!L38)</f>
        <v/>
      </c>
      <c r="D196" s="102" t="str">
        <f>IF(개요!M38="","",개요!M38)</f>
        <v/>
      </c>
      <c r="E196" s="103">
        <f>IF(개요!R38="-","",개요!R38)</f>
        <v>0</v>
      </c>
      <c r="F196" s="103" t="str">
        <f t="shared" si="43"/>
        <v/>
      </c>
      <c r="G196" s="64" t="str">
        <f>IF(개요!Q38=0,"",개요!Q38)</f>
        <v/>
      </c>
      <c r="H196" s="64" t="str">
        <f t="shared" si="37"/>
        <v/>
      </c>
      <c r="I196" s="64" t="str">
        <f>IF(개요!O38=0,"",개요!O38-개요!P38)</f>
        <v/>
      </c>
      <c r="J196" s="93" t="str">
        <f t="shared" si="44"/>
        <v/>
      </c>
      <c r="K196" s="64" t="str">
        <f t="shared" si="45"/>
        <v/>
      </c>
      <c r="L196" s="64" t="str">
        <f t="shared" si="46"/>
        <v/>
      </c>
      <c r="M196" s="64" t="str">
        <f t="shared" si="47"/>
        <v/>
      </c>
      <c r="N196" s="64" t="str">
        <f t="shared" si="38"/>
        <v/>
      </c>
      <c r="O196" s="79" t="str">
        <f t="shared" si="39"/>
        <v/>
      </c>
      <c r="P196" s="79">
        <f t="shared" si="40"/>
        <v>0</v>
      </c>
      <c r="Q196" s="114" t="str">
        <f t="shared" si="41"/>
        <v/>
      </c>
      <c r="R196" s="115" t="str">
        <f t="shared" si="42"/>
        <v/>
      </c>
      <c r="S196" s="31" t="str">
        <f>IF(개요!EA38=0,"",ROUND(개요!EA38,3)=ROUND(R196,3))</f>
        <v/>
      </c>
      <c r="DE196" s="113"/>
      <c r="DL196" s="21"/>
    </row>
    <row r="197" spans="1:116" ht="15" hidden="1" customHeight="1" outlineLevel="1">
      <c r="A197" s="54">
        <v>32</v>
      </c>
      <c r="B197" s="101" t="str">
        <f>IF(개요!K39="","",개요!K39)</f>
        <v/>
      </c>
      <c r="C197" s="102" t="str">
        <f>IF(개요!L39="","",개요!L39)</f>
        <v/>
      </c>
      <c r="D197" s="102" t="str">
        <f>IF(개요!M39="","",개요!M39)</f>
        <v/>
      </c>
      <c r="E197" s="103">
        <f>IF(개요!R39="-","",개요!R39)</f>
        <v>0</v>
      </c>
      <c r="F197" s="103" t="str">
        <f t="shared" si="43"/>
        <v/>
      </c>
      <c r="G197" s="64" t="str">
        <f>IF(개요!Q39=0,"",개요!Q39)</f>
        <v/>
      </c>
      <c r="H197" s="64" t="str">
        <f t="shared" si="37"/>
        <v/>
      </c>
      <c r="I197" s="64" t="str">
        <f>IF(개요!O39=0,"",개요!O39-개요!P39)</f>
        <v/>
      </c>
      <c r="J197" s="93" t="str">
        <f t="shared" si="44"/>
        <v/>
      </c>
      <c r="K197" s="64" t="str">
        <f t="shared" si="45"/>
        <v/>
      </c>
      <c r="L197" s="64" t="str">
        <f t="shared" si="46"/>
        <v/>
      </c>
      <c r="M197" s="64" t="str">
        <f t="shared" si="47"/>
        <v/>
      </c>
      <c r="N197" s="64" t="str">
        <f t="shared" si="38"/>
        <v/>
      </c>
      <c r="O197" s="79" t="str">
        <f t="shared" si="39"/>
        <v/>
      </c>
      <c r="P197" s="79">
        <f t="shared" si="40"/>
        <v>0</v>
      </c>
      <c r="Q197" s="114" t="str">
        <f t="shared" si="41"/>
        <v/>
      </c>
      <c r="R197" s="115" t="str">
        <f t="shared" si="42"/>
        <v/>
      </c>
      <c r="S197" s="31" t="str">
        <f>IF(개요!EA39=0,"",ROUND(개요!EA39,3)=ROUND(R197,3))</f>
        <v/>
      </c>
      <c r="DE197" s="113"/>
      <c r="DL197" s="21"/>
    </row>
    <row r="198" spans="1:116" ht="15" hidden="1" customHeight="1" outlineLevel="1">
      <c r="A198" s="54">
        <v>33</v>
      </c>
      <c r="B198" s="101" t="str">
        <f>IF(개요!K40="","",개요!K40)</f>
        <v/>
      </c>
      <c r="C198" s="102" t="str">
        <f>IF(개요!L40="","",개요!L40)</f>
        <v/>
      </c>
      <c r="D198" s="102" t="str">
        <f>IF(개요!M40="","",개요!M40)</f>
        <v/>
      </c>
      <c r="E198" s="103">
        <f>IF(개요!R40="-","",개요!R40)</f>
        <v>0</v>
      </c>
      <c r="F198" s="103" t="str">
        <f t="shared" si="43"/>
        <v/>
      </c>
      <c r="G198" s="64" t="str">
        <f>IF(개요!Q40=0,"",개요!Q40)</f>
        <v/>
      </c>
      <c r="H198" s="64" t="str">
        <f t="shared" ref="H198:H214" si="48">IF(CY54=0,"",CY54)</f>
        <v/>
      </c>
      <c r="I198" s="64" t="str">
        <f>IF(개요!O40=0,"",개요!O40-개요!P40)</f>
        <v/>
      </c>
      <c r="J198" s="93" t="str">
        <f t="shared" si="44"/>
        <v/>
      </c>
      <c r="K198" s="64" t="str">
        <f t="shared" si="45"/>
        <v/>
      </c>
      <c r="L198" s="64" t="str">
        <f t="shared" si="46"/>
        <v/>
      </c>
      <c r="M198" s="64" t="str">
        <f t="shared" si="47"/>
        <v/>
      </c>
      <c r="N198" s="64" t="str">
        <f t="shared" ref="N198:N214" si="49">IFERROR(IF(AND($F$158=$F$160,$F$160&lt;&gt;0),$J198,$F$160*$E198),"")</f>
        <v/>
      </c>
      <c r="O198" s="79" t="str">
        <f t="shared" ref="O198:O214" si="50">IFERROR(IF(B198="유한책임사원(LP)","",$G$159*$E$14*(G198/$C$148)),"")</f>
        <v/>
      </c>
      <c r="P198" s="79">
        <f t="shared" ref="P198:P214" si="51">IFERROR($H$159*E198,"")</f>
        <v>0</v>
      </c>
      <c r="Q198" s="114" t="str">
        <f t="shared" ref="Q198:Q214" si="52">IF(I198="","",SUM(K198:P198))</f>
        <v/>
      </c>
      <c r="R198" s="115" t="str">
        <f t="shared" ref="R198:R214" si="53">IF(G198="","",Q198/(G198/$E$12))</f>
        <v/>
      </c>
      <c r="S198" s="31" t="str">
        <f>IF(개요!EA40=0,"",ROUND(개요!EA40,3)=ROUND(R198,3))</f>
        <v/>
      </c>
      <c r="DE198" s="113"/>
      <c r="DL198" s="21"/>
    </row>
    <row r="199" spans="1:116" ht="15" hidden="1" customHeight="1" outlineLevel="1">
      <c r="A199" s="54">
        <v>34</v>
      </c>
      <c r="B199" s="101" t="str">
        <f>IF(개요!K41="","",개요!K41)</f>
        <v/>
      </c>
      <c r="C199" s="102" t="str">
        <f>IF(개요!L41="","",개요!L41)</f>
        <v/>
      </c>
      <c r="D199" s="102" t="str">
        <f>IF(개요!M41="","",개요!M41)</f>
        <v/>
      </c>
      <c r="E199" s="103">
        <f>IF(개요!R41="-","",개요!R41)</f>
        <v>0</v>
      </c>
      <c r="F199" s="103" t="str">
        <f t="shared" si="43"/>
        <v/>
      </c>
      <c r="G199" s="64" t="str">
        <f>IF(개요!Q41=0,"",개요!Q41)</f>
        <v/>
      </c>
      <c r="H199" s="64" t="str">
        <f t="shared" si="48"/>
        <v/>
      </c>
      <c r="I199" s="64" t="str">
        <f>IF(개요!O41=0,"",개요!O41-개요!P41)</f>
        <v/>
      </c>
      <c r="J199" s="93" t="str">
        <f t="shared" si="44"/>
        <v/>
      </c>
      <c r="K199" s="64" t="str">
        <f t="shared" si="45"/>
        <v/>
      </c>
      <c r="L199" s="64" t="str">
        <f t="shared" si="46"/>
        <v/>
      </c>
      <c r="M199" s="64" t="str">
        <f t="shared" si="47"/>
        <v/>
      </c>
      <c r="N199" s="64" t="str">
        <f t="shared" si="49"/>
        <v/>
      </c>
      <c r="O199" s="79" t="str">
        <f t="shared" si="50"/>
        <v/>
      </c>
      <c r="P199" s="79">
        <f t="shared" si="51"/>
        <v>0</v>
      </c>
      <c r="Q199" s="114" t="str">
        <f t="shared" si="52"/>
        <v/>
      </c>
      <c r="R199" s="115" t="str">
        <f t="shared" si="53"/>
        <v/>
      </c>
      <c r="S199" s="31" t="str">
        <f>IF(개요!EA41=0,"",ROUND(개요!EA41,3)=ROUND(R199,3))</f>
        <v/>
      </c>
      <c r="DE199" s="113"/>
      <c r="DL199" s="21"/>
    </row>
    <row r="200" spans="1:116" ht="15" hidden="1" customHeight="1" outlineLevel="1">
      <c r="A200" s="54">
        <v>35</v>
      </c>
      <c r="B200" s="101" t="str">
        <f>IF(개요!K42="","",개요!K42)</f>
        <v/>
      </c>
      <c r="C200" s="102" t="str">
        <f>IF(개요!L42="","",개요!L42)</f>
        <v/>
      </c>
      <c r="D200" s="102" t="str">
        <f>IF(개요!M42="","",개요!M42)</f>
        <v/>
      </c>
      <c r="E200" s="103">
        <f>IF(개요!R42="-","",개요!R42)</f>
        <v>0</v>
      </c>
      <c r="F200" s="103" t="str">
        <f t="shared" si="43"/>
        <v/>
      </c>
      <c r="G200" s="64" t="str">
        <f>IF(개요!Q42=0,"",개요!Q42)</f>
        <v/>
      </c>
      <c r="H200" s="64" t="str">
        <f t="shared" si="48"/>
        <v/>
      </c>
      <c r="I200" s="64" t="str">
        <f>IF(개요!O42=0,"",개요!O42-개요!P42)</f>
        <v/>
      </c>
      <c r="J200" s="93" t="str">
        <f t="shared" si="44"/>
        <v/>
      </c>
      <c r="K200" s="64" t="str">
        <f t="shared" si="45"/>
        <v/>
      </c>
      <c r="L200" s="64" t="str">
        <f t="shared" si="46"/>
        <v/>
      </c>
      <c r="M200" s="64" t="str">
        <f t="shared" si="47"/>
        <v/>
      </c>
      <c r="N200" s="64" t="str">
        <f t="shared" si="49"/>
        <v/>
      </c>
      <c r="O200" s="79" t="str">
        <f t="shared" si="50"/>
        <v/>
      </c>
      <c r="P200" s="79">
        <f t="shared" si="51"/>
        <v>0</v>
      </c>
      <c r="Q200" s="114" t="str">
        <f t="shared" si="52"/>
        <v/>
      </c>
      <c r="R200" s="115" t="str">
        <f t="shared" si="53"/>
        <v/>
      </c>
      <c r="S200" s="31" t="str">
        <f>IF(개요!EA42=0,"",ROUND(개요!EA42,3)=ROUND(R200,3))</f>
        <v/>
      </c>
      <c r="DE200" s="113"/>
      <c r="DL200" s="21"/>
    </row>
    <row r="201" spans="1:116" ht="15" hidden="1" customHeight="1" outlineLevel="1">
      <c r="A201" s="54">
        <v>36</v>
      </c>
      <c r="B201" s="101" t="str">
        <f>IF(개요!K43="","",개요!K43)</f>
        <v/>
      </c>
      <c r="C201" s="102" t="str">
        <f>IF(개요!L43="","",개요!L43)</f>
        <v/>
      </c>
      <c r="D201" s="102" t="str">
        <f>IF(개요!M43="","",개요!M43)</f>
        <v/>
      </c>
      <c r="E201" s="103">
        <f>IF(개요!R43="-","",개요!R43)</f>
        <v>0</v>
      </c>
      <c r="F201" s="103" t="str">
        <f t="shared" si="43"/>
        <v/>
      </c>
      <c r="G201" s="64" t="str">
        <f>IF(개요!Q43=0,"",개요!Q43)</f>
        <v/>
      </c>
      <c r="H201" s="64" t="str">
        <f t="shared" si="48"/>
        <v/>
      </c>
      <c r="I201" s="64" t="str">
        <f>IF(개요!O43=0,"",개요!O43-개요!P43)</f>
        <v/>
      </c>
      <c r="J201" s="93" t="str">
        <f t="shared" si="44"/>
        <v/>
      </c>
      <c r="K201" s="64" t="str">
        <f t="shared" si="45"/>
        <v/>
      </c>
      <c r="L201" s="64" t="str">
        <f t="shared" si="46"/>
        <v/>
      </c>
      <c r="M201" s="64" t="str">
        <f t="shared" si="47"/>
        <v/>
      </c>
      <c r="N201" s="64" t="str">
        <f t="shared" si="49"/>
        <v/>
      </c>
      <c r="O201" s="79" t="str">
        <f t="shared" si="50"/>
        <v/>
      </c>
      <c r="P201" s="79">
        <f t="shared" si="51"/>
        <v>0</v>
      </c>
      <c r="Q201" s="114" t="str">
        <f t="shared" si="52"/>
        <v/>
      </c>
      <c r="R201" s="115" t="str">
        <f t="shared" si="53"/>
        <v/>
      </c>
      <c r="S201" s="31" t="str">
        <f>IF(개요!EA43=0,"",ROUND(개요!EA43,3)=ROUND(R201,3))</f>
        <v/>
      </c>
      <c r="DE201" s="113"/>
      <c r="DL201" s="21"/>
    </row>
    <row r="202" spans="1:116" ht="15" hidden="1" customHeight="1" outlineLevel="1">
      <c r="A202" s="54">
        <v>37</v>
      </c>
      <c r="B202" s="101" t="str">
        <f>IF(개요!K44="","",개요!K44)</f>
        <v/>
      </c>
      <c r="C202" s="102" t="str">
        <f>IF(개요!L44="","",개요!L44)</f>
        <v/>
      </c>
      <c r="D202" s="102" t="str">
        <f>IF(개요!M44="","",개요!M44)</f>
        <v/>
      </c>
      <c r="E202" s="103">
        <f>IF(개요!R44="-","",개요!R44)</f>
        <v>0</v>
      </c>
      <c r="F202" s="103" t="str">
        <f t="shared" si="43"/>
        <v/>
      </c>
      <c r="G202" s="64" t="str">
        <f>IF(개요!Q44=0,"",개요!Q44)</f>
        <v/>
      </c>
      <c r="H202" s="64" t="str">
        <f t="shared" si="48"/>
        <v/>
      </c>
      <c r="I202" s="64" t="str">
        <f>IF(개요!O44=0,"",개요!O44-개요!P44)</f>
        <v/>
      </c>
      <c r="J202" s="93" t="str">
        <f t="shared" si="44"/>
        <v/>
      </c>
      <c r="K202" s="64" t="str">
        <f t="shared" si="45"/>
        <v/>
      </c>
      <c r="L202" s="64" t="str">
        <f t="shared" si="46"/>
        <v/>
      </c>
      <c r="M202" s="64" t="str">
        <f t="shared" si="47"/>
        <v/>
      </c>
      <c r="N202" s="64" t="str">
        <f t="shared" si="49"/>
        <v/>
      </c>
      <c r="O202" s="79" t="str">
        <f t="shared" si="50"/>
        <v/>
      </c>
      <c r="P202" s="79">
        <f t="shared" si="51"/>
        <v>0</v>
      </c>
      <c r="Q202" s="114" t="str">
        <f t="shared" si="52"/>
        <v/>
      </c>
      <c r="R202" s="115" t="str">
        <f t="shared" si="53"/>
        <v/>
      </c>
      <c r="S202" s="31" t="str">
        <f>IF(개요!EA44=0,"",ROUND(개요!EA44,3)=ROUND(R202,3))</f>
        <v/>
      </c>
      <c r="DE202" s="113"/>
      <c r="DL202" s="21"/>
    </row>
    <row r="203" spans="1:116" ht="15" hidden="1" customHeight="1" outlineLevel="1">
      <c r="A203" s="54">
        <v>38</v>
      </c>
      <c r="B203" s="101" t="str">
        <f>IF(개요!K45="","",개요!K45)</f>
        <v/>
      </c>
      <c r="C203" s="102" t="str">
        <f>IF(개요!L45="","",개요!L45)</f>
        <v/>
      </c>
      <c r="D203" s="102" t="str">
        <f>IF(개요!M45="","",개요!M45)</f>
        <v/>
      </c>
      <c r="E203" s="103">
        <f>IF(개요!R45="-","",개요!R45)</f>
        <v>0</v>
      </c>
      <c r="F203" s="103" t="str">
        <f t="shared" si="43"/>
        <v/>
      </c>
      <c r="G203" s="64" t="str">
        <f>IF(개요!Q45=0,"",개요!Q45)</f>
        <v/>
      </c>
      <c r="H203" s="64" t="str">
        <f t="shared" si="48"/>
        <v/>
      </c>
      <c r="I203" s="64" t="str">
        <f>IF(개요!O45=0,"",개요!O45-개요!P45)</f>
        <v/>
      </c>
      <c r="J203" s="93" t="str">
        <f t="shared" si="44"/>
        <v/>
      </c>
      <c r="K203" s="64" t="str">
        <f t="shared" si="45"/>
        <v/>
      </c>
      <c r="L203" s="64" t="str">
        <f t="shared" si="46"/>
        <v/>
      </c>
      <c r="M203" s="64" t="str">
        <f t="shared" si="47"/>
        <v/>
      </c>
      <c r="N203" s="64" t="str">
        <f t="shared" si="49"/>
        <v/>
      </c>
      <c r="O203" s="79" t="str">
        <f t="shared" si="50"/>
        <v/>
      </c>
      <c r="P203" s="79">
        <f t="shared" si="51"/>
        <v>0</v>
      </c>
      <c r="Q203" s="114" t="str">
        <f t="shared" si="52"/>
        <v/>
      </c>
      <c r="R203" s="115" t="str">
        <f t="shared" si="53"/>
        <v/>
      </c>
      <c r="S203" s="31" t="str">
        <f>IF(개요!EA45=0,"",ROUND(개요!EA45,3)=ROUND(R203,3))</f>
        <v/>
      </c>
      <c r="DE203" s="113"/>
      <c r="DL203" s="21"/>
    </row>
    <row r="204" spans="1:116" ht="15" hidden="1" customHeight="1" outlineLevel="1">
      <c r="A204" s="54">
        <v>39</v>
      </c>
      <c r="B204" s="101" t="str">
        <f>IF(개요!K46="","",개요!K46)</f>
        <v/>
      </c>
      <c r="C204" s="102" t="str">
        <f>IF(개요!L46="","",개요!L46)</f>
        <v/>
      </c>
      <c r="D204" s="102" t="str">
        <f>IF(개요!M46="","",개요!M46)</f>
        <v/>
      </c>
      <c r="E204" s="103">
        <f>IF(개요!R46="-","",개요!R46)</f>
        <v>0</v>
      </c>
      <c r="F204" s="103" t="str">
        <f t="shared" si="43"/>
        <v/>
      </c>
      <c r="G204" s="64" t="str">
        <f>IF(개요!Q46=0,"",개요!Q46)</f>
        <v/>
      </c>
      <c r="H204" s="64" t="str">
        <f t="shared" si="48"/>
        <v/>
      </c>
      <c r="I204" s="64" t="str">
        <f>IF(개요!O46=0,"",개요!O46-개요!P46)</f>
        <v/>
      </c>
      <c r="J204" s="93" t="str">
        <f t="shared" si="44"/>
        <v/>
      </c>
      <c r="K204" s="64" t="str">
        <f t="shared" si="45"/>
        <v/>
      </c>
      <c r="L204" s="64" t="str">
        <f t="shared" si="46"/>
        <v/>
      </c>
      <c r="M204" s="64" t="str">
        <f t="shared" si="47"/>
        <v/>
      </c>
      <c r="N204" s="64" t="str">
        <f t="shared" si="49"/>
        <v/>
      </c>
      <c r="O204" s="79" t="str">
        <f t="shared" si="50"/>
        <v/>
      </c>
      <c r="P204" s="79">
        <f t="shared" si="51"/>
        <v>0</v>
      </c>
      <c r="Q204" s="114" t="str">
        <f t="shared" si="52"/>
        <v/>
      </c>
      <c r="R204" s="115" t="str">
        <f t="shared" si="53"/>
        <v/>
      </c>
      <c r="S204" s="31" t="str">
        <f>IF(개요!EA46=0,"",ROUND(개요!EA46,3)=ROUND(R204,3))</f>
        <v/>
      </c>
      <c r="DE204" s="113"/>
      <c r="DL204" s="21"/>
    </row>
    <row r="205" spans="1:116" ht="15" hidden="1" customHeight="1" outlineLevel="1">
      <c r="A205" s="54">
        <v>40</v>
      </c>
      <c r="B205" s="101" t="str">
        <f>IF(개요!K47="","",개요!K47)</f>
        <v/>
      </c>
      <c r="C205" s="102" t="str">
        <f>IF(개요!L47="","",개요!L47)</f>
        <v/>
      </c>
      <c r="D205" s="102" t="str">
        <f>IF(개요!M47="","",개요!M47)</f>
        <v/>
      </c>
      <c r="E205" s="103">
        <f>IF(개요!R47="-","",개요!R47)</f>
        <v>0</v>
      </c>
      <c r="F205" s="103" t="str">
        <f t="shared" si="43"/>
        <v/>
      </c>
      <c r="G205" s="64" t="str">
        <f>IF(개요!Q47=0,"",개요!Q47)</f>
        <v/>
      </c>
      <c r="H205" s="64" t="str">
        <f t="shared" si="48"/>
        <v/>
      </c>
      <c r="I205" s="64" t="str">
        <f>IF(개요!O47=0,"",개요!O47-개요!P47)</f>
        <v/>
      </c>
      <c r="J205" s="93" t="str">
        <f t="shared" si="44"/>
        <v/>
      </c>
      <c r="K205" s="64" t="str">
        <f t="shared" si="45"/>
        <v/>
      </c>
      <c r="L205" s="64" t="str">
        <f t="shared" si="46"/>
        <v/>
      </c>
      <c r="M205" s="64" t="str">
        <f t="shared" si="47"/>
        <v/>
      </c>
      <c r="N205" s="64" t="str">
        <f t="shared" si="49"/>
        <v/>
      </c>
      <c r="O205" s="79" t="str">
        <f t="shared" si="50"/>
        <v/>
      </c>
      <c r="P205" s="79">
        <f t="shared" si="51"/>
        <v>0</v>
      </c>
      <c r="Q205" s="114" t="str">
        <f t="shared" si="52"/>
        <v/>
      </c>
      <c r="R205" s="115" t="str">
        <f t="shared" si="53"/>
        <v/>
      </c>
      <c r="S205" s="31" t="str">
        <f>IF(개요!EA47=0,"",ROUND(개요!EA47,3)=ROUND(R205,3))</f>
        <v/>
      </c>
      <c r="DE205" s="113"/>
      <c r="DL205" s="21"/>
    </row>
    <row r="206" spans="1:116" ht="15" hidden="1" customHeight="1" outlineLevel="1">
      <c r="A206" s="54">
        <v>41</v>
      </c>
      <c r="B206" s="101" t="str">
        <f>IF(개요!K48="","",개요!K48)</f>
        <v/>
      </c>
      <c r="C206" s="102" t="str">
        <f>IF(개요!L48="","",개요!L48)</f>
        <v/>
      </c>
      <c r="D206" s="102" t="str">
        <f>IF(개요!M48="","",개요!M48)</f>
        <v/>
      </c>
      <c r="E206" s="103">
        <f>IF(개요!R48="-","",개요!R48)</f>
        <v>0</v>
      </c>
      <c r="F206" s="103" t="str">
        <f t="shared" si="43"/>
        <v/>
      </c>
      <c r="G206" s="64" t="str">
        <f>IF(개요!Q48=0,"",개요!Q48)</f>
        <v/>
      </c>
      <c r="H206" s="64" t="str">
        <f t="shared" si="48"/>
        <v/>
      </c>
      <c r="I206" s="64" t="str">
        <f>IF(개요!O48=0,"",개요!O48-개요!P48)</f>
        <v/>
      </c>
      <c r="J206" s="93" t="str">
        <f t="shared" si="44"/>
        <v/>
      </c>
      <c r="K206" s="64" t="str">
        <f t="shared" si="45"/>
        <v/>
      </c>
      <c r="L206" s="64" t="str">
        <f t="shared" si="46"/>
        <v/>
      </c>
      <c r="M206" s="64" t="str">
        <f t="shared" si="47"/>
        <v/>
      </c>
      <c r="N206" s="64" t="str">
        <f t="shared" si="49"/>
        <v/>
      </c>
      <c r="O206" s="79" t="str">
        <f t="shared" si="50"/>
        <v/>
      </c>
      <c r="P206" s="79">
        <f t="shared" si="51"/>
        <v>0</v>
      </c>
      <c r="Q206" s="114" t="str">
        <f t="shared" si="52"/>
        <v/>
      </c>
      <c r="R206" s="115" t="str">
        <f t="shared" si="53"/>
        <v/>
      </c>
      <c r="S206" s="31" t="str">
        <f>IF(개요!EA48=0,"",ROUND(개요!EA48,3)=ROUND(R206,3))</f>
        <v/>
      </c>
      <c r="DE206" s="113"/>
      <c r="DL206" s="21"/>
    </row>
    <row r="207" spans="1:116" ht="15" hidden="1" customHeight="1" outlineLevel="1">
      <c r="A207" s="54">
        <v>42</v>
      </c>
      <c r="B207" s="101" t="str">
        <f>IF(개요!K49="","",개요!K49)</f>
        <v/>
      </c>
      <c r="C207" s="102" t="str">
        <f>IF(개요!L49="","",개요!L49)</f>
        <v/>
      </c>
      <c r="D207" s="102" t="str">
        <f>IF(개요!M49="","",개요!M49)</f>
        <v/>
      </c>
      <c r="E207" s="103">
        <f>IF(개요!R49="-","",개요!R49)</f>
        <v>0</v>
      </c>
      <c r="F207" s="103" t="str">
        <f t="shared" si="43"/>
        <v/>
      </c>
      <c r="G207" s="64" t="str">
        <f>IF(개요!Q49=0,"",개요!Q49)</f>
        <v/>
      </c>
      <c r="H207" s="64" t="str">
        <f t="shared" si="48"/>
        <v/>
      </c>
      <c r="I207" s="64" t="str">
        <f>IF(개요!O49=0,"",개요!O49-개요!P49)</f>
        <v/>
      </c>
      <c r="J207" s="93" t="str">
        <f t="shared" si="44"/>
        <v/>
      </c>
      <c r="K207" s="64" t="str">
        <f t="shared" si="45"/>
        <v/>
      </c>
      <c r="L207" s="64" t="str">
        <f t="shared" si="46"/>
        <v/>
      </c>
      <c r="M207" s="64" t="str">
        <f t="shared" si="47"/>
        <v/>
      </c>
      <c r="N207" s="64" t="str">
        <f t="shared" si="49"/>
        <v/>
      </c>
      <c r="O207" s="79" t="str">
        <f t="shared" si="50"/>
        <v/>
      </c>
      <c r="P207" s="79">
        <f t="shared" si="51"/>
        <v>0</v>
      </c>
      <c r="Q207" s="114" t="str">
        <f t="shared" si="52"/>
        <v/>
      </c>
      <c r="R207" s="115" t="str">
        <f t="shared" si="53"/>
        <v/>
      </c>
      <c r="S207" s="31" t="str">
        <f>IF(개요!EA49=0,"",ROUND(개요!EA49,3)=ROUND(R207,3))</f>
        <v/>
      </c>
      <c r="DE207" s="113"/>
      <c r="DL207" s="21"/>
    </row>
    <row r="208" spans="1:116" ht="15" hidden="1" customHeight="1" outlineLevel="1">
      <c r="A208" s="54">
        <v>43</v>
      </c>
      <c r="B208" s="101" t="str">
        <f>IF(개요!K50="","",개요!K50)</f>
        <v/>
      </c>
      <c r="C208" s="102" t="str">
        <f>IF(개요!L50="","",개요!L50)</f>
        <v/>
      </c>
      <c r="D208" s="102" t="str">
        <f>IF(개요!M50="","",개요!M50)</f>
        <v/>
      </c>
      <c r="E208" s="103">
        <f>IF(개요!R50="-","",개요!R50)</f>
        <v>0</v>
      </c>
      <c r="F208" s="103" t="str">
        <f t="shared" si="43"/>
        <v/>
      </c>
      <c r="G208" s="64" t="str">
        <f>IF(개요!Q50=0,"",개요!Q50)</f>
        <v/>
      </c>
      <c r="H208" s="64" t="str">
        <f t="shared" si="48"/>
        <v/>
      </c>
      <c r="I208" s="64" t="str">
        <f>IF(개요!O50=0,"",개요!O50-개요!P50)</f>
        <v/>
      </c>
      <c r="J208" s="93" t="str">
        <f t="shared" si="44"/>
        <v/>
      </c>
      <c r="K208" s="64" t="str">
        <f t="shared" si="45"/>
        <v/>
      </c>
      <c r="L208" s="64" t="str">
        <f t="shared" si="46"/>
        <v/>
      </c>
      <c r="M208" s="64" t="str">
        <f t="shared" si="47"/>
        <v/>
      </c>
      <c r="N208" s="64" t="str">
        <f t="shared" si="49"/>
        <v/>
      </c>
      <c r="O208" s="79" t="str">
        <f t="shared" si="50"/>
        <v/>
      </c>
      <c r="P208" s="79">
        <f t="shared" si="51"/>
        <v>0</v>
      </c>
      <c r="Q208" s="114" t="str">
        <f t="shared" si="52"/>
        <v/>
      </c>
      <c r="R208" s="115" t="str">
        <f t="shared" si="53"/>
        <v/>
      </c>
      <c r="S208" s="31" t="str">
        <f>IF(개요!EA50=0,"",ROUND(개요!EA50,3)=ROUND(R208,3))</f>
        <v/>
      </c>
      <c r="DE208" s="113"/>
      <c r="DL208" s="21"/>
    </row>
    <row r="209" spans="1:116" ht="15" hidden="1" customHeight="1" outlineLevel="1">
      <c r="A209" s="54">
        <v>44</v>
      </c>
      <c r="B209" s="101" t="str">
        <f>IF(개요!K51="","",개요!K51)</f>
        <v/>
      </c>
      <c r="C209" s="102" t="str">
        <f>IF(개요!L51="","",개요!L51)</f>
        <v/>
      </c>
      <c r="D209" s="102" t="str">
        <f>IF(개요!M51="","",개요!M51)</f>
        <v/>
      </c>
      <c r="E209" s="103">
        <f>IF(개요!R51="-","",개요!R51)</f>
        <v>0</v>
      </c>
      <c r="F209" s="103" t="str">
        <f t="shared" si="43"/>
        <v/>
      </c>
      <c r="G209" s="64" t="str">
        <f>IF(개요!Q51=0,"",개요!Q51)</f>
        <v/>
      </c>
      <c r="H209" s="64" t="str">
        <f t="shared" si="48"/>
        <v/>
      </c>
      <c r="I209" s="64" t="str">
        <f>IF(개요!O51=0,"",개요!O51-개요!P51)</f>
        <v/>
      </c>
      <c r="J209" s="93" t="str">
        <f t="shared" si="44"/>
        <v/>
      </c>
      <c r="K209" s="64" t="str">
        <f t="shared" si="45"/>
        <v/>
      </c>
      <c r="L209" s="64" t="str">
        <f t="shared" si="46"/>
        <v/>
      </c>
      <c r="M209" s="64" t="str">
        <f t="shared" si="47"/>
        <v/>
      </c>
      <c r="N209" s="64" t="str">
        <f t="shared" si="49"/>
        <v/>
      </c>
      <c r="O209" s="79" t="str">
        <f t="shared" si="50"/>
        <v/>
      </c>
      <c r="P209" s="79">
        <f t="shared" si="51"/>
        <v>0</v>
      </c>
      <c r="Q209" s="114" t="str">
        <f t="shared" si="52"/>
        <v/>
      </c>
      <c r="R209" s="115" t="str">
        <f t="shared" si="53"/>
        <v/>
      </c>
      <c r="S209" s="31" t="str">
        <f>IF(개요!EA51=0,"",ROUND(개요!EA51,3)=ROUND(R209,3))</f>
        <v/>
      </c>
      <c r="DE209" s="113"/>
      <c r="DL209" s="21"/>
    </row>
    <row r="210" spans="1:116" ht="15" hidden="1" customHeight="1" outlineLevel="1">
      <c r="A210" s="54">
        <v>45</v>
      </c>
      <c r="B210" s="101" t="str">
        <f>IF(개요!K52="","",개요!K52)</f>
        <v/>
      </c>
      <c r="C210" s="102" t="str">
        <f>IF(개요!L52="","",개요!L52)</f>
        <v/>
      </c>
      <c r="D210" s="102" t="str">
        <f>IF(개요!M52="","",개요!M52)</f>
        <v/>
      </c>
      <c r="E210" s="103">
        <f>IF(개요!R52="-","",개요!R52)</f>
        <v>0</v>
      </c>
      <c r="F210" s="103" t="str">
        <f t="shared" si="43"/>
        <v/>
      </c>
      <c r="G210" s="64" t="str">
        <f>IF(개요!Q52=0,"",개요!Q52)</f>
        <v/>
      </c>
      <c r="H210" s="64" t="str">
        <f t="shared" si="48"/>
        <v/>
      </c>
      <c r="I210" s="64" t="str">
        <f>IF(개요!O52=0,"",개요!O52-개요!P52)</f>
        <v/>
      </c>
      <c r="J210" s="93" t="str">
        <f t="shared" si="44"/>
        <v/>
      </c>
      <c r="K210" s="64" t="str">
        <f t="shared" si="45"/>
        <v/>
      </c>
      <c r="L210" s="64" t="str">
        <f t="shared" si="46"/>
        <v/>
      </c>
      <c r="M210" s="64" t="str">
        <f t="shared" si="47"/>
        <v/>
      </c>
      <c r="N210" s="64" t="str">
        <f t="shared" si="49"/>
        <v/>
      </c>
      <c r="O210" s="79" t="str">
        <f t="shared" si="50"/>
        <v/>
      </c>
      <c r="P210" s="79">
        <f t="shared" si="51"/>
        <v>0</v>
      </c>
      <c r="Q210" s="114" t="str">
        <f t="shared" si="52"/>
        <v/>
      </c>
      <c r="R210" s="115" t="str">
        <f t="shared" si="53"/>
        <v/>
      </c>
      <c r="S210" s="31" t="str">
        <f>IF(개요!EA52=0,"",ROUND(개요!EA52,3)=ROUND(R210,3))</f>
        <v/>
      </c>
      <c r="DE210" s="113"/>
      <c r="DL210" s="21"/>
    </row>
    <row r="211" spans="1:116" ht="15" hidden="1" customHeight="1" outlineLevel="1">
      <c r="A211" s="54">
        <v>46</v>
      </c>
      <c r="B211" s="101" t="str">
        <f>IF(개요!K53="","",개요!K53)</f>
        <v/>
      </c>
      <c r="C211" s="102" t="str">
        <f>IF(개요!L53="","",개요!L53)</f>
        <v/>
      </c>
      <c r="D211" s="102" t="str">
        <f>IF(개요!M53="","",개요!M53)</f>
        <v/>
      </c>
      <c r="E211" s="103">
        <f>IF(개요!R53="-","",개요!R53)</f>
        <v>0</v>
      </c>
      <c r="F211" s="103" t="str">
        <f t="shared" si="43"/>
        <v/>
      </c>
      <c r="G211" s="64" t="str">
        <f>IF(개요!Q53=0,"",개요!Q53)</f>
        <v/>
      </c>
      <c r="H211" s="64" t="str">
        <f t="shared" si="48"/>
        <v/>
      </c>
      <c r="I211" s="64" t="str">
        <f>IF(개요!O53=0,"",개요!O53-개요!P53)</f>
        <v/>
      </c>
      <c r="J211" s="93" t="str">
        <f t="shared" si="44"/>
        <v/>
      </c>
      <c r="K211" s="64" t="str">
        <f t="shared" si="45"/>
        <v/>
      </c>
      <c r="L211" s="64" t="str">
        <f t="shared" si="46"/>
        <v/>
      </c>
      <c r="M211" s="64" t="str">
        <f t="shared" si="47"/>
        <v/>
      </c>
      <c r="N211" s="64" t="str">
        <f t="shared" si="49"/>
        <v/>
      </c>
      <c r="O211" s="79" t="str">
        <f t="shared" si="50"/>
        <v/>
      </c>
      <c r="P211" s="79">
        <f t="shared" si="51"/>
        <v>0</v>
      </c>
      <c r="Q211" s="114" t="str">
        <f t="shared" si="52"/>
        <v/>
      </c>
      <c r="R211" s="115" t="str">
        <f t="shared" si="53"/>
        <v/>
      </c>
      <c r="S211" s="31" t="str">
        <f>IF(개요!EA53=0,"",ROUND(개요!EA53,3)=ROUND(R211,3))</f>
        <v/>
      </c>
      <c r="DE211" s="113"/>
      <c r="DL211" s="21"/>
    </row>
    <row r="212" spans="1:116" ht="15" hidden="1" customHeight="1" outlineLevel="1">
      <c r="A212" s="54">
        <v>47</v>
      </c>
      <c r="B212" s="101" t="str">
        <f>IF(개요!K54="","",개요!K54)</f>
        <v/>
      </c>
      <c r="C212" s="102" t="str">
        <f>IF(개요!L54="","",개요!L54)</f>
        <v/>
      </c>
      <c r="D212" s="102" t="str">
        <f>IF(개요!M54="","",개요!M54)</f>
        <v/>
      </c>
      <c r="E212" s="103">
        <f>IF(개요!R54="-","",개요!R54)</f>
        <v>0</v>
      </c>
      <c r="F212" s="103" t="str">
        <f t="shared" si="43"/>
        <v/>
      </c>
      <c r="G212" s="64" t="str">
        <f>IF(개요!Q54=0,"",개요!Q54)</f>
        <v/>
      </c>
      <c r="H212" s="64" t="str">
        <f t="shared" si="48"/>
        <v/>
      </c>
      <c r="I212" s="64" t="str">
        <f>IF(개요!O54=0,"",개요!O54-개요!P54)</f>
        <v/>
      </c>
      <c r="J212" s="93" t="str">
        <f t="shared" si="44"/>
        <v/>
      </c>
      <c r="K212" s="64" t="str">
        <f t="shared" si="45"/>
        <v/>
      </c>
      <c r="L212" s="64" t="str">
        <f t="shared" si="46"/>
        <v/>
      </c>
      <c r="M212" s="64" t="str">
        <f t="shared" si="47"/>
        <v/>
      </c>
      <c r="N212" s="64" t="str">
        <f t="shared" si="49"/>
        <v/>
      </c>
      <c r="O212" s="79" t="str">
        <f t="shared" si="50"/>
        <v/>
      </c>
      <c r="P212" s="79">
        <f t="shared" si="51"/>
        <v>0</v>
      </c>
      <c r="Q212" s="114" t="str">
        <f t="shared" si="52"/>
        <v/>
      </c>
      <c r="R212" s="115" t="str">
        <f t="shared" si="53"/>
        <v/>
      </c>
      <c r="S212" s="31" t="str">
        <f>IF(개요!EA54=0,"",ROUND(개요!EA54,3)=ROUND(R212,3))</f>
        <v/>
      </c>
      <c r="DE212" s="113"/>
      <c r="DL212" s="21"/>
    </row>
    <row r="213" spans="1:116" ht="15" hidden="1" customHeight="1" outlineLevel="1">
      <c r="A213" s="54">
        <v>48</v>
      </c>
      <c r="B213" s="101" t="str">
        <f>IF(개요!K55="","",개요!K55)</f>
        <v/>
      </c>
      <c r="C213" s="102" t="str">
        <f>IF(개요!L55="","",개요!L55)</f>
        <v/>
      </c>
      <c r="D213" s="102" t="str">
        <f>IF(개요!M55="","",개요!M55)</f>
        <v/>
      </c>
      <c r="E213" s="103">
        <f>IF(개요!R55="-","",개요!R55)</f>
        <v>0</v>
      </c>
      <c r="F213" s="103" t="str">
        <f t="shared" si="43"/>
        <v/>
      </c>
      <c r="G213" s="64" t="str">
        <f>IF(개요!Q55=0,"",개요!Q55)</f>
        <v/>
      </c>
      <c r="H213" s="64" t="str">
        <f t="shared" si="48"/>
        <v/>
      </c>
      <c r="I213" s="64" t="str">
        <f>IF(개요!O55=0,"",개요!O55-개요!P55)</f>
        <v/>
      </c>
      <c r="J213" s="93" t="str">
        <f t="shared" si="44"/>
        <v/>
      </c>
      <c r="K213" s="64" t="str">
        <f t="shared" si="45"/>
        <v/>
      </c>
      <c r="L213" s="64" t="str">
        <f t="shared" si="46"/>
        <v/>
      </c>
      <c r="M213" s="64" t="str">
        <f t="shared" si="47"/>
        <v/>
      </c>
      <c r="N213" s="64" t="str">
        <f t="shared" si="49"/>
        <v/>
      </c>
      <c r="O213" s="79" t="str">
        <f t="shared" si="50"/>
        <v/>
      </c>
      <c r="P213" s="79">
        <f t="shared" si="51"/>
        <v>0</v>
      </c>
      <c r="Q213" s="114" t="str">
        <f t="shared" si="52"/>
        <v/>
      </c>
      <c r="R213" s="115" t="str">
        <f t="shared" si="53"/>
        <v/>
      </c>
      <c r="S213" s="31" t="str">
        <f>IF(개요!EA55=0,"",ROUND(개요!EA55,3)=ROUND(R213,3))</f>
        <v/>
      </c>
      <c r="DE213" s="113"/>
      <c r="DL213" s="21"/>
    </row>
    <row r="214" spans="1:116" ht="15" hidden="1" customHeight="1" outlineLevel="1" thickBot="1">
      <c r="A214" s="54">
        <v>49</v>
      </c>
      <c r="B214" s="101" t="str">
        <f>IF(개요!K56="","",개요!K56)</f>
        <v/>
      </c>
      <c r="C214" s="102" t="str">
        <f>IF(개요!L56="","",개요!L56)</f>
        <v/>
      </c>
      <c r="D214" s="102" t="str">
        <f>IF(개요!M56="","",개요!M56)</f>
        <v/>
      </c>
      <c r="E214" s="103">
        <f>IF(개요!R56="-","",개요!R56)</f>
        <v>0</v>
      </c>
      <c r="F214" s="103" t="str">
        <f t="shared" si="43"/>
        <v/>
      </c>
      <c r="G214" s="64" t="str">
        <f>IF(개요!Q56=0,"",개요!Q56)</f>
        <v/>
      </c>
      <c r="H214" s="64" t="str">
        <f t="shared" si="48"/>
        <v/>
      </c>
      <c r="I214" s="64" t="str">
        <f>IF(개요!O56=0,"",개요!O56-개요!P56)</f>
        <v/>
      </c>
      <c r="J214" s="93" t="str">
        <f t="shared" si="44"/>
        <v/>
      </c>
      <c r="K214" s="64" t="str">
        <f t="shared" si="45"/>
        <v/>
      </c>
      <c r="L214" s="64" t="str">
        <f t="shared" si="46"/>
        <v/>
      </c>
      <c r="M214" s="64" t="str">
        <f t="shared" si="47"/>
        <v/>
      </c>
      <c r="N214" s="64" t="str">
        <f t="shared" si="49"/>
        <v/>
      </c>
      <c r="O214" s="79" t="str">
        <f t="shared" si="50"/>
        <v/>
      </c>
      <c r="P214" s="79">
        <f t="shared" si="51"/>
        <v>0</v>
      </c>
      <c r="Q214" s="114" t="str">
        <f t="shared" si="52"/>
        <v/>
      </c>
      <c r="R214" s="115" t="str">
        <f t="shared" si="53"/>
        <v/>
      </c>
      <c r="S214" s="31" t="str">
        <f>IF(개요!EA56=0,"",ROUND(개요!EA56,3)=ROUND(R214,3))</f>
        <v/>
      </c>
      <c r="DE214" s="113"/>
      <c r="DL214" s="21"/>
    </row>
    <row r="215" spans="1:116" ht="15" customHeight="1" collapsed="1" thickBot="1">
      <c r="B215" s="827" t="s">
        <v>3551</v>
      </c>
      <c r="C215" s="828"/>
      <c r="D215" s="828"/>
      <c r="E215" s="106">
        <f>SUM(E166:E214)</f>
        <v>1</v>
      </c>
      <c r="F215" s="106">
        <f>SUM(F166:F214)</f>
        <v>2</v>
      </c>
      <c r="G215" s="109">
        <f t="shared" ref="G215:J215" si="54">SUM(G166:G214)</f>
        <v>10500000000</v>
      </c>
      <c r="H215" s="109">
        <f t="shared" si="54"/>
        <v>12836750306.345901</v>
      </c>
      <c r="I215" s="109">
        <f t="shared" si="54"/>
        <v>10500000000</v>
      </c>
      <c r="J215" s="110">
        <f t="shared" si="54"/>
        <v>2336750306.3459015</v>
      </c>
      <c r="K215" s="109">
        <f t="shared" ref="K215:Q215" si="55">SUM(K166:K214)</f>
        <v>10400000000</v>
      </c>
      <c r="L215" s="109">
        <f t="shared" si="55"/>
        <v>0</v>
      </c>
      <c r="M215" s="109">
        <f t="shared" si="55"/>
        <v>100000000</v>
      </c>
      <c r="N215" s="109">
        <f t="shared" si="55"/>
        <v>2336750306.3459015</v>
      </c>
      <c r="O215" s="109">
        <f t="shared" si="55"/>
        <v>2606987185.5308199</v>
      </c>
      <c r="P215" s="109">
        <f t="shared" si="55"/>
        <v>10427948742.123281</v>
      </c>
      <c r="Q215" s="108">
        <f t="shared" si="55"/>
        <v>25871686233.999992</v>
      </c>
      <c r="R215" s="111" t="b">
        <f>INT(SUM(개요!EA8:EA56))=INT(SUM(검증!R166:R214))</f>
        <v>1</v>
      </c>
      <c r="S215" s="116"/>
      <c r="DE215" s="113"/>
      <c r="DL215" s="21"/>
    </row>
    <row r="217" spans="1:116" ht="15" customHeight="1">
      <c r="A217" s="128" t="s">
        <v>3600</v>
      </c>
      <c r="B217" s="128" t="s">
        <v>3601</v>
      </c>
      <c r="C217" s="128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28"/>
      <c r="AH217" s="128"/>
      <c r="AI217" s="128"/>
      <c r="AJ217" s="128"/>
      <c r="AK217" s="128"/>
      <c r="AL217" s="128"/>
      <c r="AM217" s="128"/>
      <c r="AN217" s="128"/>
      <c r="AO217" s="128"/>
      <c r="AP217" s="128"/>
      <c r="AQ217" s="128"/>
      <c r="AR217" s="128"/>
      <c r="AS217" s="128"/>
      <c r="AT217" s="128"/>
      <c r="AU217" s="128"/>
      <c r="AV217" s="128"/>
      <c r="AW217" s="128"/>
      <c r="AX217" s="128"/>
      <c r="AY217" s="128"/>
      <c r="AZ217" s="128"/>
      <c r="BA217" s="128"/>
      <c r="BB217" s="128"/>
      <c r="BC217" s="128"/>
      <c r="BD217" s="128"/>
      <c r="BE217" s="128"/>
      <c r="BF217" s="128"/>
      <c r="BG217" s="128"/>
      <c r="BH217" s="128"/>
      <c r="BI217" s="128"/>
      <c r="BJ217" s="128"/>
      <c r="BK217" s="128"/>
      <c r="BL217" s="128"/>
      <c r="BM217" s="128"/>
      <c r="BN217" s="128"/>
      <c r="BO217" s="128"/>
      <c r="BP217" s="128"/>
      <c r="BQ217" s="128"/>
      <c r="BR217" s="128"/>
      <c r="BS217" s="128"/>
      <c r="BT217" s="128"/>
      <c r="BU217" s="128"/>
      <c r="BV217" s="128"/>
      <c r="BW217" s="128"/>
      <c r="BX217" s="128"/>
      <c r="BY217" s="128"/>
      <c r="BZ217" s="128"/>
      <c r="CA217" s="128"/>
      <c r="CB217" s="128"/>
      <c r="CC217" s="128"/>
      <c r="CD217" s="128"/>
      <c r="CE217" s="128"/>
      <c r="CF217" s="128"/>
      <c r="CG217" s="128"/>
      <c r="CH217" s="128"/>
      <c r="CI217" s="128"/>
      <c r="CJ217" s="128"/>
      <c r="CK217" s="128"/>
      <c r="CL217" s="128"/>
      <c r="CM217" s="128"/>
      <c r="CN217" s="128"/>
      <c r="CO217" s="128"/>
      <c r="CP217" s="128"/>
      <c r="CQ217" s="128"/>
      <c r="CR217" s="128"/>
      <c r="CS217" s="128"/>
      <c r="CT217" s="128"/>
      <c r="CU217" s="128"/>
      <c r="CV217" s="128"/>
      <c r="CW217" s="128"/>
      <c r="CX217" s="128"/>
      <c r="CY217" s="128"/>
      <c r="CZ217" s="36"/>
      <c r="DA217" s="36"/>
      <c r="DB217" s="36"/>
      <c r="DC217" s="36"/>
      <c r="DD217" s="36"/>
      <c r="DE217" s="36"/>
      <c r="DF217" s="36"/>
      <c r="DG217" s="36"/>
      <c r="DH217" s="36"/>
      <c r="DI217" s="36"/>
      <c r="DJ217" s="36"/>
      <c r="DK217" s="36"/>
      <c r="DL217" s="36"/>
    </row>
    <row r="218" spans="1:116" ht="15" customHeight="1" thickBot="1"/>
    <row r="219" spans="1:116" ht="15" customHeight="1">
      <c r="B219" s="75"/>
      <c r="C219" s="76" t="s">
        <v>3552</v>
      </c>
      <c r="D219" s="77" t="s">
        <v>3553</v>
      </c>
    </row>
    <row r="220" spans="1:116" ht="15" customHeight="1">
      <c r="B220" s="78" t="s">
        <v>3554</v>
      </c>
      <c r="C220" s="79">
        <f>SUMIF($B$238:$B$286,"업무집행사원(GP)",$G$238:$G$286)</f>
        <v>100000000</v>
      </c>
      <c r="D220" s="80">
        <f>SUMIF($B$238:$B$286,"유한책임사원(LP)",$G$238:$G$286)</f>
        <v>10400000000</v>
      </c>
    </row>
    <row r="221" spans="1:116" ht="15" customHeight="1">
      <c r="B221" s="78" t="s">
        <v>3555</v>
      </c>
      <c r="C221" s="79">
        <f>SUMIF($B$238:$B$286,"업무집행사원(GP)",$I$238:$I$286)</f>
        <v>100000000</v>
      </c>
      <c r="D221" s="80">
        <f>SUMIF($B$238:$B$286,"유한책임사원(LP)",$I$238:$I$286)</f>
        <v>10400000000</v>
      </c>
    </row>
    <row r="222" spans="1:116" ht="15" customHeight="1" thickBot="1">
      <c r="B222" s="81" t="s">
        <v>3556</v>
      </c>
      <c r="C222" s="82">
        <f>SUMIF($B$238:$B$286,"업무집행사원(GP)",$J$238:$J$286)</f>
        <v>22254764.822341919</v>
      </c>
      <c r="D222" s="83">
        <f>SUMIF($B$238:$B$286,"유한책임사원(LP)",$J$238:$J$286)</f>
        <v>2314495541.5235596</v>
      </c>
    </row>
    <row r="223" spans="1:116" ht="15" customHeight="1" thickBot="1">
      <c r="B223" s="30"/>
    </row>
    <row r="224" spans="1:116" ht="15" customHeight="1">
      <c r="B224" s="75"/>
      <c r="C224" s="76" t="s">
        <v>3557</v>
      </c>
      <c r="D224" s="76" t="s">
        <v>3558</v>
      </c>
      <c r="E224" s="77" t="s">
        <v>3559</v>
      </c>
      <c r="F224" s="21"/>
      <c r="G224" s="21"/>
      <c r="K224" s="67"/>
    </row>
    <row r="225" spans="1:21" ht="15" customHeight="1">
      <c r="B225" s="78" t="s">
        <v>3554</v>
      </c>
      <c r="C225" s="64">
        <f>SUMIF($C$238:$C$286,"선순위출자자",$G$238:$G$286)</f>
        <v>10400000000</v>
      </c>
      <c r="D225" s="64">
        <f>SUMIF($C$238:$C$286,"중순위출자자",$G$238:$G$286)</f>
        <v>0</v>
      </c>
      <c r="E225" s="80">
        <f>SUMIF($C$238:$C$286,"후순위출자자",$G$238:$G$286)</f>
        <v>100000000</v>
      </c>
      <c r="F225" s="21"/>
      <c r="G225" s="21"/>
      <c r="N225" s="45"/>
    </row>
    <row r="226" spans="1:21" ht="15" customHeight="1">
      <c r="B226" s="78" t="s">
        <v>3555</v>
      </c>
      <c r="C226" s="64">
        <f>SUMIF($C$238:$C$286,"선순위출자자",$I$238:$I$286)</f>
        <v>10400000000</v>
      </c>
      <c r="D226" s="64">
        <f>SUMIF($C$238:$C$286,"중순위출자자",$I$238:$I$286)</f>
        <v>0</v>
      </c>
      <c r="E226" s="80">
        <f>SUMIF($C$238:$C$286,"후순위출자자",$I$238:$I$286)</f>
        <v>100000000</v>
      </c>
      <c r="F226" s="21"/>
      <c r="G226" s="21"/>
      <c r="N226" s="117"/>
    </row>
    <row r="227" spans="1:21" ht="15" customHeight="1" thickBot="1">
      <c r="B227" s="81" t="s">
        <v>3556</v>
      </c>
      <c r="C227" s="82">
        <f>SUMIF($C$238:$C$286,"선순위출자자",$J$238:$J$286)</f>
        <v>2314495541.5235596</v>
      </c>
      <c r="D227" s="82">
        <f>SUMIF($C$238:$C$286,"중순위출자자",$J$238:$J$286)</f>
        <v>0</v>
      </c>
      <c r="E227" s="83">
        <f>SUMIF($C$238:$C$286,"후순위출자자",$J$238:$J$286)</f>
        <v>22254764.822341919</v>
      </c>
      <c r="F227" s="21"/>
      <c r="G227" s="21"/>
      <c r="N227" s="118"/>
    </row>
    <row r="228" spans="1:21" ht="15" customHeight="1" thickBot="1"/>
    <row r="229" spans="1:21" ht="15" customHeight="1">
      <c r="A229" s="21"/>
      <c r="B229" s="87"/>
      <c r="C229" s="88" t="s">
        <v>3560</v>
      </c>
      <c r="D229" s="89" t="s">
        <v>3586</v>
      </c>
      <c r="E229" s="89" t="s">
        <v>3587</v>
      </c>
      <c r="F229" s="89" t="s">
        <v>3515</v>
      </c>
      <c r="G229" s="89" t="s">
        <v>3516</v>
      </c>
      <c r="H229" s="89" t="s">
        <v>3510</v>
      </c>
      <c r="I229" s="89" t="s">
        <v>3511</v>
      </c>
      <c r="J229" s="90" t="s">
        <v>3517</v>
      </c>
      <c r="K229" s="84"/>
      <c r="M229" s="84"/>
      <c r="N229" s="36"/>
    </row>
    <row r="230" spans="1:21" ht="15" customHeight="1">
      <c r="A230" s="21"/>
      <c r="B230" s="91" t="s">
        <v>3564</v>
      </c>
      <c r="C230" s="92">
        <f>C226</f>
        <v>10400000000</v>
      </c>
      <c r="D230" s="64">
        <f>IF(C233=0,0,D226)</f>
        <v>0</v>
      </c>
      <c r="E230" s="64">
        <f>IF(D233=0,0,E226)</f>
        <v>100000000</v>
      </c>
      <c r="F230" s="92">
        <f>IF(E233=0,0,C227)</f>
        <v>2314495541.5235596</v>
      </c>
      <c r="G230" s="92">
        <f>IF(F233=0,0,D227)</f>
        <v>0</v>
      </c>
      <c r="H230" s="92">
        <f>IF(G233=0,0,E227)</f>
        <v>22254764.822341919</v>
      </c>
      <c r="I230" s="64">
        <f>IF(($C$15-SUM(C230:H230))*$E$14&lt;0,0,$C$15-SUM(C230:H230))*$E$14</f>
        <v>2606987185.5308199</v>
      </c>
      <c r="J230" s="93">
        <f>IF($C$15-SUM(C230:I230)&lt;0,0,$C$15-SUM(C230:I230))</f>
        <v>10427948742.12328</v>
      </c>
      <c r="K230" s="84"/>
      <c r="M230" s="84"/>
      <c r="N230" s="36"/>
    </row>
    <row r="231" spans="1:21" ht="15" customHeight="1">
      <c r="A231" s="21"/>
      <c r="B231" s="91" t="s">
        <v>3565</v>
      </c>
      <c r="C231" s="64">
        <f>$C$15</f>
        <v>25871686234</v>
      </c>
      <c r="D231" s="64">
        <f>C233</f>
        <v>15471686234</v>
      </c>
      <c r="E231" s="64">
        <f>D233</f>
        <v>15471686234</v>
      </c>
      <c r="F231" s="64">
        <f t="shared" ref="F231" si="56">E233</f>
        <v>15371686234</v>
      </c>
      <c r="G231" s="64">
        <f t="shared" ref="G231" si="57">F233</f>
        <v>13057190692.47644</v>
      </c>
      <c r="H231" s="64">
        <f t="shared" ref="H231" si="58">G233</f>
        <v>13057190692.47644</v>
      </c>
      <c r="I231" s="64">
        <f>H233</f>
        <v>13034935927.654099</v>
      </c>
      <c r="J231" s="93">
        <f t="shared" ref="J231" si="59">I233</f>
        <v>10427948742.12328</v>
      </c>
      <c r="K231" s="84"/>
      <c r="M231" s="119"/>
      <c r="N231" s="36"/>
    </row>
    <row r="232" spans="1:21" ht="15" customHeight="1">
      <c r="A232" s="21"/>
      <c r="B232" s="91" t="s">
        <v>3566</v>
      </c>
      <c r="C232" s="64">
        <f>IF(C230&lt;0,0,IF(C230&gt;C231,C231,C230))</f>
        <v>10400000000</v>
      </c>
      <c r="D232" s="64">
        <f t="shared" ref="D232:E232" si="60">IF(D230&lt;0,0,IF(D230&gt;D231,D231,D230))</f>
        <v>0</v>
      </c>
      <c r="E232" s="64">
        <f t="shared" si="60"/>
        <v>100000000</v>
      </c>
      <c r="F232" s="64">
        <f>IF(F230&gt;F231,F231,F230)</f>
        <v>2314495541.5235596</v>
      </c>
      <c r="G232" s="64">
        <f t="shared" ref="G232:H232" si="61">IF(G230&gt;G231,G231,G230)</f>
        <v>0</v>
      </c>
      <c r="H232" s="64">
        <f t="shared" si="61"/>
        <v>22254764.822341919</v>
      </c>
      <c r="I232" s="64">
        <f>IF(I230&lt;0,0,IF(I230&gt;I231,I231,I230))</f>
        <v>2606987185.5308199</v>
      </c>
      <c r="J232" s="93">
        <f>IF(J230&lt;0,0,IF(J230&gt;J231,J231,J230))</f>
        <v>10427948742.12328</v>
      </c>
      <c r="K232" s="84"/>
      <c r="L232" s="84"/>
      <c r="M232" s="84"/>
      <c r="N232" s="36"/>
    </row>
    <row r="233" spans="1:21" ht="15" customHeight="1">
      <c r="A233" s="21"/>
      <c r="B233" s="94" t="s">
        <v>3567</v>
      </c>
      <c r="C233" s="64">
        <f>IF(C230&lt;0,-C230+C231,IF(C231-C232&gt;0,C231-C232,0))</f>
        <v>15471686234</v>
      </c>
      <c r="D233" s="64">
        <f t="shared" ref="D233:H233" si="62">IF(D231-D232&gt;0,D231-D232,0)</f>
        <v>15471686234</v>
      </c>
      <c r="E233" s="64">
        <f t="shared" si="62"/>
        <v>15371686234</v>
      </c>
      <c r="F233" s="64">
        <f t="shared" si="62"/>
        <v>13057190692.47644</v>
      </c>
      <c r="G233" s="64">
        <f t="shared" si="62"/>
        <v>13057190692.47644</v>
      </c>
      <c r="H233" s="64">
        <f t="shared" si="62"/>
        <v>13034935927.654099</v>
      </c>
      <c r="I233" s="64">
        <f>IF(I231-I232&gt;0,I231-I232,0)</f>
        <v>10427948742.12328</v>
      </c>
      <c r="J233" s="93">
        <f t="shared" ref="J233" si="63">IF(J231-J232&gt;0,J231-J232,0)</f>
        <v>0</v>
      </c>
      <c r="K233" s="84"/>
      <c r="L233" s="84"/>
      <c r="M233" s="84"/>
      <c r="N233" s="36"/>
    </row>
    <row r="234" spans="1:21" ht="15" customHeight="1" thickBot="1">
      <c r="B234" s="97" t="s">
        <v>3568</v>
      </c>
      <c r="C234" s="98" t="str">
        <f>IF(C233&gt;0,"다음으로 이동", "분배종료")</f>
        <v>다음으로 이동</v>
      </c>
      <c r="D234" s="98" t="str">
        <f>IF(C233=0,"",IF(D233&gt;0,"다음으로 이동", "분배종료"))</f>
        <v>다음으로 이동</v>
      </c>
      <c r="E234" s="98" t="str">
        <f>IF(D233=0,"",IF(E233&gt;0,"다음으로 이동", "분배종료"))</f>
        <v>다음으로 이동</v>
      </c>
      <c r="F234" s="98" t="str">
        <f t="shared" ref="F234" si="64">IF(E233=0,"",IF(F233&gt;0,"다음으로 이동", "분배종료"))</f>
        <v>다음으로 이동</v>
      </c>
      <c r="G234" s="98" t="str">
        <f t="shared" ref="G234" si="65">IF(F233=0,"",IF(G233&gt;0,"다음으로 이동", "분배종료"))</f>
        <v>다음으로 이동</v>
      </c>
      <c r="H234" s="98" t="str">
        <f t="shared" ref="H234" si="66">IF(G233=0,"",IF(H233&gt;0,"다음으로 이동", "분배종료"))</f>
        <v>다음으로 이동</v>
      </c>
      <c r="I234" s="98" t="str">
        <f>IF(H233=0,"",IF(I233&gt;0,"다음으로 이동", "분배종료"))</f>
        <v>다음으로 이동</v>
      </c>
      <c r="J234" s="99" t="str">
        <f>IF(I233=0,"",IF(INT(J233)&gt;0,"다음으로 이동", "분배종료"))</f>
        <v>분배종료</v>
      </c>
    </row>
    <row r="235" spans="1:21" ht="15" customHeight="1" thickBot="1">
      <c r="E235" s="66"/>
      <c r="H235" s="85"/>
      <c r="I235" s="86"/>
      <c r="J235" s="86"/>
      <c r="K235" s="86"/>
      <c r="L235" s="86"/>
      <c r="M235" s="86"/>
      <c r="N235" s="86"/>
      <c r="O235" s="86"/>
    </row>
    <row r="236" spans="1:21" ht="15" customHeight="1" thickBot="1">
      <c r="B236" s="131" t="s">
        <v>3569</v>
      </c>
      <c r="C236" s="132"/>
      <c r="D236" s="132"/>
      <c r="E236" s="132"/>
      <c r="F236" s="132"/>
      <c r="G236" s="132"/>
      <c r="H236" s="132"/>
      <c r="I236" s="132"/>
      <c r="J236" s="133"/>
      <c r="K236" s="131" t="s">
        <v>3570</v>
      </c>
      <c r="L236" s="134"/>
      <c r="M236" s="134"/>
      <c r="N236" s="134"/>
      <c r="O236" s="134"/>
      <c r="P236" s="134"/>
      <c r="Q236" s="134"/>
      <c r="R236" s="135"/>
      <c r="S236" s="131" t="s">
        <v>3571</v>
      </c>
      <c r="T236" s="135"/>
      <c r="U236" s="135"/>
    </row>
    <row r="237" spans="1:21" ht="15" customHeight="1" thickBot="1">
      <c r="A237" s="54"/>
      <c r="B237" s="136" t="s">
        <v>3572</v>
      </c>
      <c r="C237" s="137" t="s">
        <v>3573</v>
      </c>
      <c r="D237" s="137" t="s">
        <v>3550</v>
      </c>
      <c r="E237" s="137" t="s">
        <v>3574</v>
      </c>
      <c r="F237" s="138" t="s">
        <v>3575</v>
      </c>
      <c r="G237" s="137" t="s">
        <v>3554</v>
      </c>
      <c r="H237" s="137" t="s">
        <v>3576</v>
      </c>
      <c r="I237" s="137" t="s">
        <v>3577</v>
      </c>
      <c r="J237" s="138" t="s">
        <v>3578</v>
      </c>
      <c r="K237" s="139" t="s">
        <v>3560</v>
      </c>
      <c r="L237" s="138" t="s">
        <v>3586</v>
      </c>
      <c r="M237" s="138" t="s">
        <v>3587</v>
      </c>
      <c r="N237" s="138" t="s">
        <v>3591</v>
      </c>
      <c r="O237" s="138" t="s">
        <v>3592</v>
      </c>
      <c r="P237" s="138" t="s">
        <v>3581</v>
      </c>
      <c r="Q237" s="138" t="s">
        <v>3582</v>
      </c>
      <c r="R237" s="140" t="s">
        <v>3563</v>
      </c>
      <c r="S237" s="138" t="s">
        <v>3583</v>
      </c>
      <c r="T237" s="138" t="s">
        <v>3584</v>
      </c>
      <c r="U237" s="140" t="s">
        <v>3585</v>
      </c>
    </row>
    <row r="238" spans="1:21" ht="15" customHeight="1">
      <c r="A238" s="54">
        <v>1</v>
      </c>
      <c r="B238" s="120" t="str">
        <f>IF(개요!K8="","",개요!K8)</f>
        <v>업무집행사원(GP)</v>
      </c>
      <c r="C238" s="121" t="str">
        <f>IF(개요!L8="","",개요!L8)</f>
        <v>후순위출자자</v>
      </c>
      <c r="D238" s="121" t="str">
        <f>IF(개요!M8="","",개요!M8)</f>
        <v>코리아에셋투자증권㈜</v>
      </c>
      <c r="E238" s="122">
        <f>IF(개요!R8="-","",개요!R8)</f>
        <v>4.7619047619047623E-3</v>
      </c>
      <c r="F238" s="122">
        <f>IFERROR(G238/HLOOKUP(C238,$B$224:$E$227,2,0),"")</f>
        <v>0.5</v>
      </c>
      <c r="G238" s="123">
        <f>IF(개요!Q8=0,"",개요!Q8)</f>
        <v>50000000</v>
      </c>
      <c r="H238" s="123">
        <f t="shared" ref="H238:H269" si="67">IF(CY22=0,"",CY22)</f>
        <v>61127382.411170959</v>
      </c>
      <c r="I238" s="123">
        <f>IF(개요!O8=0,"",개요!O8-개요!P8)</f>
        <v>50000000</v>
      </c>
      <c r="J238" s="124">
        <f>IFERROR(IF(G238&lt;&gt;"",H238-I238,""),"")</f>
        <v>11127382.411170959</v>
      </c>
      <c r="K238" s="125" t="str">
        <f>IFERROR(IF($C238="선순위출자자",IF($C$231&gt;$C$232,$I238,$C$232*$F238),""),"")</f>
        <v/>
      </c>
      <c r="L238" s="123" t="str">
        <f>IFERROR(IF($C238="중순위출자자",IF($D$231&gt;$D$232,$I238,$D$232*$F238),""),"")</f>
        <v/>
      </c>
      <c r="M238" s="123">
        <f>IFERROR(IF($C238="후순위출자자",IF($E$231&gt;$E$232,$I238,$E$232*$F238),""),"")</f>
        <v>50000000</v>
      </c>
      <c r="N238" s="123" t="str">
        <f>IFERROR(IF($C238="선순위출자자",IF(AND($F$230=$F$232,$F$232&lt;&gt;0),$J238,$F$232*$F238),""),"")</f>
        <v/>
      </c>
      <c r="O238" s="123" t="str">
        <f>IFERROR(IF($C238="중순위출자자",IF(AND($G$230=$G$232,$G$232&lt;&gt;0),$J238,$G$232*$F238),""),"")</f>
        <v/>
      </c>
      <c r="P238" s="123">
        <f>IFERROR(IF($C238="후순위출자자",IF(AND($H$230=$H$232,$H$232&lt;&gt;0),$J238,$H$232*$F238),""),"")</f>
        <v>11127382.411170959</v>
      </c>
      <c r="Q238" s="123">
        <f t="shared" ref="Q238:Q269" si="68">IFERROR(IF(B238="유한책임사원(LP)","",$I$231*$E$14*(G238/$C$220)),"")</f>
        <v>1303493592.7654099</v>
      </c>
      <c r="R238" s="124">
        <f t="shared" ref="R238:R269" si="69">IFERROR($J$231*E238,"")</f>
        <v>49656898.772015624</v>
      </c>
      <c r="S238" s="123">
        <f t="shared" ref="S238:S269" si="70">IF(I238="","",SUM(K238:R238))</f>
        <v>1414277873.9485965</v>
      </c>
      <c r="T238" s="126">
        <f t="shared" ref="T238:T269" si="71">IF(G238="","",S238/(G238/$E$12))</f>
        <v>28.285557478971931</v>
      </c>
      <c r="U238" s="31" t="b">
        <f>IF(개요!EA8=0,"",ROUND(개요!EA8,3)=ROUND(T238,3))</f>
        <v>1</v>
      </c>
    </row>
    <row r="239" spans="1:21" ht="15" customHeight="1">
      <c r="A239" s="54">
        <v>2</v>
      </c>
      <c r="B239" s="120" t="str">
        <f>IF(개요!K9="","",개요!K9)</f>
        <v>업무집행사원(GP)</v>
      </c>
      <c r="C239" s="121" t="str">
        <f>IF(개요!L9="","",개요!L9)</f>
        <v>후순위출자자</v>
      </c>
      <c r="D239" s="121" t="str">
        <f>IF(개요!M9="","",개요!M9)</f>
        <v>창인파트너스㈜</v>
      </c>
      <c r="E239" s="122">
        <f>IF(개요!R9="-","",개요!R9)</f>
        <v>4.7619047619047623E-3</v>
      </c>
      <c r="F239" s="122">
        <f t="shared" ref="F239:F286" si="72">IFERROR(G239/HLOOKUP(C239,$B$224:$E$227,2,0),"")</f>
        <v>0.5</v>
      </c>
      <c r="G239" s="123">
        <f>IF(개요!Q9=0,"",개요!Q9)</f>
        <v>50000000</v>
      </c>
      <c r="H239" s="123">
        <f t="shared" si="67"/>
        <v>61127382.411170959</v>
      </c>
      <c r="I239" s="123">
        <f>IF(개요!O9=0,"",개요!O9-개요!P9)</f>
        <v>50000000</v>
      </c>
      <c r="J239" s="124">
        <f t="shared" ref="J239:J286" si="73">IFERROR(IF(G239&lt;&gt;"",H239-I239,""),"")</f>
        <v>11127382.411170959</v>
      </c>
      <c r="K239" s="125" t="str">
        <f t="shared" ref="K239:K286" si="74">IFERROR(IF($C239="선순위출자자",IF($C$231&gt;$C$232,$I239,$C$232*$F239),""),"")</f>
        <v/>
      </c>
      <c r="L239" s="123" t="str">
        <f t="shared" ref="L239:L286" si="75">IFERROR(IF($C239="중순위출자자",IF($D$231&gt;$D$232,$I239,$D$232*$F239),""),"")</f>
        <v/>
      </c>
      <c r="M239" s="123">
        <f t="shared" ref="M239:M286" si="76">IFERROR(IF($C239="후순위출자자",IF($E$231&gt;$E$232,$I239,$E$232*$F239),""),"")</f>
        <v>50000000</v>
      </c>
      <c r="N239" s="123" t="str">
        <f t="shared" ref="N239:N286" si="77">IFERROR(IF($C239="선순위출자자",IF(AND($F$230=$F$232,$F$232&lt;&gt;0),$J239,$F$232*$F239),""),"")</f>
        <v/>
      </c>
      <c r="O239" s="123" t="str">
        <f t="shared" ref="O239:O286" si="78">IFERROR(IF($C239="중순위출자자",IF(AND($G$230=$G$232,$G$232&lt;&gt;0),$J239,$G$232*$F239),""),"")</f>
        <v/>
      </c>
      <c r="P239" s="123">
        <f t="shared" ref="P239:P286" si="79">IFERROR(IF($C239="후순위출자자",IF(AND($H$230=$H$232,$H$232&lt;&gt;0),$J239,$H$232*$F239),""),"")</f>
        <v>11127382.411170959</v>
      </c>
      <c r="Q239" s="123">
        <f t="shared" si="68"/>
        <v>1303493592.7654099</v>
      </c>
      <c r="R239" s="124">
        <f t="shared" si="69"/>
        <v>49656898.772015624</v>
      </c>
      <c r="S239" s="123">
        <f t="shared" si="70"/>
        <v>1414277873.9485965</v>
      </c>
      <c r="T239" s="126">
        <f t="shared" si="71"/>
        <v>28.285557478971931</v>
      </c>
      <c r="U239" s="31" t="b">
        <f>IF(개요!EA9=0,"",ROUND(개요!EA9,3)=ROUND(T239,3))</f>
        <v>1</v>
      </c>
    </row>
    <row r="240" spans="1:21" ht="15" customHeight="1">
      <c r="A240" s="54">
        <v>3</v>
      </c>
      <c r="B240" s="120" t="str">
        <f>IF(개요!K10="","",개요!K10)</f>
        <v>유한책임사원(LP)</v>
      </c>
      <c r="C240" s="121" t="str">
        <f>IF(개요!L10="","",개요!L10)</f>
        <v>선순위출자자</v>
      </c>
      <c r="D240" s="121" t="str">
        <f>IF(개요!M10="","",개요!M10)</f>
        <v>P펀드</v>
      </c>
      <c r="E240" s="122">
        <f>IF(개요!R10="-","",개요!R10)</f>
        <v>0.5714285714285714</v>
      </c>
      <c r="F240" s="122">
        <f t="shared" si="72"/>
        <v>0.57692307692307687</v>
      </c>
      <c r="G240" s="123">
        <f>IF(개요!Q10=0,"",개요!Q10)</f>
        <v>6000000000</v>
      </c>
      <c r="H240" s="123">
        <f t="shared" si="67"/>
        <v>7335285889.3405151</v>
      </c>
      <c r="I240" s="123">
        <f>IF(개요!O10=0,"",개요!O10-개요!P10)</f>
        <v>6000000000</v>
      </c>
      <c r="J240" s="124">
        <f t="shared" si="73"/>
        <v>1335285889.3405151</v>
      </c>
      <c r="K240" s="125">
        <f t="shared" si="74"/>
        <v>6000000000</v>
      </c>
      <c r="L240" s="123" t="str">
        <f t="shared" si="75"/>
        <v/>
      </c>
      <c r="M240" s="123" t="str">
        <f t="shared" si="76"/>
        <v/>
      </c>
      <c r="N240" s="123">
        <f t="shared" si="77"/>
        <v>1335285889.3405151</v>
      </c>
      <c r="O240" s="123" t="str">
        <f t="shared" si="78"/>
        <v/>
      </c>
      <c r="P240" s="123" t="str">
        <f t="shared" si="79"/>
        <v/>
      </c>
      <c r="Q240" s="123" t="str">
        <f t="shared" si="68"/>
        <v/>
      </c>
      <c r="R240" s="124">
        <f t="shared" si="69"/>
        <v>5958827852.6418734</v>
      </c>
      <c r="S240" s="123">
        <f t="shared" si="70"/>
        <v>13294113741.982388</v>
      </c>
      <c r="T240" s="126">
        <f t="shared" si="71"/>
        <v>2.2156856236637315</v>
      </c>
      <c r="U240" s="31" t="b">
        <f>IF(개요!EA10=0,"",ROUND(개요!EA10,3)=ROUND(T240,3))</f>
        <v>1</v>
      </c>
    </row>
    <row r="241" spans="1:21" ht="15" customHeight="1">
      <c r="A241" s="54">
        <v>4</v>
      </c>
      <c r="B241" s="120" t="str">
        <f>IF(개요!K11="","",개요!K11)</f>
        <v>유한책임사원(LP)</v>
      </c>
      <c r="C241" s="121" t="str">
        <f>IF(개요!L11="","",개요!L11)</f>
        <v>선순위출자자</v>
      </c>
      <c r="D241" s="121" t="str">
        <f>IF(개요!M11="","",개요!M11)</f>
        <v>M사</v>
      </c>
      <c r="E241" s="122">
        <f>IF(개요!R11="-","",개요!R11)</f>
        <v>9.5238095238095233E-2</v>
      </c>
      <c r="F241" s="122">
        <f t="shared" si="72"/>
        <v>9.6153846153846159E-2</v>
      </c>
      <c r="G241" s="123">
        <f>IF(개요!Q11=0,"",개요!Q11)</f>
        <v>1000000000</v>
      </c>
      <c r="H241" s="123">
        <f t="shared" si="67"/>
        <v>1222547648.2234192</v>
      </c>
      <c r="I241" s="123">
        <f>IF(개요!O11=0,"",개요!O11-개요!P11)</f>
        <v>1000000000</v>
      </c>
      <c r="J241" s="124">
        <f t="shared" si="73"/>
        <v>222547648.22341919</v>
      </c>
      <c r="K241" s="125">
        <f t="shared" si="74"/>
        <v>1000000000</v>
      </c>
      <c r="L241" s="123" t="str">
        <f t="shared" si="75"/>
        <v/>
      </c>
      <c r="M241" s="123" t="str">
        <f t="shared" si="76"/>
        <v/>
      </c>
      <c r="N241" s="123">
        <f t="shared" si="77"/>
        <v>222547648.22341919</v>
      </c>
      <c r="O241" s="123" t="str">
        <f t="shared" si="78"/>
        <v/>
      </c>
      <c r="P241" s="123" t="str">
        <f t="shared" si="79"/>
        <v/>
      </c>
      <c r="Q241" s="123" t="str">
        <f t="shared" si="68"/>
        <v/>
      </c>
      <c r="R241" s="124">
        <f t="shared" si="69"/>
        <v>993137975.44031227</v>
      </c>
      <c r="S241" s="123">
        <f t="shared" si="70"/>
        <v>2215685623.6637316</v>
      </c>
      <c r="T241" s="126">
        <f t="shared" si="71"/>
        <v>2.2156856236637315</v>
      </c>
      <c r="U241" s="31" t="b">
        <f>IF(개요!EA11=0,"",ROUND(개요!EA11,3)=ROUND(T241,3))</f>
        <v>1</v>
      </c>
    </row>
    <row r="242" spans="1:21" ht="15" customHeight="1">
      <c r="A242" s="54">
        <v>5</v>
      </c>
      <c r="B242" s="120" t="str">
        <f>IF(개요!K12="","",개요!K12)</f>
        <v>유한책임사원(LP)</v>
      </c>
      <c r="C242" s="121" t="str">
        <f>IF(개요!L12="","",개요!L12)</f>
        <v>선순위출자자</v>
      </c>
      <c r="D242" s="121" t="str">
        <f>IF(개요!M12="","",개요!M12)</f>
        <v>흥국생명보험㈜</v>
      </c>
      <c r="E242" s="122">
        <f>IF(개요!R12="-","",개요!R12)</f>
        <v>9.5238095238095233E-2</v>
      </c>
      <c r="F242" s="122">
        <f t="shared" si="72"/>
        <v>9.6153846153846159E-2</v>
      </c>
      <c r="G242" s="123">
        <f>IF(개요!Q12=0,"",개요!Q12)</f>
        <v>1000000000</v>
      </c>
      <c r="H242" s="123">
        <f t="shared" si="67"/>
        <v>1222547648.2234192</v>
      </c>
      <c r="I242" s="123">
        <f>IF(개요!O12=0,"",개요!O12-개요!P12)</f>
        <v>1000000000</v>
      </c>
      <c r="J242" s="124">
        <f t="shared" si="73"/>
        <v>222547648.22341919</v>
      </c>
      <c r="K242" s="125">
        <f t="shared" si="74"/>
        <v>1000000000</v>
      </c>
      <c r="L242" s="123" t="str">
        <f t="shared" si="75"/>
        <v/>
      </c>
      <c r="M242" s="123" t="str">
        <f t="shared" si="76"/>
        <v/>
      </c>
      <c r="N242" s="123">
        <f t="shared" si="77"/>
        <v>222547648.22341919</v>
      </c>
      <c r="O242" s="123" t="str">
        <f t="shared" si="78"/>
        <v/>
      </c>
      <c r="P242" s="123" t="str">
        <f t="shared" si="79"/>
        <v/>
      </c>
      <c r="Q242" s="123" t="str">
        <f t="shared" si="68"/>
        <v/>
      </c>
      <c r="R242" s="124">
        <f t="shared" si="69"/>
        <v>993137975.44031227</v>
      </c>
      <c r="S242" s="123">
        <f t="shared" si="70"/>
        <v>2215685623.6637316</v>
      </c>
      <c r="T242" s="126">
        <f t="shared" si="71"/>
        <v>2.2156856236637315</v>
      </c>
      <c r="U242" s="31" t="b">
        <f>IF(개요!EA12=0,"",ROUND(개요!EA12,3)=ROUND(T242,3))</f>
        <v>1</v>
      </c>
    </row>
    <row r="243" spans="1:21" ht="15" customHeight="1">
      <c r="A243" s="54">
        <v>6</v>
      </c>
      <c r="B243" s="120" t="str">
        <f>IF(개요!K13="","",개요!K13)</f>
        <v>유한책임사원(LP)</v>
      </c>
      <c r="C243" s="121" t="str">
        <f>IF(개요!L13="","",개요!L13)</f>
        <v>선순위출자자</v>
      </c>
      <c r="D243" s="121" t="str">
        <f>IF(개요!M13="","",개요!M13)</f>
        <v>M사</v>
      </c>
      <c r="E243" s="122">
        <f>IF(개요!R13="-","",개요!R13)</f>
        <v>9.5238095238095233E-2</v>
      </c>
      <c r="F243" s="122">
        <f t="shared" si="72"/>
        <v>9.6153846153846159E-2</v>
      </c>
      <c r="G243" s="123">
        <f>IF(개요!Q13=0,"",개요!Q13)</f>
        <v>1000000000</v>
      </c>
      <c r="H243" s="123">
        <f t="shared" si="67"/>
        <v>1222547648.2234192</v>
      </c>
      <c r="I243" s="123">
        <f>IF(개요!O13=0,"",개요!O13-개요!P13)</f>
        <v>1000000000</v>
      </c>
      <c r="J243" s="124">
        <f t="shared" si="73"/>
        <v>222547648.22341919</v>
      </c>
      <c r="K243" s="125">
        <f t="shared" si="74"/>
        <v>1000000000</v>
      </c>
      <c r="L243" s="123" t="str">
        <f t="shared" si="75"/>
        <v/>
      </c>
      <c r="M243" s="123" t="str">
        <f t="shared" si="76"/>
        <v/>
      </c>
      <c r="N243" s="123">
        <f t="shared" si="77"/>
        <v>222547648.22341919</v>
      </c>
      <c r="O243" s="123" t="str">
        <f t="shared" si="78"/>
        <v/>
      </c>
      <c r="P243" s="123" t="str">
        <f t="shared" si="79"/>
        <v/>
      </c>
      <c r="Q243" s="123" t="str">
        <f t="shared" si="68"/>
        <v/>
      </c>
      <c r="R243" s="124">
        <f t="shared" si="69"/>
        <v>993137975.44031227</v>
      </c>
      <c r="S243" s="123">
        <f t="shared" si="70"/>
        <v>2215685623.6637316</v>
      </c>
      <c r="T243" s="126">
        <f t="shared" si="71"/>
        <v>2.2156856236637315</v>
      </c>
      <c r="U243" s="31" t="b">
        <f>IF(개요!EA13=0,"",ROUND(개요!EA13,3)=ROUND(T243,3))</f>
        <v>1</v>
      </c>
    </row>
    <row r="244" spans="1:21" ht="15" customHeight="1">
      <c r="A244" s="54">
        <v>7</v>
      </c>
      <c r="B244" s="120" t="str">
        <f>IF(개요!K14="","",개요!K14)</f>
        <v>유한책임사원(LP)</v>
      </c>
      <c r="C244" s="121" t="str">
        <f>IF(개요!L14="","",개요!L14)</f>
        <v>선순위출자자</v>
      </c>
      <c r="D244" s="121" t="str">
        <f>IF(개요!M14="","",개요!M14)</f>
        <v>김OO</v>
      </c>
      <c r="E244" s="122">
        <f>IF(개요!R14="-","",개요!R14)</f>
        <v>3.8095238095238099E-2</v>
      </c>
      <c r="F244" s="122">
        <f t="shared" si="72"/>
        <v>3.8461538461538464E-2</v>
      </c>
      <c r="G244" s="123">
        <f>IF(개요!Q14=0,"",개요!Q14)</f>
        <v>400000000</v>
      </c>
      <c r="H244" s="123">
        <f t="shared" si="67"/>
        <v>489019059.28936768</v>
      </c>
      <c r="I244" s="123">
        <f>IF(개요!O14=0,"",개요!O14-개요!P14)</f>
        <v>400000000</v>
      </c>
      <c r="J244" s="124">
        <f t="shared" si="73"/>
        <v>89019059.289367676</v>
      </c>
      <c r="K244" s="125">
        <f t="shared" si="74"/>
        <v>400000000</v>
      </c>
      <c r="L244" s="123" t="str">
        <f t="shared" si="75"/>
        <v/>
      </c>
      <c r="M244" s="123" t="str">
        <f t="shared" si="76"/>
        <v/>
      </c>
      <c r="N244" s="123">
        <f t="shared" si="77"/>
        <v>89019059.289367676</v>
      </c>
      <c r="O244" s="123" t="str">
        <f t="shared" si="78"/>
        <v/>
      </c>
      <c r="P244" s="123" t="str">
        <f t="shared" si="79"/>
        <v/>
      </c>
      <c r="Q244" s="123" t="str">
        <f t="shared" si="68"/>
        <v/>
      </c>
      <c r="R244" s="124">
        <f t="shared" si="69"/>
        <v>397255190.17612499</v>
      </c>
      <c r="S244" s="123">
        <f t="shared" si="70"/>
        <v>886274249.46549273</v>
      </c>
      <c r="T244" s="126">
        <f t="shared" si="71"/>
        <v>2.2156856236637319</v>
      </c>
      <c r="U244" s="31" t="b">
        <f>IF(개요!EA14=0,"",ROUND(개요!EA14,3)=ROUND(T244,3))</f>
        <v>1</v>
      </c>
    </row>
    <row r="245" spans="1:21" ht="15" customHeight="1">
      <c r="A245" s="54">
        <v>8</v>
      </c>
      <c r="B245" s="120" t="str">
        <f>IF(개요!K15="","",개요!K15)</f>
        <v>유한책임사원(LP)</v>
      </c>
      <c r="C245" s="121" t="str">
        <f>IF(개요!L15="","",개요!L15)</f>
        <v>선순위출자자</v>
      </c>
      <c r="D245" s="121" t="str">
        <f>IF(개요!M15="","",개요!M15)</f>
        <v>손OO</v>
      </c>
      <c r="E245" s="122">
        <f>IF(개요!R15="-","",개요!R15)</f>
        <v>2.3809523809523808E-2</v>
      </c>
      <c r="F245" s="122">
        <f t="shared" si="72"/>
        <v>2.403846153846154E-2</v>
      </c>
      <c r="G245" s="123">
        <f>IF(개요!Q15=0,"",개요!Q15)</f>
        <v>250000000</v>
      </c>
      <c r="H245" s="123">
        <f t="shared" si="67"/>
        <v>305636912.0558548</v>
      </c>
      <c r="I245" s="123">
        <f>IF(개요!O15=0,"",개요!O15-개요!P15)</f>
        <v>250000000</v>
      </c>
      <c r="J245" s="124">
        <f t="shared" si="73"/>
        <v>55636912.055854797</v>
      </c>
      <c r="K245" s="125">
        <f t="shared" si="74"/>
        <v>250000000</v>
      </c>
      <c r="L245" s="123" t="str">
        <f t="shared" si="75"/>
        <v/>
      </c>
      <c r="M245" s="123" t="str">
        <f t="shared" si="76"/>
        <v/>
      </c>
      <c r="N245" s="123">
        <f t="shared" si="77"/>
        <v>55636912.055854797</v>
      </c>
      <c r="O245" s="123" t="str">
        <f t="shared" si="78"/>
        <v/>
      </c>
      <c r="P245" s="123" t="str">
        <f t="shared" si="79"/>
        <v/>
      </c>
      <c r="Q245" s="123" t="str">
        <f t="shared" si="68"/>
        <v/>
      </c>
      <c r="R245" s="124">
        <f t="shared" si="69"/>
        <v>248284493.86007807</v>
      </c>
      <c r="S245" s="123">
        <f t="shared" si="70"/>
        <v>553921405.91593289</v>
      </c>
      <c r="T245" s="126">
        <f t="shared" si="71"/>
        <v>2.2156856236637315</v>
      </c>
      <c r="U245" s="31" t="b">
        <f>IF(개요!EA15=0,"",ROUND(개요!EA15,3)=ROUND(T245,3))</f>
        <v>1</v>
      </c>
    </row>
    <row r="246" spans="1:21" ht="15" customHeight="1">
      <c r="A246" s="54">
        <v>9</v>
      </c>
      <c r="B246" s="120" t="str">
        <f>IF(개요!K16="","",개요!K16)</f>
        <v>유한책임사원(LP)</v>
      </c>
      <c r="C246" s="121" t="str">
        <f>IF(개요!L16="","",개요!L16)</f>
        <v>선순위출자자</v>
      </c>
      <c r="D246" s="121" t="str">
        <f>IF(개요!M16="","",개요!M16)</f>
        <v>임OO</v>
      </c>
      <c r="E246" s="122">
        <f>IF(개요!R16="-","",개요!R16)</f>
        <v>2.3809523809523808E-2</v>
      </c>
      <c r="F246" s="122">
        <f t="shared" si="72"/>
        <v>2.403846153846154E-2</v>
      </c>
      <c r="G246" s="123">
        <f>IF(개요!Q16=0,"",개요!Q16)</f>
        <v>250000000</v>
      </c>
      <c r="H246" s="123">
        <f t="shared" si="67"/>
        <v>305636912.0558548</v>
      </c>
      <c r="I246" s="123">
        <f>IF(개요!O16=0,"",개요!O16-개요!P16)</f>
        <v>250000000</v>
      </c>
      <c r="J246" s="124">
        <f t="shared" si="73"/>
        <v>55636912.055854797</v>
      </c>
      <c r="K246" s="125">
        <f t="shared" si="74"/>
        <v>250000000</v>
      </c>
      <c r="L246" s="123" t="str">
        <f t="shared" si="75"/>
        <v/>
      </c>
      <c r="M246" s="123" t="str">
        <f t="shared" si="76"/>
        <v/>
      </c>
      <c r="N246" s="123">
        <f t="shared" si="77"/>
        <v>55636912.055854797</v>
      </c>
      <c r="O246" s="123" t="str">
        <f t="shared" si="78"/>
        <v/>
      </c>
      <c r="P246" s="123" t="str">
        <f t="shared" si="79"/>
        <v/>
      </c>
      <c r="Q246" s="123" t="str">
        <f t="shared" si="68"/>
        <v/>
      </c>
      <c r="R246" s="124">
        <f t="shared" si="69"/>
        <v>248284493.86007807</v>
      </c>
      <c r="S246" s="123">
        <f t="shared" si="70"/>
        <v>553921405.91593289</v>
      </c>
      <c r="T246" s="126">
        <f t="shared" si="71"/>
        <v>2.2156856236637315</v>
      </c>
      <c r="U246" s="31" t="b">
        <f>IF(개요!EA16=0,"",ROUND(개요!EA16,3)=ROUND(T246,3))</f>
        <v>1</v>
      </c>
    </row>
    <row r="247" spans="1:21" ht="15" customHeight="1" thickBot="1">
      <c r="A247" s="54">
        <v>10</v>
      </c>
      <c r="B247" s="120" t="str">
        <f>IF(개요!K17="","",개요!K17)</f>
        <v>유한책임사원(LP)</v>
      </c>
      <c r="C247" s="121" t="str">
        <f>IF(개요!L17="","",개요!L17)</f>
        <v>선순위출자자</v>
      </c>
      <c r="D247" s="121" t="str">
        <f>IF(개요!M17="","",개요!M17)</f>
        <v>최OO</v>
      </c>
      <c r="E247" s="122">
        <f>IF(개요!R17="-","",개요!R17)</f>
        <v>2.3809523809523808E-2</v>
      </c>
      <c r="F247" s="122">
        <f t="shared" si="72"/>
        <v>2.403846153846154E-2</v>
      </c>
      <c r="G247" s="123">
        <f>IF(개요!Q17=0,"",개요!Q17)</f>
        <v>250000000</v>
      </c>
      <c r="H247" s="123">
        <f t="shared" si="67"/>
        <v>305636912.0558548</v>
      </c>
      <c r="I247" s="123">
        <f>IF(개요!O17=0,"",개요!O17-개요!P17)</f>
        <v>250000000</v>
      </c>
      <c r="J247" s="124">
        <f t="shared" si="73"/>
        <v>55636912.055854797</v>
      </c>
      <c r="K247" s="125">
        <f t="shared" si="74"/>
        <v>250000000</v>
      </c>
      <c r="L247" s="123" t="str">
        <f t="shared" si="75"/>
        <v/>
      </c>
      <c r="M247" s="123" t="str">
        <f t="shared" si="76"/>
        <v/>
      </c>
      <c r="N247" s="123">
        <f t="shared" si="77"/>
        <v>55636912.055854797</v>
      </c>
      <c r="O247" s="123" t="str">
        <f t="shared" si="78"/>
        <v/>
      </c>
      <c r="P247" s="123" t="str">
        <f t="shared" si="79"/>
        <v/>
      </c>
      <c r="Q247" s="123" t="str">
        <f t="shared" si="68"/>
        <v/>
      </c>
      <c r="R247" s="124">
        <f t="shared" si="69"/>
        <v>248284493.86007807</v>
      </c>
      <c r="S247" s="123">
        <f t="shared" si="70"/>
        <v>553921405.91593289</v>
      </c>
      <c r="T247" s="126">
        <f t="shared" si="71"/>
        <v>2.2156856236637315</v>
      </c>
      <c r="U247" s="31" t="b">
        <f>IF(개요!EA17=0,"",ROUND(개요!EA17,3)=ROUND(T247,3))</f>
        <v>1</v>
      </c>
    </row>
    <row r="248" spans="1:21" ht="15" hidden="1" customHeight="1" outlineLevel="1">
      <c r="A248" s="54">
        <v>11</v>
      </c>
      <c r="B248" s="120" t="str">
        <f>IF(개요!K18="","",개요!K18)</f>
        <v>유한책임사원(LP)</v>
      </c>
      <c r="C248" s="121" t="str">
        <f>IF(개요!L18="","",개요!L18)</f>
        <v>선순위출자자</v>
      </c>
      <c r="D248" s="121" t="str">
        <f>IF(개요!M18="","",개요!M18)</f>
        <v>한OO</v>
      </c>
      <c r="E248" s="122">
        <f>IF(개요!R18="-","",개요!R18)</f>
        <v>2.3809523809523808E-2</v>
      </c>
      <c r="F248" s="122">
        <f t="shared" si="72"/>
        <v>2.403846153846154E-2</v>
      </c>
      <c r="G248" s="123">
        <f>IF(개요!Q18=0,"",개요!Q18)</f>
        <v>250000000</v>
      </c>
      <c r="H248" s="123">
        <f t="shared" si="67"/>
        <v>305636912.0558548</v>
      </c>
      <c r="I248" s="123">
        <f>IF(개요!O18=0,"",개요!O18-개요!P18)</f>
        <v>250000000</v>
      </c>
      <c r="J248" s="124">
        <f t="shared" si="73"/>
        <v>55636912.055854797</v>
      </c>
      <c r="K248" s="125">
        <f t="shared" si="74"/>
        <v>250000000</v>
      </c>
      <c r="L248" s="123" t="str">
        <f t="shared" si="75"/>
        <v/>
      </c>
      <c r="M248" s="123" t="str">
        <f t="shared" si="76"/>
        <v/>
      </c>
      <c r="N248" s="123">
        <f t="shared" si="77"/>
        <v>55636912.055854797</v>
      </c>
      <c r="O248" s="123" t="str">
        <f t="shared" si="78"/>
        <v/>
      </c>
      <c r="P248" s="123" t="str">
        <f t="shared" si="79"/>
        <v/>
      </c>
      <c r="Q248" s="123" t="str">
        <f t="shared" si="68"/>
        <v/>
      </c>
      <c r="R248" s="124">
        <f t="shared" si="69"/>
        <v>248284493.86007807</v>
      </c>
      <c r="S248" s="123">
        <f t="shared" si="70"/>
        <v>553921405.91593289</v>
      </c>
      <c r="T248" s="126">
        <f t="shared" si="71"/>
        <v>2.2156856236637315</v>
      </c>
      <c r="U248" s="31" t="b">
        <f>IF(개요!EA18=0,"",ROUND(개요!EA18,3)=ROUND(T248,3))</f>
        <v>1</v>
      </c>
    </row>
    <row r="249" spans="1:21" ht="15" hidden="1" customHeight="1" outlineLevel="1">
      <c r="A249" s="54">
        <v>12</v>
      </c>
      <c r="B249" s="120" t="str">
        <f>IF(개요!K19="","",개요!K19)</f>
        <v/>
      </c>
      <c r="C249" s="121" t="str">
        <f>IF(개요!L19="","",개요!L19)</f>
        <v/>
      </c>
      <c r="D249" s="121" t="str">
        <f>IF(개요!M19="","",개요!M19)</f>
        <v/>
      </c>
      <c r="E249" s="122">
        <f>IF(개요!R19="-","",개요!R19)</f>
        <v>0</v>
      </c>
      <c r="F249" s="122" t="str">
        <f t="shared" si="72"/>
        <v/>
      </c>
      <c r="G249" s="123" t="str">
        <f>IF(개요!Q19=0,"",개요!Q19)</f>
        <v/>
      </c>
      <c r="H249" s="123" t="str">
        <f t="shared" si="67"/>
        <v/>
      </c>
      <c r="I249" s="123" t="str">
        <f>IF(개요!O19=0,"",개요!O19-개요!P19)</f>
        <v/>
      </c>
      <c r="J249" s="124" t="str">
        <f t="shared" si="73"/>
        <v/>
      </c>
      <c r="K249" s="125" t="str">
        <f t="shared" si="74"/>
        <v/>
      </c>
      <c r="L249" s="123" t="str">
        <f t="shared" si="75"/>
        <v/>
      </c>
      <c r="M249" s="123" t="str">
        <f t="shared" si="76"/>
        <v/>
      </c>
      <c r="N249" s="123" t="str">
        <f t="shared" si="77"/>
        <v/>
      </c>
      <c r="O249" s="123" t="str">
        <f t="shared" si="78"/>
        <v/>
      </c>
      <c r="P249" s="123" t="str">
        <f t="shared" si="79"/>
        <v/>
      </c>
      <c r="Q249" s="123" t="str">
        <f t="shared" si="68"/>
        <v/>
      </c>
      <c r="R249" s="124">
        <f t="shared" si="69"/>
        <v>0</v>
      </c>
      <c r="S249" s="123" t="str">
        <f t="shared" si="70"/>
        <v/>
      </c>
      <c r="T249" s="126" t="str">
        <f t="shared" si="71"/>
        <v/>
      </c>
      <c r="U249" s="31" t="str">
        <f>IF(개요!EA19=0,"",ROUND(개요!EA19,3)=ROUND(T249,3))</f>
        <v/>
      </c>
    </row>
    <row r="250" spans="1:21" ht="15" hidden="1" customHeight="1" outlineLevel="1">
      <c r="A250" s="54">
        <v>13</v>
      </c>
      <c r="B250" s="120" t="str">
        <f>IF(개요!K20="","",개요!K20)</f>
        <v/>
      </c>
      <c r="C250" s="121" t="str">
        <f>IF(개요!L20="","",개요!L20)</f>
        <v/>
      </c>
      <c r="D250" s="121" t="str">
        <f>IF(개요!M20="","",개요!M20)</f>
        <v/>
      </c>
      <c r="E250" s="122">
        <f>IF(개요!R20="-","",개요!R20)</f>
        <v>0</v>
      </c>
      <c r="F250" s="122" t="str">
        <f t="shared" si="72"/>
        <v/>
      </c>
      <c r="G250" s="123" t="str">
        <f>IF(개요!Q20=0,"",개요!Q20)</f>
        <v/>
      </c>
      <c r="H250" s="123" t="str">
        <f t="shared" si="67"/>
        <v/>
      </c>
      <c r="I250" s="123" t="str">
        <f>IF(개요!O20=0,"",개요!O20-개요!P20)</f>
        <v/>
      </c>
      <c r="J250" s="124" t="str">
        <f t="shared" si="73"/>
        <v/>
      </c>
      <c r="K250" s="125" t="str">
        <f t="shared" si="74"/>
        <v/>
      </c>
      <c r="L250" s="123" t="str">
        <f t="shared" si="75"/>
        <v/>
      </c>
      <c r="M250" s="123" t="str">
        <f t="shared" si="76"/>
        <v/>
      </c>
      <c r="N250" s="123" t="str">
        <f t="shared" si="77"/>
        <v/>
      </c>
      <c r="O250" s="123" t="str">
        <f t="shared" si="78"/>
        <v/>
      </c>
      <c r="P250" s="123" t="str">
        <f t="shared" si="79"/>
        <v/>
      </c>
      <c r="Q250" s="123" t="str">
        <f t="shared" si="68"/>
        <v/>
      </c>
      <c r="R250" s="124">
        <f t="shared" si="69"/>
        <v>0</v>
      </c>
      <c r="S250" s="123" t="str">
        <f t="shared" si="70"/>
        <v/>
      </c>
      <c r="T250" s="126" t="str">
        <f t="shared" si="71"/>
        <v/>
      </c>
      <c r="U250" s="31" t="str">
        <f>IF(개요!EA20=0,"",ROUND(개요!EA20,3)=ROUND(T250,3))</f>
        <v/>
      </c>
    </row>
    <row r="251" spans="1:21" ht="15" hidden="1" customHeight="1" outlineLevel="1">
      <c r="A251" s="54">
        <v>14</v>
      </c>
      <c r="B251" s="120" t="str">
        <f>IF(개요!K21="","",개요!K21)</f>
        <v/>
      </c>
      <c r="C251" s="121" t="str">
        <f>IF(개요!L21="","",개요!L21)</f>
        <v/>
      </c>
      <c r="D251" s="121" t="str">
        <f>IF(개요!M21="","",개요!M21)</f>
        <v/>
      </c>
      <c r="E251" s="122">
        <f>IF(개요!R21="-","",개요!R21)</f>
        <v>0</v>
      </c>
      <c r="F251" s="122" t="str">
        <f t="shared" si="72"/>
        <v/>
      </c>
      <c r="G251" s="123" t="str">
        <f>IF(개요!Q21=0,"",개요!Q21)</f>
        <v/>
      </c>
      <c r="H251" s="123" t="str">
        <f t="shared" si="67"/>
        <v/>
      </c>
      <c r="I251" s="123" t="str">
        <f>IF(개요!O21=0,"",개요!O21-개요!P21)</f>
        <v/>
      </c>
      <c r="J251" s="124" t="str">
        <f t="shared" si="73"/>
        <v/>
      </c>
      <c r="K251" s="125" t="str">
        <f t="shared" si="74"/>
        <v/>
      </c>
      <c r="L251" s="123" t="str">
        <f t="shared" si="75"/>
        <v/>
      </c>
      <c r="M251" s="123" t="str">
        <f t="shared" si="76"/>
        <v/>
      </c>
      <c r="N251" s="123" t="str">
        <f t="shared" si="77"/>
        <v/>
      </c>
      <c r="O251" s="123" t="str">
        <f t="shared" si="78"/>
        <v/>
      </c>
      <c r="P251" s="123" t="str">
        <f t="shared" si="79"/>
        <v/>
      </c>
      <c r="Q251" s="123" t="str">
        <f t="shared" si="68"/>
        <v/>
      </c>
      <c r="R251" s="124">
        <f t="shared" si="69"/>
        <v>0</v>
      </c>
      <c r="S251" s="123" t="str">
        <f t="shared" si="70"/>
        <v/>
      </c>
      <c r="T251" s="126" t="str">
        <f t="shared" si="71"/>
        <v/>
      </c>
      <c r="U251" s="31" t="str">
        <f>IF(개요!EA21=0,"",ROUND(개요!EA21,3)=ROUND(T251,3))</f>
        <v/>
      </c>
    </row>
    <row r="252" spans="1:21" ht="15" hidden="1" customHeight="1" outlineLevel="1">
      <c r="A252" s="54">
        <v>15</v>
      </c>
      <c r="B252" s="120" t="str">
        <f>IF(개요!K22="","",개요!K22)</f>
        <v/>
      </c>
      <c r="C252" s="121" t="str">
        <f>IF(개요!L22="","",개요!L22)</f>
        <v/>
      </c>
      <c r="D252" s="121" t="str">
        <f>IF(개요!M22="","",개요!M22)</f>
        <v/>
      </c>
      <c r="E252" s="122">
        <f>IF(개요!R22="-","",개요!R22)</f>
        <v>0</v>
      </c>
      <c r="F252" s="122" t="str">
        <f t="shared" si="72"/>
        <v/>
      </c>
      <c r="G252" s="123" t="str">
        <f>IF(개요!Q22=0,"",개요!Q22)</f>
        <v/>
      </c>
      <c r="H252" s="123" t="str">
        <f t="shared" si="67"/>
        <v/>
      </c>
      <c r="I252" s="123" t="str">
        <f>IF(개요!O22=0,"",개요!O22-개요!P22)</f>
        <v/>
      </c>
      <c r="J252" s="124" t="str">
        <f t="shared" si="73"/>
        <v/>
      </c>
      <c r="K252" s="125" t="str">
        <f t="shared" si="74"/>
        <v/>
      </c>
      <c r="L252" s="123" t="str">
        <f t="shared" si="75"/>
        <v/>
      </c>
      <c r="M252" s="123" t="str">
        <f t="shared" si="76"/>
        <v/>
      </c>
      <c r="N252" s="123" t="str">
        <f t="shared" si="77"/>
        <v/>
      </c>
      <c r="O252" s="123" t="str">
        <f t="shared" si="78"/>
        <v/>
      </c>
      <c r="P252" s="123" t="str">
        <f t="shared" si="79"/>
        <v/>
      </c>
      <c r="Q252" s="123" t="str">
        <f t="shared" si="68"/>
        <v/>
      </c>
      <c r="R252" s="124">
        <f t="shared" si="69"/>
        <v>0</v>
      </c>
      <c r="S252" s="123" t="str">
        <f t="shared" si="70"/>
        <v/>
      </c>
      <c r="T252" s="126" t="str">
        <f t="shared" si="71"/>
        <v/>
      </c>
      <c r="U252" s="31" t="str">
        <f>IF(개요!EA22=0,"",ROUND(개요!EA22,3)=ROUND(T252,3))</f>
        <v/>
      </c>
    </row>
    <row r="253" spans="1:21" ht="15" hidden="1" customHeight="1" outlineLevel="1">
      <c r="A253" s="54">
        <v>16</v>
      </c>
      <c r="B253" s="120" t="str">
        <f>IF(개요!K23="","",개요!K23)</f>
        <v/>
      </c>
      <c r="C253" s="121" t="str">
        <f>IF(개요!L23="","",개요!L23)</f>
        <v/>
      </c>
      <c r="D253" s="121" t="str">
        <f>IF(개요!M23="","",개요!M23)</f>
        <v/>
      </c>
      <c r="E253" s="122">
        <f>IF(개요!R23="-","",개요!R23)</f>
        <v>0</v>
      </c>
      <c r="F253" s="122" t="str">
        <f t="shared" si="72"/>
        <v/>
      </c>
      <c r="G253" s="123" t="str">
        <f>IF(개요!Q23=0,"",개요!Q23)</f>
        <v/>
      </c>
      <c r="H253" s="123" t="str">
        <f t="shared" si="67"/>
        <v/>
      </c>
      <c r="I253" s="123" t="str">
        <f>IF(개요!O23=0,"",개요!O23-개요!P23)</f>
        <v/>
      </c>
      <c r="J253" s="124" t="str">
        <f t="shared" si="73"/>
        <v/>
      </c>
      <c r="K253" s="125" t="str">
        <f t="shared" si="74"/>
        <v/>
      </c>
      <c r="L253" s="123" t="str">
        <f t="shared" si="75"/>
        <v/>
      </c>
      <c r="M253" s="123" t="str">
        <f t="shared" si="76"/>
        <v/>
      </c>
      <c r="N253" s="123" t="str">
        <f t="shared" si="77"/>
        <v/>
      </c>
      <c r="O253" s="123" t="str">
        <f t="shared" si="78"/>
        <v/>
      </c>
      <c r="P253" s="123" t="str">
        <f t="shared" si="79"/>
        <v/>
      </c>
      <c r="Q253" s="123" t="str">
        <f t="shared" si="68"/>
        <v/>
      </c>
      <c r="R253" s="124">
        <f t="shared" si="69"/>
        <v>0</v>
      </c>
      <c r="S253" s="123" t="str">
        <f t="shared" si="70"/>
        <v/>
      </c>
      <c r="T253" s="126" t="str">
        <f t="shared" si="71"/>
        <v/>
      </c>
      <c r="U253" s="31" t="str">
        <f>IF(개요!EA23=0,"",ROUND(개요!EA23,3)=ROUND(T253,3))</f>
        <v/>
      </c>
    </row>
    <row r="254" spans="1:21" ht="15" hidden="1" customHeight="1" outlineLevel="1">
      <c r="A254" s="54">
        <v>17</v>
      </c>
      <c r="B254" s="120" t="str">
        <f>IF(개요!K24="","",개요!K24)</f>
        <v/>
      </c>
      <c r="C254" s="121" t="str">
        <f>IF(개요!L24="","",개요!L24)</f>
        <v/>
      </c>
      <c r="D254" s="121" t="str">
        <f>IF(개요!M24="","",개요!M24)</f>
        <v/>
      </c>
      <c r="E254" s="122">
        <f>IF(개요!R24="-","",개요!R24)</f>
        <v>0</v>
      </c>
      <c r="F254" s="122" t="str">
        <f t="shared" si="72"/>
        <v/>
      </c>
      <c r="G254" s="123" t="str">
        <f>IF(개요!Q24=0,"",개요!Q24)</f>
        <v/>
      </c>
      <c r="H254" s="123" t="str">
        <f t="shared" si="67"/>
        <v/>
      </c>
      <c r="I254" s="123" t="str">
        <f>IF(개요!O24=0,"",개요!O24-개요!P24)</f>
        <v/>
      </c>
      <c r="J254" s="124" t="str">
        <f t="shared" si="73"/>
        <v/>
      </c>
      <c r="K254" s="125" t="str">
        <f t="shared" si="74"/>
        <v/>
      </c>
      <c r="L254" s="123" t="str">
        <f t="shared" si="75"/>
        <v/>
      </c>
      <c r="M254" s="123" t="str">
        <f t="shared" si="76"/>
        <v/>
      </c>
      <c r="N254" s="123" t="str">
        <f t="shared" si="77"/>
        <v/>
      </c>
      <c r="O254" s="123" t="str">
        <f t="shared" si="78"/>
        <v/>
      </c>
      <c r="P254" s="123" t="str">
        <f t="shared" si="79"/>
        <v/>
      </c>
      <c r="Q254" s="123" t="str">
        <f t="shared" si="68"/>
        <v/>
      </c>
      <c r="R254" s="124">
        <f t="shared" si="69"/>
        <v>0</v>
      </c>
      <c r="S254" s="123" t="str">
        <f t="shared" si="70"/>
        <v/>
      </c>
      <c r="T254" s="126" t="str">
        <f t="shared" si="71"/>
        <v/>
      </c>
      <c r="U254" s="31" t="str">
        <f>IF(개요!EA24=0,"",ROUND(개요!EA24,3)=ROUND(T254,3))</f>
        <v/>
      </c>
    </row>
    <row r="255" spans="1:21" ht="15" hidden="1" customHeight="1" outlineLevel="1">
      <c r="A255" s="54">
        <v>18</v>
      </c>
      <c r="B255" s="120" t="str">
        <f>IF(개요!K25="","",개요!K25)</f>
        <v/>
      </c>
      <c r="C255" s="121" t="str">
        <f>IF(개요!L25="","",개요!L25)</f>
        <v/>
      </c>
      <c r="D255" s="121" t="str">
        <f>IF(개요!M25="","",개요!M25)</f>
        <v/>
      </c>
      <c r="E255" s="122">
        <f>IF(개요!R25="-","",개요!R25)</f>
        <v>0</v>
      </c>
      <c r="F255" s="122" t="str">
        <f t="shared" si="72"/>
        <v/>
      </c>
      <c r="G255" s="123" t="str">
        <f>IF(개요!Q25=0,"",개요!Q25)</f>
        <v/>
      </c>
      <c r="H255" s="123" t="str">
        <f t="shared" si="67"/>
        <v/>
      </c>
      <c r="I255" s="123" t="str">
        <f>IF(개요!O25=0,"",개요!O25-개요!P25)</f>
        <v/>
      </c>
      <c r="J255" s="124" t="str">
        <f t="shared" si="73"/>
        <v/>
      </c>
      <c r="K255" s="125" t="str">
        <f t="shared" si="74"/>
        <v/>
      </c>
      <c r="L255" s="123" t="str">
        <f t="shared" si="75"/>
        <v/>
      </c>
      <c r="M255" s="123" t="str">
        <f t="shared" si="76"/>
        <v/>
      </c>
      <c r="N255" s="123" t="str">
        <f t="shared" si="77"/>
        <v/>
      </c>
      <c r="O255" s="123" t="str">
        <f t="shared" si="78"/>
        <v/>
      </c>
      <c r="P255" s="123" t="str">
        <f t="shared" si="79"/>
        <v/>
      </c>
      <c r="Q255" s="123" t="str">
        <f t="shared" si="68"/>
        <v/>
      </c>
      <c r="R255" s="124">
        <f t="shared" si="69"/>
        <v>0</v>
      </c>
      <c r="S255" s="123" t="str">
        <f t="shared" si="70"/>
        <v/>
      </c>
      <c r="T255" s="126" t="str">
        <f t="shared" si="71"/>
        <v/>
      </c>
      <c r="U255" s="31" t="str">
        <f>IF(개요!EA25=0,"",ROUND(개요!EA25,3)=ROUND(T255,3))</f>
        <v/>
      </c>
    </row>
    <row r="256" spans="1:21" ht="15" hidden="1" customHeight="1" outlineLevel="1">
      <c r="A256" s="54">
        <v>19</v>
      </c>
      <c r="B256" s="120" t="str">
        <f>IF(개요!K26="","",개요!K26)</f>
        <v/>
      </c>
      <c r="C256" s="121" t="str">
        <f>IF(개요!L26="","",개요!L26)</f>
        <v/>
      </c>
      <c r="D256" s="121" t="str">
        <f>IF(개요!M26="","",개요!M26)</f>
        <v/>
      </c>
      <c r="E256" s="122">
        <f>IF(개요!R26="-","",개요!R26)</f>
        <v>0</v>
      </c>
      <c r="F256" s="122" t="str">
        <f t="shared" si="72"/>
        <v/>
      </c>
      <c r="G256" s="123" t="str">
        <f>IF(개요!Q26=0,"",개요!Q26)</f>
        <v/>
      </c>
      <c r="H256" s="123" t="str">
        <f t="shared" si="67"/>
        <v/>
      </c>
      <c r="I256" s="123" t="str">
        <f>IF(개요!O26=0,"",개요!O26-개요!P26)</f>
        <v/>
      </c>
      <c r="J256" s="124" t="str">
        <f t="shared" si="73"/>
        <v/>
      </c>
      <c r="K256" s="125" t="str">
        <f t="shared" si="74"/>
        <v/>
      </c>
      <c r="L256" s="123" t="str">
        <f t="shared" si="75"/>
        <v/>
      </c>
      <c r="M256" s="123" t="str">
        <f t="shared" si="76"/>
        <v/>
      </c>
      <c r="N256" s="123" t="str">
        <f t="shared" si="77"/>
        <v/>
      </c>
      <c r="O256" s="123" t="str">
        <f t="shared" si="78"/>
        <v/>
      </c>
      <c r="P256" s="123" t="str">
        <f t="shared" si="79"/>
        <v/>
      </c>
      <c r="Q256" s="123" t="str">
        <f t="shared" si="68"/>
        <v/>
      </c>
      <c r="R256" s="124">
        <f t="shared" si="69"/>
        <v>0</v>
      </c>
      <c r="S256" s="123" t="str">
        <f t="shared" si="70"/>
        <v/>
      </c>
      <c r="T256" s="126" t="str">
        <f t="shared" si="71"/>
        <v/>
      </c>
      <c r="U256" s="31" t="str">
        <f>IF(개요!EA26=0,"",ROUND(개요!EA26,3)=ROUND(T256,3))</f>
        <v/>
      </c>
    </row>
    <row r="257" spans="1:21" ht="15" hidden="1" customHeight="1" outlineLevel="1">
      <c r="A257" s="54">
        <v>20</v>
      </c>
      <c r="B257" s="120" t="str">
        <f>IF(개요!K27="","",개요!K27)</f>
        <v/>
      </c>
      <c r="C257" s="121" t="str">
        <f>IF(개요!L27="","",개요!L27)</f>
        <v/>
      </c>
      <c r="D257" s="121" t="str">
        <f>IF(개요!M27="","",개요!M27)</f>
        <v/>
      </c>
      <c r="E257" s="122">
        <f>IF(개요!R27="-","",개요!R27)</f>
        <v>0</v>
      </c>
      <c r="F257" s="122" t="str">
        <f t="shared" si="72"/>
        <v/>
      </c>
      <c r="G257" s="123" t="str">
        <f>IF(개요!Q27=0,"",개요!Q27)</f>
        <v/>
      </c>
      <c r="H257" s="123" t="str">
        <f t="shared" si="67"/>
        <v/>
      </c>
      <c r="I257" s="123" t="str">
        <f>IF(개요!O27=0,"",개요!O27-개요!P27)</f>
        <v/>
      </c>
      <c r="J257" s="124" t="str">
        <f t="shared" si="73"/>
        <v/>
      </c>
      <c r="K257" s="125" t="str">
        <f t="shared" si="74"/>
        <v/>
      </c>
      <c r="L257" s="123" t="str">
        <f t="shared" si="75"/>
        <v/>
      </c>
      <c r="M257" s="123" t="str">
        <f t="shared" si="76"/>
        <v/>
      </c>
      <c r="N257" s="123" t="str">
        <f t="shared" si="77"/>
        <v/>
      </c>
      <c r="O257" s="123" t="str">
        <f t="shared" si="78"/>
        <v/>
      </c>
      <c r="P257" s="123" t="str">
        <f t="shared" si="79"/>
        <v/>
      </c>
      <c r="Q257" s="123" t="str">
        <f t="shared" si="68"/>
        <v/>
      </c>
      <c r="R257" s="124">
        <f t="shared" si="69"/>
        <v>0</v>
      </c>
      <c r="S257" s="123" t="str">
        <f t="shared" si="70"/>
        <v/>
      </c>
      <c r="T257" s="126" t="str">
        <f t="shared" si="71"/>
        <v/>
      </c>
      <c r="U257" s="31" t="str">
        <f>IF(개요!EA27=0,"",ROUND(개요!EA27,3)=ROUND(T257,3))</f>
        <v/>
      </c>
    </row>
    <row r="258" spans="1:21" ht="15" hidden="1" customHeight="1" outlineLevel="1">
      <c r="A258" s="54">
        <v>21</v>
      </c>
      <c r="B258" s="120" t="str">
        <f>IF(개요!K28="","",개요!K28)</f>
        <v/>
      </c>
      <c r="C258" s="121" t="str">
        <f>IF(개요!L28="","",개요!L28)</f>
        <v/>
      </c>
      <c r="D258" s="121" t="str">
        <f>IF(개요!M28="","",개요!M28)</f>
        <v/>
      </c>
      <c r="E258" s="122">
        <f>IF(개요!R28="-","",개요!R28)</f>
        <v>0</v>
      </c>
      <c r="F258" s="122" t="str">
        <f t="shared" si="72"/>
        <v/>
      </c>
      <c r="G258" s="123" t="str">
        <f>IF(개요!Q28=0,"",개요!Q28)</f>
        <v/>
      </c>
      <c r="H258" s="123" t="str">
        <f t="shared" si="67"/>
        <v/>
      </c>
      <c r="I258" s="123" t="str">
        <f>IF(개요!O28=0,"",개요!O28-개요!P28)</f>
        <v/>
      </c>
      <c r="J258" s="124" t="str">
        <f t="shared" si="73"/>
        <v/>
      </c>
      <c r="K258" s="125" t="str">
        <f t="shared" si="74"/>
        <v/>
      </c>
      <c r="L258" s="123" t="str">
        <f t="shared" si="75"/>
        <v/>
      </c>
      <c r="M258" s="123" t="str">
        <f t="shared" si="76"/>
        <v/>
      </c>
      <c r="N258" s="123" t="str">
        <f t="shared" si="77"/>
        <v/>
      </c>
      <c r="O258" s="123" t="str">
        <f t="shared" si="78"/>
        <v/>
      </c>
      <c r="P258" s="123" t="str">
        <f t="shared" si="79"/>
        <v/>
      </c>
      <c r="Q258" s="123" t="str">
        <f t="shared" si="68"/>
        <v/>
      </c>
      <c r="R258" s="124">
        <f t="shared" si="69"/>
        <v>0</v>
      </c>
      <c r="S258" s="123" t="str">
        <f t="shared" si="70"/>
        <v/>
      </c>
      <c r="T258" s="126" t="str">
        <f t="shared" si="71"/>
        <v/>
      </c>
      <c r="U258" s="31" t="str">
        <f>IF(개요!EA28=0,"",ROUND(개요!EA28,3)=ROUND(T258,3))</f>
        <v/>
      </c>
    </row>
    <row r="259" spans="1:21" ht="15" hidden="1" customHeight="1" outlineLevel="1">
      <c r="A259" s="54">
        <v>22</v>
      </c>
      <c r="B259" s="120" t="str">
        <f>IF(개요!K29="","",개요!K29)</f>
        <v/>
      </c>
      <c r="C259" s="121" t="str">
        <f>IF(개요!L29="","",개요!L29)</f>
        <v/>
      </c>
      <c r="D259" s="121" t="str">
        <f>IF(개요!M29="","",개요!M29)</f>
        <v/>
      </c>
      <c r="E259" s="122">
        <f>IF(개요!R29="-","",개요!R29)</f>
        <v>0</v>
      </c>
      <c r="F259" s="122" t="str">
        <f t="shared" si="72"/>
        <v/>
      </c>
      <c r="G259" s="123" t="str">
        <f>IF(개요!Q29=0,"",개요!Q29)</f>
        <v/>
      </c>
      <c r="H259" s="123" t="str">
        <f t="shared" si="67"/>
        <v/>
      </c>
      <c r="I259" s="123" t="str">
        <f>IF(개요!O29=0,"",개요!O29-개요!P29)</f>
        <v/>
      </c>
      <c r="J259" s="124" t="str">
        <f t="shared" si="73"/>
        <v/>
      </c>
      <c r="K259" s="125" t="str">
        <f t="shared" si="74"/>
        <v/>
      </c>
      <c r="L259" s="123" t="str">
        <f t="shared" si="75"/>
        <v/>
      </c>
      <c r="M259" s="123" t="str">
        <f t="shared" si="76"/>
        <v/>
      </c>
      <c r="N259" s="123" t="str">
        <f t="shared" si="77"/>
        <v/>
      </c>
      <c r="O259" s="123" t="str">
        <f t="shared" si="78"/>
        <v/>
      </c>
      <c r="P259" s="123" t="str">
        <f t="shared" si="79"/>
        <v/>
      </c>
      <c r="Q259" s="123" t="str">
        <f t="shared" si="68"/>
        <v/>
      </c>
      <c r="R259" s="124">
        <f t="shared" si="69"/>
        <v>0</v>
      </c>
      <c r="S259" s="123" t="str">
        <f t="shared" si="70"/>
        <v/>
      </c>
      <c r="T259" s="126" t="str">
        <f t="shared" si="71"/>
        <v/>
      </c>
      <c r="U259" s="31" t="str">
        <f>IF(개요!EA29=0,"",ROUND(개요!EA29,3)=ROUND(T259,3))</f>
        <v/>
      </c>
    </row>
    <row r="260" spans="1:21" ht="15" hidden="1" customHeight="1" outlineLevel="1">
      <c r="A260" s="54">
        <v>23</v>
      </c>
      <c r="B260" s="120" t="str">
        <f>IF(개요!K30="","",개요!K30)</f>
        <v/>
      </c>
      <c r="C260" s="121" t="str">
        <f>IF(개요!L30="","",개요!L30)</f>
        <v/>
      </c>
      <c r="D260" s="121" t="str">
        <f>IF(개요!M30="","",개요!M30)</f>
        <v/>
      </c>
      <c r="E260" s="122">
        <f>IF(개요!R30="-","",개요!R30)</f>
        <v>0</v>
      </c>
      <c r="F260" s="122" t="str">
        <f t="shared" si="72"/>
        <v/>
      </c>
      <c r="G260" s="123" t="str">
        <f>IF(개요!Q30=0,"",개요!Q30)</f>
        <v/>
      </c>
      <c r="H260" s="123" t="str">
        <f t="shared" si="67"/>
        <v/>
      </c>
      <c r="I260" s="123" t="str">
        <f>IF(개요!O30=0,"",개요!O30-개요!P30)</f>
        <v/>
      </c>
      <c r="J260" s="124" t="str">
        <f t="shared" si="73"/>
        <v/>
      </c>
      <c r="K260" s="125" t="str">
        <f t="shared" si="74"/>
        <v/>
      </c>
      <c r="L260" s="123" t="str">
        <f t="shared" si="75"/>
        <v/>
      </c>
      <c r="M260" s="123" t="str">
        <f t="shared" si="76"/>
        <v/>
      </c>
      <c r="N260" s="123" t="str">
        <f t="shared" si="77"/>
        <v/>
      </c>
      <c r="O260" s="123" t="str">
        <f t="shared" si="78"/>
        <v/>
      </c>
      <c r="P260" s="123" t="str">
        <f t="shared" si="79"/>
        <v/>
      </c>
      <c r="Q260" s="123" t="str">
        <f t="shared" si="68"/>
        <v/>
      </c>
      <c r="R260" s="124">
        <f t="shared" si="69"/>
        <v>0</v>
      </c>
      <c r="S260" s="123" t="str">
        <f t="shared" si="70"/>
        <v/>
      </c>
      <c r="T260" s="126" t="str">
        <f t="shared" si="71"/>
        <v/>
      </c>
      <c r="U260" s="31" t="str">
        <f>IF(개요!EA30=0,"",ROUND(개요!EA30,3)=ROUND(T260,3))</f>
        <v/>
      </c>
    </row>
    <row r="261" spans="1:21" ht="15" hidden="1" customHeight="1" outlineLevel="1">
      <c r="A261" s="54">
        <v>24</v>
      </c>
      <c r="B261" s="120" t="str">
        <f>IF(개요!K31="","",개요!K31)</f>
        <v/>
      </c>
      <c r="C261" s="121" t="str">
        <f>IF(개요!L31="","",개요!L31)</f>
        <v/>
      </c>
      <c r="D261" s="121" t="str">
        <f>IF(개요!M31="","",개요!M31)</f>
        <v/>
      </c>
      <c r="E261" s="122">
        <f>IF(개요!R31="-","",개요!R31)</f>
        <v>0</v>
      </c>
      <c r="F261" s="122" t="str">
        <f t="shared" si="72"/>
        <v/>
      </c>
      <c r="G261" s="123" t="str">
        <f>IF(개요!Q31=0,"",개요!Q31)</f>
        <v/>
      </c>
      <c r="H261" s="123" t="str">
        <f t="shared" si="67"/>
        <v/>
      </c>
      <c r="I261" s="123" t="str">
        <f>IF(개요!O31=0,"",개요!O31-개요!P31)</f>
        <v/>
      </c>
      <c r="J261" s="124" t="str">
        <f t="shared" si="73"/>
        <v/>
      </c>
      <c r="K261" s="125" t="str">
        <f t="shared" si="74"/>
        <v/>
      </c>
      <c r="L261" s="123" t="str">
        <f t="shared" si="75"/>
        <v/>
      </c>
      <c r="M261" s="123" t="str">
        <f t="shared" si="76"/>
        <v/>
      </c>
      <c r="N261" s="123" t="str">
        <f t="shared" si="77"/>
        <v/>
      </c>
      <c r="O261" s="123" t="str">
        <f t="shared" si="78"/>
        <v/>
      </c>
      <c r="P261" s="123" t="str">
        <f t="shared" si="79"/>
        <v/>
      </c>
      <c r="Q261" s="123" t="str">
        <f t="shared" si="68"/>
        <v/>
      </c>
      <c r="R261" s="124">
        <f t="shared" si="69"/>
        <v>0</v>
      </c>
      <c r="S261" s="123" t="str">
        <f t="shared" si="70"/>
        <v/>
      </c>
      <c r="T261" s="126" t="str">
        <f t="shared" si="71"/>
        <v/>
      </c>
      <c r="U261" s="31" t="str">
        <f>IF(개요!EA31=0,"",ROUND(개요!EA31,3)=ROUND(T261,3))</f>
        <v/>
      </c>
    </row>
    <row r="262" spans="1:21" ht="15" hidden="1" customHeight="1" outlineLevel="1">
      <c r="A262" s="54">
        <v>25</v>
      </c>
      <c r="B262" s="120" t="str">
        <f>IF(개요!K32="","",개요!K32)</f>
        <v/>
      </c>
      <c r="C262" s="121" t="str">
        <f>IF(개요!L32="","",개요!L32)</f>
        <v/>
      </c>
      <c r="D262" s="121" t="str">
        <f>IF(개요!M32="","",개요!M32)</f>
        <v/>
      </c>
      <c r="E262" s="122">
        <f>IF(개요!R32="-","",개요!R32)</f>
        <v>0</v>
      </c>
      <c r="F262" s="122" t="str">
        <f t="shared" si="72"/>
        <v/>
      </c>
      <c r="G262" s="123" t="str">
        <f>IF(개요!Q32=0,"",개요!Q32)</f>
        <v/>
      </c>
      <c r="H262" s="123" t="str">
        <f t="shared" si="67"/>
        <v/>
      </c>
      <c r="I262" s="123" t="str">
        <f>IF(개요!O32=0,"",개요!O32-개요!P32)</f>
        <v/>
      </c>
      <c r="J262" s="124" t="str">
        <f t="shared" si="73"/>
        <v/>
      </c>
      <c r="K262" s="125" t="str">
        <f t="shared" si="74"/>
        <v/>
      </c>
      <c r="L262" s="123" t="str">
        <f t="shared" si="75"/>
        <v/>
      </c>
      <c r="M262" s="123" t="str">
        <f t="shared" si="76"/>
        <v/>
      </c>
      <c r="N262" s="123" t="str">
        <f t="shared" si="77"/>
        <v/>
      </c>
      <c r="O262" s="123" t="str">
        <f t="shared" si="78"/>
        <v/>
      </c>
      <c r="P262" s="123" t="str">
        <f t="shared" si="79"/>
        <v/>
      </c>
      <c r="Q262" s="123" t="str">
        <f t="shared" si="68"/>
        <v/>
      </c>
      <c r="R262" s="124">
        <f t="shared" si="69"/>
        <v>0</v>
      </c>
      <c r="S262" s="123" t="str">
        <f t="shared" si="70"/>
        <v/>
      </c>
      <c r="T262" s="126" t="str">
        <f t="shared" si="71"/>
        <v/>
      </c>
      <c r="U262" s="31" t="str">
        <f>IF(개요!EA32=0,"",ROUND(개요!EA32,3)=ROUND(T262,3))</f>
        <v/>
      </c>
    </row>
    <row r="263" spans="1:21" ht="15" hidden="1" customHeight="1" outlineLevel="1">
      <c r="A263" s="54">
        <v>26</v>
      </c>
      <c r="B263" s="120" t="str">
        <f>IF(개요!K33="","",개요!K33)</f>
        <v/>
      </c>
      <c r="C263" s="121" t="str">
        <f>IF(개요!L33="","",개요!L33)</f>
        <v/>
      </c>
      <c r="D263" s="121" t="str">
        <f>IF(개요!M33="","",개요!M33)</f>
        <v/>
      </c>
      <c r="E263" s="122">
        <f>IF(개요!R33="-","",개요!R33)</f>
        <v>0</v>
      </c>
      <c r="F263" s="122" t="str">
        <f t="shared" si="72"/>
        <v/>
      </c>
      <c r="G263" s="123" t="str">
        <f>IF(개요!Q33=0,"",개요!Q33)</f>
        <v/>
      </c>
      <c r="H263" s="123" t="str">
        <f t="shared" si="67"/>
        <v/>
      </c>
      <c r="I263" s="123" t="str">
        <f>IF(개요!O33=0,"",개요!O33-개요!P33)</f>
        <v/>
      </c>
      <c r="J263" s="124" t="str">
        <f t="shared" si="73"/>
        <v/>
      </c>
      <c r="K263" s="125" t="str">
        <f t="shared" si="74"/>
        <v/>
      </c>
      <c r="L263" s="123" t="str">
        <f t="shared" si="75"/>
        <v/>
      </c>
      <c r="M263" s="123" t="str">
        <f t="shared" si="76"/>
        <v/>
      </c>
      <c r="N263" s="123" t="str">
        <f t="shared" si="77"/>
        <v/>
      </c>
      <c r="O263" s="123" t="str">
        <f t="shared" si="78"/>
        <v/>
      </c>
      <c r="P263" s="123" t="str">
        <f t="shared" si="79"/>
        <v/>
      </c>
      <c r="Q263" s="123" t="str">
        <f t="shared" si="68"/>
        <v/>
      </c>
      <c r="R263" s="124">
        <f t="shared" si="69"/>
        <v>0</v>
      </c>
      <c r="S263" s="123" t="str">
        <f t="shared" si="70"/>
        <v/>
      </c>
      <c r="T263" s="126" t="str">
        <f t="shared" si="71"/>
        <v/>
      </c>
      <c r="U263" s="31" t="str">
        <f>IF(개요!EA33=0,"",ROUND(개요!EA33,3)=ROUND(T263,3))</f>
        <v/>
      </c>
    </row>
    <row r="264" spans="1:21" ht="15" hidden="1" customHeight="1" outlineLevel="1">
      <c r="A264" s="54">
        <v>27</v>
      </c>
      <c r="B264" s="120" t="str">
        <f>IF(개요!K34="","",개요!K34)</f>
        <v/>
      </c>
      <c r="C264" s="121" t="str">
        <f>IF(개요!L34="","",개요!L34)</f>
        <v/>
      </c>
      <c r="D264" s="121" t="str">
        <f>IF(개요!M34="","",개요!M34)</f>
        <v/>
      </c>
      <c r="E264" s="122">
        <f>IF(개요!R34="-","",개요!R34)</f>
        <v>0</v>
      </c>
      <c r="F264" s="122" t="str">
        <f t="shared" si="72"/>
        <v/>
      </c>
      <c r="G264" s="123" t="str">
        <f>IF(개요!Q34=0,"",개요!Q34)</f>
        <v/>
      </c>
      <c r="H264" s="123" t="str">
        <f t="shared" si="67"/>
        <v/>
      </c>
      <c r="I264" s="123" t="str">
        <f>IF(개요!O34=0,"",개요!O34-개요!P34)</f>
        <v/>
      </c>
      <c r="J264" s="124" t="str">
        <f t="shared" si="73"/>
        <v/>
      </c>
      <c r="K264" s="125" t="str">
        <f t="shared" si="74"/>
        <v/>
      </c>
      <c r="L264" s="123" t="str">
        <f t="shared" si="75"/>
        <v/>
      </c>
      <c r="M264" s="123" t="str">
        <f t="shared" si="76"/>
        <v/>
      </c>
      <c r="N264" s="123" t="str">
        <f t="shared" si="77"/>
        <v/>
      </c>
      <c r="O264" s="123" t="str">
        <f t="shared" si="78"/>
        <v/>
      </c>
      <c r="P264" s="123" t="str">
        <f t="shared" si="79"/>
        <v/>
      </c>
      <c r="Q264" s="123" t="str">
        <f t="shared" si="68"/>
        <v/>
      </c>
      <c r="R264" s="124">
        <f t="shared" si="69"/>
        <v>0</v>
      </c>
      <c r="S264" s="123" t="str">
        <f t="shared" si="70"/>
        <v/>
      </c>
      <c r="T264" s="126" t="str">
        <f t="shared" si="71"/>
        <v/>
      </c>
      <c r="U264" s="31" t="str">
        <f>IF(개요!EA34=0,"",ROUND(개요!EA34,3)=ROUND(T264,3))</f>
        <v/>
      </c>
    </row>
    <row r="265" spans="1:21" ht="15" hidden="1" customHeight="1" outlineLevel="1">
      <c r="A265" s="54">
        <v>28</v>
      </c>
      <c r="B265" s="120" t="str">
        <f>IF(개요!K35="","",개요!K35)</f>
        <v/>
      </c>
      <c r="C265" s="121" t="str">
        <f>IF(개요!L35="","",개요!L35)</f>
        <v/>
      </c>
      <c r="D265" s="121" t="str">
        <f>IF(개요!M35="","",개요!M35)</f>
        <v/>
      </c>
      <c r="E265" s="122">
        <f>IF(개요!R35="-","",개요!R35)</f>
        <v>0</v>
      </c>
      <c r="F265" s="122" t="str">
        <f t="shared" si="72"/>
        <v/>
      </c>
      <c r="G265" s="123" t="str">
        <f>IF(개요!Q35=0,"",개요!Q35)</f>
        <v/>
      </c>
      <c r="H265" s="123" t="str">
        <f t="shared" si="67"/>
        <v/>
      </c>
      <c r="I265" s="123" t="str">
        <f>IF(개요!O35=0,"",개요!O35-개요!P35)</f>
        <v/>
      </c>
      <c r="J265" s="124" t="str">
        <f t="shared" si="73"/>
        <v/>
      </c>
      <c r="K265" s="125" t="str">
        <f t="shared" si="74"/>
        <v/>
      </c>
      <c r="L265" s="123" t="str">
        <f t="shared" si="75"/>
        <v/>
      </c>
      <c r="M265" s="123" t="str">
        <f t="shared" si="76"/>
        <v/>
      </c>
      <c r="N265" s="123" t="str">
        <f t="shared" si="77"/>
        <v/>
      </c>
      <c r="O265" s="123" t="str">
        <f t="shared" si="78"/>
        <v/>
      </c>
      <c r="P265" s="123" t="str">
        <f t="shared" si="79"/>
        <v/>
      </c>
      <c r="Q265" s="123" t="str">
        <f t="shared" si="68"/>
        <v/>
      </c>
      <c r="R265" s="124">
        <f t="shared" si="69"/>
        <v>0</v>
      </c>
      <c r="S265" s="123" t="str">
        <f t="shared" si="70"/>
        <v/>
      </c>
      <c r="T265" s="126" t="str">
        <f t="shared" si="71"/>
        <v/>
      </c>
      <c r="U265" s="31" t="str">
        <f>IF(개요!EA35=0,"",ROUND(개요!EA35,3)=ROUND(T265,3))</f>
        <v/>
      </c>
    </row>
    <row r="266" spans="1:21" ht="15" hidden="1" customHeight="1" outlineLevel="1">
      <c r="A266" s="54">
        <v>29</v>
      </c>
      <c r="B266" s="120" t="str">
        <f>IF(개요!K36="","",개요!K36)</f>
        <v/>
      </c>
      <c r="C266" s="121" t="str">
        <f>IF(개요!L36="","",개요!L36)</f>
        <v/>
      </c>
      <c r="D266" s="121" t="str">
        <f>IF(개요!M36="","",개요!M36)</f>
        <v/>
      </c>
      <c r="E266" s="122">
        <f>IF(개요!R36="-","",개요!R36)</f>
        <v>0</v>
      </c>
      <c r="F266" s="122" t="str">
        <f t="shared" si="72"/>
        <v/>
      </c>
      <c r="G266" s="123" t="str">
        <f>IF(개요!Q36=0,"",개요!Q36)</f>
        <v/>
      </c>
      <c r="H266" s="123" t="str">
        <f t="shared" si="67"/>
        <v/>
      </c>
      <c r="I266" s="123" t="str">
        <f>IF(개요!O36=0,"",개요!O36-개요!P36)</f>
        <v/>
      </c>
      <c r="J266" s="124" t="str">
        <f t="shared" si="73"/>
        <v/>
      </c>
      <c r="K266" s="125" t="str">
        <f t="shared" si="74"/>
        <v/>
      </c>
      <c r="L266" s="123" t="str">
        <f t="shared" si="75"/>
        <v/>
      </c>
      <c r="M266" s="123" t="str">
        <f t="shared" si="76"/>
        <v/>
      </c>
      <c r="N266" s="123" t="str">
        <f t="shared" si="77"/>
        <v/>
      </c>
      <c r="O266" s="123" t="str">
        <f t="shared" si="78"/>
        <v/>
      </c>
      <c r="P266" s="123" t="str">
        <f t="shared" si="79"/>
        <v/>
      </c>
      <c r="Q266" s="123" t="str">
        <f t="shared" si="68"/>
        <v/>
      </c>
      <c r="R266" s="124">
        <f t="shared" si="69"/>
        <v>0</v>
      </c>
      <c r="S266" s="123" t="str">
        <f t="shared" si="70"/>
        <v/>
      </c>
      <c r="T266" s="126" t="str">
        <f t="shared" si="71"/>
        <v/>
      </c>
      <c r="U266" s="31" t="str">
        <f>IF(개요!EA36=0,"",ROUND(개요!EA36,3)=ROUND(T266,3))</f>
        <v/>
      </c>
    </row>
    <row r="267" spans="1:21" ht="15" hidden="1" customHeight="1" outlineLevel="1">
      <c r="A267" s="54">
        <v>30</v>
      </c>
      <c r="B267" s="120" t="str">
        <f>IF(개요!K37="","",개요!K37)</f>
        <v/>
      </c>
      <c r="C267" s="121" t="str">
        <f>IF(개요!L37="","",개요!L37)</f>
        <v/>
      </c>
      <c r="D267" s="121" t="str">
        <f>IF(개요!M37="","",개요!M37)</f>
        <v/>
      </c>
      <c r="E267" s="122">
        <f>IF(개요!R37="-","",개요!R37)</f>
        <v>0</v>
      </c>
      <c r="F267" s="122" t="str">
        <f t="shared" si="72"/>
        <v/>
      </c>
      <c r="G267" s="123" t="str">
        <f>IF(개요!Q37=0,"",개요!Q37)</f>
        <v/>
      </c>
      <c r="H267" s="123" t="str">
        <f t="shared" si="67"/>
        <v/>
      </c>
      <c r="I267" s="123" t="str">
        <f>IF(개요!O37=0,"",개요!O37-개요!P37)</f>
        <v/>
      </c>
      <c r="J267" s="124" t="str">
        <f t="shared" si="73"/>
        <v/>
      </c>
      <c r="K267" s="125" t="str">
        <f t="shared" si="74"/>
        <v/>
      </c>
      <c r="L267" s="123" t="str">
        <f t="shared" si="75"/>
        <v/>
      </c>
      <c r="M267" s="123" t="str">
        <f t="shared" si="76"/>
        <v/>
      </c>
      <c r="N267" s="123" t="str">
        <f t="shared" si="77"/>
        <v/>
      </c>
      <c r="O267" s="123" t="str">
        <f t="shared" si="78"/>
        <v/>
      </c>
      <c r="P267" s="123" t="str">
        <f t="shared" si="79"/>
        <v/>
      </c>
      <c r="Q267" s="123" t="str">
        <f t="shared" si="68"/>
        <v/>
      </c>
      <c r="R267" s="124">
        <f t="shared" si="69"/>
        <v>0</v>
      </c>
      <c r="S267" s="123" t="str">
        <f t="shared" si="70"/>
        <v/>
      </c>
      <c r="T267" s="126" t="str">
        <f t="shared" si="71"/>
        <v/>
      </c>
      <c r="U267" s="31" t="str">
        <f>IF(개요!EA37=0,"",ROUND(개요!EA37,3)=ROUND(T267,3))</f>
        <v/>
      </c>
    </row>
    <row r="268" spans="1:21" ht="15" hidden="1" customHeight="1" outlineLevel="1">
      <c r="A268" s="54">
        <v>31</v>
      </c>
      <c r="B268" s="120" t="str">
        <f>IF(개요!K38="","",개요!K38)</f>
        <v/>
      </c>
      <c r="C268" s="121" t="str">
        <f>IF(개요!L38="","",개요!L38)</f>
        <v/>
      </c>
      <c r="D268" s="121" t="str">
        <f>IF(개요!M38="","",개요!M38)</f>
        <v/>
      </c>
      <c r="E268" s="122">
        <f>IF(개요!R38="-","",개요!R38)</f>
        <v>0</v>
      </c>
      <c r="F268" s="122" t="str">
        <f t="shared" si="72"/>
        <v/>
      </c>
      <c r="G268" s="123" t="str">
        <f>IF(개요!Q38=0,"",개요!Q38)</f>
        <v/>
      </c>
      <c r="H268" s="123" t="str">
        <f t="shared" si="67"/>
        <v/>
      </c>
      <c r="I268" s="123" t="str">
        <f>IF(개요!O38=0,"",개요!O38-개요!P38)</f>
        <v/>
      </c>
      <c r="J268" s="124" t="str">
        <f t="shared" si="73"/>
        <v/>
      </c>
      <c r="K268" s="125" t="str">
        <f t="shared" si="74"/>
        <v/>
      </c>
      <c r="L268" s="123" t="str">
        <f t="shared" si="75"/>
        <v/>
      </c>
      <c r="M268" s="123" t="str">
        <f t="shared" si="76"/>
        <v/>
      </c>
      <c r="N268" s="123" t="str">
        <f t="shared" si="77"/>
        <v/>
      </c>
      <c r="O268" s="123" t="str">
        <f t="shared" si="78"/>
        <v/>
      </c>
      <c r="P268" s="123" t="str">
        <f t="shared" si="79"/>
        <v/>
      </c>
      <c r="Q268" s="123" t="str">
        <f t="shared" si="68"/>
        <v/>
      </c>
      <c r="R268" s="124">
        <f t="shared" si="69"/>
        <v>0</v>
      </c>
      <c r="S268" s="123" t="str">
        <f t="shared" si="70"/>
        <v/>
      </c>
      <c r="T268" s="126" t="str">
        <f t="shared" si="71"/>
        <v/>
      </c>
      <c r="U268" s="31" t="str">
        <f>IF(개요!EA38=0,"",ROUND(개요!EA38,3)=ROUND(T268,3))</f>
        <v/>
      </c>
    </row>
    <row r="269" spans="1:21" ht="15" hidden="1" customHeight="1" outlineLevel="1">
      <c r="A269" s="54">
        <v>32</v>
      </c>
      <c r="B269" s="120" t="str">
        <f>IF(개요!K39="","",개요!K39)</f>
        <v/>
      </c>
      <c r="C269" s="121" t="str">
        <f>IF(개요!L39="","",개요!L39)</f>
        <v/>
      </c>
      <c r="D269" s="121" t="str">
        <f>IF(개요!M39="","",개요!M39)</f>
        <v/>
      </c>
      <c r="E269" s="122">
        <f>IF(개요!R39="-","",개요!R39)</f>
        <v>0</v>
      </c>
      <c r="F269" s="122" t="str">
        <f t="shared" si="72"/>
        <v/>
      </c>
      <c r="G269" s="123" t="str">
        <f>IF(개요!Q39=0,"",개요!Q39)</f>
        <v/>
      </c>
      <c r="H269" s="123" t="str">
        <f t="shared" si="67"/>
        <v/>
      </c>
      <c r="I269" s="123" t="str">
        <f>IF(개요!O39=0,"",개요!O39-개요!P39)</f>
        <v/>
      </c>
      <c r="J269" s="124" t="str">
        <f t="shared" si="73"/>
        <v/>
      </c>
      <c r="K269" s="125" t="str">
        <f t="shared" si="74"/>
        <v/>
      </c>
      <c r="L269" s="123" t="str">
        <f t="shared" si="75"/>
        <v/>
      </c>
      <c r="M269" s="123" t="str">
        <f t="shared" si="76"/>
        <v/>
      </c>
      <c r="N269" s="123" t="str">
        <f t="shared" si="77"/>
        <v/>
      </c>
      <c r="O269" s="123" t="str">
        <f t="shared" si="78"/>
        <v/>
      </c>
      <c r="P269" s="123" t="str">
        <f t="shared" si="79"/>
        <v/>
      </c>
      <c r="Q269" s="123" t="str">
        <f t="shared" si="68"/>
        <v/>
      </c>
      <c r="R269" s="124">
        <f t="shared" si="69"/>
        <v>0</v>
      </c>
      <c r="S269" s="123" t="str">
        <f t="shared" si="70"/>
        <v/>
      </c>
      <c r="T269" s="126" t="str">
        <f t="shared" si="71"/>
        <v/>
      </c>
      <c r="U269" s="31" t="str">
        <f>IF(개요!EA39=0,"",ROUND(개요!EA39,3)=ROUND(T269,3))</f>
        <v/>
      </c>
    </row>
    <row r="270" spans="1:21" ht="15" hidden="1" customHeight="1" outlineLevel="1">
      <c r="A270" s="54">
        <v>33</v>
      </c>
      <c r="B270" s="120" t="str">
        <f>IF(개요!K40="","",개요!K40)</f>
        <v/>
      </c>
      <c r="C270" s="121" t="str">
        <f>IF(개요!L40="","",개요!L40)</f>
        <v/>
      </c>
      <c r="D270" s="121" t="str">
        <f>IF(개요!M40="","",개요!M40)</f>
        <v/>
      </c>
      <c r="E270" s="122">
        <f>IF(개요!R40="-","",개요!R40)</f>
        <v>0</v>
      </c>
      <c r="F270" s="122" t="str">
        <f t="shared" si="72"/>
        <v/>
      </c>
      <c r="G270" s="123" t="str">
        <f>IF(개요!Q40=0,"",개요!Q40)</f>
        <v/>
      </c>
      <c r="H270" s="123" t="str">
        <f t="shared" ref="H270:H286" si="80">IF(CY54=0,"",CY54)</f>
        <v/>
      </c>
      <c r="I270" s="123" t="str">
        <f>IF(개요!O40=0,"",개요!O40-개요!P40)</f>
        <v/>
      </c>
      <c r="J270" s="124" t="str">
        <f t="shared" si="73"/>
        <v/>
      </c>
      <c r="K270" s="125" t="str">
        <f t="shared" si="74"/>
        <v/>
      </c>
      <c r="L270" s="123" t="str">
        <f t="shared" si="75"/>
        <v/>
      </c>
      <c r="M270" s="123" t="str">
        <f t="shared" si="76"/>
        <v/>
      </c>
      <c r="N270" s="123" t="str">
        <f t="shared" si="77"/>
        <v/>
      </c>
      <c r="O270" s="123" t="str">
        <f t="shared" si="78"/>
        <v/>
      </c>
      <c r="P270" s="123" t="str">
        <f t="shared" si="79"/>
        <v/>
      </c>
      <c r="Q270" s="123" t="str">
        <f t="shared" ref="Q270:Q286" si="81">IFERROR(IF(B270="유한책임사원(LP)","",$I$231*$E$14*(G270/$C$220)),"")</f>
        <v/>
      </c>
      <c r="R270" s="124">
        <f t="shared" ref="R270:R286" si="82">IFERROR($J$231*E270,"")</f>
        <v>0</v>
      </c>
      <c r="S270" s="123" t="str">
        <f t="shared" ref="S270:S286" si="83">IF(I270="","",SUM(K270:R270))</f>
        <v/>
      </c>
      <c r="T270" s="126" t="str">
        <f t="shared" ref="T270:T286" si="84">IF(G270="","",S270/(G270/$E$12))</f>
        <v/>
      </c>
      <c r="U270" s="31" t="str">
        <f>IF(개요!EA40=0,"",ROUND(개요!EA40,3)=ROUND(T270,3))</f>
        <v/>
      </c>
    </row>
    <row r="271" spans="1:21" ht="15" hidden="1" customHeight="1" outlineLevel="1">
      <c r="A271" s="54">
        <v>34</v>
      </c>
      <c r="B271" s="120" t="str">
        <f>IF(개요!K41="","",개요!K41)</f>
        <v/>
      </c>
      <c r="C271" s="121" t="str">
        <f>IF(개요!L41="","",개요!L41)</f>
        <v/>
      </c>
      <c r="D271" s="121" t="str">
        <f>IF(개요!M41="","",개요!M41)</f>
        <v/>
      </c>
      <c r="E271" s="122">
        <f>IF(개요!R41="-","",개요!R41)</f>
        <v>0</v>
      </c>
      <c r="F271" s="122" t="str">
        <f t="shared" si="72"/>
        <v/>
      </c>
      <c r="G271" s="123" t="str">
        <f>IF(개요!Q41=0,"",개요!Q41)</f>
        <v/>
      </c>
      <c r="H271" s="123" t="str">
        <f t="shared" si="80"/>
        <v/>
      </c>
      <c r="I271" s="123" t="str">
        <f>IF(개요!O41=0,"",개요!O41-개요!P41)</f>
        <v/>
      </c>
      <c r="J271" s="124" t="str">
        <f t="shared" si="73"/>
        <v/>
      </c>
      <c r="K271" s="125" t="str">
        <f t="shared" si="74"/>
        <v/>
      </c>
      <c r="L271" s="123" t="str">
        <f t="shared" si="75"/>
        <v/>
      </c>
      <c r="M271" s="123" t="str">
        <f t="shared" si="76"/>
        <v/>
      </c>
      <c r="N271" s="123" t="str">
        <f t="shared" si="77"/>
        <v/>
      </c>
      <c r="O271" s="123" t="str">
        <f t="shared" si="78"/>
        <v/>
      </c>
      <c r="P271" s="123" t="str">
        <f t="shared" si="79"/>
        <v/>
      </c>
      <c r="Q271" s="123" t="str">
        <f t="shared" si="81"/>
        <v/>
      </c>
      <c r="R271" s="124">
        <f t="shared" si="82"/>
        <v>0</v>
      </c>
      <c r="S271" s="123" t="str">
        <f t="shared" si="83"/>
        <v/>
      </c>
      <c r="T271" s="126" t="str">
        <f t="shared" si="84"/>
        <v/>
      </c>
      <c r="U271" s="31" t="str">
        <f>IF(개요!EA41=0,"",ROUND(개요!EA41,3)=ROUND(T271,3))</f>
        <v/>
      </c>
    </row>
    <row r="272" spans="1:21" ht="15" hidden="1" customHeight="1" outlineLevel="1">
      <c r="A272" s="54">
        <v>35</v>
      </c>
      <c r="B272" s="120" t="str">
        <f>IF(개요!K42="","",개요!K42)</f>
        <v/>
      </c>
      <c r="C272" s="121" t="str">
        <f>IF(개요!L42="","",개요!L42)</f>
        <v/>
      </c>
      <c r="D272" s="121" t="str">
        <f>IF(개요!M42="","",개요!M42)</f>
        <v/>
      </c>
      <c r="E272" s="122">
        <f>IF(개요!R42="-","",개요!R42)</f>
        <v>0</v>
      </c>
      <c r="F272" s="122" t="str">
        <f t="shared" si="72"/>
        <v/>
      </c>
      <c r="G272" s="123" t="str">
        <f>IF(개요!Q42=0,"",개요!Q42)</f>
        <v/>
      </c>
      <c r="H272" s="123" t="str">
        <f t="shared" si="80"/>
        <v/>
      </c>
      <c r="I272" s="123" t="str">
        <f>IF(개요!O42=0,"",개요!O42-개요!P42)</f>
        <v/>
      </c>
      <c r="J272" s="124" t="str">
        <f t="shared" si="73"/>
        <v/>
      </c>
      <c r="K272" s="125" t="str">
        <f t="shared" si="74"/>
        <v/>
      </c>
      <c r="L272" s="123" t="str">
        <f t="shared" si="75"/>
        <v/>
      </c>
      <c r="M272" s="123" t="str">
        <f t="shared" si="76"/>
        <v/>
      </c>
      <c r="N272" s="123" t="str">
        <f t="shared" si="77"/>
        <v/>
      </c>
      <c r="O272" s="123" t="str">
        <f t="shared" si="78"/>
        <v/>
      </c>
      <c r="P272" s="123" t="str">
        <f t="shared" si="79"/>
        <v/>
      </c>
      <c r="Q272" s="123" t="str">
        <f t="shared" si="81"/>
        <v/>
      </c>
      <c r="R272" s="124">
        <f t="shared" si="82"/>
        <v>0</v>
      </c>
      <c r="S272" s="123" t="str">
        <f t="shared" si="83"/>
        <v/>
      </c>
      <c r="T272" s="126" t="str">
        <f t="shared" si="84"/>
        <v/>
      </c>
      <c r="U272" s="31" t="str">
        <f>IF(개요!EA42=0,"",ROUND(개요!EA42,3)=ROUND(T272,3))</f>
        <v/>
      </c>
    </row>
    <row r="273" spans="1:21" ht="15" hidden="1" customHeight="1" outlineLevel="1">
      <c r="A273" s="54">
        <v>36</v>
      </c>
      <c r="B273" s="120" t="str">
        <f>IF(개요!K43="","",개요!K43)</f>
        <v/>
      </c>
      <c r="C273" s="121" t="str">
        <f>IF(개요!L43="","",개요!L43)</f>
        <v/>
      </c>
      <c r="D273" s="121" t="str">
        <f>IF(개요!M43="","",개요!M43)</f>
        <v/>
      </c>
      <c r="E273" s="122">
        <f>IF(개요!R43="-","",개요!R43)</f>
        <v>0</v>
      </c>
      <c r="F273" s="122" t="str">
        <f t="shared" si="72"/>
        <v/>
      </c>
      <c r="G273" s="123" t="str">
        <f>IF(개요!Q43=0,"",개요!Q43)</f>
        <v/>
      </c>
      <c r="H273" s="123" t="str">
        <f t="shared" si="80"/>
        <v/>
      </c>
      <c r="I273" s="123" t="str">
        <f>IF(개요!O43=0,"",개요!O43-개요!P43)</f>
        <v/>
      </c>
      <c r="J273" s="124" t="str">
        <f t="shared" si="73"/>
        <v/>
      </c>
      <c r="K273" s="125" t="str">
        <f t="shared" si="74"/>
        <v/>
      </c>
      <c r="L273" s="123" t="str">
        <f t="shared" si="75"/>
        <v/>
      </c>
      <c r="M273" s="123" t="str">
        <f t="shared" si="76"/>
        <v/>
      </c>
      <c r="N273" s="123" t="str">
        <f t="shared" si="77"/>
        <v/>
      </c>
      <c r="O273" s="123" t="str">
        <f t="shared" si="78"/>
        <v/>
      </c>
      <c r="P273" s="123" t="str">
        <f t="shared" si="79"/>
        <v/>
      </c>
      <c r="Q273" s="123" t="str">
        <f t="shared" si="81"/>
        <v/>
      </c>
      <c r="R273" s="124">
        <f t="shared" si="82"/>
        <v>0</v>
      </c>
      <c r="S273" s="123" t="str">
        <f t="shared" si="83"/>
        <v/>
      </c>
      <c r="T273" s="126" t="str">
        <f t="shared" si="84"/>
        <v/>
      </c>
      <c r="U273" s="31" t="str">
        <f>IF(개요!EA43=0,"",ROUND(개요!EA43,3)=ROUND(T273,3))</f>
        <v/>
      </c>
    </row>
    <row r="274" spans="1:21" ht="15" hidden="1" customHeight="1" outlineLevel="1">
      <c r="A274" s="54">
        <v>37</v>
      </c>
      <c r="B274" s="120" t="str">
        <f>IF(개요!K44="","",개요!K44)</f>
        <v/>
      </c>
      <c r="C274" s="121" t="str">
        <f>IF(개요!L44="","",개요!L44)</f>
        <v/>
      </c>
      <c r="D274" s="121" t="str">
        <f>IF(개요!M44="","",개요!M44)</f>
        <v/>
      </c>
      <c r="E274" s="122">
        <f>IF(개요!R44="-","",개요!R44)</f>
        <v>0</v>
      </c>
      <c r="F274" s="122" t="str">
        <f t="shared" si="72"/>
        <v/>
      </c>
      <c r="G274" s="123" t="str">
        <f>IF(개요!Q44=0,"",개요!Q44)</f>
        <v/>
      </c>
      <c r="H274" s="123" t="str">
        <f t="shared" si="80"/>
        <v/>
      </c>
      <c r="I274" s="123" t="str">
        <f>IF(개요!O44=0,"",개요!O44-개요!P44)</f>
        <v/>
      </c>
      <c r="J274" s="124" t="str">
        <f t="shared" si="73"/>
        <v/>
      </c>
      <c r="K274" s="125" t="str">
        <f t="shared" si="74"/>
        <v/>
      </c>
      <c r="L274" s="123" t="str">
        <f t="shared" si="75"/>
        <v/>
      </c>
      <c r="M274" s="123" t="str">
        <f t="shared" si="76"/>
        <v/>
      </c>
      <c r="N274" s="123" t="str">
        <f t="shared" si="77"/>
        <v/>
      </c>
      <c r="O274" s="123" t="str">
        <f t="shared" si="78"/>
        <v/>
      </c>
      <c r="P274" s="123" t="str">
        <f t="shared" si="79"/>
        <v/>
      </c>
      <c r="Q274" s="123" t="str">
        <f t="shared" si="81"/>
        <v/>
      </c>
      <c r="R274" s="124">
        <f t="shared" si="82"/>
        <v>0</v>
      </c>
      <c r="S274" s="123" t="str">
        <f t="shared" si="83"/>
        <v/>
      </c>
      <c r="T274" s="126" t="str">
        <f t="shared" si="84"/>
        <v/>
      </c>
      <c r="U274" s="31" t="str">
        <f>IF(개요!EA44=0,"",ROUND(개요!EA44,3)=ROUND(T274,3))</f>
        <v/>
      </c>
    </row>
    <row r="275" spans="1:21" ht="15" hidden="1" customHeight="1" outlineLevel="1">
      <c r="A275" s="54">
        <v>38</v>
      </c>
      <c r="B275" s="120" t="str">
        <f>IF(개요!K45="","",개요!K45)</f>
        <v/>
      </c>
      <c r="C275" s="121" t="str">
        <f>IF(개요!L45="","",개요!L45)</f>
        <v/>
      </c>
      <c r="D275" s="121" t="str">
        <f>IF(개요!M45="","",개요!M45)</f>
        <v/>
      </c>
      <c r="E275" s="122">
        <f>IF(개요!R45="-","",개요!R45)</f>
        <v>0</v>
      </c>
      <c r="F275" s="122" t="str">
        <f t="shared" si="72"/>
        <v/>
      </c>
      <c r="G275" s="123" t="str">
        <f>IF(개요!Q45=0,"",개요!Q45)</f>
        <v/>
      </c>
      <c r="H275" s="123" t="str">
        <f t="shared" si="80"/>
        <v/>
      </c>
      <c r="I275" s="123" t="str">
        <f>IF(개요!O45=0,"",개요!O45-개요!P45)</f>
        <v/>
      </c>
      <c r="J275" s="124" t="str">
        <f t="shared" si="73"/>
        <v/>
      </c>
      <c r="K275" s="125" t="str">
        <f t="shared" si="74"/>
        <v/>
      </c>
      <c r="L275" s="123" t="str">
        <f t="shared" si="75"/>
        <v/>
      </c>
      <c r="M275" s="123" t="str">
        <f t="shared" si="76"/>
        <v/>
      </c>
      <c r="N275" s="123" t="str">
        <f t="shared" si="77"/>
        <v/>
      </c>
      <c r="O275" s="123" t="str">
        <f t="shared" si="78"/>
        <v/>
      </c>
      <c r="P275" s="123" t="str">
        <f t="shared" si="79"/>
        <v/>
      </c>
      <c r="Q275" s="123" t="str">
        <f t="shared" si="81"/>
        <v/>
      </c>
      <c r="R275" s="124">
        <f t="shared" si="82"/>
        <v>0</v>
      </c>
      <c r="S275" s="123" t="str">
        <f t="shared" si="83"/>
        <v/>
      </c>
      <c r="T275" s="126" t="str">
        <f t="shared" si="84"/>
        <v/>
      </c>
      <c r="U275" s="31" t="str">
        <f>IF(개요!EA45=0,"",ROUND(개요!EA45,3)=ROUND(T275,3))</f>
        <v/>
      </c>
    </row>
    <row r="276" spans="1:21" ht="15" hidden="1" customHeight="1" outlineLevel="1">
      <c r="A276" s="54">
        <v>39</v>
      </c>
      <c r="B276" s="120" t="str">
        <f>IF(개요!K46="","",개요!K46)</f>
        <v/>
      </c>
      <c r="C276" s="121" t="str">
        <f>IF(개요!L46="","",개요!L46)</f>
        <v/>
      </c>
      <c r="D276" s="121" t="str">
        <f>IF(개요!M46="","",개요!M46)</f>
        <v/>
      </c>
      <c r="E276" s="122">
        <f>IF(개요!R46="-","",개요!R46)</f>
        <v>0</v>
      </c>
      <c r="F276" s="122" t="str">
        <f t="shared" si="72"/>
        <v/>
      </c>
      <c r="G276" s="123" t="str">
        <f>IF(개요!Q46=0,"",개요!Q46)</f>
        <v/>
      </c>
      <c r="H276" s="123" t="str">
        <f t="shared" si="80"/>
        <v/>
      </c>
      <c r="I276" s="123" t="str">
        <f>IF(개요!O46=0,"",개요!O46-개요!P46)</f>
        <v/>
      </c>
      <c r="J276" s="124" t="str">
        <f t="shared" si="73"/>
        <v/>
      </c>
      <c r="K276" s="125" t="str">
        <f t="shared" si="74"/>
        <v/>
      </c>
      <c r="L276" s="123" t="str">
        <f t="shared" si="75"/>
        <v/>
      </c>
      <c r="M276" s="123" t="str">
        <f t="shared" si="76"/>
        <v/>
      </c>
      <c r="N276" s="123" t="str">
        <f t="shared" si="77"/>
        <v/>
      </c>
      <c r="O276" s="123" t="str">
        <f t="shared" si="78"/>
        <v/>
      </c>
      <c r="P276" s="123" t="str">
        <f t="shared" si="79"/>
        <v/>
      </c>
      <c r="Q276" s="123" t="str">
        <f t="shared" si="81"/>
        <v/>
      </c>
      <c r="R276" s="124">
        <f t="shared" si="82"/>
        <v>0</v>
      </c>
      <c r="S276" s="123" t="str">
        <f t="shared" si="83"/>
        <v/>
      </c>
      <c r="T276" s="126" t="str">
        <f t="shared" si="84"/>
        <v/>
      </c>
      <c r="U276" s="31" t="str">
        <f>IF(개요!EA46=0,"",ROUND(개요!EA46,3)=ROUND(T276,3))</f>
        <v/>
      </c>
    </row>
    <row r="277" spans="1:21" ht="15" hidden="1" customHeight="1" outlineLevel="1">
      <c r="A277" s="54">
        <v>40</v>
      </c>
      <c r="B277" s="120" t="str">
        <f>IF(개요!K47="","",개요!K47)</f>
        <v/>
      </c>
      <c r="C277" s="121" t="str">
        <f>IF(개요!L47="","",개요!L47)</f>
        <v/>
      </c>
      <c r="D277" s="121" t="str">
        <f>IF(개요!M47="","",개요!M47)</f>
        <v/>
      </c>
      <c r="E277" s="122">
        <f>IF(개요!R47="-","",개요!R47)</f>
        <v>0</v>
      </c>
      <c r="F277" s="122" t="str">
        <f t="shared" si="72"/>
        <v/>
      </c>
      <c r="G277" s="123" t="str">
        <f>IF(개요!Q47=0,"",개요!Q47)</f>
        <v/>
      </c>
      <c r="H277" s="123" t="str">
        <f t="shared" si="80"/>
        <v/>
      </c>
      <c r="I277" s="123" t="str">
        <f>IF(개요!O47=0,"",개요!O47-개요!P47)</f>
        <v/>
      </c>
      <c r="J277" s="124" t="str">
        <f t="shared" si="73"/>
        <v/>
      </c>
      <c r="K277" s="125" t="str">
        <f t="shared" si="74"/>
        <v/>
      </c>
      <c r="L277" s="123" t="str">
        <f t="shared" si="75"/>
        <v/>
      </c>
      <c r="M277" s="123" t="str">
        <f t="shared" si="76"/>
        <v/>
      </c>
      <c r="N277" s="123" t="str">
        <f t="shared" si="77"/>
        <v/>
      </c>
      <c r="O277" s="123" t="str">
        <f t="shared" si="78"/>
        <v/>
      </c>
      <c r="P277" s="123" t="str">
        <f t="shared" si="79"/>
        <v/>
      </c>
      <c r="Q277" s="123" t="str">
        <f t="shared" si="81"/>
        <v/>
      </c>
      <c r="R277" s="124">
        <f t="shared" si="82"/>
        <v>0</v>
      </c>
      <c r="S277" s="123" t="str">
        <f t="shared" si="83"/>
        <v/>
      </c>
      <c r="T277" s="126" t="str">
        <f t="shared" si="84"/>
        <v/>
      </c>
      <c r="U277" s="31" t="str">
        <f>IF(개요!EA47=0,"",ROUND(개요!EA47,3)=ROUND(T277,3))</f>
        <v/>
      </c>
    </row>
    <row r="278" spans="1:21" ht="15" hidden="1" customHeight="1" outlineLevel="1">
      <c r="A278" s="54">
        <v>41</v>
      </c>
      <c r="B278" s="120" t="str">
        <f>IF(개요!K48="","",개요!K48)</f>
        <v/>
      </c>
      <c r="C278" s="121" t="str">
        <f>IF(개요!L48="","",개요!L48)</f>
        <v/>
      </c>
      <c r="D278" s="121" t="str">
        <f>IF(개요!M48="","",개요!M48)</f>
        <v/>
      </c>
      <c r="E278" s="122">
        <f>IF(개요!R48="-","",개요!R48)</f>
        <v>0</v>
      </c>
      <c r="F278" s="122" t="str">
        <f t="shared" si="72"/>
        <v/>
      </c>
      <c r="G278" s="123" t="str">
        <f>IF(개요!Q48=0,"",개요!Q48)</f>
        <v/>
      </c>
      <c r="H278" s="123" t="str">
        <f t="shared" si="80"/>
        <v/>
      </c>
      <c r="I278" s="123" t="str">
        <f>IF(개요!O48=0,"",개요!O48-개요!P48)</f>
        <v/>
      </c>
      <c r="J278" s="124" t="str">
        <f t="shared" si="73"/>
        <v/>
      </c>
      <c r="K278" s="125" t="str">
        <f t="shared" si="74"/>
        <v/>
      </c>
      <c r="L278" s="123" t="str">
        <f t="shared" si="75"/>
        <v/>
      </c>
      <c r="M278" s="123" t="str">
        <f t="shared" si="76"/>
        <v/>
      </c>
      <c r="N278" s="123" t="str">
        <f t="shared" si="77"/>
        <v/>
      </c>
      <c r="O278" s="123" t="str">
        <f t="shared" si="78"/>
        <v/>
      </c>
      <c r="P278" s="123" t="str">
        <f t="shared" si="79"/>
        <v/>
      </c>
      <c r="Q278" s="123" t="str">
        <f t="shared" si="81"/>
        <v/>
      </c>
      <c r="R278" s="124">
        <f t="shared" si="82"/>
        <v>0</v>
      </c>
      <c r="S278" s="123" t="str">
        <f t="shared" si="83"/>
        <v/>
      </c>
      <c r="T278" s="126" t="str">
        <f t="shared" si="84"/>
        <v/>
      </c>
      <c r="U278" s="31" t="str">
        <f>IF(개요!EA48=0,"",ROUND(개요!EA48,3)=ROUND(T278,3))</f>
        <v/>
      </c>
    </row>
    <row r="279" spans="1:21" ht="15" hidden="1" customHeight="1" outlineLevel="1">
      <c r="A279" s="54">
        <v>42</v>
      </c>
      <c r="B279" s="120" t="str">
        <f>IF(개요!K49="","",개요!K49)</f>
        <v/>
      </c>
      <c r="C279" s="121" t="str">
        <f>IF(개요!L49="","",개요!L49)</f>
        <v/>
      </c>
      <c r="D279" s="121" t="str">
        <f>IF(개요!M49="","",개요!M49)</f>
        <v/>
      </c>
      <c r="E279" s="122">
        <f>IF(개요!R49="-","",개요!R49)</f>
        <v>0</v>
      </c>
      <c r="F279" s="122" t="str">
        <f t="shared" si="72"/>
        <v/>
      </c>
      <c r="G279" s="123" t="str">
        <f>IF(개요!Q49=0,"",개요!Q49)</f>
        <v/>
      </c>
      <c r="H279" s="123" t="str">
        <f t="shared" si="80"/>
        <v/>
      </c>
      <c r="I279" s="123" t="str">
        <f>IF(개요!O49=0,"",개요!O49-개요!P49)</f>
        <v/>
      </c>
      <c r="J279" s="124" t="str">
        <f t="shared" si="73"/>
        <v/>
      </c>
      <c r="K279" s="125" t="str">
        <f t="shared" si="74"/>
        <v/>
      </c>
      <c r="L279" s="123" t="str">
        <f t="shared" si="75"/>
        <v/>
      </c>
      <c r="M279" s="123" t="str">
        <f t="shared" si="76"/>
        <v/>
      </c>
      <c r="N279" s="123" t="str">
        <f t="shared" si="77"/>
        <v/>
      </c>
      <c r="O279" s="123" t="str">
        <f t="shared" si="78"/>
        <v/>
      </c>
      <c r="P279" s="123" t="str">
        <f t="shared" si="79"/>
        <v/>
      </c>
      <c r="Q279" s="123" t="str">
        <f t="shared" si="81"/>
        <v/>
      </c>
      <c r="R279" s="124">
        <f t="shared" si="82"/>
        <v>0</v>
      </c>
      <c r="S279" s="123" t="str">
        <f t="shared" si="83"/>
        <v/>
      </c>
      <c r="T279" s="126" t="str">
        <f t="shared" si="84"/>
        <v/>
      </c>
      <c r="U279" s="31" t="str">
        <f>IF(개요!EA49=0,"",ROUND(개요!EA49,3)=ROUND(T279,3))</f>
        <v/>
      </c>
    </row>
    <row r="280" spans="1:21" ht="15" hidden="1" customHeight="1" outlineLevel="1">
      <c r="A280" s="54">
        <v>43</v>
      </c>
      <c r="B280" s="120" t="str">
        <f>IF(개요!K50="","",개요!K50)</f>
        <v/>
      </c>
      <c r="C280" s="121" t="str">
        <f>IF(개요!L50="","",개요!L50)</f>
        <v/>
      </c>
      <c r="D280" s="121" t="str">
        <f>IF(개요!M50="","",개요!M50)</f>
        <v/>
      </c>
      <c r="E280" s="122">
        <f>IF(개요!R50="-","",개요!R50)</f>
        <v>0</v>
      </c>
      <c r="F280" s="122" t="str">
        <f t="shared" si="72"/>
        <v/>
      </c>
      <c r="G280" s="123" t="str">
        <f>IF(개요!Q50=0,"",개요!Q50)</f>
        <v/>
      </c>
      <c r="H280" s="123" t="str">
        <f t="shared" si="80"/>
        <v/>
      </c>
      <c r="I280" s="123" t="str">
        <f>IF(개요!O50=0,"",개요!O50-개요!P50)</f>
        <v/>
      </c>
      <c r="J280" s="124" t="str">
        <f t="shared" si="73"/>
        <v/>
      </c>
      <c r="K280" s="125" t="str">
        <f t="shared" si="74"/>
        <v/>
      </c>
      <c r="L280" s="123" t="str">
        <f t="shared" si="75"/>
        <v/>
      </c>
      <c r="M280" s="123" t="str">
        <f t="shared" si="76"/>
        <v/>
      </c>
      <c r="N280" s="123" t="str">
        <f t="shared" si="77"/>
        <v/>
      </c>
      <c r="O280" s="123" t="str">
        <f t="shared" si="78"/>
        <v/>
      </c>
      <c r="P280" s="123" t="str">
        <f t="shared" si="79"/>
        <v/>
      </c>
      <c r="Q280" s="123" t="str">
        <f t="shared" si="81"/>
        <v/>
      </c>
      <c r="R280" s="124">
        <f t="shared" si="82"/>
        <v>0</v>
      </c>
      <c r="S280" s="123" t="str">
        <f t="shared" si="83"/>
        <v/>
      </c>
      <c r="T280" s="126" t="str">
        <f t="shared" si="84"/>
        <v/>
      </c>
      <c r="U280" s="31" t="str">
        <f>IF(개요!EA50=0,"",ROUND(개요!EA50,3)=ROUND(T280,3))</f>
        <v/>
      </c>
    </row>
    <row r="281" spans="1:21" ht="15" hidden="1" customHeight="1" outlineLevel="1">
      <c r="A281" s="54">
        <v>44</v>
      </c>
      <c r="B281" s="120" t="str">
        <f>IF(개요!K51="","",개요!K51)</f>
        <v/>
      </c>
      <c r="C281" s="121" t="str">
        <f>IF(개요!L51="","",개요!L51)</f>
        <v/>
      </c>
      <c r="D281" s="121" t="str">
        <f>IF(개요!M51="","",개요!M51)</f>
        <v/>
      </c>
      <c r="E281" s="122">
        <f>IF(개요!R51="-","",개요!R51)</f>
        <v>0</v>
      </c>
      <c r="F281" s="122" t="str">
        <f t="shared" si="72"/>
        <v/>
      </c>
      <c r="G281" s="123" t="str">
        <f>IF(개요!Q51=0,"",개요!Q51)</f>
        <v/>
      </c>
      <c r="H281" s="123" t="str">
        <f t="shared" si="80"/>
        <v/>
      </c>
      <c r="I281" s="123" t="str">
        <f>IF(개요!O51=0,"",개요!O51-개요!P51)</f>
        <v/>
      </c>
      <c r="J281" s="124" t="str">
        <f t="shared" si="73"/>
        <v/>
      </c>
      <c r="K281" s="125" t="str">
        <f t="shared" si="74"/>
        <v/>
      </c>
      <c r="L281" s="123" t="str">
        <f t="shared" si="75"/>
        <v/>
      </c>
      <c r="M281" s="123" t="str">
        <f t="shared" si="76"/>
        <v/>
      </c>
      <c r="N281" s="123" t="str">
        <f t="shared" si="77"/>
        <v/>
      </c>
      <c r="O281" s="123" t="str">
        <f t="shared" si="78"/>
        <v/>
      </c>
      <c r="P281" s="123" t="str">
        <f t="shared" si="79"/>
        <v/>
      </c>
      <c r="Q281" s="123" t="str">
        <f t="shared" si="81"/>
        <v/>
      </c>
      <c r="R281" s="124">
        <f t="shared" si="82"/>
        <v>0</v>
      </c>
      <c r="S281" s="123" t="str">
        <f t="shared" si="83"/>
        <v/>
      </c>
      <c r="T281" s="126" t="str">
        <f t="shared" si="84"/>
        <v/>
      </c>
      <c r="U281" s="31" t="str">
        <f>IF(개요!EA51=0,"",ROUND(개요!EA51,3)=ROUND(T281,3))</f>
        <v/>
      </c>
    </row>
    <row r="282" spans="1:21" ht="15" hidden="1" customHeight="1" outlineLevel="1">
      <c r="A282" s="54">
        <v>45</v>
      </c>
      <c r="B282" s="120" t="str">
        <f>IF(개요!K52="","",개요!K52)</f>
        <v/>
      </c>
      <c r="C282" s="121" t="str">
        <f>IF(개요!L52="","",개요!L52)</f>
        <v/>
      </c>
      <c r="D282" s="121" t="str">
        <f>IF(개요!M52="","",개요!M52)</f>
        <v/>
      </c>
      <c r="E282" s="122">
        <f>IF(개요!R52="-","",개요!R52)</f>
        <v>0</v>
      </c>
      <c r="F282" s="122" t="str">
        <f t="shared" si="72"/>
        <v/>
      </c>
      <c r="G282" s="123" t="str">
        <f>IF(개요!Q52=0,"",개요!Q52)</f>
        <v/>
      </c>
      <c r="H282" s="123" t="str">
        <f t="shared" si="80"/>
        <v/>
      </c>
      <c r="I282" s="123" t="str">
        <f>IF(개요!O52=0,"",개요!O52-개요!P52)</f>
        <v/>
      </c>
      <c r="J282" s="124" t="str">
        <f t="shared" si="73"/>
        <v/>
      </c>
      <c r="K282" s="125" t="str">
        <f t="shared" si="74"/>
        <v/>
      </c>
      <c r="L282" s="123" t="str">
        <f t="shared" si="75"/>
        <v/>
      </c>
      <c r="M282" s="123" t="str">
        <f t="shared" si="76"/>
        <v/>
      </c>
      <c r="N282" s="123" t="str">
        <f t="shared" si="77"/>
        <v/>
      </c>
      <c r="O282" s="123" t="str">
        <f t="shared" si="78"/>
        <v/>
      </c>
      <c r="P282" s="123" t="str">
        <f t="shared" si="79"/>
        <v/>
      </c>
      <c r="Q282" s="123" t="str">
        <f t="shared" si="81"/>
        <v/>
      </c>
      <c r="R282" s="124">
        <f t="shared" si="82"/>
        <v>0</v>
      </c>
      <c r="S282" s="123" t="str">
        <f t="shared" si="83"/>
        <v/>
      </c>
      <c r="T282" s="126" t="str">
        <f t="shared" si="84"/>
        <v/>
      </c>
      <c r="U282" s="31" t="str">
        <f>IF(개요!EA52=0,"",ROUND(개요!EA52,3)=ROUND(T282,3))</f>
        <v/>
      </c>
    </row>
    <row r="283" spans="1:21" ht="15" hidden="1" customHeight="1" outlineLevel="1">
      <c r="A283" s="54">
        <v>46</v>
      </c>
      <c r="B283" s="120" t="str">
        <f>IF(개요!K53="","",개요!K53)</f>
        <v/>
      </c>
      <c r="C283" s="121" t="str">
        <f>IF(개요!L53="","",개요!L53)</f>
        <v/>
      </c>
      <c r="D283" s="121" t="str">
        <f>IF(개요!M53="","",개요!M53)</f>
        <v/>
      </c>
      <c r="E283" s="122">
        <f>IF(개요!R53="-","",개요!R53)</f>
        <v>0</v>
      </c>
      <c r="F283" s="122" t="str">
        <f t="shared" si="72"/>
        <v/>
      </c>
      <c r="G283" s="123" t="str">
        <f>IF(개요!Q53=0,"",개요!Q53)</f>
        <v/>
      </c>
      <c r="H283" s="123" t="str">
        <f t="shared" si="80"/>
        <v/>
      </c>
      <c r="I283" s="123" t="str">
        <f>IF(개요!O53=0,"",개요!O53-개요!P53)</f>
        <v/>
      </c>
      <c r="J283" s="124" t="str">
        <f t="shared" si="73"/>
        <v/>
      </c>
      <c r="K283" s="125" t="str">
        <f t="shared" si="74"/>
        <v/>
      </c>
      <c r="L283" s="123" t="str">
        <f t="shared" si="75"/>
        <v/>
      </c>
      <c r="M283" s="123" t="str">
        <f t="shared" si="76"/>
        <v/>
      </c>
      <c r="N283" s="123" t="str">
        <f t="shared" si="77"/>
        <v/>
      </c>
      <c r="O283" s="123" t="str">
        <f t="shared" si="78"/>
        <v/>
      </c>
      <c r="P283" s="123" t="str">
        <f t="shared" si="79"/>
        <v/>
      </c>
      <c r="Q283" s="123" t="str">
        <f t="shared" si="81"/>
        <v/>
      </c>
      <c r="R283" s="124">
        <f t="shared" si="82"/>
        <v>0</v>
      </c>
      <c r="S283" s="123" t="str">
        <f t="shared" si="83"/>
        <v/>
      </c>
      <c r="T283" s="126" t="str">
        <f t="shared" si="84"/>
        <v/>
      </c>
      <c r="U283" s="31" t="str">
        <f>IF(개요!EA53=0,"",ROUND(개요!EA53,3)=ROUND(T283,3))</f>
        <v/>
      </c>
    </row>
    <row r="284" spans="1:21" ht="15" hidden="1" customHeight="1" outlineLevel="1">
      <c r="A284" s="54">
        <v>47</v>
      </c>
      <c r="B284" s="120" t="str">
        <f>IF(개요!K54="","",개요!K54)</f>
        <v/>
      </c>
      <c r="C284" s="121" t="str">
        <f>IF(개요!L54="","",개요!L54)</f>
        <v/>
      </c>
      <c r="D284" s="121" t="str">
        <f>IF(개요!M54="","",개요!M54)</f>
        <v/>
      </c>
      <c r="E284" s="122">
        <f>IF(개요!R54="-","",개요!R54)</f>
        <v>0</v>
      </c>
      <c r="F284" s="122" t="str">
        <f t="shared" si="72"/>
        <v/>
      </c>
      <c r="G284" s="123" t="str">
        <f>IF(개요!Q54=0,"",개요!Q54)</f>
        <v/>
      </c>
      <c r="H284" s="123" t="str">
        <f t="shared" si="80"/>
        <v/>
      </c>
      <c r="I284" s="123" t="str">
        <f>IF(개요!O54=0,"",개요!O54-개요!P54)</f>
        <v/>
      </c>
      <c r="J284" s="124" t="str">
        <f t="shared" si="73"/>
        <v/>
      </c>
      <c r="K284" s="125" t="str">
        <f t="shared" si="74"/>
        <v/>
      </c>
      <c r="L284" s="123" t="str">
        <f t="shared" si="75"/>
        <v/>
      </c>
      <c r="M284" s="123" t="str">
        <f t="shared" si="76"/>
        <v/>
      </c>
      <c r="N284" s="123" t="str">
        <f t="shared" si="77"/>
        <v/>
      </c>
      <c r="O284" s="123" t="str">
        <f t="shared" si="78"/>
        <v/>
      </c>
      <c r="P284" s="123" t="str">
        <f t="shared" si="79"/>
        <v/>
      </c>
      <c r="Q284" s="123" t="str">
        <f t="shared" si="81"/>
        <v/>
      </c>
      <c r="R284" s="124">
        <f t="shared" si="82"/>
        <v>0</v>
      </c>
      <c r="S284" s="123" t="str">
        <f t="shared" si="83"/>
        <v/>
      </c>
      <c r="T284" s="126" t="str">
        <f t="shared" si="84"/>
        <v/>
      </c>
      <c r="U284" s="31" t="str">
        <f>IF(개요!EA54=0,"",ROUND(개요!EA54,3)=ROUND(T284,3))</f>
        <v/>
      </c>
    </row>
    <row r="285" spans="1:21" ht="15" hidden="1" customHeight="1" outlineLevel="1">
      <c r="A285" s="54">
        <v>48</v>
      </c>
      <c r="B285" s="120" t="str">
        <f>IF(개요!K55="","",개요!K55)</f>
        <v/>
      </c>
      <c r="C285" s="121" t="str">
        <f>IF(개요!L55="","",개요!L55)</f>
        <v/>
      </c>
      <c r="D285" s="121" t="str">
        <f>IF(개요!M55="","",개요!M55)</f>
        <v/>
      </c>
      <c r="E285" s="122">
        <f>IF(개요!R55="-","",개요!R55)</f>
        <v>0</v>
      </c>
      <c r="F285" s="122" t="str">
        <f t="shared" si="72"/>
        <v/>
      </c>
      <c r="G285" s="123" t="str">
        <f>IF(개요!Q55=0,"",개요!Q55)</f>
        <v/>
      </c>
      <c r="H285" s="123" t="str">
        <f t="shared" si="80"/>
        <v/>
      </c>
      <c r="I285" s="123" t="str">
        <f>IF(개요!O55=0,"",개요!O55-개요!P55)</f>
        <v/>
      </c>
      <c r="J285" s="124" t="str">
        <f t="shared" si="73"/>
        <v/>
      </c>
      <c r="K285" s="125" t="str">
        <f t="shared" si="74"/>
        <v/>
      </c>
      <c r="L285" s="123" t="str">
        <f t="shared" si="75"/>
        <v/>
      </c>
      <c r="M285" s="123" t="str">
        <f t="shared" si="76"/>
        <v/>
      </c>
      <c r="N285" s="123" t="str">
        <f t="shared" si="77"/>
        <v/>
      </c>
      <c r="O285" s="123" t="str">
        <f t="shared" si="78"/>
        <v/>
      </c>
      <c r="P285" s="123" t="str">
        <f t="shared" si="79"/>
        <v/>
      </c>
      <c r="Q285" s="123" t="str">
        <f t="shared" si="81"/>
        <v/>
      </c>
      <c r="R285" s="124">
        <f t="shared" si="82"/>
        <v>0</v>
      </c>
      <c r="S285" s="123" t="str">
        <f t="shared" si="83"/>
        <v/>
      </c>
      <c r="T285" s="126" t="str">
        <f t="shared" si="84"/>
        <v/>
      </c>
      <c r="U285" s="31" t="str">
        <f>IF(개요!EA55=0,"",ROUND(개요!EA55,3)=ROUND(T285,3))</f>
        <v/>
      </c>
    </row>
    <row r="286" spans="1:21" ht="15" hidden="1" customHeight="1" outlineLevel="1" thickBot="1">
      <c r="A286" s="54">
        <v>49</v>
      </c>
      <c r="B286" s="120" t="str">
        <f>IF(개요!K56="","",개요!K56)</f>
        <v/>
      </c>
      <c r="C286" s="121" t="str">
        <f>IF(개요!L56="","",개요!L56)</f>
        <v/>
      </c>
      <c r="D286" s="121" t="str">
        <f>IF(개요!M56="","",개요!M56)</f>
        <v/>
      </c>
      <c r="E286" s="122">
        <f>IF(개요!R56="-","",개요!R56)</f>
        <v>0</v>
      </c>
      <c r="F286" s="122" t="str">
        <f t="shared" si="72"/>
        <v/>
      </c>
      <c r="G286" s="123" t="str">
        <f>IF(개요!Q56=0,"",개요!Q56)</f>
        <v/>
      </c>
      <c r="H286" s="123" t="str">
        <f t="shared" si="80"/>
        <v/>
      </c>
      <c r="I286" s="123" t="str">
        <f>IF(개요!O56=0,"",개요!O56-개요!P56)</f>
        <v/>
      </c>
      <c r="J286" s="124" t="str">
        <f t="shared" si="73"/>
        <v/>
      </c>
      <c r="K286" s="125" t="str">
        <f t="shared" si="74"/>
        <v/>
      </c>
      <c r="L286" s="123" t="str">
        <f t="shared" si="75"/>
        <v/>
      </c>
      <c r="M286" s="123" t="str">
        <f t="shared" si="76"/>
        <v/>
      </c>
      <c r="N286" s="123" t="str">
        <f t="shared" si="77"/>
        <v/>
      </c>
      <c r="O286" s="123" t="str">
        <f t="shared" si="78"/>
        <v/>
      </c>
      <c r="P286" s="123" t="str">
        <f t="shared" si="79"/>
        <v/>
      </c>
      <c r="Q286" s="123" t="str">
        <f t="shared" si="81"/>
        <v/>
      </c>
      <c r="R286" s="124">
        <f t="shared" si="82"/>
        <v>0</v>
      </c>
      <c r="S286" s="123" t="str">
        <f t="shared" si="83"/>
        <v/>
      </c>
      <c r="T286" s="126" t="str">
        <f t="shared" si="84"/>
        <v/>
      </c>
      <c r="U286" s="31" t="str">
        <f>IF(개요!EA56=0,"",ROUND(개요!EA56,3)=ROUND(T286,3))</f>
        <v/>
      </c>
    </row>
    <row r="287" spans="1:21" ht="15" customHeight="1" collapsed="1" thickBot="1">
      <c r="B287" s="827" t="s">
        <v>3551</v>
      </c>
      <c r="C287" s="828"/>
      <c r="D287" s="828"/>
      <c r="E287" s="106">
        <f>SUM(E238:E286)</f>
        <v>1</v>
      </c>
      <c r="F287" s="106">
        <f>SUM(F238:F286)</f>
        <v>2</v>
      </c>
      <c r="G287" s="109">
        <f t="shared" ref="G287:H287" si="85">SUM(G238:G286)</f>
        <v>10500000000</v>
      </c>
      <c r="H287" s="109">
        <f t="shared" si="85"/>
        <v>12836750306.345901</v>
      </c>
      <c r="I287" s="109">
        <f>SUM(I238:I286)</f>
        <v>10500000000</v>
      </c>
      <c r="J287" s="110">
        <f t="shared" ref="J287" si="86">SUM(J238:J286)</f>
        <v>2336750306.3459015</v>
      </c>
      <c r="K287" s="108">
        <f>SUM(K238:K286)</f>
        <v>10400000000</v>
      </c>
      <c r="L287" s="109">
        <f>SUM(L238:L286)</f>
        <v>0</v>
      </c>
      <c r="M287" s="109">
        <f>SUM(M238:M286)</f>
        <v>100000000</v>
      </c>
      <c r="N287" s="109">
        <f>SUM(N238:N286)</f>
        <v>2314495541.5235596</v>
      </c>
      <c r="O287" s="109">
        <f t="shared" ref="O287:Q287" si="87">SUM(O238:O286)</f>
        <v>0</v>
      </c>
      <c r="P287" s="109">
        <f t="shared" si="87"/>
        <v>22254764.822341919</v>
      </c>
      <c r="Q287" s="109">
        <f t="shared" si="87"/>
        <v>2606987185.5308199</v>
      </c>
      <c r="R287" s="110">
        <f>SUM(R238:R286)</f>
        <v>10427948742.123281</v>
      </c>
      <c r="S287" s="109">
        <f>SUM(S238:S286)</f>
        <v>25871686233.999992</v>
      </c>
      <c r="T287" s="111" t="b">
        <f>INT(SUM(개요!EA8:EA56))=INT(SUM(검증!T238:T286))</f>
        <v>1</v>
      </c>
      <c r="U287" s="127"/>
    </row>
  </sheetData>
  <dataConsolidate/>
  <mergeCells count="6">
    <mergeCell ref="B287:D287"/>
    <mergeCell ref="CY20:CY21"/>
    <mergeCell ref="B20:B21"/>
    <mergeCell ref="A20:A21"/>
    <mergeCell ref="B143:D143"/>
    <mergeCell ref="B215:D215"/>
  </mergeCells>
  <phoneticPr fontId="7" type="noConversion"/>
  <conditionalFormatting sqref="U94:U142">
    <cfRule type="containsText" dxfId="25" priority="14" operator="containsText" text="FALSE">
      <formula>NOT(ISERROR(SEARCH("FALSE",U94)))</formula>
    </cfRule>
    <cfRule type="containsText" dxfId="24" priority="15" operator="containsText" text="TRUE">
      <formula>NOT(ISERROR(SEARCH("TRUE",U94)))</formula>
    </cfRule>
  </conditionalFormatting>
  <conditionalFormatting sqref="S166:S214">
    <cfRule type="containsText" dxfId="23" priority="12" operator="containsText" text="FALSE">
      <formula>NOT(ISERROR(SEARCH("FALSE",S166)))</formula>
    </cfRule>
    <cfRule type="containsText" dxfId="22" priority="13" operator="containsText" text="TRUE">
      <formula>NOT(ISERROR(SEARCH("TRUE",S166)))</formula>
    </cfRule>
  </conditionalFormatting>
  <conditionalFormatting sqref="U238:U286">
    <cfRule type="containsText" dxfId="21" priority="10" operator="containsText" text="FALSE">
      <formula>NOT(ISERROR(SEARCH("FALSE",U238)))</formula>
    </cfRule>
    <cfRule type="containsText" dxfId="20" priority="11" operator="containsText" text="TRUE">
      <formula>NOT(ISERROR(SEARCH("TRUE",U238)))</formula>
    </cfRule>
  </conditionalFormatting>
  <conditionalFormatting sqref="C234:J234">
    <cfRule type="containsText" dxfId="19" priority="9" operator="containsText" text="분배종료">
      <formula>NOT(ISERROR(SEARCH("분배종료",C234)))</formula>
    </cfRule>
  </conditionalFormatting>
  <conditionalFormatting sqref="C90:J90">
    <cfRule type="containsText" dxfId="18" priority="8" operator="containsText" text="분배종료">
      <formula>NOT(ISERROR(SEARCH("분배종료",C90)))</formula>
    </cfRule>
  </conditionalFormatting>
  <conditionalFormatting sqref="C162:H162">
    <cfRule type="containsText" dxfId="17" priority="7" operator="containsText" text="분배종료">
      <formula>NOT(ISERROR(SEARCH("분배종료",C162)))</formula>
    </cfRule>
  </conditionalFormatting>
  <conditionalFormatting sqref="T143">
    <cfRule type="containsText" dxfId="16" priority="5" operator="containsText" text="FALSE">
      <formula>NOT(ISERROR(SEARCH("FALSE",T143)))</formula>
    </cfRule>
    <cfRule type="containsText" dxfId="15" priority="6" operator="containsText" text="TRUE">
      <formula>NOT(ISERROR(SEARCH("TRUE",T143)))</formula>
    </cfRule>
  </conditionalFormatting>
  <conditionalFormatting sqref="R215">
    <cfRule type="containsText" dxfId="14" priority="3" operator="containsText" text="FALSE">
      <formula>NOT(ISERROR(SEARCH("FALSE",R215)))</formula>
    </cfRule>
    <cfRule type="containsText" dxfId="13" priority="4" operator="containsText" text="TRUE">
      <formula>NOT(ISERROR(SEARCH("TRUE",R215)))</formula>
    </cfRule>
  </conditionalFormatting>
  <conditionalFormatting sqref="T287">
    <cfRule type="containsText" dxfId="12" priority="1" operator="containsText" text="FALSE">
      <formula>NOT(ISERROR(SEARCH("FALSE",T287)))</formula>
    </cfRule>
    <cfRule type="containsText" dxfId="11" priority="2" operator="containsText" text="TRUE">
      <formula>NOT(ISERROR(SEARCH("TRUE",T287)))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39997558519241921"/>
  </sheetPr>
  <dimension ref="A2:G43"/>
  <sheetViews>
    <sheetView showGridLines="0" zoomScale="70" zoomScaleNormal="70" workbookViewId="0"/>
  </sheetViews>
  <sheetFormatPr defaultColWidth="8.88671875" defaultRowHeight="13.5"/>
  <cols>
    <col min="1" max="1" width="2.21875" style="225" customWidth="1"/>
    <col min="2" max="3" width="12.77734375" style="225" customWidth="1"/>
    <col min="4" max="7" width="13.44140625" style="225" customWidth="1"/>
    <col min="8" max="16384" width="8.88671875" style="225"/>
  </cols>
  <sheetData>
    <row r="2" spans="1:7" ht="17.25">
      <c r="B2" s="754" t="s">
        <v>7181</v>
      </c>
    </row>
    <row r="4" spans="1:7" ht="14.25" thickBot="1">
      <c r="B4" s="338" t="s">
        <v>3502</v>
      </c>
    </row>
    <row r="5" spans="1:7" ht="14.25" thickBot="1">
      <c r="B5" s="837" t="s">
        <v>767</v>
      </c>
      <c r="C5" s="838"/>
      <c r="D5" s="339" t="s">
        <v>175</v>
      </c>
      <c r="E5" s="339" t="s">
        <v>3384</v>
      </c>
      <c r="F5" s="340" t="s">
        <v>3500</v>
      </c>
    </row>
    <row r="6" spans="1:7" ht="14.25" thickBot="1">
      <c r="B6" s="839">
        <f>개요!$C$9</f>
        <v>0</v>
      </c>
      <c r="C6" s="840"/>
      <c r="D6" s="341" t="str">
        <f>IF(개요!Q58="자본금과 일치","TRUE","FALSE")</f>
        <v>TRUE</v>
      </c>
      <c r="E6" s="341" t="str">
        <f>IF(개요!DP5="이상없음","TRUE","FALSE")</f>
        <v>TRUE</v>
      </c>
      <c r="F6" s="341" t="b">
        <f>(NAV!E26+NAV!E30-NAV!E31)/개요!C16=NAV!E37</f>
        <v>1</v>
      </c>
    </row>
    <row r="8" spans="1:7" ht="14.25" thickBot="1">
      <c r="B8" s="335" t="s">
        <v>3501</v>
      </c>
    </row>
    <row r="9" spans="1:7" ht="14.25" thickBot="1">
      <c r="B9" s="837" t="s">
        <v>767</v>
      </c>
      <c r="C9" s="838"/>
      <c r="D9" s="340" t="s">
        <v>3199</v>
      </c>
      <c r="E9" s="340" t="s">
        <v>3491</v>
      </c>
      <c r="F9" s="340" t="s">
        <v>3499</v>
      </c>
    </row>
    <row r="10" spans="1:7" ht="14.25" thickBot="1">
      <c r="B10" s="839">
        <f>개요!$C$9</f>
        <v>0</v>
      </c>
      <c r="C10" s="840"/>
      <c r="D10" s="341" t="str">
        <f>IF(NAV!D15=SUM(보고서!C79:C257),"TRUE","FALSE")</f>
        <v>TRUE</v>
      </c>
      <c r="E10" s="341" t="str">
        <f>NAV!AA41</f>
        <v>특이사항 없음</v>
      </c>
      <c r="F10" s="342">
        <f>IFERROR(NAV!E15/NAV!D15-1,0)</f>
        <v>1.5961818181818184</v>
      </c>
    </row>
    <row r="11" spans="1:7">
      <c r="B11" s="337"/>
    </row>
    <row r="12" spans="1:7" ht="14.25" thickBot="1">
      <c r="B12" s="338" t="s">
        <v>3503</v>
      </c>
    </row>
    <row r="13" spans="1:7" ht="14.25" thickBot="1">
      <c r="B13" s="837" t="s">
        <v>767</v>
      </c>
      <c r="C13" s="838"/>
      <c r="D13" s="339" t="s">
        <v>766</v>
      </c>
      <c r="E13" s="340" t="s">
        <v>763</v>
      </c>
      <c r="F13" s="340" t="s">
        <v>764</v>
      </c>
      <c r="G13" s="339" t="s">
        <v>765</v>
      </c>
    </row>
    <row r="14" spans="1:7" ht="14.25" thickBot="1">
      <c r="B14" s="339">
        <f>개요!$C$9</f>
        <v>0</v>
      </c>
      <c r="C14" s="339">
        <f>개요!$C$9</f>
        <v>0</v>
      </c>
      <c r="D14" s="341" t="b">
        <f>NAV!B15</f>
        <v>1</v>
      </c>
      <c r="E14" s="341" t="b">
        <f>NAV!B16</f>
        <v>1</v>
      </c>
      <c r="F14" s="341" t="b">
        <f>NAV!B25</f>
        <v>1</v>
      </c>
      <c r="G14" s="341" t="b">
        <f>NAV!B29</f>
        <v>1</v>
      </c>
    </row>
    <row r="15" spans="1:7" ht="14.25" thickBot="1">
      <c r="A15" s="685" t="s">
        <v>769</v>
      </c>
      <c r="B15" s="834" t="s">
        <v>768</v>
      </c>
      <c r="C15" s="339" t="str">
        <f>NAV!B199</f>
        <v>SPC없음</v>
      </c>
      <c r="D15" s="341" t="b">
        <f>NAV!B208</f>
        <v>1</v>
      </c>
      <c r="E15" s="341" t="b">
        <f>NAV!B209</f>
        <v>1</v>
      </c>
      <c r="F15" s="341" t="b">
        <f>NAV!B218</f>
        <v>1</v>
      </c>
      <c r="G15" s="341" t="b">
        <f>NAV!B222</f>
        <v>1</v>
      </c>
    </row>
    <row r="16" spans="1:7" ht="14.25" thickBot="1">
      <c r="A16" s="685" t="s">
        <v>368</v>
      </c>
      <c r="B16" s="835"/>
      <c r="C16" s="339" t="str">
        <f>NAV!B237</f>
        <v>SPC없음</v>
      </c>
      <c r="D16" s="341" t="b">
        <f>NAV!B246</f>
        <v>1</v>
      </c>
      <c r="E16" s="341" t="b">
        <f>NAV!B247</f>
        <v>1</v>
      </c>
      <c r="F16" s="341" t="b">
        <f>NAV!B256</f>
        <v>1</v>
      </c>
      <c r="G16" s="341" t="b">
        <f>NAV!B260</f>
        <v>1</v>
      </c>
    </row>
    <row r="17" spans="1:7" ht="14.25" thickBot="1">
      <c r="A17" s="685" t="s">
        <v>770</v>
      </c>
      <c r="B17" s="835"/>
      <c r="C17" s="339" t="str">
        <f>NAV!B275</f>
        <v>SPC없음</v>
      </c>
      <c r="D17" s="341" t="b">
        <f>NAV!B284</f>
        <v>1</v>
      </c>
      <c r="E17" s="341" t="b">
        <f>NAV!B285</f>
        <v>1</v>
      </c>
      <c r="F17" s="341" t="b">
        <f>NAV!B294</f>
        <v>1</v>
      </c>
      <c r="G17" s="341" t="b">
        <f>NAV!B298</f>
        <v>1</v>
      </c>
    </row>
    <row r="18" spans="1:7" ht="14.25" thickBot="1">
      <c r="A18" s="685" t="s">
        <v>771</v>
      </c>
      <c r="B18" s="835"/>
      <c r="C18" s="339" t="str">
        <f>NAV!B313</f>
        <v>SPC없음</v>
      </c>
      <c r="D18" s="341" t="b">
        <f>NAV!B322</f>
        <v>1</v>
      </c>
      <c r="E18" s="341" t="b">
        <f>NAV!B323</f>
        <v>1</v>
      </c>
      <c r="F18" s="341" t="b">
        <f>NAV!B332</f>
        <v>1</v>
      </c>
      <c r="G18" s="341" t="b">
        <f>NAV!B336</f>
        <v>1</v>
      </c>
    </row>
    <row r="19" spans="1:7" ht="14.25" thickBot="1">
      <c r="A19" s="685" t="s">
        <v>772</v>
      </c>
      <c r="B19" s="835"/>
      <c r="C19" s="339" t="str">
        <f>NAV!B351</f>
        <v>SPC없음</v>
      </c>
      <c r="D19" s="341" t="b">
        <f>NAV!B360</f>
        <v>1</v>
      </c>
      <c r="E19" s="341" t="b">
        <f>NAV!B361</f>
        <v>1</v>
      </c>
      <c r="F19" s="341" t="b">
        <f>NAV!B370</f>
        <v>1</v>
      </c>
      <c r="G19" s="341" t="b">
        <f>NAV!B374</f>
        <v>1</v>
      </c>
    </row>
    <row r="20" spans="1:7" ht="14.25" thickBot="1">
      <c r="A20" s="685" t="s">
        <v>773</v>
      </c>
      <c r="B20" s="835"/>
      <c r="C20" s="339" t="str">
        <f>NAV!B389</f>
        <v>SPC없음</v>
      </c>
      <c r="D20" s="341" t="b">
        <f>NAV!B398</f>
        <v>1</v>
      </c>
      <c r="E20" s="341" t="b">
        <f>NAV!B399</f>
        <v>1</v>
      </c>
      <c r="F20" s="341" t="b">
        <f>NAV!B408</f>
        <v>1</v>
      </c>
      <c r="G20" s="341" t="b">
        <f>NAV!B412</f>
        <v>1</v>
      </c>
    </row>
    <row r="21" spans="1:7" ht="14.25" thickBot="1">
      <c r="A21" s="685" t="s">
        <v>774</v>
      </c>
      <c r="B21" s="835"/>
      <c r="C21" s="339" t="str">
        <f>NAV!B427</f>
        <v>SPC없음</v>
      </c>
      <c r="D21" s="341" t="b">
        <f>NAV!B436</f>
        <v>1</v>
      </c>
      <c r="E21" s="341" t="b">
        <f>NAV!B437</f>
        <v>1</v>
      </c>
      <c r="F21" s="341" t="b">
        <f>NAV!B446</f>
        <v>1</v>
      </c>
      <c r="G21" s="341" t="b">
        <f>NAV!B450</f>
        <v>1</v>
      </c>
    </row>
    <row r="22" spans="1:7" ht="14.25" thickBot="1">
      <c r="A22" s="685" t="s">
        <v>775</v>
      </c>
      <c r="B22" s="835"/>
      <c r="C22" s="339" t="str">
        <f>NAV!B465</f>
        <v>SPC없음</v>
      </c>
      <c r="D22" s="341" t="b">
        <f>NAV!B474</f>
        <v>1</v>
      </c>
      <c r="E22" s="341" t="b">
        <f>NAV!B475</f>
        <v>1</v>
      </c>
      <c r="F22" s="341" t="b">
        <f>NAV!B484</f>
        <v>1</v>
      </c>
      <c r="G22" s="341" t="b">
        <f>NAV!B488</f>
        <v>1</v>
      </c>
    </row>
    <row r="23" spans="1:7" ht="14.25" thickBot="1">
      <c r="A23" s="685" t="s">
        <v>776</v>
      </c>
      <c r="B23" s="835"/>
      <c r="C23" s="339" t="str">
        <f>NAV!B503</f>
        <v>SPC없음</v>
      </c>
      <c r="D23" s="341" t="b">
        <f>NAV!B512</f>
        <v>1</v>
      </c>
      <c r="E23" s="341" t="b">
        <f>NAV!B513</f>
        <v>1</v>
      </c>
      <c r="F23" s="341" t="b">
        <f>NAV!B522</f>
        <v>1</v>
      </c>
      <c r="G23" s="341" t="b">
        <f>NAV!B526</f>
        <v>1</v>
      </c>
    </row>
    <row r="24" spans="1:7" ht="14.25" thickBot="1">
      <c r="A24" s="685" t="s">
        <v>777</v>
      </c>
      <c r="B24" s="835"/>
      <c r="C24" s="339" t="str">
        <f>NAV!B541</f>
        <v>SPC없음</v>
      </c>
      <c r="D24" s="341" t="b">
        <f>NAV!B550</f>
        <v>1</v>
      </c>
      <c r="E24" s="341" t="b">
        <f>NAV!B551</f>
        <v>1</v>
      </c>
      <c r="F24" s="341" t="b">
        <f>NAV!B560</f>
        <v>1</v>
      </c>
      <c r="G24" s="341" t="b">
        <f>NAV!B564</f>
        <v>1</v>
      </c>
    </row>
    <row r="25" spans="1:7" ht="14.25" thickBot="1">
      <c r="A25" s="685" t="s">
        <v>778</v>
      </c>
      <c r="B25" s="835"/>
      <c r="C25" s="339" t="str">
        <f>NAV!B579</f>
        <v>SPC없음</v>
      </c>
      <c r="D25" s="341" t="b">
        <f>NAV!B588</f>
        <v>1</v>
      </c>
      <c r="E25" s="341" t="b">
        <f>NAV!B589</f>
        <v>1</v>
      </c>
      <c r="F25" s="341" t="b">
        <f>NAV!B598</f>
        <v>1</v>
      </c>
      <c r="G25" s="341" t="b">
        <f>NAV!B602</f>
        <v>1</v>
      </c>
    </row>
    <row r="26" spans="1:7" ht="14.25" thickBot="1">
      <c r="A26" s="685" t="s">
        <v>779</v>
      </c>
      <c r="B26" s="835"/>
      <c r="C26" s="339" t="str">
        <f>NAV!B617</f>
        <v>SPC없음</v>
      </c>
      <c r="D26" s="341" t="b">
        <f>NAV!B626</f>
        <v>1</v>
      </c>
      <c r="E26" s="341" t="b">
        <f>NAV!B627</f>
        <v>1</v>
      </c>
      <c r="F26" s="341" t="b">
        <f>NAV!B636</f>
        <v>1</v>
      </c>
      <c r="G26" s="341" t="b">
        <f>NAV!B640</f>
        <v>1</v>
      </c>
    </row>
    <row r="27" spans="1:7" ht="14.25" thickBot="1">
      <c r="A27" s="685" t="s">
        <v>780</v>
      </c>
      <c r="B27" s="835"/>
      <c r="C27" s="339" t="str">
        <f>NAV!B655</f>
        <v>SPC없음</v>
      </c>
      <c r="D27" s="341" t="b">
        <f>NAV!B664</f>
        <v>1</v>
      </c>
      <c r="E27" s="341" t="b">
        <f>NAV!B665</f>
        <v>1</v>
      </c>
      <c r="F27" s="341" t="b">
        <f>NAV!B674</f>
        <v>1</v>
      </c>
      <c r="G27" s="341" t="b">
        <f>NAV!B678</f>
        <v>1</v>
      </c>
    </row>
    <row r="28" spans="1:7" ht="14.25" thickBot="1">
      <c r="A28" s="685" t="s">
        <v>781</v>
      </c>
      <c r="B28" s="835"/>
      <c r="C28" s="339" t="str">
        <f>NAV!B693</f>
        <v>SPC없음</v>
      </c>
      <c r="D28" s="341" t="b">
        <f>NAV!B702</f>
        <v>1</v>
      </c>
      <c r="E28" s="341" t="b">
        <f>NAV!B703</f>
        <v>1</v>
      </c>
      <c r="F28" s="341" t="b">
        <f>NAV!B712</f>
        <v>1</v>
      </c>
      <c r="G28" s="341" t="b">
        <f>NAV!B716</f>
        <v>1</v>
      </c>
    </row>
    <row r="29" spans="1:7" ht="14.25" thickBot="1">
      <c r="A29" s="685" t="s">
        <v>782</v>
      </c>
      <c r="B29" s="835"/>
      <c r="C29" s="339" t="str">
        <f>NAV!B731</f>
        <v>SPC없음</v>
      </c>
      <c r="D29" s="341" t="b">
        <f>NAV!B740</f>
        <v>1</v>
      </c>
      <c r="E29" s="341" t="b">
        <f>NAV!B741</f>
        <v>1</v>
      </c>
      <c r="F29" s="341" t="b">
        <f>NAV!B750</f>
        <v>1</v>
      </c>
      <c r="G29" s="341" t="b">
        <f>NAV!B754</f>
        <v>1</v>
      </c>
    </row>
    <row r="30" spans="1:7" ht="14.25" thickBot="1">
      <c r="A30" s="685" t="s">
        <v>783</v>
      </c>
      <c r="B30" s="835"/>
      <c r="C30" s="339" t="str">
        <f>NAV!B769</f>
        <v>SPC없음</v>
      </c>
      <c r="D30" s="341" t="b">
        <f>NAV!B778</f>
        <v>1</v>
      </c>
      <c r="E30" s="341" t="b">
        <f>NAV!B779</f>
        <v>1</v>
      </c>
      <c r="F30" s="341" t="b">
        <f>NAV!B788</f>
        <v>1</v>
      </c>
      <c r="G30" s="341" t="b">
        <f>NAV!B792</f>
        <v>1</v>
      </c>
    </row>
    <row r="31" spans="1:7" ht="14.25" thickBot="1">
      <c r="A31" s="685" t="s">
        <v>784</v>
      </c>
      <c r="B31" s="835"/>
      <c r="C31" s="339" t="str">
        <f>NAV!B807</f>
        <v>SPC없음</v>
      </c>
      <c r="D31" s="341" t="b">
        <f>NAV!B816</f>
        <v>1</v>
      </c>
      <c r="E31" s="341" t="b">
        <f>NAV!B817</f>
        <v>1</v>
      </c>
      <c r="F31" s="341" t="b">
        <f>NAV!B826</f>
        <v>1</v>
      </c>
      <c r="G31" s="341" t="b">
        <f>NAV!B830</f>
        <v>1</v>
      </c>
    </row>
    <row r="32" spans="1:7" ht="14.25" thickBot="1">
      <c r="A32" s="685" t="s">
        <v>785</v>
      </c>
      <c r="B32" s="835"/>
      <c r="C32" s="339" t="str">
        <f>NAV!B845</f>
        <v>SPC없음</v>
      </c>
      <c r="D32" s="341" t="b">
        <f>NAV!B854</f>
        <v>1</v>
      </c>
      <c r="E32" s="341" t="b">
        <f>NAV!B855</f>
        <v>1</v>
      </c>
      <c r="F32" s="341" t="b">
        <f>NAV!B864</f>
        <v>1</v>
      </c>
      <c r="G32" s="341" t="b">
        <f>NAV!B868</f>
        <v>1</v>
      </c>
    </row>
    <row r="33" spans="1:7" ht="14.25" thickBot="1">
      <c r="A33" s="685" t="s">
        <v>786</v>
      </c>
      <c r="B33" s="835"/>
      <c r="C33" s="339" t="str">
        <f>NAV!B883</f>
        <v>SPC없음</v>
      </c>
      <c r="D33" s="341" t="b">
        <f>NAV!B892</f>
        <v>1</v>
      </c>
      <c r="E33" s="341" t="b">
        <f>NAV!B893</f>
        <v>1</v>
      </c>
      <c r="F33" s="341" t="b">
        <f>NAV!B902</f>
        <v>1</v>
      </c>
      <c r="G33" s="341" t="b">
        <f>NAV!B906</f>
        <v>1</v>
      </c>
    </row>
    <row r="34" spans="1:7" ht="14.25" thickBot="1">
      <c r="A34" s="685" t="s">
        <v>787</v>
      </c>
      <c r="B34" s="835"/>
      <c r="C34" s="339" t="str">
        <f>NAV!B921</f>
        <v>SPC없음</v>
      </c>
      <c r="D34" s="341" t="b">
        <f>NAV!B930</f>
        <v>1</v>
      </c>
      <c r="E34" s="341" t="b">
        <f>NAV!B931</f>
        <v>1</v>
      </c>
      <c r="F34" s="341" t="b">
        <f>NAV!B940</f>
        <v>1</v>
      </c>
      <c r="G34" s="341" t="b">
        <f>NAV!B944</f>
        <v>1</v>
      </c>
    </row>
    <row r="35" spans="1:7" ht="14.25" thickBot="1">
      <c r="A35" s="685" t="s">
        <v>788</v>
      </c>
      <c r="B35" s="835"/>
      <c r="C35" s="339" t="str">
        <f>NAV!B959</f>
        <v>SPC없음</v>
      </c>
      <c r="D35" s="341" t="b">
        <f>NAV!B968</f>
        <v>1</v>
      </c>
      <c r="E35" s="341" t="b">
        <f>NAV!B969</f>
        <v>1</v>
      </c>
      <c r="F35" s="341" t="b">
        <f>NAV!B978</f>
        <v>1</v>
      </c>
      <c r="G35" s="341" t="b">
        <f>NAV!B982</f>
        <v>1</v>
      </c>
    </row>
    <row r="36" spans="1:7" ht="14.25" thickBot="1">
      <c r="A36" s="685" t="s">
        <v>789</v>
      </c>
      <c r="B36" s="835"/>
      <c r="C36" s="339" t="str">
        <f>NAV!B997</f>
        <v>SPC없음</v>
      </c>
      <c r="D36" s="341" t="b">
        <f>NAV!B1006</f>
        <v>1</v>
      </c>
      <c r="E36" s="341" t="b">
        <f>NAV!B1007</f>
        <v>1</v>
      </c>
      <c r="F36" s="341" t="b">
        <f>NAV!B1016</f>
        <v>1</v>
      </c>
      <c r="G36" s="341" t="b">
        <f>NAV!B1020</f>
        <v>1</v>
      </c>
    </row>
    <row r="37" spans="1:7" ht="14.25" thickBot="1">
      <c r="A37" s="685" t="s">
        <v>790</v>
      </c>
      <c r="B37" s="835"/>
      <c r="C37" s="339" t="str">
        <f>NAV!B1035</f>
        <v>SPC없음</v>
      </c>
      <c r="D37" s="341" t="b">
        <f>NAV!B1044</f>
        <v>1</v>
      </c>
      <c r="E37" s="341" t="b">
        <f>NAV!B1045</f>
        <v>1</v>
      </c>
      <c r="F37" s="341" t="b">
        <f>NAV!B1054</f>
        <v>1</v>
      </c>
      <c r="G37" s="341" t="b">
        <f>NAV!B1058</f>
        <v>1</v>
      </c>
    </row>
    <row r="38" spans="1:7" ht="14.25" thickBot="1">
      <c r="A38" s="685" t="s">
        <v>791</v>
      </c>
      <c r="B38" s="835"/>
      <c r="C38" s="339" t="str">
        <f>NAV!B1073</f>
        <v>SPC없음</v>
      </c>
      <c r="D38" s="341" t="b">
        <f>NAV!B1082</f>
        <v>1</v>
      </c>
      <c r="E38" s="341" t="b">
        <f>NAV!B1083</f>
        <v>1</v>
      </c>
      <c r="F38" s="341" t="b">
        <f>NAV!B1083</f>
        <v>1</v>
      </c>
      <c r="G38" s="341" t="b">
        <f>NAV!B1083</f>
        <v>1</v>
      </c>
    </row>
    <row r="39" spans="1:7" ht="14.25" thickBot="1">
      <c r="A39" s="685" t="s">
        <v>792</v>
      </c>
      <c r="B39" s="835"/>
      <c r="C39" s="339" t="str">
        <f>NAV!B1111</f>
        <v>SPC없음</v>
      </c>
      <c r="D39" s="341" t="b">
        <f>NAV!B1120</f>
        <v>1</v>
      </c>
      <c r="E39" s="341" t="b">
        <f>NAV!B1121</f>
        <v>1</v>
      </c>
      <c r="F39" s="341" t="b">
        <f>NAV!B1130</f>
        <v>1</v>
      </c>
      <c r="G39" s="341" t="b">
        <f>NAV!B1134</f>
        <v>1</v>
      </c>
    </row>
    <row r="40" spans="1:7" ht="14.25" thickBot="1">
      <c r="A40" s="685" t="s">
        <v>793</v>
      </c>
      <c r="B40" s="835"/>
      <c r="C40" s="339" t="str">
        <f>NAV!B1149</f>
        <v>SPC없음</v>
      </c>
      <c r="D40" s="341" t="b">
        <f>NAV!B1158</f>
        <v>1</v>
      </c>
      <c r="E40" s="341" t="b">
        <f>NAV!B1159</f>
        <v>1</v>
      </c>
      <c r="F40" s="341" t="b">
        <f>NAV!B1168</f>
        <v>1</v>
      </c>
      <c r="G40" s="341" t="b">
        <f>NAV!B1172</f>
        <v>1</v>
      </c>
    </row>
    <row r="41" spans="1:7" ht="14.25" thickBot="1">
      <c r="A41" s="685" t="s">
        <v>794</v>
      </c>
      <c r="B41" s="835"/>
      <c r="C41" s="339" t="str">
        <f>NAV!B1187</f>
        <v>SPC없음</v>
      </c>
      <c r="D41" s="341" t="b">
        <f>NAV!B1196</f>
        <v>1</v>
      </c>
      <c r="E41" s="341" t="b">
        <f>NAV!B1197</f>
        <v>1</v>
      </c>
      <c r="F41" s="341" t="b">
        <f>NAV!B1206</f>
        <v>1</v>
      </c>
      <c r="G41" s="341" t="b">
        <f>NAV!B1210</f>
        <v>1</v>
      </c>
    </row>
    <row r="42" spans="1:7" ht="14.25" thickBot="1">
      <c r="A42" s="685" t="s">
        <v>795</v>
      </c>
      <c r="B42" s="835"/>
      <c r="C42" s="339" t="str">
        <f>NAV!B1225</f>
        <v>SPC없음</v>
      </c>
      <c r="D42" s="341" t="b">
        <f>NAV!B1234</f>
        <v>1</v>
      </c>
      <c r="E42" s="341" t="b">
        <f>NAV!B1235</f>
        <v>1</v>
      </c>
      <c r="F42" s="341" t="b">
        <f>NAV!B1244</f>
        <v>1</v>
      </c>
      <c r="G42" s="341" t="b">
        <f>NAV!B1248</f>
        <v>1</v>
      </c>
    </row>
    <row r="43" spans="1:7" ht="14.25" thickBot="1">
      <c r="A43" s="685" t="s">
        <v>796</v>
      </c>
      <c r="B43" s="836"/>
      <c r="C43" s="339" t="str">
        <f>NAV!B1263</f>
        <v>SPC없음</v>
      </c>
      <c r="D43" s="341" t="b">
        <f>NAV!B1272</f>
        <v>1</v>
      </c>
      <c r="E43" s="341" t="b">
        <f>NAV!B1273</f>
        <v>1</v>
      </c>
      <c r="F43" s="341" t="b">
        <f>NAV!B1282</f>
        <v>1</v>
      </c>
      <c r="G43" s="341" t="b">
        <f>NAV!B1286</f>
        <v>1</v>
      </c>
    </row>
  </sheetData>
  <mergeCells count="6">
    <mergeCell ref="B15:B43"/>
    <mergeCell ref="B13:C13"/>
    <mergeCell ref="B5:C5"/>
    <mergeCell ref="B6:C6"/>
    <mergeCell ref="B9:C9"/>
    <mergeCell ref="B10:C10"/>
  </mergeCells>
  <phoneticPr fontId="7" type="noConversion"/>
  <conditionalFormatting sqref="D14:G43">
    <cfRule type="containsText" dxfId="10" priority="9" operator="containsText" text="FALSE">
      <formula>NOT(ISERROR(SEARCH("FALSE",D14)))</formula>
    </cfRule>
  </conditionalFormatting>
  <conditionalFormatting sqref="D6:E6">
    <cfRule type="containsText" dxfId="9" priority="8" operator="containsText" text="FALSE">
      <formula>NOT(ISERROR(SEARCH("FALSE",D6)))</formula>
    </cfRule>
  </conditionalFormatting>
  <conditionalFormatting sqref="D10">
    <cfRule type="containsText" dxfId="8" priority="7" operator="containsText" text="FALSE">
      <formula>NOT(ISERROR(SEARCH("FALSE",D10)))</formula>
    </cfRule>
  </conditionalFormatting>
  <conditionalFormatting sqref="E10">
    <cfRule type="containsText" dxfId="7" priority="5" operator="containsText" text="특이사항 확인">
      <formula>NOT(ISERROR(SEARCH("특이사항 확인",E10)))</formula>
    </cfRule>
    <cfRule type="containsText" dxfId="6" priority="6" operator="containsText" text="FALSE">
      <formula>NOT(ISERROR(SEARCH("FALSE",E10)))</formula>
    </cfRule>
  </conditionalFormatting>
  <conditionalFormatting sqref="F10">
    <cfRule type="containsText" dxfId="5" priority="3" operator="containsText" text="특이사항 확인">
      <formula>NOT(ISERROR(SEARCH("특이사항 확인",F10)))</formula>
    </cfRule>
    <cfRule type="containsText" dxfId="4" priority="4" operator="containsText" text="FALSE">
      <formula>NOT(ISERROR(SEARCH("FALSE",F10)))</formula>
    </cfRule>
  </conditionalFormatting>
  <conditionalFormatting sqref="F6">
    <cfRule type="containsText" dxfId="3" priority="1" operator="containsText" text="특이사항 확인">
      <formula>NOT(ISERROR(SEARCH("특이사항 확인",F6)))</formula>
    </cfRule>
    <cfRule type="containsText" dxfId="2" priority="2" operator="containsText" text="FALSE">
      <formula>NOT(ISERROR(SEARCH("FALSE",F6)))</formula>
    </cfRule>
  </conditionalFormatting>
  <pageMargins left="0.7" right="0.7" top="0.75" bottom="0.75" header="0.3" footer="0.3"/>
  <pageSetup paperSize="9" orientation="portrait" r:id="rId1"/>
  <ignoredErrors>
    <ignoredError sqref="A15:A43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 tint="4.9989318521683403E-2"/>
  </sheetPr>
  <dimension ref="A1"/>
  <sheetViews>
    <sheetView showGridLines="0" zoomScale="70" zoomScaleNormal="70" workbookViewId="0"/>
  </sheetViews>
  <sheetFormatPr defaultRowHeight="13.5"/>
  <cols>
    <col min="1" max="16384" width="8.88671875" style="225"/>
  </cols>
  <sheetData/>
  <phoneticPr fontId="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4" tint="0.59999389629810485"/>
  </sheetPr>
  <dimension ref="B2:K14"/>
  <sheetViews>
    <sheetView showGridLines="0" topLeftCell="B1" zoomScaleNormal="100" workbookViewId="0">
      <selection activeCell="K14" sqref="K14"/>
    </sheetView>
  </sheetViews>
  <sheetFormatPr defaultRowHeight="13.5"/>
  <cols>
    <col min="1" max="1" width="2.33203125" style="16" customWidth="1"/>
    <col min="2" max="16384" width="8.88671875" style="16"/>
  </cols>
  <sheetData>
    <row r="2" spans="2:11" ht="26.25">
      <c r="B2" s="17" t="s">
        <v>3507</v>
      </c>
    </row>
    <row r="6" spans="2:11" ht="12.75" customHeight="1">
      <c r="B6" s="759">
        <v>43830</v>
      </c>
    </row>
    <row r="8" spans="2:11">
      <c r="C8" s="16" t="s">
        <v>7189</v>
      </c>
      <c r="D8" s="16">
        <f>YEAR(D9)</f>
        <v>2020</v>
      </c>
      <c r="E8" s="16">
        <f t="shared" ref="E8:K8" si="0">YEAR(E9)</f>
        <v>2021</v>
      </c>
      <c r="F8" s="16">
        <f t="shared" si="0"/>
        <v>2022</v>
      </c>
      <c r="G8" s="16">
        <f t="shared" si="0"/>
        <v>2023</v>
      </c>
      <c r="H8" s="16">
        <f t="shared" si="0"/>
        <v>2024</v>
      </c>
      <c r="I8" s="16">
        <f t="shared" si="0"/>
        <v>2025</v>
      </c>
      <c r="J8" s="16">
        <f t="shared" si="0"/>
        <v>2026</v>
      </c>
      <c r="K8" s="16">
        <f t="shared" si="0"/>
        <v>2027</v>
      </c>
    </row>
    <row r="9" spans="2:11">
      <c r="C9" s="16" t="s">
        <v>7188</v>
      </c>
      <c r="D9" s="759">
        <v>44196</v>
      </c>
      <c r="E9" s="759">
        <v>44561</v>
      </c>
      <c r="F9" s="759">
        <v>44926</v>
      </c>
      <c r="G9" s="759">
        <f>EOMONTH(F9,12)</f>
        <v>45291</v>
      </c>
      <c r="H9" s="759">
        <f t="shared" ref="H9:K9" si="1">EOMONTH(G9,12)</f>
        <v>45657</v>
      </c>
      <c r="I9" s="759">
        <f t="shared" si="1"/>
        <v>46022</v>
      </c>
      <c r="J9" s="759">
        <f t="shared" si="1"/>
        <v>46387</v>
      </c>
      <c r="K9" s="759">
        <f t="shared" si="1"/>
        <v>46752</v>
      </c>
    </row>
    <row r="10" spans="2:11">
      <c r="C10" s="16" t="s">
        <v>7186</v>
      </c>
      <c r="D10" s="16">
        <f>MONTH(D9)</f>
        <v>12</v>
      </c>
      <c r="E10" s="16">
        <f>MONTH(E9)</f>
        <v>12</v>
      </c>
      <c r="F10" s="16">
        <f t="shared" ref="F10:K10" si="2">MONTH(F9)</f>
        <v>12</v>
      </c>
      <c r="G10" s="16">
        <f t="shared" si="2"/>
        <v>12</v>
      </c>
      <c r="H10" s="16">
        <f t="shared" si="2"/>
        <v>12</v>
      </c>
      <c r="I10" s="16">
        <f t="shared" si="2"/>
        <v>12</v>
      </c>
      <c r="J10" s="16">
        <f t="shared" si="2"/>
        <v>12</v>
      </c>
      <c r="K10" s="16">
        <f t="shared" si="2"/>
        <v>12</v>
      </c>
    </row>
    <row r="11" spans="2:11">
      <c r="C11" s="16" t="s">
        <v>7187</v>
      </c>
      <c r="E11" s="16">
        <f>_xlfn.DAYS(E9,D9)</f>
        <v>365</v>
      </c>
      <c r="F11" s="16">
        <f t="shared" ref="F11:K11" si="3">_xlfn.DAYS(F9,E9)</f>
        <v>365</v>
      </c>
      <c r="G11" s="16">
        <f t="shared" si="3"/>
        <v>365</v>
      </c>
      <c r="H11" s="16">
        <f t="shared" si="3"/>
        <v>366</v>
      </c>
      <c r="I11" s="16">
        <f t="shared" si="3"/>
        <v>365</v>
      </c>
      <c r="J11" s="16">
        <f t="shared" si="3"/>
        <v>365</v>
      </c>
      <c r="K11" s="16">
        <f t="shared" si="3"/>
        <v>365</v>
      </c>
    </row>
    <row r="13" spans="2:11">
      <c r="C13" s="16" t="s">
        <v>7190</v>
      </c>
      <c r="D13" s="16">
        <v>404</v>
      </c>
      <c r="E13" s="16">
        <v>713</v>
      </c>
      <c r="F13" s="16">
        <v>1614</v>
      </c>
      <c r="G13" s="16">
        <v>1425</v>
      </c>
      <c r="H13" s="16">
        <v>2035</v>
      </c>
      <c r="I13" s="16">
        <v>2597</v>
      </c>
      <c r="J13" s="16">
        <v>3481</v>
      </c>
      <c r="K13" s="16">
        <v>5192</v>
      </c>
    </row>
    <row r="14" spans="2:11">
      <c r="C14" s="16" t="s">
        <v>7191</v>
      </c>
      <c r="K14" s="760">
        <f>RATE(K8-G8,0,-G13,K13)</f>
        <v>0.38159246141682712</v>
      </c>
    </row>
  </sheetData>
  <phoneticPr fontId="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C2:BI120"/>
  <sheetViews>
    <sheetView showGridLines="0" zoomScale="85" zoomScaleNormal="85" workbookViewId="0">
      <selection activeCell="F29" sqref="F29"/>
    </sheetView>
  </sheetViews>
  <sheetFormatPr defaultColWidth="8.88671875" defaultRowHeight="13.5"/>
  <cols>
    <col min="1" max="2" width="2.77734375" style="225" customWidth="1"/>
    <col min="3" max="3" width="5.109375" style="225" hidden="1" customWidth="1"/>
    <col min="4" max="4" width="15.77734375" style="225" customWidth="1"/>
    <col min="5" max="5" width="19.77734375" style="225" bestFit="1" customWidth="1"/>
    <col min="6" max="7" width="19.77734375" style="225" customWidth="1"/>
    <col min="8" max="8" width="8.6640625" style="225" customWidth="1"/>
    <col min="9" max="9" width="7.21875" style="225" hidden="1" customWidth="1"/>
    <col min="10" max="10" width="14.77734375" style="225" customWidth="1"/>
    <col min="11" max="13" width="19.77734375" style="225" customWidth="1"/>
    <col min="14" max="14" width="8.6640625" style="225" customWidth="1"/>
    <col min="15" max="15" width="8.77734375" style="225" hidden="1" customWidth="1"/>
    <col min="16" max="16" width="14.77734375" style="225" customWidth="1"/>
    <col min="17" max="19" width="19.77734375" style="225" customWidth="1"/>
    <col min="20" max="20" width="8.6640625" style="225" customWidth="1"/>
    <col min="21" max="21" width="13.21875" style="225" hidden="1" customWidth="1"/>
    <col min="22" max="22" width="14.77734375" style="225" customWidth="1"/>
    <col min="23" max="25" width="19.77734375" style="225" customWidth="1"/>
    <col min="26" max="26" width="8.6640625" style="225" customWidth="1"/>
    <col min="27" max="27" width="8.77734375" style="225" hidden="1" customWidth="1"/>
    <col min="28" max="28" width="14.77734375" style="225" customWidth="1"/>
    <col min="29" max="31" width="19.77734375" style="225" customWidth="1"/>
    <col min="32" max="32" width="8.6640625" style="225" customWidth="1"/>
    <col min="33" max="33" width="8.77734375" style="225" hidden="1" customWidth="1"/>
    <col min="34" max="34" width="14.77734375" style="225" customWidth="1"/>
    <col min="35" max="37" width="19.77734375" style="225" customWidth="1"/>
    <col min="38" max="38" width="8.6640625" style="225" customWidth="1"/>
    <col min="39" max="39" width="8.77734375" style="225" hidden="1" customWidth="1"/>
    <col min="40" max="40" width="14.77734375" style="225" customWidth="1"/>
    <col min="41" max="43" width="19.77734375" style="225" customWidth="1"/>
    <col min="44" max="44" width="8.6640625" style="225" customWidth="1"/>
    <col min="45" max="45" width="8.77734375" style="225" hidden="1" customWidth="1"/>
    <col min="46" max="46" width="14.77734375" style="225" customWidth="1"/>
    <col min="47" max="49" width="19.77734375" style="225" customWidth="1"/>
    <col min="50" max="50" width="8.6640625" style="225" customWidth="1"/>
    <col min="51" max="51" width="8.77734375" style="225" hidden="1" customWidth="1"/>
    <col min="52" max="52" width="14.77734375" style="225" customWidth="1"/>
    <col min="53" max="55" width="19.77734375" style="225" customWidth="1"/>
    <col min="56" max="56" width="8.6640625" style="225" customWidth="1"/>
    <col min="57" max="57" width="8.77734375" style="225" hidden="1" customWidth="1"/>
    <col min="58" max="58" width="14.77734375" style="225" customWidth="1"/>
    <col min="59" max="61" width="19.77734375" style="225" customWidth="1"/>
    <col min="62" max="16384" width="8.88671875" style="225"/>
  </cols>
  <sheetData>
    <row r="2" spans="3:61">
      <c r="D2" s="314" t="s">
        <v>278</v>
      </c>
      <c r="E2" s="315"/>
      <c r="F2" s="316"/>
      <c r="G2" s="316"/>
      <c r="J2" s="314" t="s">
        <v>279</v>
      </c>
      <c r="K2" s="315"/>
      <c r="L2" s="316"/>
      <c r="M2" s="316"/>
      <c r="O2" s="316"/>
      <c r="P2" s="314" t="s">
        <v>279</v>
      </c>
      <c r="Q2" s="316"/>
      <c r="R2" s="316"/>
      <c r="S2" s="316"/>
      <c r="U2" s="316"/>
      <c r="V2" s="314" t="s">
        <v>279</v>
      </c>
      <c r="W2" s="316"/>
      <c r="X2" s="316"/>
      <c r="Y2" s="316"/>
      <c r="AA2" s="316"/>
      <c r="AB2" s="314" t="s">
        <v>279</v>
      </c>
      <c r="AC2" s="316"/>
      <c r="AD2" s="316"/>
      <c r="AE2" s="316"/>
      <c r="AG2" s="316"/>
      <c r="AH2" s="314" t="s">
        <v>279</v>
      </c>
      <c r="AI2" s="316"/>
      <c r="AJ2" s="316"/>
      <c r="AK2" s="316"/>
      <c r="AM2" s="316"/>
      <c r="AN2" s="314" t="s">
        <v>279</v>
      </c>
      <c r="AO2" s="316"/>
      <c r="AP2" s="316"/>
      <c r="AQ2" s="316"/>
      <c r="AS2" s="316"/>
      <c r="AT2" s="314" t="s">
        <v>279</v>
      </c>
      <c r="AU2" s="316"/>
      <c r="AV2" s="316"/>
      <c r="AW2" s="316"/>
      <c r="AY2" s="316"/>
      <c r="AZ2" s="314" t="s">
        <v>279</v>
      </c>
      <c r="BA2" s="316"/>
      <c r="BB2" s="316"/>
      <c r="BC2" s="316"/>
      <c r="BE2" s="316"/>
      <c r="BF2" s="314" t="s">
        <v>279</v>
      </c>
      <c r="BG2" s="316"/>
      <c r="BH2" s="316"/>
      <c r="BI2" s="316"/>
    </row>
    <row r="3" spans="3:61" ht="14.25" thickBot="1">
      <c r="D3" s="317"/>
      <c r="E3" s="317"/>
      <c r="F3" s="317"/>
      <c r="G3" s="317"/>
      <c r="J3" s="318" t="s">
        <v>326</v>
      </c>
      <c r="P3" s="318" t="s">
        <v>327</v>
      </c>
      <c r="V3" s="318" t="s">
        <v>727</v>
      </c>
      <c r="AB3" s="318" t="s">
        <v>728</v>
      </c>
      <c r="AH3" s="318" t="s">
        <v>729</v>
      </c>
      <c r="AN3" s="318" t="s">
        <v>730</v>
      </c>
      <c r="AT3" s="318" t="s">
        <v>731</v>
      </c>
      <c r="AZ3" s="318" t="s">
        <v>732</v>
      </c>
      <c r="BF3" s="318" t="s">
        <v>733</v>
      </c>
    </row>
    <row r="4" spans="3:61">
      <c r="D4" s="319">
        <f>개요!$B$6</f>
        <v>0</v>
      </c>
      <c r="E4" s="319"/>
      <c r="F4" s="5"/>
      <c r="G4" s="320"/>
      <c r="J4" s="319">
        <f>개요!$B$61</f>
        <v>0</v>
      </c>
      <c r="K4" s="319"/>
      <c r="L4" s="5"/>
      <c r="M4" s="320"/>
      <c r="P4" s="319">
        <f>개요!$B$73</f>
        <v>0</v>
      </c>
      <c r="Q4" s="319"/>
      <c r="R4" s="5"/>
      <c r="S4" s="320"/>
      <c r="V4" s="319">
        <f>개요!B85</f>
        <v>0</v>
      </c>
      <c r="W4" s="319"/>
      <c r="X4" s="5"/>
      <c r="Y4" s="320"/>
      <c r="AB4" s="319">
        <f>개요!$B$97</f>
        <v>0</v>
      </c>
      <c r="AC4" s="319"/>
      <c r="AD4" s="5"/>
      <c r="AE4" s="320"/>
      <c r="AH4" s="319">
        <f>개요!B109</f>
        <v>0</v>
      </c>
      <c r="AI4" s="319"/>
      <c r="AJ4" s="5"/>
      <c r="AK4" s="320"/>
      <c r="AN4" s="319">
        <f>개요!B121</f>
        <v>0</v>
      </c>
      <c r="AO4" s="319"/>
      <c r="AP4" s="5"/>
      <c r="AQ4" s="320"/>
      <c r="AT4" s="319">
        <f>개요!B133</f>
        <v>0</v>
      </c>
      <c r="AU4" s="319"/>
      <c r="AV4" s="5"/>
      <c r="AW4" s="320"/>
      <c r="AZ4" s="319">
        <f>개요!B145</f>
        <v>0</v>
      </c>
      <c r="BA4" s="319"/>
      <c r="BB4" s="5"/>
      <c r="BC4" s="320"/>
      <c r="BF4" s="319">
        <f>개요!$B$157</f>
        <v>0</v>
      </c>
      <c r="BG4" s="319"/>
      <c r="BH4" s="5"/>
      <c r="BI4" s="320"/>
    </row>
    <row r="5" spans="3:61" ht="14.25" thickBot="1">
      <c r="D5" s="321" t="str">
        <f>개요!$C$7</f>
        <v>포스코KAICI신기술사업투자조합제1호</v>
      </c>
      <c r="E5" s="321"/>
      <c r="F5" s="2"/>
      <c r="G5" s="322"/>
      <c r="J5" s="321">
        <f>개요!$C$62</f>
        <v>0</v>
      </c>
      <c r="K5" s="321"/>
      <c r="L5" s="2"/>
      <c r="M5" s="322"/>
      <c r="P5" s="321">
        <f>개요!$C$74</f>
        <v>0</v>
      </c>
      <c r="Q5" s="321"/>
      <c r="R5" s="2"/>
      <c r="S5" s="322"/>
      <c r="V5" s="321">
        <f>개요!$C$86</f>
        <v>0</v>
      </c>
      <c r="W5" s="321"/>
      <c r="X5" s="2"/>
      <c r="Y5" s="322"/>
      <c r="AB5" s="321">
        <f>개요!$C$98</f>
        <v>0</v>
      </c>
      <c r="AC5" s="321"/>
      <c r="AD5" s="2"/>
      <c r="AE5" s="322"/>
      <c r="AH5" s="321">
        <f>개요!$C$110</f>
        <v>0</v>
      </c>
      <c r="AI5" s="321"/>
      <c r="AJ5" s="2"/>
      <c r="AK5" s="322"/>
      <c r="AN5" s="321">
        <f>개요!$C$122</f>
        <v>0</v>
      </c>
      <c r="AO5" s="321"/>
      <c r="AP5" s="2"/>
      <c r="AQ5" s="322"/>
      <c r="AT5" s="321">
        <f>개요!$C$134</f>
        <v>0</v>
      </c>
      <c r="AU5" s="321"/>
      <c r="AV5" s="2"/>
      <c r="AW5" s="322"/>
      <c r="AZ5" s="321">
        <f>개요!$C$146</f>
        <v>0</v>
      </c>
      <c r="BA5" s="321"/>
      <c r="BB5" s="2"/>
      <c r="BC5" s="322"/>
      <c r="BF5" s="321">
        <f>개요!$C$158</f>
        <v>0</v>
      </c>
      <c r="BG5" s="321"/>
      <c r="BH5" s="2"/>
      <c r="BI5" s="322"/>
    </row>
    <row r="6" spans="3:61" ht="14.25" thickBot="1">
      <c r="D6" s="323"/>
      <c r="E6" s="324"/>
      <c r="F6" s="325"/>
      <c r="G6" s="325"/>
      <c r="J6" s="323"/>
      <c r="K6" s="324"/>
      <c r="L6" s="325"/>
      <c r="M6" s="325"/>
      <c r="P6" s="323"/>
      <c r="Q6" s="324"/>
      <c r="R6" s="325"/>
      <c r="S6" s="325"/>
      <c r="V6" s="323"/>
      <c r="W6" s="324"/>
      <c r="X6" s="325"/>
      <c r="Y6" s="325"/>
      <c r="AB6" s="323"/>
      <c r="AC6" s="324"/>
      <c r="AD6" s="325"/>
      <c r="AE6" s="325"/>
      <c r="AH6" s="323"/>
      <c r="AI6" s="324"/>
      <c r="AJ6" s="325"/>
      <c r="AK6" s="325"/>
      <c r="AN6" s="323"/>
      <c r="AO6" s="324"/>
      <c r="AP6" s="325"/>
      <c r="AQ6" s="325"/>
      <c r="AT6" s="323"/>
      <c r="AU6" s="324"/>
      <c r="AV6" s="325"/>
      <c r="AW6" s="325"/>
      <c r="AZ6" s="323"/>
      <c r="BA6" s="324"/>
      <c r="BB6" s="325"/>
      <c r="BC6" s="325"/>
      <c r="BF6" s="323"/>
      <c r="BG6" s="324"/>
      <c r="BH6" s="325"/>
      <c r="BI6" s="325"/>
    </row>
    <row r="7" spans="3:61" ht="14.25" customHeight="1" thickBot="1">
      <c r="C7" s="845" t="s">
        <v>78</v>
      </c>
      <c r="D7" s="843" t="s">
        <v>7192</v>
      </c>
      <c r="E7" s="841" t="s">
        <v>7193</v>
      </c>
      <c r="F7" s="763" t="s">
        <v>7218</v>
      </c>
      <c r="G7" s="763" t="s">
        <v>7216</v>
      </c>
      <c r="I7" s="845" t="s">
        <v>78</v>
      </c>
      <c r="J7" s="847" t="s">
        <v>77</v>
      </c>
      <c r="K7" s="847" t="s">
        <v>76</v>
      </c>
      <c r="L7" s="326"/>
      <c r="M7" s="326"/>
      <c r="O7" s="845" t="s">
        <v>78</v>
      </c>
      <c r="P7" s="847" t="s">
        <v>77</v>
      </c>
      <c r="Q7" s="847" t="s">
        <v>76</v>
      </c>
      <c r="R7" s="326"/>
      <c r="S7" s="326"/>
      <c r="U7" s="845" t="s">
        <v>78</v>
      </c>
      <c r="V7" s="847" t="s">
        <v>734</v>
      </c>
      <c r="W7" s="847" t="s">
        <v>76</v>
      </c>
      <c r="X7" s="326"/>
      <c r="Y7" s="326"/>
      <c r="AA7" s="845" t="s">
        <v>78</v>
      </c>
      <c r="AB7" s="847" t="s">
        <v>77</v>
      </c>
      <c r="AC7" s="847" t="s">
        <v>76</v>
      </c>
      <c r="AD7" s="326"/>
      <c r="AE7" s="326"/>
      <c r="AG7" s="845" t="s">
        <v>78</v>
      </c>
      <c r="AH7" s="847" t="s">
        <v>77</v>
      </c>
      <c r="AI7" s="847" t="s">
        <v>76</v>
      </c>
      <c r="AJ7" s="326"/>
      <c r="AK7" s="326"/>
      <c r="AM7" s="845" t="s">
        <v>78</v>
      </c>
      <c r="AN7" s="847" t="s">
        <v>77</v>
      </c>
      <c r="AO7" s="847" t="s">
        <v>76</v>
      </c>
      <c r="AP7" s="326"/>
      <c r="AQ7" s="326"/>
      <c r="AS7" s="845" t="s">
        <v>78</v>
      </c>
      <c r="AT7" s="847" t="s">
        <v>734</v>
      </c>
      <c r="AU7" s="847" t="s">
        <v>76</v>
      </c>
      <c r="AV7" s="326"/>
      <c r="AW7" s="326"/>
      <c r="AY7" s="845" t="s">
        <v>78</v>
      </c>
      <c r="AZ7" s="847" t="s">
        <v>77</v>
      </c>
      <c r="BA7" s="847" t="s">
        <v>76</v>
      </c>
      <c r="BB7" s="326"/>
      <c r="BC7" s="326"/>
      <c r="BE7" s="845" t="s">
        <v>78</v>
      </c>
      <c r="BF7" s="847" t="s">
        <v>77</v>
      </c>
      <c r="BG7" s="847" t="s">
        <v>76</v>
      </c>
      <c r="BH7" s="326"/>
      <c r="BI7" s="326"/>
    </row>
    <row r="8" spans="3:61" ht="14.25" thickBot="1">
      <c r="C8" s="846"/>
      <c r="D8" s="844"/>
      <c r="E8" s="842"/>
      <c r="F8" s="764">
        <v>45473</v>
      </c>
      <c r="G8" s="764">
        <v>45382</v>
      </c>
      <c r="I8" s="846"/>
      <c r="J8" s="847"/>
      <c r="K8" s="847"/>
      <c r="L8" s="327"/>
      <c r="M8" s="327"/>
      <c r="O8" s="846"/>
      <c r="P8" s="847"/>
      <c r="Q8" s="847"/>
      <c r="R8" s="327"/>
      <c r="S8" s="327"/>
      <c r="U8" s="846"/>
      <c r="V8" s="847"/>
      <c r="W8" s="847"/>
      <c r="X8" s="327"/>
      <c r="Y8" s="327"/>
      <c r="AA8" s="846"/>
      <c r="AB8" s="847"/>
      <c r="AC8" s="847"/>
      <c r="AD8" s="327"/>
      <c r="AE8" s="327"/>
      <c r="AG8" s="846"/>
      <c r="AH8" s="847"/>
      <c r="AI8" s="847"/>
      <c r="AJ8" s="327"/>
      <c r="AK8" s="327"/>
      <c r="AM8" s="846"/>
      <c r="AN8" s="847"/>
      <c r="AO8" s="847"/>
      <c r="AP8" s="327"/>
      <c r="AQ8" s="327"/>
      <c r="AS8" s="846"/>
      <c r="AT8" s="847"/>
      <c r="AU8" s="847"/>
      <c r="AV8" s="327"/>
      <c r="AW8" s="327"/>
      <c r="AY8" s="846"/>
      <c r="AZ8" s="847"/>
      <c r="BA8" s="847"/>
      <c r="BB8" s="327"/>
      <c r="BC8" s="327"/>
      <c r="BE8" s="846"/>
      <c r="BF8" s="847"/>
      <c r="BG8" s="847"/>
      <c r="BH8" s="327"/>
      <c r="BI8" s="327"/>
    </row>
    <row r="9" spans="3:61" ht="14.25" customHeight="1" thickBot="1">
      <c r="C9" s="328" t="str">
        <f>개요!$C$9&amp;D9</f>
        <v>현금 및 현금성자산</v>
      </c>
      <c r="D9" s="329" t="s">
        <v>155</v>
      </c>
      <c r="E9" s="762" t="s">
        <v>155</v>
      </c>
      <c r="F9" s="761">
        <v>17314014</v>
      </c>
      <c r="G9" s="761">
        <v>19056361</v>
      </c>
      <c r="H9" s="332"/>
      <c r="I9" s="328" t="str">
        <f>개요!$B$61&amp;J9</f>
        <v/>
      </c>
      <c r="J9" s="329"/>
      <c r="K9" s="330"/>
      <c r="L9" s="331"/>
      <c r="M9" s="331"/>
      <c r="N9" s="332"/>
      <c r="O9" s="328" t="str">
        <f>개요!$B$73&amp;P9</f>
        <v/>
      </c>
      <c r="P9" s="329"/>
      <c r="Q9" s="330"/>
      <c r="R9" s="331"/>
      <c r="S9" s="331"/>
      <c r="T9" s="332"/>
      <c r="U9" s="328" t="str">
        <f>개요!$B$85&amp;V9</f>
        <v/>
      </c>
      <c r="V9" s="329"/>
      <c r="W9" s="330"/>
      <c r="X9" s="331"/>
      <c r="Y9" s="331"/>
      <c r="Z9" s="332"/>
      <c r="AA9" s="328" t="str">
        <f>개요!$B$97&amp;AB9</f>
        <v/>
      </c>
      <c r="AB9" s="329"/>
      <c r="AC9" s="330"/>
      <c r="AD9" s="331"/>
      <c r="AE9" s="331"/>
      <c r="AF9" s="332"/>
      <c r="AG9" s="328" t="str">
        <f>개요!$B$109&amp;AH9</f>
        <v/>
      </c>
      <c r="AH9" s="329"/>
      <c r="AI9" s="330"/>
      <c r="AJ9" s="331"/>
      <c r="AK9" s="331"/>
      <c r="AL9" s="332"/>
      <c r="AM9" s="328" t="str">
        <f>개요!$B$121&amp;AN9</f>
        <v/>
      </c>
      <c r="AN9" s="329"/>
      <c r="AO9" s="330"/>
      <c r="AP9" s="331"/>
      <c r="AQ9" s="331"/>
      <c r="AR9" s="332"/>
      <c r="AS9" s="328" t="str">
        <f>개요!$B$133&amp;AT9</f>
        <v/>
      </c>
      <c r="AT9" s="329"/>
      <c r="AU9" s="330"/>
      <c r="AV9" s="331"/>
      <c r="AW9" s="331"/>
      <c r="AX9" s="332"/>
      <c r="AY9" s="328" t="str">
        <f>개요!$B$145&amp;AZ9</f>
        <v/>
      </c>
      <c r="AZ9" s="329"/>
      <c r="BA9" s="330"/>
      <c r="BB9" s="331"/>
      <c r="BC9" s="331"/>
      <c r="BD9" s="332"/>
      <c r="BE9" s="328" t="str">
        <f>개요!$B$157&amp;BF9</f>
        <v/>
      </c>
      <c r="BF9" s="329"/>
      <c r="BG9" s="330"/>
      <c r="BH9" s="331"/>
      <c r="BI9" s="331"/>
    </row>
    <row r="10" spans="3:61" ht="14.25" customHeight="1" thickBot="1">
      <c r="C10" s="328" t="str">
        <f>개요!$C$9&amp;D10</f>
        <v>투자자산</v>
      </c>
      <c r="D10" s="329" t="s">
        <v>7194</v>
      </c>
      <c r="E10" s="762" t="s">
        <v>7195</v>
      </c>
      <c r="F10" s="761">
        <v>9999990000</v>
      </c>
      <c r="G10" s="761">
        <v>9999990000</v>
      </c>
      <c r="H10" s="332"/>
      <c r="I10" s="328" t="str">
        <f>개요!$B$61&amp;J10</f>
        <v/>
      </c>
      <c r="J10" s="329"/>
      <c r="K10" s="330"/>
      <c r="L10" s="331"/>
      <c r="M10" s="331"/>
      <c r="N10" s="332"/>
      <c r="O10" s="328" t="str">
        <f>개요!$B$73&amp;P10</f>
        <v/>
      </c>
      <c r="P10" s="329"/>
      <c r="Q10" s="330"/>
      <c r="R10" s="331"/>
      <c r="S10" s="331"/>
      <c r="T10" s="332"/>
      <c r="U10" s="328" t="str">
        <f>개요!$B$85&amp;V10</f>
        <v/>
      </c>
      <c r="V10" s="329"/>
      <c r="W10" s="330"/>
      <c r="X10" s="331"/>
      <c r="Y10" s="331"/>
      <c r="Z10" s="332"/>
      <c r="AA10" s="328" t="str">
        <f>개요!$B$97&amp;AB10</f>
        <v/>
      </c>
      <c r="AB10" s="329"/>
      <c r="AC10" s="330"/>
      <c r="AD10" s="331"/>
      <c r="AE10" s="331"/>
      <c r="AF10" s="332"/>
      <c r="AG10" s="328" t="str">
        <f>개요!$B$109&amp;AH10</f>
        <v/>
      </c>
      <c r="AH10" s="329"/>
      <c r="AI10" s="330"/>
      <c r="AJ10" s="331"/>
      <c r="AK10" s="331"/>
      <c r="AL10" s="332"/>
      <c r="AM10" s="328" t="str">
        <f>개요!$B$121&amp;AN10</f>
        <v/>
      </c>
      <c r="AN10" s="329"/>
      <c r="AO10" s="330"/>
      <c r="AP10" s="331"/>
      <c r="AQ10" s="331"/>
      <c r="AR10" s="332"/>
      <c r="AS10" s="328" t="str">
        <f>개요!$B$133&amp;AT10</f>
        <v/>
      </c>
      <c r="AT10" s="329"/>
      <c r="AU10" s="330"/>
      <c r="AV10" s="331"/>
      <c r="AW10" s="331"/>
      <c r="AX10" s="332"/>
      <c r="AY10" s="328" t="str">
        <f>개요!$B$145&amp;AZ10</f>
        <v/>
      </c>
      <c r="AZ10" s="329"/>
      <c r="BA10" s="330"/>
      <c r="BB10" s="331"/>
      <c r="BC10" s="331"/>
      <c r="BD10" s="332"/>
      <c r="BE10" s="328" t="str">
        <f>개요!$B$157&amp;BF10</f>
        <v/>
      </c>
      <c r="BF10" s="329"/>
      <c r="BG10" s="330"/>
      <c r="BH10" s="331"/>
      <c r="BI10" s="331"/>
    </row>
    <row r="11" spans="3:61" ht="14.25" customHeight="1" thickBot="1">
      <c r="C11" s="328" t="str">
        <f>개요!$C$9&amp;D11</f>
        <v/>
      </c>
      <c r="D11" s="329"/>
      <c r="E11" s="762"/>
      <c r="F11" s="761"/>
      <c r="G11" s="761"/>
      <c r="H11" s="332"/>
      <c r="I11" s="328" t="str">
        <f>개요!$B$61&amp;J11</f>
        <v/>
      </c>
      <c r="J11" s="329"/>
      <c r="K11" s="333"/>
      <c r="L11" s="331"/>
      <c r="M11" s="331"/>
      <c r="N11" s="332"/>
      <c r="O11" s="328" t="str">
        <f>개요!$B$73&amp;P11</f>
        <v/>
      </c>
      <c r="P11" s="329"/>
      <c r="Q11" s="330"/>
      <c r="R11" s="331"/>
      <c r="S11" s="331"/>
      <c r="T11" s="332"/>
      <c r="U11" s="328" t="str">
        <f>개요!$B$85&amp;V11</f>
        <v/>
      </c>
      <c r="V11" s="329"/>
      <c r="W11" s="330"/>
      <c r="X11" s="331"/>
      <c r="Y11" s="331"/>
      <c r="Z11" s="332"/>
      <c r="AA11" s="328" t="str">
        <f>개요!$B$97&amp;AB11</f>
        <v/>
      </c>
      <c r="AB11" s="329"/>
      <c r="AC11" s="330"/>
      <c r="AD11" s="331"/>
      <c r="AE11" s="331"/>
      <c r="AF11" s="332"/>
      <c r="AG11" s="328" t="str">
        <f>개요!$B$109&amp;AH11</f>
        <v/>
      </c>
      <c r="AH11" s="329"/>
      <c r="AI11" s="330"/>
      <c r="AJ11" s="331"/>
      <c r="AK11" s="331"/>
      <c r="AL11" s="332"/>
      <c r="AM11" s="328" t="str">
        <f>개요!$B$121&amp;AN11</f>
        <v/>
      </c>
      <c r="AN11" s="329"/>
      <c r="AO11" s="330"/>
      <c r="AP11" s="331"/>
      <c r="AQ11" s="331"/>
      <c r="AR11" s="332"/>
      <c r="AS11" s="328" t="str">
        <f>개요!$B$133&amp;AT11</f>
        <v/>
      </c>
      <c r="AT11" s="329"/>
      <c r="AU11" s="330"/>
      <c r="AV11" s="331"/>
      <c r="AW11" s="331"/>
      <c r="AX11" s="332"/>
      <c r="AY11" s="328" t="str">
        <f>개요!$B$145&amp;AZ11</f>
        <v/>
      </c>
      <c r="AZ11" s="329"/>
      <c r="BA11" s="330"/>
      <c r="BB11" s="331"/>
      <c r="BC11" s="331"/>
      <c r="BD11" s="332"/>
      <c r="BE11" s="328" t="str">
        <f>개요!$B$157&amp;BF11</f>
        <v/>
      </c>
      <c r="BF11" s="329"/>
      <c r="BG11" s="330"/>
      <c r="BH11" s="331"/>
      <c r="BI11" s="331"/>
    </row>
    <row r="12" spans="3:61" ht="14.25" customHeight="1" thickBot="1">
      <c r="C12" s="328" t="str">
        <f>개요!$C$9&amp;D12</f>
        <v/>
      </c>
      <c r="D12" s="329"/>
      <c r="E12" s="762"/>
      <c r="F12" s="761"/>
      <c r="G12" s="761"/>
      <c r="H12" s="334"/>
      <c r="I12" s="328" t="str">
        <f>개요!$B$61&amp;J12</f>
        <v/>
      </c>
      <c r="J12" s="329"/>
      <c r="K12" s="333"/>
      <c r="L12" s="331"/>
      <c r="M12" s="331"/>
      <c r="N12" s="334"/>
      <c r="O12" s="328" t="str">
        <f>개요!$B$73&amp;P12</f>
        <v/>
      </c>
      <c r="P12" s="329"/>
      <c r="Q12" s="330"/>
      <c r="R12" s="331"/>
      <c r="S12" s="331"/>
      <c r="T12" s="334"/>
      <c r="U12" s="328" t="str">
        <f>개요!$B$85&amp;V12</f>
        <v/>
      </c>
      <c r="V12" s="329"/>
      <c r="W12" s="330"/>
      <c r="X12" s="331"/>
      <c r="Y12" s="331"/>
      <c r="Z12" s="334"/>
      <c r="AA12" s="328" t="str">
        <f>개요!$B$97&amp;AB12</f>
        <v/>
      </c>
      <c r="AB12" s="329"/>
      <c r="AC12" s="330"/>
      <c r="AD12" s="331"/>
      <c r="AE12" s="331"/>
      <c r="AF12" s="334"/>
      <c r="AG12" s="328" t="str">
        <f>개요!$B$109&amp;AH12</f>
        <v/>
      </c>
      <c r="AH12" s="329"/>
      <c r="AI12" s="330"/>
      <c r="AJ12" s="331"/>
      <c r="AK12" s="331"/>
      <c r="AL12" s="334"/>
      <c r="AM12" s="328" t="str">
        <f>개요!$B$121&amp;AN12</f>
        <v/>
      </c>
      <c r="AN12" s="329"/>
      <c r="AO12" s="330"/>
      <c r="AP12" s="331"/>
      <c r="AQ12" s="331"/>
      <c r="AR12" s="334"/>
      <c r="AS12" s="328" t="str">
        <f>개요!$B$133&amp;AT12</f>
        <v/>
      </c>
      <c r="AT12" s="329"/>
      <c r="AU12" s="330"/>
      <c r="AV12" s="331"/>
      <c r="AW12" s="331"/>
      <c r="AX12" s="334"/>
      <c r="AY12" s="328" t="str">
        <f>개요!$B$145&amp;AZ12</f>
        <v/>
      </c>
      <c r="AZ12" s="329"/>
      <c r="BA12" s="330"/>
      <c r="BB12" s="331"/>
      <c r="BC12" s="331"/>
      <c r="BD12" s="334"/>
      <c r="BE12" s="328" t="str">
        <f>개요!$B$157&amp;BF12</f>
        <v/>
      </c>
      <c r="BF12" s="329"/>
      <c r="BG12" s="330"/>
      <c r="BH12" s="331"/>
      <c r="BI12" s="331"/>
    </row>
    <row r="13" spans="3:61" ht="14.25" customHeight="1" thickBot="1">
      <c r="C13" s="328" t="str">
        <f>개요!$C$9&amp;D13</f>
        <v/>
      </c>
      <c r="D13" s="329"/>
      <c r="E13" s="762"/>
      <c r="F13" s="761"/>
      <c r="G13" s="761"/>
      <c r="H13" s="334"/>
      <c r="I13" s="328" t="str">
        <f>개요!$B$61&amp;J13</f>
        <v/>
      </c>
      <c r="J13" s="329"/>
      <c r="K13" s="333"/>
      <c r="L13" s="331"/>
      <c r="M13" s="331"/>
      <c r="N13" s="334"/>
      <c r="O13" s="328" t="str">
        <f>개요!$B$73&amp;P13</f>
        <v/>
      </c>
      <c r="P13" s="329"/>
      <c r="Q13" s="330"/>
      <c r="R13" s="331"/>
      <c r="S13" s="331"/>
      <c r="T13" s="334"/>
      <c r="U13" s="328" t="str">
        <f>개요!$B$85&amp;V13</f>
        <v/>
      </c>
      <c r="V13" s="329"/>
      <c r="W13" s="330"/>
      <c r="X13" s="331"/>
      <c r="Y13" s="331"/>
      <c r="Z13" s="334"/>
      <c r="AA13" s="328" t="str">
        <f>개요!$B$97&amp;AB13</f>
        <v/>
      </c>
      <c r="AB13" s="329"/>
      <c r="AC13" s="330"/>
      <c r="AD13" s="331"/>
      <c r="AE13" s="331"/>
      <c r="AF13" s="334"/>
      <c r="AG13" s="328" t="str">
        <f>개요!$B$109&amp;AH13</f>
        <v/>
      </c>
      <c r="AH13" s="329"/>
      <c r="AI13" s="330"/>
      <c r="AJ13" s="331"/>
      <c r="AK13" s="331"/>
      <c r="AL13" s="334"/>
      <c r="AM13" s="328" t="str">
        <f>개요!$B$121&amp;AN13</f>
        <v/>
      </c>
      <c r="AN13" s="329"/>
      <c r="AO13" s="330"/>
      <c r="AP13" s="331"/>
      <c r="AQ13" s="331"/>
      <c r="AR13" s="334"/>
      <c r="AS13" s="328" t="str">
        <f>개요!$B$133&amp;AT13</f>
        <v/>
      </c>
      <c r="AT13" s="329"/>
      <c r="AU13" s="330"/>
      <c r="AV13" s="331"/>
      <c r="AW13" s="331"/>
      <c r="AX13" s="334"/>
      <c r="AY13" s="328" t="str">
        <f>개요!$B$145&amp;AZ13</f>
        <v/>
      </c>
      <c r="AZ13" s="329"/>
      <c r="BA13" s="330"/>
      <c r="BB13" s="331"/>
      <c r="BC13" s="331"/>
      <c r="BD13" s="334"/>
      <c r="BE13" s="328" t="str">
        <f>개요!$B$157&amp;BF13</f>
        <v/>
      </c>
      <c r="BF13" s="329"/>
      <c r="BG13" s="330"/>
      <c r="BH13" s="331"/>
      <c r="BI13" s="331"/>
    </row>
    <row r="14" spans="3:61" ht="14.25" customHeight="1" thickBot="1">
      <c r="C14" s="328" t="str">
        <f>개요!$C$9&amp;D14</f>
        <v/>
      </c>
      <c r="D14" s="329"/>
      <c r="E14" s="762"/>
      <c r="F14" s="761"/>
      <c r="G14" s="761"/>
      <c r="H14" s="334"/>
      <c r="I14" s="328" t="str">
        <f>개요!$B$61&amp;J14</f>
        <v/>
      </c>
      <c r="J14" s="329"/>
      <c r="K14" s="333"/>
      <c r="L14" s="331"/>
      <c r="M14" s="331"/>
      <c r="N14" s="334"/>
      <c r="O14" s="328" t="str">
        <f>개요!$B$73&amp;P14</f>
        <v/>
      </c>
      <c r="P14" s="329"/>
      <c r="Q14" s="330"/>
      <c r="R14" s="331"/>
      <c r="S14" s="331"/>
      <c r="T14" s="334"/>
      <c r="U14" s="328" t="str">
        <f>개요!$B$85&amp;V14</f>
        <v/>
      </c>
      <c r="V14" s="329"/>
      <c r="W14" s="330"/>
      <c r="X14" s="331"/>
      <c r="Y14" s="331"/>
      <c r="Z14" s="334"/>
      <c r="AA14" s="328" t="str">
        <f>개요!$B$97&amp;AB14</f>
        <v/>
      </c>
      <c r="AB14" s="329"/>
      <c r="AC14" s="330"/>
      <c r="AD14" s="331"/>
      <c r="AE14" s="331"/>
      <c r="AF14" s="334"/>
      <c r="AG14" s="328" t="str">
        <f>개요!$B$109&amp;AH14</f>
        <v/>
      </c>
      <c r="AH14" s="329"/>
      <c r="AI14" s="330"/>
      <c r="AJ14" s="331"/>
      <c r="AK14" s="331"/>
      <c r="AL14" s="334"/>
      <c r="AM14" s="328" t="str">
        <f>개요!$B$121&amp;AN14</f>
        <v/>
      </c>
      <c r="AN14" s="329"/>
      <c r="AO14" s="330"/>
      <c r="AP14" s="331"/>
      <c r="AQ14" s="331"/>
      <c r="AR14" s="334"/>
      <c r="AS14" s="328" t="str">
        <f>개요!$B$133&amp;AT14</f>
        <v/>
      </c>
      <c r="AT14" s="329"/>
      <c r="AU14" s="330"/>
      <c r="AV14" s="331"/>
      <c r="AW14" s="331"/>
      <c r="AX14" s="334"/>
      <c r="AY14" s="328" t="str">
        <f>개요!$B$145&amp;AZ14</f>
        <v/>
      </c>
      <c r="AZ14" s="329"/>
      <c r="BA14" s="330"/>
      <c r="BB14" s="331"/>
      <c r="BC14" s="331"/>
      <c r="BD14" s="334"/>
      <c r="BE14" s="328" t="str">
        <f>개요!$B$157&amp;BF14</f>
        <v/>
      </c>
      <c r="BF14" s="329"/>
      <c r="BG14" s="330"/>
      <c r="BH14" s="331"/>
      <c r="BI14" s="331"/>
    </row>
    <row r="15" spans="3:61" ht="14.25" customHeight="1" thickBot="1">
      <c r="C15" s="328" t="str">
        <f>개요!$C$9&amp;D15</f>
        <v>미지급보수</v>
      </c>
      <c r="D15" s="329" t="s">
        <v>152</v>
      </c>
      <c r="E15" s="762" t="s">
        <v>152</v>
      </c>
      <c r="F15" s="761">
        <v>107420000</v>
      </c>
      <c r="G15" s="761">
        <v>54246739</v>
      </c>
      <c r="H15" s="334"/>
      <c r="I15" s="328" t="str">
        <f>개요!$B$61&amp;J15</f>
        <v/>
      </c>
      <c r="J15" s="329"/>
      <c r="K15" s="333"/>
      <c r="L15" s="331"/>
      <c r="M15" s="331"/>
      <c r="N15" s="334"/>
      <c r="O15" s="328" t="str">
        <f>개요!$B$73&amp;P15</f>
        <v/>
      </c>
      <c r="P15" s="329"/>
      <c r="Q15" s="330"/>
      <c r="R15" s="331"/>
      <c r="S15" s="331"/>
      <c r="T15" s="334"/>
      <c r="U15" s="328" t="str">
        <f>개요!$B$85&amp;V15</f>
        <v/>
      </c>
      <c r="V15" s="329"/>
      <c r="W15" s="330"/>
      <c r="X15" s="331"/>
      <c r="Y15" s="331"/>
      <c r="Z15" s="334"/>
      <c r="AA15" s="328" t="str">
        <f>개요!$B$97&amp;AB15</f>
        <v/>
      </c>
      <c r="AB15" s="329"/>
      <c r="AC15" s="330"/>
      <c r="AD15" s="331"/>
      <c r="AE15" s="331"/>
      <c r="AF15" s="334"/>
      <c r="AG15" s="328" t="str">
        <f>개요!$B$109&amp;AH15</f>
        <v/>
      </c>
      <c r="AH15" s="329"/>
      <c r="AI15" s="330"/>
      <c r="AJ15" s="331"/>
      <c r="AK15" s="331"/>
      <c r="AL15" s="334"/>
      <c r="AM15" s="328" t="str">
        <f>개요!$B$121&amp;AN15</f>
        <v/>
      </c>
      <c r="AN15" s="329"/>
      <c r="AO15" s="330"/>
      <c r="AP15" s="331"/>
      <c r="AQ15" s="331"/>
      <c r="AR15" s="334"/>
      <c r="AS15" s="328" t="str">
        <f>개요!$B$133&amp;AT15</f>
        <v/>
      </c>
      <c r="AT15" s="329"/>
      <c r="AU15" s="330"/>
      <c r="AV15" s="331"/>
      <c r="AW15" s="331"/>
      <c r="AX15" s="334"/>
      <c r="AY15" s="328" t="str">
        <f>개요!$B$145&amp;AZ15</f>
        <v/>
      </c>
      <c r="AZ15" s="329"/>
      <c r="BA15" s="330"/>
      <c r="BB15" s="331"/>
      <c r="BC15" s="331"/>
      <c r="BD15" s="334"/>
      <c r="BE15" s="328" t="str">
        <f>개요!$B$157&amp;BF15</f>
        <v/>
      </c>
      <c r="BF15" s="329"/>
      <c r="BG15" s="330"/>
      <c r="BH15" s="331"/>
      <c r="BI15" s="331"/>
    </row>
    <row r="16" spans="3:61" ht="14.25" customHeight="1" thickBot="1">
      <c r="C16" s="328" t="str">
        <f>개요!$C$9&amp;D16</f>
        <v/>
      </c>
      <c r="D16" s="329"/>
      <c r="E16" s="762"/>
      <c r="F16" s="761"/>
      <c r="G16" s="761"/>
      <c r="H16" s="332"/>
      <c r="I16" s="328" t="str">
        <f>개요!$B$61&amp;J16</f>
        <v/>
      </c>
      <c r="J16" s="329"/>
      <c r="K16" s="330"/>
      <c r="L16" s="331"/>
      <c r="M16" s="331"/>
      <c r="N16" s="332"/>
      <c r="O16" s="328" t="str">
        <f>개요!$B$73&amp;P16</f>
        <v/>
      </c>
      <c r="P16" s="329"/>
      <c r="Q16" s="330"/>
      <c r="R16" s="331"/>
      <c r="S16" s="331"/>
      <c r="T16" s="332"/>
      <c r="U16" s="328" t="str">
        <f>개요!$B$85&amp;V16</f>
        <v/>
      </c>
      <c r="V16" s="329"/>
      <c r="W16" s="330"/>
      <c r="X16" s="331"/>
      <c r="Y16" s="331"/>
      <c r="Z16" s="332"/>
      <c r="AA16" s="328" t="str">
        <f>개요!$B$97&amp;AB16</f>
        <v/>
      </c>
      <c r="AB16" s="329"/>
      <c r="AC16" s="330"/>
      <c r="AD16" s="331"/>
      <c r="AE16" s="331"/>
      <c r="AF16" s="332"/>
      <c r="AG16" s="328" t="str">
        <f>개요!$B$109&amp;AH16</f>
        <v/>
      </c>
      <c r="AH16" s="329"/>
      <c r="AI16" s="330"/>
      <c r="AJ16" s="331"/>
      <c r="AK16" s="331"/>
      <c r="AL16" s="332"/>
      <c r="AM16" s="328" t="str">
        <f>개요!$B$121&amp;AN16</f>
        <v/>
      </c>
      <c r="AN16" s="329"/>
      <c r="AO16" s="330"/>
      <c r="AP16" s="331"/>
      <c r="AQ16" s="331"/>
      <c r="AR16" s="332"/>
      <c r="AS16" s="328" t="str">
        <f>개요!$B$133&amp;AT16</f>
        <v/>
      </c>
      <c r="AT16" s="329"/>
      <c r="AU16" s="330"/>
      <c r="AV16" s="331"/>
      <c r="AW16" s="331"/>
      <c r="AX16" s="332"/>
      <c r="AY16" s="328" t="str">
        <f>개요!$B$145&amp;AZ16</f>
        <v/>
      </c>
      <c r="AZ16" s="329"/>
      <c r="BA16" s="330"/>
      <c r="BB16" s="331"/>
      <c r="BC16" s="331"/>
      <c r="BD16" s="332"/>
      <c r="BE16" s="328" t="str">
        <f>개요!$B$157&amp;BF16</f>
        <v/>
      </c>
      <c r="BF16" s="329"/>
      <c r="BG16" s="330"/>
      <c r="BH16" s="331"/>
      <c r="BI16" s="331"/>
    </row>
    <row r="17" spans="3:61" ht="14.25" customHeight="1" thickBot="1">
      <c r="C17" s="328" t="str">
        <f>개요!$C$9&amp;D17</f>
        <v/>
      </c>
      <c r="D17" s="329"/>
      <c r="E17" s="765"/>
      <c r="F17" s="761"/>
      <c r="G17" s="761"/>
      <c r="H17" s="332"/>
      <c r="I17" s="328" t="str">
        <f>개요!$B$61&amp;J17</f>
        <v/>
      </c>
      <c r="J17" s="329"/>
      <c r="K17" s="333"/>
      <c r="L17" s="331"/>
      <c r="M17" s="331"/>
      <c r="N17" s="332"/>
      <c r="O17" s="328" t="str">
        <f>개요!$B$73&amp;P17</f>
        <v/>
      </c>
      <c r="P17" s="329"/>
      <c r="Q17" s="330"/>
      <c r="R17" s="331"/>
      <c r="S17" s="331"/>
      <c r="T17" s="332"/>
      <c r="U17" s="328" t="str">
        <f>개요!$B$85&amp;V17</f>
        <v/>
      </c>
      <c r="V17" s="329"/>
      <c r="W17" s="330"/>
      <c r="X17" s="331"/>
      <c r="Y17" s="331"/>
      <c r="Z17" s="332"/>
      <c r="AA17" s="328" t="str">
        <f>개요!$B$97&amp;AB17</f>
        <v/>
      </c>
      <c r="AB17" s="329"/>
      <c r="AC17" s="330"/>
      <c r="AD17" s="331"/>
      <c r="AE17" s="331"/>
      <c r="AF17" s="332"/>
      <c r="AG17" s="328" t="str">
        <f>개요!$B$109&amp;AH17</f>
        <v/>
      </c>
      <c r="AH17" s="329"/>
      <c r="AI17" s="330"/>
      <c r="AJ17" s="331"/>
      <c r="AK17" s="331"/>
      <c r="AL17" s="332"/>
      <c r="AM17" s="328" t="str">
        <f>개요!$B$121&amp;AN17</f>
        <v/>
      </c>
      <c r="AN17" s="329"/>
      <c r="AO17" s="330"/>
      <c r="AP17" s="331"/>
      <c r="AQ17" s="331"/>
      <c r="AR17" s="332"/>
      <c r="AS17" s="328" t="str">
        <f>개요!$B$133&amp;AT17</f>
        <v/>
      </c>
      <c r="AT17" s="329"/>
      <c r="AU17" s="330"/>
      <c r="AV17" s="331"/>
      <c r="AW17" s="331"/>
      <c r="AX17" s="332"/>
      <c r="AY17" s="328" t="str">
        <f>개요!$B$145&amp;AZ17</f>
        <v/>
      </c>
      <c r="AZ17" s="329"/>
      <c r="BA17" s="330"/>
      <c r="BB17" s="331"/>
      <c r="BC17" s="331"/>
      <c r="BD17" s="332"/>
      <c r="BE17" s="328" t="str">
        <f>개요!$B$157&amp;BF17</f>
        <v/>
      </c>
      <c r="BF17" s="329"/>
      <c r="BG17" s="330"/>
      <c r="BH17" s="331"/>
      <c r="BI17" s="331"/>
    </row>
    <row r="18" spans="3:61" ht="14.25" customHeight="1" thickBot="1">
      <c r="C18" s="328" t="str">
        <f>개요!$C$9&amp;D18</f>
        <v/>
      </c>
      <c r="D18" s="329"/>
      <c r="E18" s="762"/>
      <c r="F18" s="761"/>
      <c r="G18" s="761"/>
      <c r="H18" s="332"/>
      <c r="I18" s="328" t="str">
        <f>개요!$B$61&amp;J18</f>
        <v/>
      </c>
      <c r="J18" s="329"/>
      <c r="K18" s="330"/>
      <c r="L18" s="331"/>
      <c r="M18" s="331"/>
      <c r="N18" s="332"/>
      <c r="O18" s="328" t="str">
        <f>개요!$B$73&amp;P18</f>
        <v/>
      </c>
      <c r="P18" s="329"/>
      <c r="Q18" s="330"/>
      <c r="R18" s="331"/>
      <c r="S18" s="331"/>
      <c r="T18" s="332"/>
      <c r="U18" s="328" t="str">
        <f>개요!$B$85&amp;V18</f>
        <v/>
      </c>
      <c r="V18" s="329"/>
      <c r="W18" s="330"/>
      <c r="X18" s="331"/>
      <c r="Y18" s="331"/>
      <c r="Z18" s="332"/>
      <c r="AA18" s="328" t="str">
        <f>개요!$B$97&amp;AB18</f>
        <v/>
      </c>
      <c r="AB18" s="329"/>
      <c r="AC18" s="330"/>
      <c r="AD18" s="331"/>
      <c r="AE18" s="331"/>
      <c r="AF18" s="332"/>
      <c r="AG18" s="328" t="str">
        <f>개요!$B$109&amp;AH18</f>
        <v/>
      </c>
      <c r="AH18" s="329"/>
      <c r="AI18" s="330"/>
      <c r="AJ18" s="331"/>
      <c r="AK18" s="331"/>
      <c r="AL18" s="332"/>
      <c r="AM18" s="328" t="str">
        <f>개요!$B$121&amp;AN18</f>
        <v/>
      </c>
      <c r="AN18" s="329"/>
      <c r="AO18" s="330"/>
      <c r="AP18" s="331"/>
      <c r="AQ18" s="331"/>
      <c r="AR18" s="332"/>
      <c r="AS18" s="328" t="str">
        <f>개요!$B$133&amp;AT18</f>
        <v/>
      </c>
      <c r="AT18" s="329"/>
      <c r="AU18" s="330"/>
      <c r="AV18" s="331"/>
      <c r="AW18" s="331"/>
      <c r="AX18" s="332"/>
      <c r="AY18" s="328" t="str">
        <f>개요!$B$145&amp;AZ18</f>
        <v/>
      </c>
      <c r="AZ18" s="329"/>
      <c r="BA18" s="330"/>
      <c r="BB18" s="331"/>
      <c r="BC18" s="331"/>
      <c r="BD18" s="332"/>
      <c r="BE18" s="328" t="str">
        <f>개요!$B$157&amp;BF18</f>
        <v/>
      </c>
      <c r="BF18" s="329"/>
      <c r="BG18" s="330"/>
      <c r="BH18" s="331"/>
      <c r="BI18" s="331"/>
    </row>
    <row r="19" spans="3:61" ht="14.25" customHeight="1" thickBot="1">
      <c r="C19" s="328" t="str">
        <f>개요!$C$9&amp;D19</f>
        <v>자본금</v>
      </c>
      <c r="D19" s="329" t="s">
        <v>118</v>
      </c>
      <c r="E19" s="762" t="s">
        <v>52</v>
      </c>
      <c r="F19" s="761">
        <v>10500000000</v>
      </c>
      <c r="G19" s="761">
        <v>10500000000</v>
      </c>
      <c r="H19" s="332"/>
      <c r="I19" s="328" t="str">
        <f>개요!$B$61&amp;J19</f>
        <v/>
      </c>
      <c r="J19" s="329"/>
      <c r="K19" s="330"/>
      <c r="L19" s="331"/>
      <c r="M19" s="331"/>
      <c r="N19" s="332"/>
      <c r="O19" s="328" t="str">
        <f>개요!$B$73&amp;P19</f>
        <v/>
      </c>
      <c r="P19" s="329"/>
      <c r="Q19" s="330"/>
      <c r="R19" s="331"/>
      <c r="S19" s="331"/>
      <c r="T19" s="332"/>
      <c r="U19" s="328" t="str">
        <f>개요!$B$85&amp;V19</f>
        <v/>
      </c>
      <c r="V19" s="329"/>
      <c r="W19" s="330"/>
      <c r="X19" s="331"/>
      <c r="Y19" s="331"/>
      <c r="Z19" s="332"/>
      <c r="AA19" s="328" t="str">
        <f>개요!$B$97&amp;AB19</f>
        <v/>
      </c>
      <c r="AB19" s="329"/>
      <c r="AC19" s="330"/>
      <c r="AD19" s="331"/>
      <c r="AE19" s="331"/>
      <c r="AF19" s="332"/>
      <c r="AG19" s="328" t="str">
        <f>개요!$B$109&amp;AH19</f>
        <v/>
      </c>
      <c r="AH19" s="329"/>
      <c r="AI19" s="330"/>
      <c r="AJ19" s="331"/>
      <c r="AK19" s="331"/>
      <c r="AL19" s="332"/>
      <c r="AM19" s="328" t="str">
        <f>개요!$B$121&amp;AN19</f>
        <v/>
      </c>
      <c r="AN19" s="329"/>
      <c r="AO19" s="330"/>
      <c r="AP19" s="331"/>
      <c r="AQ19" s="331"/>
      <c r="AR19" s="332"/>
      <c r="AS19" s="328" t="str">
        <f>개요!$B$133&amp;AT19</f>
        <v/>
      </c>
      <c r="AT19" s="329"/>
      <c r="AU19" s="330"/>
      <c r="AV19" s="331"/>
      <c r="AW19" s="331"/>
      <c r="AX19" s="332"/>
      <c r="AY19" s="328" t="str">
        <f>개요!$B$145&amp;AZ19</f>
        <v/>
      </c>
      <c r="AZ19" s="329"/>
      <c r="BA19" s="330"/>
      <c r="BB19" s="331"/>
      <c r="BC19" s="331"/>
      <c r="BD19" s="332"/>
      <c r="BE19" s="328" t="str">
        <f>개요!$B$157&amp;BF19</f>
        <v/>
      </c>
      <c r="BF19" s="329"/>
      <c r="BG19" s="330"/>
      <c r="BH19" s="331"/>
      <c r="BI19" s="331"/>
    </row>
    <row r="20" spans="3:61" ht="14.25" customHeight="1" thickBot="1">
      <c r="C20" s="328" t="str">
        <f>개요!$C$9&amp;D20</f>
        <v>이익잉여금(결손금)</v>
      </c>
      <c r="D20" s="329" t="s">
        <v>119</v>
      </c>
      <c r="E20" s="762" t="s">
        <v>119</v>
      </c>
      <c r="F20" s="761">
        <v>-590115986</v>
      </c>
      <c r="G20" s="761">
        <v>-535200378</v>
      </c>
      <c r="H20" s="332"/>
      <c r="I20" s="328" t="str">
        <f>개요!$B$61&amp;J20</f>
        <v/>
      </c>
      <c r="J20" s="329"/>
      <c r="K20" s="330"/>
      <c r="L20" s="331"/>
      <c r="M20" s="331"/>
      <c r="N20" s="332"/>
      <c r="O20" s="328" t="str">
        <f>개요!$B$73&amp;P20</f>
        <v/>
      </c>
      <c r="P20" s="329"/>
      <c r="Q20" s="330"/>
      <c r="R20" s="331"/>
      <c r="S20" s="331"/>
      <c r="T20" s="332"/>
      <c r="U20" s="328" t="str">
        <f>개요!$B$85&amp;V20</f>
        <v/>
      </c>
      <c r="V20" s="329"/>
      <c r="W20" s="330"/>
      <c r="X20" s="331"/>
      <c r="Y20" s="331"/>
      <c r="Z20" s="332"/>
      <c r="AA20" s="328" t="str">
        <f>개요!$B$97&amp;AB20</f>
        <v/>
      </c>
      <c r="AB20" s="329"/>
      <c r="AC20" s="330"/>
      <c r="AD20" s="331"/>
      <c r="AE20" s="331"/>
      <c r="AF20" s="332"/>
      <c r="AG20" s="328" t="str">
        <f>개요!$B$109&amp;AH20</f>
        <v/>
      </c>
      <c r="AH20" s="329"/>
      <c r="AI20" s="330"/>
      <c r="AJ20" s="331"/>
      <c r="AK20" s="331"/>
      <c r="AL20" s="332"/>
      <c r="AM20" s="328" t="str">
        <f>개요!$B$121&amp;AN20</f>
        <v/>
      </c>
      <c r="AN20" s="329"/>
      <c r="AO20" s="330"/>
      <c r="AP20" s="331"/>
      <c r="AQ20" s="331"/>
      <c r="AR20" s="332"/>
      <c r="AS20" s="328" t="str">
        <f>개요!$B$133&amp;AT20</f>
        <v/>
      </c>
      <c r="AT20" s="329"/>
      <c r="AU20" s="330"/>
      <c r="AV20" s="331"/>
      <c r="AW20" s="331"/>
      <c r="AX20" s="332"/>
      <c r="AY20" s="328" t="str">
        <f>개요!$B$145&amp;AZ20</f>
        <v/>
      </c>
      <c r="AZ20" s="329"/>
      <c r="BA20" s="330"/>
      <c r="BB20" s="331"/>
      <c r="BC20" s="331"/>
      <c r="BD20" s="332"/>
      <c r="BE20" s="328" t="str">
        <f>개요!$B$157&amp;BF20</f>
        <v/>
      </c>
      <c r="BF20" s="329"/>
      <c r="BG20" s="330"/>
      <c r="BH20" s="331"/>
      <c r="BI20" s="331"/>
    </row>
    <row r="21" spans="3:61" ht="14.25" customHeight="1" thickBot="1">
      <c r="C21" s="328" t="str">
        <f>개요!$C$9&amp;D21</f>
        <v/>
      </c>
      <c r="D21" s="329"/>
      <c r="E21" s="330"/>
      <c r="F21" s="331"/>
      <c r="G21" s="331"/>
      <c r="H21" s="332"/>
      <c r="I21" s="328" t="str">
        <f>개요!$B$61&amp;J21</f>
        <v/>
      </c>
      <c r="J21" s="329"/>
      <c r="K21" s="330"/>
      <c r="L21" s="331"/>
      <c r="M21" s="331"/>
      <c r="N21" s="332"/>
      <c r="O21" s="328" t="str">
        <f>개요!$B$73&amp;P21</f>
        <v/>
      </c>
      <c r="P21" s="329"/>
      <c r="Q21" s="330"/>
      <c r="R21" s="331"/>
      <c r="S21" s="331"/>
      <c r="T21" s="332"/>
      <c r="U21" s="328" t="str">
        <f>개요!$B$85&amp;V21</f>
        <v/>
      </c>
      <c r="V21" s="329"/>
      <c r="W21" s="330"/>
      <c r="X21" s="331"/>
      <c r="Y21" s="331"/>
      <c r="Z21" s="332"/>
      <c r="AA21" s="328" t="str">
        <f>개요!$B$97&amp;AB21</f>
        <v/>
      </c>
      <c r="AB21" s="329"/>
      <c r="AC21" s="330"/>
      <c r="AD21" s="331"/>
      <c r="AE21" s="331"/>
      <c r="AF21" s="332"/>
      <c r="AG21" s="328" t="str">
        <f>개요!$B$109&amp;AH21</f>
        <v/>
      </c>
      <c r="AH21" s="329"/>
      <c r="AI21" s="330"/>
      <c r="AJ21" s="331"/>
      <c r="AK21" s="331"/>
      <c r="AL21" s="332"/>
      <c r="AM21" s="328" t="str">
        <f>개요!$B$121&amp;AN21</f>
        <v/>
      </c>
      <c r="AN21" s="329"/>
      <c r="AO21" s="330"/>
      <c r="AP21" s="331"/>
      <c r="AQ21" s="331"/>
      <c r="AR21" s="332"/>
      <c r="AS21" s="328" t="str">
        <f>개요!$B$133&amp;AT21</f>
        <v/>
      </c>
      <c r="AT21" s="329"/>
      <c r="AU21" s="330"/>
      <c r="AV21" s="331"/>
      <c r="AW21" s="331"/>
      <c r="AX21" s="332"/>
      <c r="AY21" s="328" t="str">
        <f>개요!$B$145&amp;AZ21</f>
        <v/>
      </c>
      <c r="AZ21" s="329"/>
      <c r="BA21" s="330"/>
      <c r="BB21" s="331"/>
      <c r="BC21" s="331"/>
      <c r="BD21" s="332"/>
      <c r="BE21" s="328" t="str">
        <f>개요!$B$157&amp;BF21</f>
        <v/>
      </c>
      <c r="BF21" s="329"/>
      <c r="BG21" s="330"/>
      <c r="BH21" s="331"/>
      <c r="BI21" s="331"/>
    </row>
    <row r="22" spans="3:61" ht="14.25" customHeight="1" thickBot="1">
      <c r="C22" s="328" t="str">
        <f>개요!$C$9&amp;D22</f>
        <v/>
      </c>
      <c r="D22" s="329"/>
      <c r="E22" s="330"/>
      <c r="F22" s="331"/>
      <c r="G22" s="331"/>
      <c r="H22" s="332"/>
      <c r="I22" s="328" t="str">
        <f>개요!$B$61&amp;J22</f>
        <v/>
      </c>
      <c r="J22" s="329"/>
      <c r="K22" s="330"/>
      <c r="L22" s="331"/>
      <c r="M22" s="331"/>
      <c r="N22" s="332"/>
      <c r="O22" s="328" t="str">
        <f>개요!$B$73&amp;P22</f>
        <v/>
      </c>
      <c r="P22" s="329"/>
      <c r="Q22" s="330"/>
      <c r="R22" s="331"/>
      <c r="S22" s="331"/>
      <c r="T22" s="332"/>
      <c r="U22" s="328" t="str">
        <f>개요!$B$85&amp;V22</f>
        <v/>
      </c>
      <c r="V22" s="329"/>
      <c r="W22" s="330"/>
      <c r="X22" s="331"/>
      <c r="Y22" s="331"/>
      <c r="Z22" s="332"/>
      <c r="AA22" s="328" t="str">
        <f>개요!$B$97&amp;AB22</f>
        <v/>
      </c>
      <c r="AB22" s="329"/>
      <c r="AC22" s="330"/>
      <c r="AD22" s="331"/>
      <c r="AE22" s="331"/>
      <c r="AF22" s="332"/>
      <c r="AG22" s="328" t="str">
        <f>개요!$B$109&amp;AH22</f>
        <v/>
      </c>
      <c r="AH22" s="329"/>
      <c r="AI22" s="330"/>
      <c r="AJ22" s="331"/>
      <c r="AK22" s="331"/>
      <c r="AL22" s="332"/>
      <c r="AM22" s="328" t="str">
        <f>개요!$B$121&amp;AN22</f>
        <v/>
      </c>
      <c r="AN22" s="329"/>
      <c r="AO22" s="330"/>
      <c r="AP22" s="331"/>
      <c r="AQ22" s="331"/>
      <c r="AR22" s="332"/>
      <c r="AS22" s="328" t="str">
        <f>개요!$B$133&amp;AT22</f>
        <v/>
      </c>
      <c r="AT22" s="329"/>
      <c r="AU22" s="330"/>
      <c r="AV22" s="331"/>
      <c r="AW22" s="331"/>
      <c r="AX22" s="332"/>
      <c r="AY22" s="328" t="str">
        <f>개요!$B$145&amp;AZ22</f>
        <v/>
      </c>
      <c r="AZ22" s="329"/>
      <c r="BA22" s="330"/>
      <c r="BB22" s="331"/>
      <c r="BC22" s="331"/>
      <c r="BD22" s="332"/>
      <c r="BE22" s="328" t="str">
        <f>개요!$B$157&amp;BF22</f>
        <v/>
      </c>
      <c r="BF22" s="329"/>
      <c r="BG22" s="330"/>
      <c r="BH22" s="331"/>
      <c r="BI22" s="331"/>
    </row>
    <row r="23" spans="3:61" ht="14.25" customHeight="1" thickBot="1">
      <c r="C23" s="328" t="str">
        <f>개요!$C$9&amp;D23</f>
        <v/>
      </c>
      <c r="D23" s="329"/>
      <c r="E23" s="330"/>
      <c r="F23" s="331"/>
      <c r="G23" s="331"/>
      <c r="H23" s="332"/>
      <c r="I23" s="328" t="str">
        <f>개요!$B$61&amp;J23</f>
        <v/>
      </c>
      <c r="J23" s="329"/>
      <c r="K23" s="330"/>
      <c r="L23" s="331"/>
      <c r="M23" s="331"/>
      <c r="N23" s="332"/>
      <c r="O23" s="328" t="str">
        <f>개요!$B$73&amp;P23</f>
        <v/>
      </c>
      <c r="P23" s="329"/>
      <c r="Q23" s="330"/>
      <c r="R23" s="331"/>
      <c r="S23" s="331"/>
      <c r="T23" s="332"/>
      <c r="U23" s="328" t="str">
        <f>개요!$B$85&amp;V23</f>
        <v/>
      </c>
      <c r="V23" s="329"/>
      <c r="W23" s="330"/>
      <c r="X23" s="331"/>
      <c r="Y23" s="331"/>
      <c r="Z23" s="332"/>
      <c r="AA23" s="328" t="str">
        <f>개요!$B$97&amp;AB23</f>
        <v/>
      </c>
      <c r="AB23" s="329"/>
      <c r="AC23" s="330"/>
      <c r="AD23" s="331"/>
      <c r="AE23" s="331"/>
      <c r="AF23" s="332"/>
      <c r="AG23" s="328" t="str">
        <f>개요!$B$109&amp;AH23</f>
        <v/>
      </c>
      <c r="AH23" s="329"/>
      <c r="AI23" s="330"/>
      <c r="AJ23" s="331"/>
      <c r="AK23" s="331"/>
      <c r="AL23" s="332"/>
      <c r="AM23" s="328" t="str">
        <f>개요!$B$121&amp;AN23</f>
        <v/>
      </c>
      <c r="AN23" s="329"/>
      <c r="AO23" s="330"/>
      <c r="AP23" s="331"/>
      <c r="AQ23" s="331"/>
      <c r="AR23" s="332"/>
      <c r="AS23" s="328" t="str">
        <f>개요!$B$133&amp;AT23</f>
        <v/>
      </c>
      <c r="AT23" s="329"/>
      <c r="AU23" s="330"/>
      <c r="AV23" s="331"/>
      <c r="AW23" s="331"/>
      <c r="AX23" s="332"/>
      <c r="AY23" s="328" t="str">
        <f>개요!$B$145&amp;AZ23</f>
        <v/>
      </c>
      <c r="AZ23" s="329"/>
      <c r="BA23" s="330"/>
      <c r="BB23" s="331"/>
      <c r="BC23" s="331"/>
      <c r="BD23" s="332"/>
      <c r="BE23" s="328" t="str">
        <f>개요!$B$157&amp;BF23</f>
        <v/>
      </c>
      <c r="BF23" s="329"/>
      <c r="BG23" s="330"/>
      <c r="BH23" s="331"/>
      <c r="BI23" s="331"/>
    </row>
    <row r="24" spans="3:61" ht="15" customHeight="1" thickBot="1">
      <c r="C24" s="328" t="str">
        <f>개요!$C$9&amp;D24</f>
        <v/>
      </c>
      <c r="D24" s="329"/>
      <c r="E24" s="330"/>
      <c r="F24" s="331"/>
      <c r="G24" s="331"/>
      <c r="H24" s="332"/>
      <c r="I24" s="328" t="str">
        <f>개요!$B$61&amp;J24</f>
        <v/>
      </c>
      <c r="J24" s="329"/>
      <c r="K24" s="330"/>
      <c r="L24" s="331"/>
      <c r="M24" s="331"/>
      <c r="N24" s="332"/>
      <c r="O24" s="328" t="str">
        <f>개요!$B$73&amp;P24</f>
        <v/>
      </c>
      <c r="P24" s="329"/>
      <c r="Q24" s="330"/>
      <c r="R24" s="331"/>
      <c r="S24" s="331"/>
      <c r="T24" s="332"/>
      <c r="U24" s="328" t="str">
        <f>개요!$B$85&amp;V24</f>
        <v/>
      </c>
      <c r="V24" s="329"/>
      <c r="W24" s="330"/>
      <c r="X24" s="331"/>
      <c r="Y24" s="331"/>
      <c r="Z24" s="332"/>
      <c r="AA24" s="328" t="str">
        <f>개요!$B$97&amp;AB24</f>
        <v/>
      </c>
      <c r="AB24" s="329"/>
      <c r="AC24" s="330"/>
      <c r="AD24" s="331"/>
      <c r="AE24" s="331"/>
      <c r="AF24" s="332"/>
      <c r="AG24" s="328" t="str">
        <f>개요!$B$109&amp;AH24</f>
        <v/>
      </c>
      <c r="AH24" s="329"/>
      <c r="AI24" s="330"/>
      <c r="AJ24" s="331"/>
      <c r="AK24" s="331"/>
      <c r="AL24" s="332"/>
      <c r="AM24" s="328" t="str">
        <f>개요!$B$121&amp;AN24</f>
        <v/>
      </c>
      <c r="AN24" s="329"/>
      <c r="AO24" s="330"/>
      <c r="AP24" s="331"/>
      <c r="AQ24" s="331"/>
      <c r="AR24" s="332"/>
      <c r="AS24" s="328" t="str">
        <f>개요!$B$133&amp;AT24</f>
        <v/>
      </c>
      <c r="AT24" s="329"/>
      <c r="AU24" s="330"/>
      <c r="AV24" s="331"/>
      <c r="AW24" s="331"/>
      <c r="AX24" s="332"/>
      <c r="AY24" s="328" t="str">
        <f>개요!$B$145&amp;AZ24</f>
        <v/>
      </c>
      <c r="AZ24" s="329"/>
      <c r="BA24" s="330"/>
      <c r="BB24" s="331"/>
      <c r="BC24" s="331"/>
      <c r="BD24" s="332"/>
      <c r="BE24" s="328" t="str">
        <f>개요!$B$157&amp;BF24</f>
        <v/>
      </c>
      <c r="BF24" s="329"/>
      <c r="BG24" s="330"/>
      <c r="BH24" s="331"/>
      <c r="BI24" s="331"/>
    </row>
    <row r="25" spans="3:61" ht="14.25" customHeight="1" thickBot="1">
      <c r="C25" s="328" t="str">
        <f>개요!$C$9&amp;D25</f>
        <v/>
      </c>
      <c r="D25" s="329"/>
      <c r="E25" s="330"/>
      <c r="F25" s="331"/>
      <c r="G25" s="331"/>
      <c r="H25" s="332"/>
      <c r="I25" s="328" t="str">
        <f>개요!$B$61&amp;J25</f>
        <v/>
      </c>
      <c r="J25" s="329"/>
      <c r="K25" s="330"/>
      <c r="L25" s="331"/>
      <c r="M25" s="331"/>
      <c r="N25" s="332"/>
      <c r="O25" s="328" t="str">
        <f>개요!$B$73&amp;P25</f>
        <v/>
      </c>
      <c r="P25" s="329"/>
      <c r="Q25" s="330"/>
      <c r="R25" s="331"/>
      <c r="S25" s="331"/>
      <c r="T25" s="332"/>
      <c r="U25" s="328" t="str">
        <f>개요!$B$85&amp;V25</f>
        <v/>
      </c>
      <c r="V25" s="329"/>
      <c r="W25" s="330"/>
      <c r="X25" s="331"/>
      <c r="Y25" s="331"/>
      <c r="Z25" s="332"/>
      <c r="AA25" s="328" t="str">
        <f>개요!$B$97&amp;AB25</f>
        <v/>
      </c>
      <c r="AB25" s="329"/>
      <c r="AC25" s="330"/>
      <c r="AD25" s="331"/>
      <c r="AE25" s="331"/>
      <c r="AF25" s="332"/>
      <c r="AG25" s="328" t="str">
        <f>개요!$B$109&amp;AH25</f>
        <v/>
      </c>
      <c r="AH25" s="329"/>
      <c r="AI25" s="330"/>
      <c r="AJ25" s="331"/>
      <c r="AK25" s="331"/>
      <c r="AL25" s="332"/>
      <c r="AM25" s="328" t="str">
        <f>개요!$B$121&amp;AN25</f>
        <v/>
      </c>
      <c r="AN25" s="329"/>
      <c r="AO25" s="330"/>
      <c r="AP25" s="331"/>
      <c r="AQ25" s="331"/>
      <c r="AR25" s="332"/>
      <c r="AS25" s="328" t="str">
        <f>개요!$B$133&amp;AT25</f>
        <v/>
      </c>
      <c r="AT25" s="329"/>
      <c r="AU25" s="330"/>
      <c r="AV25" s="331"/>
      <c r="AW25" s="331"/>
      <c r="AX25" s="332"/>
      <c r="AY25" s="328" t="str">
        <f>개요!$B$145&amp;AZ25</f>
        <v/>
      </c>
      <c r="AZ25" s="329"/>
      <c r="BA25" s="330"/>
      <c r="BB25" s="331"/>
      <c r="BC25" s="331"/>
      <c r="BD25" s="332"/>
      <c r="BE25" s="328" t="str">
        <f>개요!$B$157&amp;BF25</f>
        <v/>
      </c>
      <c r="BF25" s="329"/>
      <c r="BG25" s="330"/>
      <c r="BH25" s="331"/>
      <c r="BI25" s="331"/>
    </row>
    <row r="26" spans="3:61" ht="14.25" customHeight="1" thickBot="1">
      <c r="C26" s="328" t="str">
        <f>개요!$C$9&amp;D26</f>
        <v/>
      </c>
      <c r="D26" s="329"/>
      <c r="E26" s="330"/>
      <c r="F26" s="331"/>
      <c r="G26" s="331"/>
      <c r="H26" s="332"/>
      <c r="I26" s="328" t="str">
        <f>개요!$B$61&amp;J26</f>
        <v/>
      </c>
      <c r="J26" s="329"/>
      <c r="K26" s="330"/>
      <c r="L26" s="331"/>
      <c r="M26" s="331"/>
      <c r="N26" s="332"/>
      <c r="O26" s="328" t="str">
        <f>개요!$B$73&amp;P26</f>
        <v/>
      </c>
      <c r="P26" s="329"/>
      <c r="Q26" s="330"/>
      <c r="R26" s="331"/>
      <c r="S26" s="331"/>
      <c r="T26" s="332"/>
      <c r="U26" s="328" t="str">
        <f>개요!$B$85&amp;V26</f>
        <v/>
      </c>
      <c r="V26" s="329"/>
      <c r="W26" s="330"/>
      <c r="X26" s="331"/>
      <c r="Y26" s="331"/>
      <c r="Z26" s="332"/>
      <c r="AA26" s="328" t="str">
        <f>개요!$B$97&amp;AB26</f>
        <v/>
      </c>
      <c r="AB26" s="329"/>
      <c r="AC26" s="330"/>
      <c r="AD26" s="331"/>
      <c r="AE26" s="331"/>
      <c r="AF26" s="332"/>
      <c r="AG26" s="328" t="str">
        <f>개요!$B$109&amp;AH26</f>
        <v/>
      </c>
      <c r="AH26" s="329"/>
      <c r="AI26" s="330"/>
      <c r="AJ26" s="331"/>
      <c r="AK26" s="331"/>
      <c r="AL26" s="332"/>
      <c r="AM26" s="328" t="str">
        <f>개요!$B$121&amp;AN26</f>
        <v/>
      </c>
      <c r="AN26" s="329"/>
      <c r="AO26" s="330"/>
      <c r="AP26" s="331"/>
      <c r="AQ26" s="331"/>
      <c r="AR26" s="332"/>
      <c r="AS26" s="328" t="str">
        <f>개요!$B$133&amp;AT26</f>
        <v/>
      </c>
      <c r="AT26" s="329"/>
      <c r="AU26" s="330"/>
      <c r="AV26" s="331"/>
      <c r="AW26" s="331"/>
      <c r="AX26" s="332"/>
      <c r="AY26" s="328" t="str">
        <f>개요!$B$145&amp;AZ26</f>
        <v/>
      </c>
      <c r="AZ26" s="329"/>
      <c r="BA26" s="330"/>
      <c r="BB26" s="331"/>
      <c r="BC26" s="331"/>
      <c r="BD26" s="332"/>
      <c r="BE26" s="328" t="str">
        <f>개요!$B$157&amp;BF26</f>
        <v/>
      </c>
      <c r="BF26" s="329"/>
      <c r="BG26" s="330"/>
      <c r="BH26" s="331"/>
      <c r="BI26" s="331"/>
    </row>
    <row r="27" spans="3:61" ht="14.25" customHeight="1" thickBot="1">
      <c r="C27" s="328" t="str">
        <f>개요!$C$9&amp;D27</f>
        <v/>
      </c>
      <c r="D27" s="329"/>
      <c r="E27" s="330"/>
      <c r="F27" s="331"/>
      <c r="G27" s="331"/>
      <c r="H27" s="332"/>
      <c r="I27" s="328" t="str">
        <f>개요!$B$61&amp;J27</f>
        <v/>
      </c>
      <c r="J27" s="329"/>
      <c r="K27" s="330"/>
      <c r="L27" s="331"/>
      <c r="M27" s="331"/>
      <c r="N27" s="332"/>
      <c r="O27" s="328" t="str">
        <f>개요!$B$73&amp;P27</f>
        <v/>
      </c>
      <c r="P27" s="329"/>
      <c r="Q27" s="330"/>
      <c r="R27" s="331"/>
      <c r="S27" s="331"/>
      <c r="T27" s="332"/>
      <c r="U27" s="328" t="str">
        <f>개요!$B$85&amp;V27</f>
        <v/>
      </c>
      <c r="V27" s="329"/>
      <c r="W27" s="330"/>
      <c r="X27" s="331"/>
      <c r="Y27" s="331"/>
      <c r="Z27" s="332"/>
      <c r="AA27" s="328" t="str">
        <f>개요!$B$97&amp;AB27</f>
        <v/>
      </c>
      <c r="AB27" s="329"/>
      <c r="AC27" s="330"/>
      <c r="AD27" s="331"/>
      <c r="AE27" s="331"/>
      <c r="AF27" s="332"/>
      <c r="AG27" s="328" t="str">
        <f>개요!$B$109&amp;AH27</f>
        <v/>
      </c>
      <c r="AH27" s="329"/>
      <c r="AI27" s="330"/>
      <c r="AJ27" s="331"/>
      <c r="AK27" s="331"/>
      <c r="AL27" s="332"/>
      <c r="AM27" s="328" t="str">
        <f>개요!$B$121&amp;AN27</f>
        <v/>
      </c>
      <c r="AN27" s="329"/>
      <c r="AO27" s="330"/>
      <c r="AP27" s="331"/>
      <c r="AQ27" s="331"/>
      <c r="AR27" s="332"/>
      <c r="AS27" s="328" t="str">
        <f>개요!$B$133&amp;AT27</f>
        <v/>
      </c>
      <c r="AT27" s="329"/>
      <c r="AU27" s="330"/>
      <c r="AV27" s="331"/>
      <c r="AW27" s="331"/>
      <c r="AX27" s="332"/>
      <c r="AY27" s="328" t="str">
        <f>개요!$B$145&amp;AZ27</f>
        <v/>
      </c>
      <c r="AZ27" s="329"/>
      <c r="BA27" s="330"/>
      <c r="BB27" s="331"/>
      <c r="BC27" s="331"/>
      <c r="BD27" s="332"/>
      <c r="BE27" s="328" t="str">
        <f>개요!$B$157&amp;BF27</f>
        <v/>
      </c>
      <c r="BF27" s="329"/>
      <c r="BG27" s="330"/>
      <c r="BH27" s="331"/>
      <c r="BI27" s="331"/>
    </row>
    <row r="28" spans="3:61" ht="14.25" customHeight="1" thickBot="1">
      <c r="C28" s="328" t="str">
        <f>개요!$C$9&amp;D28</f>
        <v/>
      </c>
      <c r="D28" s="329"/>
      <c r="E28" s="330"/>
      <c r="F28" s="331"/>
      <c r="G28" s="331"/>
      <c r="H28" s="332"/>
      <c r="I28" s="328" t="str">
        <f>개요!$B$61&amp;J28</f>
        <v/>
      </c>
      <c r="J28" s="329"/>
      <c r="K28" s="330"/>
      <c r="L28" s="331"/>
      <c r="M28" s="331"/>
      <c r="N28" s="332"/>
      <c r="O28" s="328" t="str">
        <f>개요!$B$73&amp;P28</f>
        <v/>
      </c>
      <c r="P28" s="329"/>
      <c r="Q28" s="330"/>
      <c r="R28" s="331"/>
      <c r="S28" s="331"/>
      <c r="T28" s="332"/>
      <c r="U28" s="328" t="str">
        <f>개요!$B$85&amp;V28</f>
        <v/>
      </c>
      <c r="V28" s="329"/>
      <c r="W28" s="330"/>
      <c r="X28" s="331"/>
      <c r="Y28" s="331"/>
      <c r="Z28" s="332"/>
      <c r="AA28" s="328" t="str">
        <f>개요!$B$97&amp;AB28</f>
        <v/>
      </c>
      <c r="AB28" s="329"/>
      <c r="AC28" s="330"/>
      <c r="AD28" s="331"/>
      <c r="AE28" s="331"/>
      <c r="AF28" s="332"/>
      <c r="AG28" s="328" t="str">
        <f>개요!$B$109&amp;AH28</f>
        <v/>
      </c>
      <c r="AH28" s="329"/>
      <c r="AI28" s="330"/>
      <c r="AJ28" s="331"/>
      <c r="AK28" s="331"/>
      <c r="AL28" s="332"/>
      <c r="AM28" s="328" t="str">
        <f>개요!$B$121&amp;AN28</f>
        <v/>
      </c>
      <c r="AN28" s="329"/>
      <c r="AO28" s="330"/>
      <c r="AP28" s="331"/>
      <c r="AQ28" s="331"/>
      <c r="AR28" s="332"/>
      <c r="AS28" s="328" t="str">
        <f>개요!$B$133&amp;AT28</f>
        <v/>
      </c>
      <c r="AT28" s="329"/>
      <c r="AU28" s="330"/>
      <c r="AV28" s="331"/>
      <c r="AW28" s="331"/>
      <c r="AX28" s="332"/>
      <c r="AY28" s="328" t="str">
        <f>개요!$B$145&amp;AZ28</f>
        <v/>
      </c>
      <c r="AZ28" s="329"/>
      <c r="BA28" s="330"/>
      <c r="BB28" s="331"/>
      <c r="BC28" s="331"/>
      <c r="BD28" s="332"/>
      <c r="BE28" s="328" t="str">
        <f>개요!$B$157&amp;BF28</f>
        <v/>
      </c>
      <c r="BF28" s="329"/>
      <c r="BG28" s="330"/>
      <c r="BH28" s="331"/>
      <c r="BI28" s="331"/>
    </row>
    <row r="29" spans="3:61" ht="14.25" customHeight="1" thickBot="1">
      <c r="C29" s="328" t="str">
        <f>개요!$C$9&amp;D29</f>
        <v/>
      </c>
      <c r="D29" s="329"/>
      <c r="E29" s="330"/>
      <c r="F29" s="331"/>
      <c r="G29" s="331"/>
      <c r="H29" s="332"/>
      <c r="I29" s="328" t="str">
        <f>개요!$B$61&amp;J29</f>
        <v/>
      </c>
      <c r="J29" s="329"/>
      <c r="K29" s="330"/>
      <c r="L29" s="331"/>
      <c r="M29" s="331"/>
      <c r="N29" s="332"/>
      <c r="O29" s="328" t="str">
        <f>개요!$B$73&amp;P29</f>
        <v/>
      </c>
      <c r="P29" s="329"/>
      <c r="Q29" s="330"/>
      <c r="R29" s="331"/>
      <c r="S29" s="331"/>
      <c r="T29" s="332"/>
      <c r="U29" s="328" t="str">
        <f>개요!$B$85&amp;V29</f>
        <v/>
      </c>
      <c r="V29" s="329"/>
      <c r="W29" s="330"/>
      <c r="X29" s="331"/>
      <c r="Y29" s="331"/>
      <c r="Z29" s="332"/>
      <c r="AA29" s="328" t="str">
        <f>개요!$B$97&amp;AB29</f>
        <v/>
      </c>
      <c r="AB29" s="329"/>
      <c r="AC29" s="330"/>
      <c r="AD29" s="331"/>
      <c r="AE29" s="331"/>
      <c r="AF29" s="332"/>
      <c r="AG29" s="328" t="str">
        <f>개요!$B$109&amp;AH29</f>
        <v/>
      </c>
      <c r="AH29" s="329"/>
      <c r="AI29" s="330"/>
      <c r="AJ29" s="331"/>
      <c r="AK29" s="331"/>
      <c r="AL29" s="332"/>
      <c r="AM29" s="328" t="str">
        <f>개요!$B$121&amp;AN29</f>
        <v/>
      </c>
      <c r="AN29" s="329"/>
      <c r="AO29" s="330"/>
      <c r="AP29" s="331"/>
      <c r="AQ29" s="331"/>
      <c r="AR29" s="332"/>
      <c r="AS29" s="328" t="str">
        <f>개요!$B$133&amp;AT29</f>
        <v/>
      </c>
      <c r="AT29" s="329"/>
      <c r="AU29" s="330"/>
      <c r="AV29" s="331"/>
      <c r="AW29" s="331"/>
      <c r="AX29" s="332"/>
      <c r="AY29" s="328" t="str">
        <f>개요!$B$145&amp;AZ29</f>
        <v/>
      </c>
      <c r="AZ29" s="329"/>
      <c r="BA29" s="330"/>
      <c r="BB29" s="331"/>
      <c r="BC29" s="331"/>
      <c r="BD29" s="332"/>
      <c r="BE29" s="328" t="str">
        <f>개요!$B$157&amp;BF29</f>
        <v/>
      </c>
      <c r="BF29" s="329"/>
      <c r="BG29" s="330"/>
      <c r="BH29" s="331"/>
      <c r="BI29" s="331"/>
    </row>
    <row r="30" spans="3:61" ht="14.25" customHeight="1" thickBot="1">
      <c r="C30" s="328" t="str">
        <f>개요!$C$9&amp;D30</f>
        <v/>
      </c>
      <c r="D30" s="329"/>
      <c r="E30" s="330"/>
      <c r="F30" s="331"/>
      <c r="G30" s="331"/>
      <c r="H30" s="332"/>
      <c r="I30" s="328" t="str">
        <f>개요!$B$61&amp;J30</f>
        <v/>
      </c>
      <c r="J30" s="329"/>
      <c r="K30" s="330"/>
      <c r="L30" s="331"/>
      <c r="M30" s="331"/>
      <c r="N30" s="332"/>
      <c r="O30" s="328" t="str">
        <f>개요!$B$73&amp;P30</f>
        <v/>
      </c>
      <c r="P30" s="329"/>
      <c r="Q30" s="330"/>
      <c r="R30" s="331"/>
      <c r="S30" s="331"/>
      <c r="T30" s="332"/>
      <c r="U30" s="328" t="str">
        <f>개요!$B$85&amp;V30</f>
        <v/>
      </c>
      <c r="V30" s="329"/>
      <c r="W30" s="330"/>
      <c r="X30" s="331"/>
      <c r="Y30" s="331"/>
      <c r="Z30" s="332"/>
      <c r="AA30" s="328" t="str">
        <f>개요!$B$97&amp;AB30</f>
        <v/>
      </c>
      <c r="AB30" s="329"/>
      <c r="AC30" s="330"/>
      <c r="AD30" s="331"/>
      <c r="AE30" s="331"/>
      <c r="AF30" s="332"/>
      <c r="AG30" s="328" t="str">
        <f>개요!$B$109&amp;AH30</f>
        <v/>
      </c>
      <c r="AH30" s="329"/>
      <c r="AI30" s="330"/>
      <c r="AJ30" s="331"/>
      <c r="AK30" s="331"/>
      <c r="AL30" s="332"/>
      <c r="AM30" s="328" t="str">
        <f>개요!$B$121&amp;AN30</f>
        <v/>
      </c>
      <c r="AN30" s="329"/>
      <c r="AO30" s="330"/>
      <c r="AP30" s="331"/>
      <c r="AQ30" s="331"/>
      <c r="AR30" s="332"/>
      <c r="AS30" s="328" t="str">
        <f>개요!$B$133&amp;AT30</f>
        <v/>
      </c>
      <c r="AT30" s="329"/>
      <c r="AU30" s="330"/>
      <c r="AV30" s="331"/>
      <c r="AW30" s="331"/>
      <c r="AX30" s="332"/>
      <c r="AY30" s="328" t="str">
        <f>개요!$B$145&amp;AZ30</f>
        <v/>
      </c>
      <c r="AZ30" s="329"/>
      <c r="BA30" s="330"/>
      <c r="BB30" s="331"/>
      <c r="BC30" s="331"/>
      <c r="BD30" s="332"/>
      <c r="BE30" s="328" t="str">
        <f>개요!$B$157&amp;BF30</f>
        <v/>
      </c>
      <c r="BF30" s="329"/>
      <c r="BG30" s="330"/>
      <c r="BH30" s="331"/>
      <c r="BI30" s="331"/>
    </row>
    <row r="31" spans="3:61" ht="14.25" customHeight="1" thickBot="1">
      <c r="C31" s="328" t="str">
        <f>개요!$C$9&amp;D31</f>
        <v/>
      </c>
      <c r="D31" s="329"/>
      <c r="E31" s="330"/>
      <c r="F31" s="331"/>
      <c r="G31" s="331"/>
      <c r="H31" s="332"/>
      <c r="I31" s="328" t="str">
        <f>개요!$B$61&amp;J31</f>
        <v/>
      </c>
      <c r="J31" s="329"/>
      <c r="K31" s="330"/>
      <c r="L31" s="331"/>
      <c r="M31" s="331"/>
      <c r="N31" s="332"/>
      <c r="O31" s="328" t="str">
        <f>개요!$B$73&amp;P31</f>
        <v/>
      </c>
      <c r="P31" s="329"/>
      <c r="Q31" s="330"/>
      <c r="R31" s="331"/>
      <c r="S31" s="331"/>
      <c r="T31" s="332"/>
      <c r="U31" s="328" t="str">
        <f>개요!$B$85&amp;V31</f>
        <v/>
      </c>
      <c r="V31" s="329"/>
      <c r="W31" s="330"/>
      <c r="X31" s="331"/>
      <c r="Y31" s="331"/>
      <c r="Z31" s="332"/>
      <c r="AA31" s="328" t="str">
        <f>개요!$B$97&amp;AB31</f>
        <v/>
      </c>
      <c r="AB31" s="329"/>
      <c r="AC31" s="330"/>
      <c r="AD31" s="331"/>
      <c r="AE31" s="331"/>
      <c r="AF31" s="332"/>
      <c r="AG31" s="328" t="str">
        <f>개요!$B$109&amp;AH31</f>
        <v/>
      </c>
      <c r="AH31" s="329"/>
      <c r="AI31" s="330"/>
      <c r="AJ31" s="331"/>
      <c r="AK31" s="331"/>
      <c r="AL31" s="332"/>
      <c r="AM31" s="328" t="str">
        <f>개요!$B$121&amp;AN31</f>
        <v/>
      </c>
      <c r="AN31" s="329"/>
      <c r="AO31" s="330"/>
      <c r="AP31" s="331"/>
      <c r="AQ31" s="331"/>
      <c r="AR31" s="332"/>
      <c r="AS31" s="328" t="str">
        <f>개요!$B$133&amp;AT31</f>
        <v/>
      </c>
      <c r="AT31" s="329"/>
      <c r="AU31" s="330"/>
      <c r="AV31" s="331"/>
      <c r="AW31" s="331"/>
      <c r="AX31" s="332"/>
      <c r="AY31" s="328" t="str">
        <f>개요!$B$145&amp;AZ31</f>
        <v/>
      </c>
      <c r="AZ31" s="329"/>
      <c r="BA31" s="330"/>
      <c r="BB31" s="331"/>
      <c r="BC31" s="331"/>
      <c r="BD31" s="332"/>
      <c r="BE31" s="328" t="str">
        <f>개요!$B$157&amp;BF31</f>
        <v/>
      </c>
      <c r="BF31" s="329"/>
      <c r="BG31" s="330"/>
      <c r="BH31" s="331"/>
      <c r="BI31" s="331"/>
    </row>
    <row r="32" spans="3:61" ht="14.25" customHeight="1" thickBot="1">
      <c r="C32" s="328" t="str">
        <f>개요!$C$9&amp;D32</f>
        <v/>
      </c>
      <c r="D32" s="329"/>
      <c r="E32" s="330"/>
      <c r="F32" s="331"/>
      <c r="G32" s="331"/>
      <c r="H32" s="332"/>
      <c r="I32" s="328" t="str">
        <f>개요!$B$61&amp;J32</f>
        <v/>
      </c>
      <c r="J32" s="329"/>
      <c r="K32" s="330"/>
      <c r="L32" s="331"/>
      <c r="M32" s="331"/>
      <c r="N32" s="332"/>
      <c r="O32" s="328" t="str">
        <f>개요!$B$73&amp;P32</f>
        <v/>
      </c>
      <c r="P32" s="329"/>
      <c r="Q32" s="330"/>
      <c r="R32" s="331"/>
      <c r="S32" s="331"/>
      <c r="T32" s="332"/>
      <c r="U32" s="328" t="str">
        <f>개요!$B$85&amp;V32</f>
        <v/>
      </c>
      <c r="V32" s="329"/>
      <c r="W32" s="330"/>
      <c r="X32" s="331"/>
      <c r="Y32" s="331"/>
      <c r="Z32" s="332"/>
      <c r="AA32" s="328" t="str">
        <f>개요!$B$97&amp;AB32</f>
        <v/>
      </c>
      <c r="AB32" s="329"/>
      <c r="AC32" s="330"/>
      <c r="AD32" s="331"/>
      <c r="AE32" s="331"/>
      <c r="AF32" s="332"/>
      <c r="AG32" s="328" t="str">
        <f>개요!$B$109&amp;AH32</f>
        <v/>
      </c>
      <c r="AH32" s="329"/>
      <c r="AI32" s="330"/>
      <c r="AJ32" s="331"/>
      <c r="AK32" s="331"/>
      <c r="AL32" s="332"/>
      <c r="AM32" s="328" t="str">
        <f>개요!$B$121&amp;AN32</f>
        <v/>
      </c>
      <c r="AN32" s="329"/>
      <c r="AO32" s="330"/>
      <c r="AP32" s="331"/>
      <c r="AQ32" s="331"/>
      <c r="AR32" s="332"/>
      <c r="AS32" s="328" t="str">
        <f>개요!$B$133&amp;AT32</f>
        <v/>
      </c>
      <c r="AT32" s="329"/>
      <c r="AU32" s="330"/>
      <c r="AV32" s="331"/>
      <c r="AW32" s="331"/>
      <c r="AX32" s="332"/>
      <c r="AY32" s="328" t="str">
        <f>개요!$B$145&amp;AZ32</f>
        <v/>
      </c>
      <c r="AZ32" s="329"/>
      <c r="BA32" s="330"/>
      <c r="BB32" s="331"/>
      <c r="BC32" s="331"/>
      <c r="BD32" s="332"/>
      <c r="BE32" s="328" t="str">
        <f>개요!$B$157&amp;BF32</f>
        <v/>
      </c>
      <c r="BF32" s="329"/>
      <c r="BG32" s="330"/>
      <c r="BH32" s="331"/>
      <c r="BI32" s="331"/>
    </row>
    <row r="33" spans="3:61" ht="14.25" customHeight="1" thickBot="1">
      <c r="C33" s="328" t="str">
        <f>개요!$C$9&amp;D33</f>
        <v/>
      </c>
      <c r="D33" s="329"/>
      <c r="E33" s="330"/>
      <c r="F33" s="331"/>
      <c r="G33" s="331"/>
      <c r="H33" s="332"/>
      <c r="I33" s="328" t="str">
        <f>개요!$B$61&amp;J33</f>
        <v/>
      </c>
      <c r="J33" s="329"/>
      <c r="K33" s="330"/>
      <c r="L33" s="331"/>
      <c r="M33" s="331"/>
      <c r="N33" s="332"/>
      <c r="O33" s="328" t="str">
        <f>개요!$B$73&amp;P33</f>
        <v/>
      </c>
      <c r="P33" s="329"/>
      <c r="Q33" s="330"/>
      <c r="R33" s="331"/>
      <c r="S33" s="331"/>
      <c r="T33" s="332"/>
      <c r="U33" s="328" t="str">
        <f>개요!$B$85&amp;V33</f>
        <v/>
      </c>
      <c r="V33" s="329"/>
      <c r="W33" s="330"/>
      <c r="X33" s="331"/>
      <c r="Y33" s="331"/>
      <c r="Z33" s="332"/>
      <c r="AA33" s="328" t="str">
        <f>개요!$B$97&amp;AB33</f>
        <v/>
      </c>
      <c r="AB33" s="329"/>
      <c r="AC33" s="330"/>
      <c r="AD33" s="331"/>
      <c r="AE33" s="331"/>
      <c r="AF33" s="332"/>
      <c r="AG33" s="328" t="str">
        <f>개요!$B$109&amp;AH33</f>
        <v/>
      </c>
      <c r="AH33" s="329"/>
      <c r="AI33" s="330"/>
      <c r="AJ33" s="331"/>
      <c r="AK33" s="331"/>
      <c r="AL33" s="332"/>
      <c r="AM33" s="328" t="str">
        <f>개요!$B$121&amp;AN33</f>
        <v/>
      </c>
      <c r="AN33" s="329"/>
      <c r="AO33" s="330"/>
      <c r="AP33" s="331"/>
      <c r="AQ33" s="331"/>
      <c r="AR33" s="332"/>
      <c r="AS33" s="328" t="str">
        <f>개요!$B$133&amp;AT33</f>
        <v/>
      </c>
      <c r="AT33" s="329"/>
      <c r="AU33" s="330"/>
      <c r="AV33" s="331"/>
      <c r="AW33" s="331"/>
      <c r="AX33" s="332"/>
      <c r="AY33" s="328" t="str">
        <f>개요!$B$145&amp;AZ33</f>
        <v/>
      </c>
      <c r="AZ33" s="329"/>
      <c r="BA33" s="330"/>
      <c r="BB33" s="331"/>
      <c r="BC33" s="331"/>
      <c r="BD33" s="332"/>
      <c r="BE33" s="328" t="str">
        <f>개요!$B$157&amp;BF33</f>
        <v/>
      </c>
      <c r="BF33" s="329"/>
      <c r="BG33" s="330"/>
      <c r="BH33" s="331"/>
      <c r="BI33" s="331"/>
    </row>
    <row r="34" spans="3:61" ht="14.25" customHeight="1" thickBot="1">
      <c r="C34" s="328" t="str">
        <f>개요!$C$9&amp;D34</f>
        <v/>
      </c>
      <c r="D34" s="329"/>
      <c r="E34" s="330"/>
      <c r="F34" s="331"/>
      <c r="G34" s="331"/>
      <c r="H34" s="332"/>
      <c r="I34" s="328" t="str">
        <f>개요!$B$61&amp;J34</f>
        <v/>
      </c>
      <c r="J34" s="329"/>
      <c r="K34" s="330"/>
      <c r="L34" s="331"/>
      <c r="M34" s="331"/>
      <c r="N34" s="332"/>
      <c r="O34" s="328" t="str">
        <f>개요!$B$73&amp;P34</f>
        <v/>
      </c>
      <c r="P34" s="329"/>
      <c r="Q34" s="330"/>
      <c r="R34" s="331"/>
      <c r="S34" s="331"/>
      <c r="T34" s="332"/>
      <c r="U34" s="328" t="str">
        <f>개요!$B$85&amp;V34</f>
        <v/>
      </c>
      <c r="V34" s="329"/>
      <c r="W34" s="330"/>
      <c r="X34" s="331"/>
      <c r="Y34" s="331"/>
      <c r="Z34" s="332"/>
      <c r="AA34" s="328" t="str">
        <f>개요!$B$97&amp;AB34</f>
        <v/>
      </c>
      <c r="AB34" s="329"/>
      <c r="AC34" s="330"/>
      <c r="AD34" s="331"/>
      <c r="AE34" s="331"/>
      <c r="AF34" s="332"/>
      <c r="AG34" s="328" t="str">
        <f>개요!$B$109&amp;AH34</f>
        <v/>
      </c>
      <c r="AH34" s="329"/>
      <c r="AI34" s="330"/>
      <c r="AJ34" s="331"/>
      <c r="AK34" s="331"/>
      <c r="AL34" s="332"/>
      <c r="AM34" s="328" t="str">
        <f>개요!$B$121&amp;AN34</f>
        <v/>
      </c>
      <c r="AN34" s="329"/>
      <c r="AO34" s="330"/>
      <c r="AP34" s="331"/>
      <c r="AQ34" s="331"/>
      <c r="AR34" s="332"/>
      <c r="AS34" s="328" t="str">
        <f>개요!$B$133&amp;AT34</f>
        <v/>
      </c>
      <c r="AT34" s="329"/>
      <c r="AU34" s="330"/>
      <c r="AV34" s="331"/>
      <c r="AW34" s="331"/>
      <c r="AX34" s="332"/>
      <c r="AY34" s="328" t="str">
        <f>개요!$B$145&amp;AZ34</f>
        <v/>
      </c>
      <c r="AZ34" s="329"/>
      <c r="BA34" s="330"/>
      <c r="BB34" s="331"/>
      <c r="BC34" s="331"/>
      <c r="BD34" s="332"/>
      <c r="BE34" s="328" t="str">
        <f>개요!$B$157&amp;BF34</f>
        <v/>
      </c>
      <c r="BF34" s="329"/>
      <c r="BG34" s="330"/>
      <c r="BH34" s="331"/>
      <c r="BI34" s="331"/>
    </row>
    <row r="35" spans="3:61" ht="14.25" customHeight="1" thickBot="1">
      <c r="C35" s="328" t="str">
        <f>개요!$C$9&amp;D35</f>
        <v/>
      </c>
      <c r="D35" s="329"/>
      <c r="E35" s="330"/>
      <c r="F35" s="331"/>
      <c r="G35" s="331"/>
      <c r="H35" s="335"/>
      <c r="I35" s="328" t="str">
        <f>개요!$B$61&amp;J35</f>
        <v/>
      </c>
      <c r="J35" s="329"/>
      <c r="K35" s="330"/>
      <c r="L35" s="331"/>
      <c r="M35" s="331"/>
      <c r="N35" s="335"/>
      <c r="O35" s="328" t="str">
        <f>개요!$B$73&amp;P35</f>
        <v/>
      </c>
      <c r="P35" s="329"/>
      <c r="Q35" s="330"/>
      <c r="R35" s="331"/>
      <c r="S35" s="331"/>
      <c r="T35" s="335"/>
      <c r="U35" s="328" t="str">
        <f>개요!$B$85&amp;V35</f>
        <v/>
      </c>
      <c r="V35" s="329"/>
      <c r="W35" s="330"/>
      <c r="X35" s="331"/>
      <c r="Y35" s="331"/>
      <c r="Z35" s="335"/>
      <c r="AA35" s="328" t="str">
        <f>개요!$B$97&amp;AB35</f>
        <v/>
      </c>
      <c r="AB35" s="329"/>
      <c r="AC35" s="330"/>
      <c r="AD35" s="331"/>
      <c r="AE35" s="331"/>
      <c r="AF35" s="335"/>
      <c r="AG35" s="328" t="str">
        <f>개요!$B$109&amp;AH35</f>
        <v/>
      </c>
      <c r="AH35" s="329"/>
      <c r="AI35" s="330"/>
      <c r="AJ35" s="331"/>
      <c r="AK35" s="331"/>
      <c r="AL35" s="335"/>
      <c r="AM35" s="328" t="str">
        <f>개요!$B$121&amp;AN35</f>
        <v/>
      </c>
      <c r="AN35" s="329"/>
      <c r="AO35" s="330"/>
      <c r="AP35" s="331"/>
      <c r="AQ35" s="331"/>
      <c r="AR35" s="335"/>
      <c r="AS35" s="328" t="str">
        <f>개요!$B$133&amp;AT35</f>
        <v/>
      </c>
      <c r="AT35" s="329"/>
      <c r="AU35" s="330"/>
      <c r="AV35" s="331"/>
      <c r="AW35" s="331"/>
      <c r="AX35" s="335"/>
      <c r="AY35" s="328" t="str">
        <f>개요!$B$145&amp;AZ35</f>
        <v/>
      </c>
      <c r="AZ35" s="329"/>
      <c r="BA35" s="330"/>
      <c r="BB35" s="331"/>
      <c r="BC35" s="331"/>
      <c r="BD35" s="335"/>
      <c r="BE35" s="328" t="str">
        <f>개요!$B$157&amp;BF35</f>
        <v/>
      </c>
      <c r="BF35" s="329"/>
      <c r="BG35" s="330"/>
      <c r="BH35" s="331"/>
      <c r="BI35" s="331"/>
    </row>
    <row r="36" spans="3:61" ht="14.25" customHeight="1" thickBot="1">
      <c r="C36" s="328" t="str">
        <f>개요!$C$9&amp;D36</f>
        <v/>
      </c>
      <c r="D36" s="329"/>
      <c r="E36" s="330"/>
      <c r="F36" s="331"/>
      <c r="G36" s="331"/>
      <c r="H36" s="332"/>
      <c r="I36" s="328" t="str">
        <f>개요!$B$61&amp;J36</f>
        <v/>
      </c>
      <c r="J36" s="329"/>
      <c r="K36" s="330"/>
      <c r="L36" s="331"/>
      <c r="M36" s="331"/>
      <c r="N36" s="332"/>
      <c r="O36" s="328" t="str">
        <f>개요!$B$73&amp;P36</f>
        <v/>
      </c>
      <c r="P36" s="329"/>
      <c r="Q36" s="330"/>
      <c r="R36" s="331"/>
      <c r="S36" s="331"/>
      <c r="T36" s="332"/>
      <c r="U36" s="328" t="str">
        <f>개요!$B$85&amp;V36</f>
        <v/>
      </c>
      <c r="V36" s="329"/>
      <c r="W36" s="330"/>
      <c r="X36" s="331"/>
      <c r="Y36" s="331"/>
      <c r="Z36" s="332"/>
      <c r="AA36" s="328" t="str">
        <f>개요!$B$97&amp;AB36</f>
        <v/>
      </c>
      <c r="AB36" s="329"/>
      <c r="AC36" s="330"/>
      <c r="AD36" s="331"/>
      <c r="AE36" s="331"/>
      <c r="AF36" s="332"/>
      <c r="AG36" s="328" t="str">
        <f>개요!$B$109&amp;AH36</f>
        <v/>
      </c>
      <c r="AH36" s="329"/>
      <c r="AI36" s="330"/>
      <c r="AJ36" s="331"/>
      <c r="AK36" s="331"/>
      <c r="AL36" s="332"/>
      <c r="AM36" s="328" t="str">
        <f>개요!$B$121&amp;AN36</f>
        <v/>
      </c>
      <c r="AN36" s="329"/>
      <c r="AO36" s="330"/>
      <c r="AP36" s="331"/>
      <c r="AQ36" s="331"/>
      <c r="AR36" s="332"/>
      <c r="AS36" s="328" t="str">
        <f>개요!$B$133&amp;AT36</f>
        <v/>
      </c>
      <c r="AT36" s="329"/>
      <c r="AU36" s="330"/>
      <c r="AV36" s="331"/>
      <c r="AW36" s="331"/>
      <c r="AX36" s="332"/>
      <c r="AY36" s="328" t="str">
        <f>개요!$B$145&amp;AZ36</f>
        <v/>
      </c>
      <c r="AZ36" s="329"/>
      <c r="BA36" s="330"/>
      <c r="BB36" s="331"/>
      <c r="BC36" s="331"/>
      <c r="BD36" s="332"/>
      <c r="BE36" s="328" t="str">
        <f>개요!$B$157&amp;BF36</f>
        <v/>
      </c>
      <c r="BF36" s="329"/>
      <c r="BG36" s="330"/>
      <c r="BH36" s="331"/>
      <c r="BI36" s="331"/>
    </row>
    <row r="37" spans="3:61" ht="14.25" customHeight="1" thickBot="1">
      <c r="C37" s="328" t="str">
        <f>개요!$C$9&amp;D37</f>
        <v/>
      </c>
      <c r="D37" s="329"/>
      <c r="E37" s="330"/>
      <c r="F37" s="331"/>
      <c r="G37" s="331"/>
      <c r="H37" s="332"/>
      <c r="I37" s="328" t="str">
        <f>개요!$B$61&amp;J37</f>
        <v/>
      </c>
      <c r="J37" s="329"/>
      <c r="K37" s="330"/>
      <c r="L37" s="331"/>
      <c r="M37" s="331"/>
      <c r="N37" s="332"/>
      <c r="O37" s="328" t="str">
        <f>개요!$B$73&amp;P37</f>
        <v/>
      </c>
      <c r="P37" s="329"/>
      <c r="Q37" s="330"/>
      <c r="R37" s="331"/>
      <c r="S37" s="331"/>
      <c r="T37" s="332"/>
      <c r="U37" s="328" t="str">
        <f>개요!$B$85&amp;V37</f>
        <v/>
      </c>
      <c r="V37" s="329"/>
      <c r="W37" s="330"/>
      <c r="X37" s="331"/>
      <c r="Y37" s="331"/>
      <c r="Z37" s="332"/>
      <c r="AA37" s="328" t="str">
        <f>개요!$B$97&amp;AB37</f>
        <v/>
      </c>
      <c r="AB37" s="329"/>
      <c r="AC37" s="330"/>
      <c r="AD37" s="331"/>
      <c r="AE37" s="331"/>
      <c r="AF37" s="332"/>
      <c r="AG37" s="328" t="str">
        <f>개요!$B$109&amp;AH37</f>
        <v/>
      </c>
      <c r="AH37" s="329"/>
      <c r="AI37" s="330"/>
      <c r="AJ37" s="331"/>
      <c r="AK37" s="331"/>
      <c r="AL37" s="332"/>
      <c r="AM37" s="328" t="str">
        <f>개요!$B$121&amp;AN37</f>
        <v/>
      </c>
      <c r="AN37" s="329"/>
      <c r="AO37" s="330"/>
      <c r="AP37" s="331"/>
      <c r="AQ37" s="331"/>
      <c r="AR37" s="332"/>
      <c r="AS37" s="328" t="str">
        <f>개요!$B$133&amp;AT37</f>
        <v/>
      </c>
      <c r="AT37" s="329"/>
      <c r="AU37" s="330"/>
      <c r="AV37" s="331"/>
      <c r="AW37" s="331"/>
      <c r="AX37" s="332"/>
      <c r="AY37" s="328" t="str">
        <f>개요!$B$145&amp;AZ37</f>
        <v/>
      </c>
      <c r="AZ37" s="329"/>
      <c r="BA37" s="330"/>
      <c r="BB37" s="331"/>
      <c r="BC37" s="331"/>
      <c r="BD37" s="332"/>
      <c r="BE37" s="328" t="str">
        <f>개요!$B$157&amp;BF37</f>
        <v/>
      </c>
      <c r="BF37" s="329"/>
      <c r="BG37" s="330"/>
      <c r="BH37" s="331"/>
      <c r="BI37" s="331"/>
    </row>
    <row r="38" spans="3:61" ht="14.25" customHeight="1" thickBot="1">
      <c r="C38" s="328" t="str">
        <f>개요!$C$9&amp;D38</f>
        <v/>
      </c>
      <c r="D38" s="329"/>
      <c r="E38" s="330"/>
      <c r="F38" s="331"/>
      <c r="G38" s="331"/>
      <c r="H38" s="332"/>
      <c r="I38" s="328" t="str">
        <f>개요!$B$61&amp;J38</f>
        <v/>
      </c>
      <c r="J38" s="329"/>
      <c r="K38" s="330"/>
      <c r="L38" s="331"/>
      <c r="M38" s="331"/>
      <c r="N38" s="332"/>
      <c r="O38" s="328" t="str">
        <f>개요!$B$73&amp;P38</f>
        <v/>
      </c>
      <c r="P38" s="329"/>
      <c r="Q38" s="330"/>
      <c r="R38" s="331"/>
      <c r="S38" s="331"/>
      <c r="T38" s="332"/>
      <c r="U38" s="328" t="str">
        <f>개요!$B$85&amp;V38</f>
        <v/>
      </c>
      <c r="V38" s="329"/>
      <c r="W38" s="330"/>
      <c r="X38" s="331"/>
      <c r="Y38" s="331"/>
      <c r="Z38" s="332"/>
      <c r="AA38" s="328" t="str">
        <f>개요!$B$97&amp;AB38</f>
        <v/>
      </c>
      <c r="AB38" s="329"/>
      <c r="AC38" s="330"/>
      <c r="AD38" s="331"/>
      <c r="AE38" s="331"/>
      <c r="AF38" s="332"/>
      <c r="AG38" s="328" t="str">
        <f>개요!$B$109&amp;AH38</f>
        <v/>
      </c>
      <c r="AH38" s="329"/>
      <c r="AI38" s="330"/>
      <c r="AJ38" s="331"/>
      <c r="AK38" s="331"/>
      <c r="AL38" s="332"/>
      <c r="AM38" s="328" t="str">
        <f>개요!$B$121&amp;AN38</f>
        <v/>
      </c>
      <c r="AN38" s="329"/>
      <c r="AO38" s="330"/>
      <c r="AP38" s="331"/>
      <c r="AQ38" s="331"/>
      <c r="AR38" s="332"/>
      <c r="AS38" s="328" t="str">
        <f>개요!$B$133&amp;AT38</f>
        <v/>
      </c>
      <c r="AT38" s="329"/>
      <c r="AU38" s="330"/>
      <c r="AV38" s="331"/>
      <c r="AW38" s="331"/>
      <c r="AX38" s="332"/>
      <c r="AY38" s="328" t="str">
        <f>개요!$B$145&amp;AZ38</f>
        <v/>
      </c>
      <c r="AZ38" s="329"/>
      <c r="BA38" s="330"/>
      <c r="BB38" s="331"/>
      <c r="BC38" s="331"/>
      <c r="BD38" s="332"/>
      <c r="BE38" s="328" t="str">
        <f>개요!$B$157&amp;BF38</f>
        <v/>
      </c>
      <c r="BF38" s="329"/>
      <c r="BG38" s="330"/>
      <c r="BH38" s="331"/>
      <c r="BI38" s="331"/>
    </row>
    <row r="39" spans="3:61" ht="14.25" customHeight="1" thickBot="1">
      <c r="C39" s="328" t="str">
        <f>개요!$C$9&amp;D39</f>
        <v/>
      </c>
      <c r="D39" s="329"/>
      <c r="E39" s="330"/>
      <c r="F39" s="331"/>
      <c r="G39" s="331"/>
      <c r="I39" s="328" t="str">
        <f>개요!$B$61&amp;J39</f>
        <v/>
      </c>
      <c r="J39" s="329"/>
      <c r="K39" s="330"/>
      <c r="L39" s="331"/>
      <c r="M39" s="331"/>
      <c r="O39" s="328" t="str">
        <f>개요!$B$73&amp;P39</f>
        <v/>
      </c>
      <c r="P39" s="329"/>
      <c r="Q39" s="330"/>
      <c r="R39" s="331"/>
      <c r="S39" s="331"/>
      <c r="U39" s="328" t="str">
        <f>개요!$B$85&amp;V39</f>
        <v/>
      </c>
      <c r="V39" s="329"/>
      <c r="W39" s="330"/>
      <c r="X39" s="331"/>
      <c r="Y39" s="331"/>
      <c r="AA39" s="328" t="str">
        <f>개요!$B$97&amp;AB39</f>
        <v/>
      </c>
      <c r="AB39" s="329"/>
      <c r="AC39" s="330"/>
      <c r="AD39" s="331"/>
      <c r="AE39" s="331"/>
      <c r="AG39" s="328" t="str">
        <f>개요!$B$109&amp;AH39</f>
        <v/>
      </c>
      <c r="AH39" s="329"/>
      <c r="AI39" s="330"/>
      <c r="AJ39" s="331"/>
      <c r="AK39" s="331"/>
      <c r="AM39" s="328" t="str">
        <f>개요!$B$121&amp;AN39</f>
        <v/>
      </c>
      <c r="AN39" s="329"/>
      <c r="AO39" s="330"/>
      <c r="AP39" s="331"/>
      <c r="AQ39" s="331"/>
      <c r="AS39" s="328" t="str">
        <f>개요!$B$133&amp;AT39</f>
        <v/>
      </c>
      <c r="AT39" s="329"/>
      <c r="AU39" s="330"/>
      <c r="AV39" s="331"/>
      <c r="AW39" s="331"/>
      <c r="AY39" s="328" t="str">
        <f>개요!$B$145&amp;AZ39</f>
        <v/>
      </c>
      <c r="AZ39" s="329"/>
      <c r="BA39" s="330"/>
      <c r="BB39" s="331"/>
      <c r="BC39" s="331"/>
      <c r="BE39" s="328" t="str">
        <f>개요!$B$157&amp;BF39</f>
        <v/>
      </c>
      <c r="BF39" s="329"/>
      <c r="BG39" s="330"/>
      <c r="BH39" s="331"/>
      <c r="BI39" s="331"/>
    </row>
    <row r="40" spans="3:61" ht="14.25" customHeight="1">
      <c r="F40" s="336" t="b">
        <f>IF(AND(NAV!B16:B29),TRUE,FALSE)</f>
        <v>1</v>
      </c>
      <c r="G40" s="336"/>
      <c r="L40" s="336" t="b">
        <f>IF(AND(NAV!B209:B222),TRUE,FALSE)</f>
        <v>1</v>
      </c>
      <c r="M40" s="336"/>
      <c r="R40" s="336" t="b">
        <f>IF(AND(NAV!B247:B260),TRUE,FALSE)</f>
        <v>1</v>
      </c>
      <c r="S40" s="336"/>
      <c r="X40" s="336" t="b">
        <f>IF(AND(NAV!B285:B298),TRUE,FALSE)</f>
        <v>1</v>
      </c>
      <c r="Y40" s="336"/>
      <c r="AD40" s="336" t="b">
        <f>IF(AND(NAV!B323:B336),TRUE,FALSE)</f>
        <v>1</v>
      </c>
      <c r="AE40" s="336"/>
      <c r="AJ40" s="336" t="b">
        <f>IF(AND(NAV!B361:B374),TRUE,FALSE)</f>
        <v>1</v>
      </c>
      <c r="AK40" s="336"/>
      <c r="AP40" s="336" t="b">
        <f>IF(AND(NAV!B399:B412),TRUE,FALSE)</f>
        <v>1</v>
      </c>
      <c r="AQ40" s="336"/>
      <c r="AV40" s="336" t="b">
        <f>IF(AND(NAV!B437:B450),TRUE,FALSE)</f>
        <v>1</v>
      </c>
      <c r="AW40" s="336"/>
      <c r="BB40" s="336" t="b">
        <f>IF(AND(NAV!B475:B488),TRUE,FALSE)</f>
        <v>1</v>
      </c>
      <c r="BC40" s="336"/>
      <c r="BH40" s="336" t="b">
        <f>IF(AND(NAV!B513:B526),TRUE,FALSE)</f>
        <v>1</v>
      </c>
      <c r="BI40" s="336"/>
    </row>
    <row r="42" spans="3:61">
      <c r="D42" s="314" t="s">
        <v>279</v>
      </c>
      <c r="E42" s="315"/>
      <c r="F42" s="316"/>
      <c r="G42" s="316"/>
      <c r="I42" s="316"/>
      <c r="J42" s="314" t="s">
        <v>279</v>
      </c>
      <c r="K42" s="315"/>
      <c r="L42" s="316"/>
      <c r="M42" s="316"/>
      <c r="O42" s="316"/>
      <c r="P42" s="314" t="s">
        <v>279</v>
      </c>
      <c r="Q42" s="316"/>
      <c r="R42" s="316"/>
      <c r="S42" s="316"/>
      <c r="U42" s="316"/>
      <c r="V42" s="314" t="s">
        <v>279</v>
      </c>
      <c r="W42" s="316"/>
      <c r="X42" s="316"/>
      <c r="Y42" s="316"/>
      <c r="AA42" s="316"/>
      <c r="AB42" s="314" t="s">
        <v>279</v>
      </c>
      <c r="AC42" s="316"/>
      <c r="AD42" s="316"/>
      <c r="AE42" s="316"/>
      <c r="AG42" s="316"/>
      <c r="AH42" s="314" t="s">
        <v>279</v>
      </c>
      <c r="AI42" s="316"/>
      <c r="AJ42" s="316"/>
      <c r="AK42" s="316"/>
      <c r="AM42" s="316"/>
      <c r="AN42" s="314" t="s">
        <v>279</v>
      </c>
      <c r="AO42" s="316"/>
      <c r="AP42" s="316"/>
      <c r="AQ42" s="316"/>
      <c r="AS42" s="316"/>
      <c r="AT42" s="314" t="s">
        <v>279</v>
      </c>
      <c r="AU42" s="316"/>
      <c r="AV42" s="316"/>
      <c r="AW42" s="316"/>
      <c r="AY42" s="316"/>
      <c r="AZ42" s="314" t="s">
        <v>279</v>
      </c>
      <c r="BA42" s="316"/>
      <c r="BB42" s="316"/>
      <c r="BC42" s="316"/>
      <c r="BE42" s="316"/>
      <c r="BF42" s="314" t="s">
        <v>279</v>
      </c>
      <c r="BG42" s="316"/>
      <c r="BH42" s="316"/>
      <c r="BI42" s="316"/>
    </row>
    <row r="43" spans="3:61" ht="14.25" thickBot="1">
      <c r="D43" s="318" t="s">
        <v>328</v>
      </c>
      <c r="J43" s="318" t="s">
        <v>329</v>
      </c>
      <c r="P43" s="318" t="s">
        <v>330</v>
      </c>
      <c r="V43" s="318" t="s">
        <v>331</v>
      </c>
      <c r="AB43" s="318" t="s">
        <v>332</v>
      </c>
      <c r="AH43" s="318" t="s">
        <v>333</v>
      </c>
      <c r="AN43" s="318" t="s">
        <v>334</v>
      </c>
      <c r="AT43" s="318" t="s">
        <v>335</v>
      </c>
      <c r="AZ43" s="318" t="s">
        <v>336</v>
      </c>
      <c r="BA43" s="317"/>
      <c r="BB43" s="317"/>
      <c r="BC43" s="317"/>
      <c r="BF43" s="318" t="s">
        <v>337</v>
      </c>
    </row>
    <row r="44" spans="3:61">
      <c r="D44" s="319">
        <f>개요!$B$169</f>
        <v>0</v>
      </c>
      <c r="E44" s="319"/>
      <c r="F44" s="5"/>
      <c r="G44" s="320"/>
      <c r="J44" s="319">
        <f>개요!$B$181</f>
        <v>0</v>
      </c>
      <c r="K44" s="319"/>
      <c r="L44" s="5"/>
      <c r="M44" s="320"/>
      <c r="P44" s="319">
        <f>개요!$B$193</f>
        <v>0</v>
      </c>
      <c r="Q44" s="319"/>
      <c r="R44" s="5"/>
      <c r="S44" s="320"/>
      <c r="V44" s="319">
        <f>개요!$B$205</f>
        <v>0</v>
      </c>
      <c r="W44" s="319"/>
      <c r="X44" s="5"/>
      <c r="Y44" s="320"/>
      <c r="AB44" s="319">
        <f>개요!$B$217</f>
        <v>0</v>
      </c>
      <c r="AC44" s="319"/>
      <c r="AD44" s="5"/>
      <c r="AE44" s="320"/>
      <c r="AH44" s="319">
        <f>개요!$B$229</f>
        <v>0</v>
      </c>
      <c r="AI44" s="319"/>
      <c r="AJ44" s="5"/>
      <c r="AK44" s="320"/>
      <c r="AN44" s="319">
        <f>개요!$B$241</f>
        <v>0</v>
      </c>
      <c r="AO44" s="319"/>
      <c r="AP44" s="5"/>
      <c r="AQ44" s="320"/>
      <c r="AT44" s="319">
        <f>개요!$B$253</f>
        <v>0</v>
      </c>
      <c r="AU44" s="319"/>
      <c r="AV44" s="5"/>
      <c r="AW44" s="320"/>
      <c r="AZ44" s="319">
        <f>개요!$B$265</f>
        <v>0</v>
      </c>
      <c r="BA44" s="319"/>
      <c r="BB44" s="5"/>
      <c r="BC44" s="320"/>
      <c r="BF44" s="319">
        <f>개요!$B$277</f>
        <v>0</v>
      </c>
      <c r="BG44" s="319"/>
      <c r="BH44" s="5"/>
      <c r="BI44" s="320"/>
    </row>
    <row r="45" spans="3:61" ht="14.25" thickBot="1">
      <c r="D45" s="321">
        <f>개요!$C$170</f>
        <v>0</v>
      </c>
      <c r="E45" s="321"/>
      <c r="F45" s="2"/>
      <c r="G45" s="322"/>
      <c r="J45" s="321">
        <f>개요!$C$182</f>
        <v>0</v>
      </c>
      <c r="K45" s="321"/>
      <c r="L45" s="2"/>
      <c r="M45" s="322"/>
      <c r="P45" s="321">
        <f>개요!$C$194</f>
        <v>0</v>
      </c>
      <c r="Q45" s="321"/>
      <c r="R45" s="2"/>
      <c r="S45" s="322"/>
      <c r="V45" s="321">
        <f>개요!$C$206</f>
        <v>0</v>
      </c>
      <c r="W45" s="321"/>
      <c r="X45" s="2"/>
      <c r="Y45" s="322"/>
      <c r="AB45" s="321">
        <f>개요!$C$218</f>
        <v>0</v>
      </c>
      <c r="AC45" s="321"/>
      <c r="AD45" s="2"/>
      <c r="AE45" s="322"/>
      <c r="AH45" s="321">
        <f>개요!$C$230</f>
        <v>0</v>
      </c>
      <c r="AI45" s="321"/>
      <c r="AJ45" s="2"/>
      <c r="AK45" s="322"/>
      <c r="AN45" s="321">
        <f>개요!C242</f>
        <v>0</v>
      </c>
      <c r="AO45" s="321"/>
      <c r="AP45" s="2"/>
      <c r="AQ45" s="322"/>
      <c r="AT45" s="321">
        <f>개요!C254</f>
        <v>0</v>
      </c>
      <c r="AU45" s="321"/>
      <c r="AV45" s="2"/>
      <c r="AW45" s="322"/>
      <c r="AZ45" s="321">
        <f>개요!C266</f>
        <v>0</v>
      </c>
      <c r="BA45" s="321"/>
      <c r="BB45" s="2"/>
      <c r="BC45" s="322"/>
      <c r="BF45" s="321">
        <f>개요!C278</f>
        <v>0</v>
      </c>
      <c r="BG45" s="321"/>
      <c r="BH45" s="2"/>
      <c r="BI45" s="322"/>
    </row>
    <row r="46" spans="3:61" ht="14.25" thickBot="1">
      <c r="D46" s="323"/>
      <c r="E46" s="324"/>
      <c r="F46" s="325"/>
      <c r="G46" s="325"/>
      <c r="J46" s="323"/>
      <c r="K46" s="324"/>
      <c r="L46" s="325"/>
      <c r="M46" s="325"/>
      <c r="P46" s="323"/>
      <c r="Q46" s="324"/>
      <c r="R46" s="325"/>
      <c r="S46" s="325"/>
      <c r="V46" s="323"/>
      <c r="W46" s="324"/>
      <c r="X46" s="325"/>
      <c r="Y46" s="325"/>
      <c r="AB46" s="323"/>
      <c r="AC46" s="324"/>
      <c r="AD46" s="325"/>
      <c r="AE46" s="325"/>
      <c r="AH46" s="323"/>
      <c r="AI46" s="324"/>
      <c r="AJ46" s="325"/>
      <c r="AK46" s="325"/>
      <c r="AN46" s="323"/>
      <c r="AO46" s="324"/>
      <c r="AP46" s="325"/>
      <c r="AQ46" s="325"/>
      <c r="AT46" s="323"/>
      <c r="AU46" s="324"/>
      <c r="AV46" s="325"/>
      <c r="AW46" s="325"/>
      <c r="AZ46" s="323"/>
      <c r="BA46" s="324"/>
      <c r="BB46" s="325"/>
      <c r="BC46" s="325"/>
      <c r="BF46" s="323"/>
      <c r="BG46" s="324"/>
      <c r="BH46" s="325"/>
      <c r="BI46" s="325"/>
    </row>
    <row r="47" spans="3:61" ht="14.25" customHeight="1" thickBot="1">
      <c r="C47" s="845" t="s">
        <v>78</v>
      </c>
      <c r="D47" s="847" t="s">
        <v>77</v>
      </c>
      <c r="E47" s="847" t="s">
        <v>76</v>
      </c>
      <c r="F47" s="326"/>
      <c r="G47" s="326"/>
      <c r="I47" s="845" t="s">
        <v>78</v>
      </c>
      <c r="J47" s="847" t="s">
        <v>77</v>
      </c>
      <c r="K47" s="847" t="s">
        <v>76</v>
      </c>
      <c r="L47" s="326"/>
      <c r="M47" s="326"/>
      <c r="O47" s="845" t="s">
        <v>78</v>
      </c>
      <c r="P47" s="847" t="s">
        <v>77</v>
      </c>
      <c r="Q47" s="847" t="s">
        <v>76</v>
      </c>
      <c r="R47" s="326"/>
      <c r="S47" s="326"/>
      <c r="U47" s="845" t="s">
        <v>78</v>
      </c>
      <c r="V47" s="847" t="s">
        <v>734</v>
      </c>
      <c r="W47" s="847" t="s">
        <v>76</v>
      </c>
      <c r="X47" s="326"/>
      <c r="Y47" s="326"/>
      <c r="AA47" s="845" t="s">
        <v>78</v>
      </c>
      <c r="AB47" s="847" t="s">
        <v>77</v>
      </c>
      <c r="AC47" s="847" t="s">
        <v>76</v>
      </c>
      <c r="AD47" s="326"/>
      <c r="AE47" s="326"/>
      <c r="AG47" s="845" t="s">
        <v>78</v>
      </c>
      <c r="AH47" s="847" t="s">
        <v>77</v>
      </c>
      <c r="AI47" s="847" t="s">
        <v>76</v>
      </c>
      <c r="AJ47" s="326"/>
      <c r="AK47" s="326"/>
      <c r="AM47" s="845" t="s">
        <v>78</v>
      </c>
      <c r="AN47" s="847" t="s">
        <v>77</v>
      </c>
      <c r="AO47" s="847" t="s">
        <v>76</v>
      </c>
      <c r="AP47" s="326"/>
      <c r="AQ47" s="326"/>
      <c r="AS47" s="845" t="s">
        <v>78</v>
      </c>
      <c r="AT47" s="847" t="s">
        <v>734</v>
      </c>
      <c r="AU47" s="847" t="s">
        <v>76</v>
      </c>
      <c r="AV47" s="326"/>
      <c r="AW47" s="326"/>
      <c r="AY47" s="845" t="s">
        <v>78</v>
      </c>
      <c r="AZ47" s="847" t="s">
        <v>77</v>
      </c>
      <c r="BA47" s="847" t="s">
        <v>76</v>
      </c>
      <c r="BB47" s="326"/>
      <c r="BC47" s="326"/>
      <c r="BE47" s="845" t="s">
        <v>78</v>
      </c>
      <c r="BF47" s="847" t="s">
        <v>77</v>
      </c>
      <c r="BG47" s="847" t="s">
        <v>76</v>
      </c>
      <c r="BH47" s="326"/>
      <c r="BI47" s="326"/>
    </row>
    <row r="48" spans="3:61" ht="14.25" thickBot="1">
      <c r="C48" s="846"/>
      <c r="D48" s="847"/>
      <c r="E48" s="847"/>
      <c r="F48" s="327"/>
      <c r="G48" s="327"/>
      <c r="I48" s="846"/>
      <c r="J48" s="847"/>
      <c r="K48" s="847"/>
      <c r="L48" s="327"/>
      <c r="M48" s="327"/>
      <c r="O48" s="846"/>
      <c r="P48" s="847"/>
      <c r="Q48" s="847"/>
      <c r="R48" s="327"/>
      <c r="S48" s="327"/>
      <c r="U48" s="846"/>
      <c r="V48" s="847"/>
      <c r="W48" s="847"/>
      <c r="X48" s="327"/>
      <c r="Y48" s="327"/>
      <c r="AA48" s="846"/>
      <c r="AB48" s="847"/>
      <c r="AC48" s="847"/>
      <c r="AD48" s="327"/>
      <c r="AE48" s="327"/>
      <c r="AG48" s="846"/>
      <c r="AH48" s="847"/>
      <c r="AI48" s="847"/>
      <c r="AJ48" s="327"/>
      <c r="AK48" s="327"/>
      <c r="AM48" s="846"/>
      <c r="AN48" s="847"/>
      <c r="AO48" s="847"/>
      <c r="AP48" s="327"/>
      <c r="AQ48" s="327"/>
      <c r="AS48" s="846"/>
      <c r="AT48" s="847"/>
      <c r="AU48" s="847"/>
      <c r="AV48" s="327"/>
      <c r="AW48" s="327"/>
      <c r="AY48" s="846"/>
      <c r="AZ48" s="847"/>
      <c r="BA48" s="847"/>
      <c r="BB48" s="327"/>
      <c r="BC48" s="327"/>
      <c r="BE48" s="846"/>
      <c r="BF48" s="847"/>
      <c r="BG48" s="847"/>
      <c r="BH48" s="327"/>
      <c r="BI48" s="327"/>
    </row>
    <row r="49" spans="3:61" ht="14.25" customHeight="1" thickBot="1">
      <c r="C49" s="328" t="str">
        <f>개요!$B$169&amp;D49</f>
        <v/>
      </c>
      <c r="D49" s="329"/>
      <c r="E49" s="330"/>
      <c r="F49" s="331"/>
      <c r="G49" s="331"/>
      <c r="H49" s="332"/>
      <c r="I49" s="328" t="str">
        <f>개요!$B$181&amp;J49</f>
        <v/>
      </c>
      <c r="J49" s="329"/>
      <c r="K49" s="330"/>
      <c r="L49" s="331"/>
      <c r="M49" s="331"/>
      <c r="N49" s="332"/>
      <c r="O49" s="328" t="str">
        <f>개요!$B$193&amp;P49</f>
        <v/>
      </c>
      <c r="P49" s="329"/>
      <c r="Q49" s="330"/>
      <c r="R49" s="331"/>
      <c r="S49" s="331"/>
      <c r="T49" s="332"/>
      <c r="U49" s="328" t="str">
        <f>개요!$B$205&amp;V49</f>
        <v/>
      </c>
      <c r="V49" s="329"/>
      <c r="W49" s="330"/>
      <c r="X49" s="331"/>
      <c r="Y49" s="331"/>
      <c r="Z49" s="332"/>
      <c r="AA49" s="328" t="str">
        <f>개요!$B$217&amp;AB49</f>
        <v/>
      </c>
      <c r="AB49" s="329"/>
      <c r="AC49" s="330"/>
      <c r="AD49" s="331"/>
      <c r="AE49" s="331"/>
      <c r="AF49" s="332"/>
      <c r="AG49" s="328" t="str">
        <f>개요!$B$229&amp;AH49</f>
        <v/>
      </c>
      <c r="AH49" s="329"/>
      <c r="AI49" s="330"/>
      <c r="AJ49" s="331"/>
      <c r="AK49" s="331"/>
      <c r="AL49" s="332"/>
      <c r="AM49" s="328" t="str">
        <f>개요!$B$241&amp;AN49</f>
        <v/>
      </c>
      <c r="AN49" s="329"/>
      <c r="AO49" s="330"/>
      <c r="AP49" s="331"/>
      <c r="AQ49" s="331"/>
      <c r="AR49" s="332"/>
      <c r="AS49" s="328" t="str">
        <f>개요!$B$253&amp;AT49</f>
        <v/>
      </c>
      <c r="AT49" s="329"/>
      <c r="AU49" s="330"/>
      <c r="AV49" s="331"/>
      <c r="AW49" s="331"/>
      <c r="AX49" s="332"/>
      <c r="AY49" s="328" t="str">
        <f>개요!$B$265&amp;AZ49</f>
        <v/>
      </c>
      <c r="AZ49" s="329"/>
      <c r="BA49" s="330"/>
      <c r="BB49" s="331"/>
      <c r="BC49" s="331"/>
      <c r="BD49" s="332"/>
      <c r="BE49" s="328" t="str">
        <f>개요!$B$277&amp;BF49</f>
        <v/>
      </c>
      <c r="BF49" s="329"/>
      <c r="BG49" s="330"/>
      <c r="BH49" s="331"/>
      <c r="BI49" s="331"/>
    </row>
    <row r="50" spans="3:61" ht="14.25" customHeight="1" thickBot="1">
      <c r="C50" s="328" t="str">
        <f>개요!$B$169&amp;D50</f>
        <v/>
      </c>
      <c r="D50" s="329"/>
      <c r="E50" s="330"/>
      <c r="F50" s="331"/>
      <c r="G50" s="331"/>
      <c r="H50" s="332"/>
      <c r="I50" s="328" t="str">
        <f>개요!$B$181&amp;J50</f>
        <v/>
      </c>
      <c r="J50" s="329"/>
      <c r="K50" s="330"/>
      <c r="L50" s="331"/>
      <c r="M50" s="331"/>
      <c r="N50" s="332"/>
      <c r="O50" s="328" t="str">
        <f>개요!$B$193&amp;P50</f>
        <v/>
      </c>
      <c r="P50" s="329"/>
      <c r="Q50" s="330"/>
      <c r="R50" s="331"/>
      <c r="S50" s="331"/>
      <c r="T50" s="332"/>
      <c r="U50" s="328" t="str">
        <f>개요!$B$205&amp;V50</f>
        <v/>
      </c>
      <c r="V50" s="329"/>
      <c r="W50" s="330"/>
      <c r="X50" s="331"/>
      <c r="Y50" s="331"/>
      <c r="Z50" s="332"/>
      <c r="AA50" s="328" t="str">
        <f>개요!$B$217&amp;AB50</f>
        <v/>
      </c>
      <c r="AB50" s="329"/>
      <c r="AC50" s="330"/>
      <c r="AD50" s="331"/>
      <c r="AE50" s="331"/>
      <c r="AF50" s="332"/>
      <c r="AG50" s="328" t="str">
        <f>개요!$B$229&amp;AH50</f>
        <v/>
      </c>
      <c r="AH50" s="329"/>
      <c r="AI50" s="330"/>
      <c r="AJ50" s="331"/>
      <c r="AK50" s="331"/>
      <c r="AL50" s="332"/>
      <c r="AM50" s="328" t="str">
        <f>개요!$B$241&amp;AN50</f>
        <v/>
      </c>
      <c r="AN50" s="329"/>
      <c r="AO50" s="330"/>
      <c r="AP50" s="331"/>
      <c r="AQ50" s="331"/>
      <c r="AR50" s="332"/>
      <c r="AS50" s="328" t="str">
        <f>개요!$B$253&amp;AT50</f>
        <v/>
      </c>
      <c r="AT50" s="329"/>
      <c r="AU50" s="330"/>
      <c r="AV50" s="331"/>
      <c r="AW50" s="331"/>
      <c r="AX50" s="332"/>
      <c r="AY50" s="328" t="str">
        <f>개요!$B$265&amp;AZ50</f>
        <v/>
      </c>
      <c r="AZ50" s="329"/>
      <c r="BA50" s="330"/>
      <c r="BB50" s="331"/>
      <c r="BC50" s="331"/>
      <c r="BD50" s="332"/>
      <c r="BE50" s="328" t="str">
        <f>개요!$B$277&amp;BF50</f>
        <v/>
      </c>
      <c r="BF50" s="329"/>
      <c r="BG50" s="330"/>
      <c r="BH50" s="331"/>
      <c r="BI50" s="331"/>
    </row>
    <row r="51" spans="3:61" ht="14.25" customHeight="1" thickBot="1">
      <c r="C51" s="328" t="str">
        <f>개요!$B$169&amp;D51</f>
        <v/>
      </c>
      <c r="D51" s="329"/>
      <c r="E51" s="330"/>
      <c r="F51" s="331"/>
      <c r="G51" s="331"/>
      <c r="H51" s="332"/>
      <c r="I51" s="328" t="str">
        <f>개요!$B$181&amp;J51</f>
        <v/>
      </c>
      <c r="J51" s="329"/>
      <c r="K51" s="330"/>
      <c r="L51" s="331"/>
      <c r="M51" s="331"/>
      <c r="N51" s="332"/>
      <c r="O51" s="328" t="str">
        <f>개요!$B$193&amp;P51</f>
        <v/>
      </c>
      <c r="P51" s="329"/>
      <c r="Q51" s="330"/>
      <c r="R51" s="331"/>
      <c r="S51" s="331"/>
      <c r="T51" s="332"/>
      <c r="U51" s="328" t="str">
        <f>개요!$B$205&amp;V51</f>
        <v/>
      </c>
      <c r="V51" s="329"/>
      <c r="W51" s="330"/>
      <c r="X51" s="331"/>
      <c r="Y51" s="331"/>
      <c r="Z51" s="332"/>
      <c r="AA51" s="328" t="str">
        <f>개요!$B$217&amp;AB51</f>
        <v/>
      </c>
      <c r="AB51" s="329"/>
      <c r="AC51" s="330"/>
      <c r="AD51" s="331"/>
      <c r="AE51" s="331"/>
      <c r="AF51" s="332"/>
      <c r="AG51" s="328" t="str">
        <f>개요!$B$229&amp;AH51</f>
        <v/>
      </c>
      <c r="AH51" s="329"/>
      <c r="AI51" s="330"/>
      <c r="AJ51" s="331"/>
      <c r="AK51" s="331"/>
      <c r="AL51" s="332"/>
      <c r="AM51" s="328" t="str">
        <f>개요!$B$241&amp;AN51</f>
        <v/>
      </c>
      <c r="AN51" s="329"/>
      <c r="AO51" s="330"/>
      <c r="AP51" s="331"/>
      <c r="AQ51" s="331"/>
      <c r="AR51" s="332"/>
      <c r="AS51" s="328" t="str">
        <f>개요!$B$253&amp;AT51</f>
        <v/>
      </c>
      <c r="AT51" s="329"/>
      <c r="AU51" s="330"/>
      <c r="AV51" s="331"/>
      <c r="AW51" s="331"/>
      <c r="AX51" s="332"/>
      <c r="AY51" s="328" t="str">
        <f>개요!$B$265&amp;AZ51</f>
        <v/>
      </c>
      <c r="AZ51" s="329"/>
      <c r="BA51" s="330"/>
      <c r="BB51" s="331"/>
      <c r="BC51" s="331"/>
      <c r="BD51" s="332"/>
      <c r="BE51" s="328" t="str">
        <f>개요!$B$277&amp;BF51</f>
        <v/>
      </c>
      <c r="BF51" s="329"/>
      <c r="BG51" s="330"/>
      <c r="BH51" s="331"/>
      <c r="BI51" s="331"/>
    </row>
    <row r="52" spans="3:61" ht="14.25" customHeight="1" thickBot="1">
      <c r="C52" s="328" t="str">
        <f>개요!$B$169&amp;D52</f>
        <v/>
      </c>
      <c r="D52" s="329"/>
      <c r="E52" s="330"/>
      <c r="F52" s="331"/>
      <c r="G52" s="331"/>
      <c r="H52" s="334"/>
      <c r="I52" s="328" t="str">
        <f>개요!$B$181&amp;J52</f>
        <v/>
      </c>
      <c r="J52" s="329"/>
      <c r="K52" s="330"/>
      <c r="L52" s="331"/>
      <c r="M52" s="331"/>
      <c r="N52" s="334"/>
      <c r="O52" s="328" t="str">
        <f>개요!$B$193&amp;P52</f>
        <v/>
      </c>
      <c r="P52" s="329"/>
      <c r="Q52" s="330"/>
      <c r="R52" s="331"/>
      <c r="S52" s="331"/>
      <c r="T52" s="334"/>
      <c r="U52" s="328" t="str">
        <f>개요!$B$205&amp;V52</f>
        <v/>
      </c>
      <c r="V52" s="329"/>
      <c r="W52" s="330"/>
      <c r="X52" s="331"/>
      <c r="Y52" s="331"/>
      <c r="Z52" s="334"/>
      <c r="AA52" s="328" t="str">
        <f>개요!$B$217&amp;AB52</f>
        <v/>
      </c>
      <c r="AB52" s="329"/>
      <c r="AC52" s="330"/>
      <c r="AD52" s="331"/>
      <c r="AE52" s="331"/>
      <c r="AF52" s="334"/>
      <c r="AG52" s="328" t="str">
        <f>개요!$B$229&amp;AH52</f>
        <v/>
      </c>
      <c r="AH52" s="329"/>
      <c r="AI52" s="330"/>
      <c r="AJ52" s="331"/>
      <c r="AK52" s="331"/>
      <c r="AL52" s="334"/>
      <c r="AM52" s="328" t="str">
        <f>개요!$B$241&amp;AN52</f>
        <v/>
      </c>
      <c r="AN52" s="329"/>
      <c r="AO52" s="330"/>
      <c r="AP52" s="331"/>
      <c r="AQ52" s="331"/>
      <c r="AR52" s="334"/>
      <c r="AS52" s="328" t="str">
        <f>개요!$B$253&amp;AT52</f>
        <v/>
      </c>
      <c r="AT52" s="329"/>
      <c r="AU52" s="330"/>
      <c r="AV52" s="331"/>
      <c r="AW52" s="331"/>
      <c r="AX52" s="334"/>
      <c r="AY52" s="328" t="str">
        <f>개요!$B$265&amp;AZ52</f>
        <v/>
      </c>
      <c r="AZ52" s="329"/>
      <c r="BA52" s="330"/>
      <c r="BB52" s="331"/>
      <c r="BC52" s="331"/>
      <c r="BD52" s="334"/>
      <c r="BE52" s="328" t="str">
        <f>개요!$B$277&amp;BF52</f>
        <v/>
      </c>
      <c r="BF52" s="329"/>
      <c r="BG52" s="330"/>
      <c r="BH52" s="331"/>
      <c r="BI52" s="331"/>
    </row>
    <row r="53" spans="3:61" ht="14.25" customHeight="1" thickBot="1">
      <c r="C53" s="328" t="str">
        <f>개요!$B$169&amp;D53</f>
        <v/>
      </c>
      <c r="D53" s="329"/>
      <c r="E53" s="330"/>
      <c r="F53" s="331"/>
      <c r="G53" s="331"/>
      <c r="H53" s="334"/>
      <c r="I53" s="328" t="str">
        <f>개요!$B$181&amp;J53</f>
        <v/>
      </c>
      <c r="J53" s="329"/>
      <c r="K53" s="330"/>
      <c r="L53" s="331"/>
      <c r="M53" s="331"/>
      <c r="N53" s="334"/>
      <c r="O53" s="328" t="str">
        <f>개요!$B$193&amp;P53</f>
        <v/>
      </c>
      <c r="P53" s="329"/>
      <c r="Q53" s="330"/>
      <c r="R53" s="331"/>
      <c r="S53" s="331"/>
      <c r="T53" s="334"/>
      <c r="U53" s="328" t="str">
        <f>개요!$B$205&amp;V53</f>
        <v/>
      </c>
      <c r="V53" s="329"/>
      <c r="W53" s="330"/>
      <c r="X53" s="331"/>
      <c r="Y53" s="331"/>
      <c r="Z53" s="334"/>
      <c r="AA53" s="328" t="str">
        <f>개요!$B$217&amp;AB53</f>
        <v/>
      </c>
      <c r="AB53" s="329"/>
      <c r="AC53" s="330"/>
      <c r="AD53" s="331"/>
      <c r="AE53" s="331"/>
      <c r="AF53" s="334"/>
      <c r="AG53" s="328" t="str">
        <f>개요!$B$229&amp;AH53</f>
        <v/>
      </c>
      <c r="AH53" s="329"/>
      <c r="AI53" s="330"/>
      <c r="AJ53" s="331"/>
      <c r="AK53" s="331"/>
      <c r="AL53" s="334"/>
      <c r="AM53" s="328" t="str">
        <f>개요!$B$241&amp;AN53</f>
        <v/>
      </c>
      <c r="AN53" s="329"/>
      <c r="AO53" s="330"/>
      <c r="AP53" s="331"/>
      <c r="AQ53" s="331"/>
      <c r="AR53" s="334"/>
      <c r="AS53" s="328" t="str">
        <f>개요!$B$253&amp;AT53</f>
        <v/>
      </c>
      <c r="AT53" s="329"/>
      <c r="AU53" s="330"/>
      <c r="AV53" s="331"/>
      <c r="AW53" s="331"/>
      <c r="AX53" s="334"/>
      <c r="AY53" s="328" t="str">
        <f>개요!$B$265&amp;AZ53</f>
        <v/>
      </c>
      <c r="AZ53" s="329"/>
      <c r="BA53" s="330"/>
      <c r="BB53" s="331"/>
      <c r="BC53" s="331"/>
      <c r="BD53" s="334"/>
      <c r="BE53" s="328" t="str">
        <f>개요!$B$277&amp;BF53</f>
        <v/>
      </c>
      <c r="BF53" s="329"/>
      <c r="BG53" s="330"/>
      <c r="BH53" s="331"/>
      <c r="BI53" s="331"/>
    </row>
    <row r="54" spans="3:61" ht="14.25" customHeight="1" thickBot="1">
      <c r="C54" s="328" t="str">
        <f>개요!$B$169&amp;D54</f>
        <v/>
      </c>
      <c r="D54" s="329"/>
      <c r="E54" s="330"/>
      <c r="F54" s="331"/>
      <c r="G54" s="331"/>
      <c r="H54" s="334"/>
      <c r="I54" s="328" t="str">
        <f>개요!$B$181&amp;J54</f>
        <v/>
      </c>
      <c r="J54" s="329"/>
      <c r="K54" s="330"/>
      <c r="L54" s="331"/>
      <c r="M54" s="331"/>
      <c r="N54" s="334"/>
      <c r="O54" s="328" t="str">
        <f>개요!$B$193&amp;P54</f>
        <v/>
      </c>
      <c r="P54" s="329"/>
      <c r="Q54" s="330"/>
      <c r="R54" s="331"/>
      <c r="S54" s="331"/>
      <c r="T54" s="334"/>
      <c r="U54" s="328" t="str">
        <f>개요!$B$205&amp;V54</f>
        <v/>
      </c>
      <c r="V54" s="329"/>
      <c r="W54" s="330"/>
      <c r="X54" s="331"/>
      <c r="Y54" s="331"/>
      <c r="Z54" s="334"/>
      <c r="AA54" s="328" t="str">
        <f>개요!$B$217&amp;AB54</f>
        <v/>
      </c>
      <c r="AB54" s="329"/>
      <c r="AC54" s="330"/>
      <c r="AD54" s="331"/>
      <c r="AE54" s="331"/>
      <c r="AF54" s="334"/>
      <c r="AG54" s="328" t="str">
        <f>개요!$B$229&amp;AH54</f>
        <v/>
      </c>
      <c r="AH54" s="329"/>
      <c r="AI54" s="330"/>
      <c r="AJ54" s="331"/>
      <c r="AK54" s="331"/>
      <c r="AL54" s="334"/>
      <c r="AM54" s="328" t="str">
        <f>개요!$B$241&amp;AN54</f>
        <v/>
      </c>
      <c r="AN54" s="329"/>
      <c r="AO54" s="330"/>
      <c r="AP54" s="331"/>
      <c r="AQ54" s="331"/>
      <c r="AR54" s="334"/>
      <c r="AS54" s="328" t="str">
        <f>개요!$B$253&amp;AT54</f>
        <v/>
      </c>
      <c r="AT54" s="329"/>
      <c r="AU54" s="330"/>
      <c r="AV54" s="331"/>
      <c r="AW54" s="331"/>
      <c r="AX54" s="334"/>
      <c r="AY54" s="328" t="str">
        <f>개요!$B$265&amp;AZ54</f>
        <v/>
      </c>
      <c r="AZ54" s="329"/>
      <c r="BA54" s="330"/>
      <c r="BB54" s="331"/>
      <c r="BC54" s="331"/>
      <c r="BD54" s="334"/>
      <c r="BE54" s="328" t="str">
        <f>개요!$B$277&amp;BF54</f>
        <v/>
      </c>
      <c r="BF54" s="329"/>
      <c r="BG54" s="330"/>
      <c r="BH54" s="331"/>
      <c r="BI54" s="331"/>
    </row>
    <row r="55" spans="3:61" ht="14.25" customHeight="1" thickBot="1">
      <c r="C55" s="328" t="str">
        <f>개요!$B$169&amp;D55</f>
        <v/>
      </c>
      <c r="D55" s="329"/>
      <c r="E55" s="330"/>
      <c r="F55" s="331"/>
      <c r="G55" s="331"/>
      <c r="H55" s="334"/>
      <c r="I55" s="328" t="str">
        <f>개요!$B$181&amp;J55</f>
        <v/>
      </c>
      <c r="J55" s="329"/>
      <c r="K55" s="330"/>
      <c r="L55" s="331"/>
      <c r="M55" s="331"/>
      <c r="N55" s="334"/>
      <c r="O55" s="328" t="str">
        <f>개요!$B$193&amp;P55</f>
        <v/>
      </c>
      <c r="P55" s="329"/>
      <c r="Q55" s="330"/>
      <c r="R55" s="331"/>
      <c r="S55" s="331"/>
      <c r="T55" s="334"/>
      <c r="U55" s="328" t="str">
        <f>개요!$B$205&amp;V55</f>
        <v/>
      </c>
      <c r="V55" s="329"/>
      <c r="W55" s="330"/>
      <c r="X55" s="331"/>
      <c r="Y55" s="331"/>
      <c r="Z55" s="334"/>
      <c r="AA55" s="328" t="str">
        <f>개요!$B$217&amp;AB55</f>
        <v/>
      </c>
      <c r="AB55" s="329"/>
      <c r="AC55" s="330"/>
      <c r="AD55" s="331"/>
      <c r="AE55" s="331"/>
      <c r="AF55" s="334"/>
      <c r="AG55" s="328" t="str">
        <f>개요!$B$229&amp;AH55</f>
        <v/>
      </c>
      <c r="AH55" s="329"/>
      <c r="AI55" s="330"/>
      <c r="AJ55" s="331"/>
      <c r="AK55" s="331"/>
      <c r="AL55" s="334"/>
      <c r="AM55" s="328" t="str">
        <f>개요!$B$241&amp;AN55</f>
        <v/>
      </c>
      <c r="AN55" s="329"/>
      <c r="AO55" s="330"/>
      <c r="AP55" s="331"/>
      <c r="AQ55" s="331"/>
      <c r="AR55" s="334"/>
      <c r="AS55" s="328" t="str">
        <f>개요!$B$253&amp;AT55</f>
        <v/>
      </c>
      <c r="AT55" s="329"/>
      <c r="AU55" s="330"/>
      <c r="AV55" s="331"/>
      <c r="AW55" s="331"/>
      <c r="AX55" s="334"/>
      <c r="AY55" s="328" t="str">
        <f>개요!$B$265&amp;AZ55</f>
        <v/>
      </c>
      <c r="AZ55" s="329"/>
      <c r="BA55" s="330"/>
      <c r="BB55" s="331"/>
      <c r="BC55" s="331"/>
      <c r="BD55" s="334"/>
      <c r="BE55" s="328" t="str">
        <f>개요!$B$277&amp;BF55</f>
        <v/>
      </c>
      <c r="BF55" s="329"/>
      <c r="BG55" s="330"/>
      <c r="BH55" s="331"/>
      <c r="BI55" s="331"/>
    </row>
    <row r="56" spans="3:61" ht="14.25" customHeight="1" thickBot="1">
      <c r="C56" s="328" t="str">
        <f>개요!$B$169&amp;D56</f>
        <v/>
      </c>
      <c r="D56" s="329"/>
      <c r="E56" s="330"/>
      <c r="F56" s="331"/>
      <c r="G56" s="331"/>
      <c r="H56" s="332"/>
      <c r="I56" s="328" t="str">
        <f>개요!$B$181&amp;J56</f>
        <v/>
      </c>
      <c r="J56" s="329"/>
      <c r="K56" s="330"/>
      <c r="L56" s="331"/>
      <c r="M56" s="331"/>
      <c r="N56" s="332"/>
      <c r="O56" s="328" t="str">
        <f>개요!$B$193&amp;P56</f>
        <v/>
      </c>
      <c r="P56" s="329"/>
      <c r="Q56" s="330"/>
      <c r="R56" s="331"/>
      <c r="S56" s="331"/>
      <c r="T56" s="332"/>
      <c r="U56" s="328" t="str">
        <f>개요!$B$205&amp;V56</f>
        <v/>
      </c>
      <c r="V56" s="329"/>
      <c r="W56" s="330"/>
      <c r="X56" s="331"/>
      <c r="Y56" s="331"/>
      <c r="Z56" s="332"/>
      <c r="AA56" s="328" t="str">
        <f>개요!$B$217&amp;AB56</f>
        <v/>
      </c>
      <c r="AB56" s="329"/>
      <c r="AC56" s="330"/>
      <c r="AD56" s="331"/>
      <c r="AE56" s="331"/>
      <c r="AF56" s="332"/>
      <c r="AG56" s="328" t="str">
        <f>개요!$B$229&amp;AH56</f>
        <v/>
      </c>
      <c r="AH56" s="329"/>
      <c r="AI56" s="330"/>
      <c r="AJ56" s="331"/>
      <c r="AK56" s="331"/>
      <c r="AL56" s="332"/>
      <c r="AM56" s="328" t="str">
        <f>개요!$B$241&amp;AN56</f>
        <v/>
      </c>
      <c r="AN56" s="329"/>
      <c r="AO56" s="330"/>
      <c r="AP56" s="331"/>
      <c r="AQ56" s="331"/>
      <c r="AR56" s="332"/>
      <c r="AS56" s="328" t="str">
        <f>개요!$B$253&amp;AT56</f>
        <v/>
      </c>
      <c r="AT56" s="329"/>
      <c r="AU56" s="330"/>
      <c r="AV56" s="331"/>
      <c r="AW56" s="331"/>
      <c r="AX56" s="332"/>
      <c r="AY56" s="328" t="str">
        <f>개요!$B$265&amp;AZ56</f>
        <v/>
      </c>
      <c r="AZ56" s="329"/>
      <c r="BA56" s="330"/>
      <c r="BB56" s="331"/>
      <c r="BC56" s="331"/>
      <c r="BD56" s="332"/>
      <c r="BE56" s="328" t="str">
        <f>개요!$B$277&amp;BF56</f>
        <v/>
      </c>
      <c r="BF56" s="329"/>
      <c r="BG56" s="330"/>
      <c r="BH56" s="331"/>
      <c r="BI56" s="331"/>
    </row>
    <row r="57" spans="3:61" ht="14.25" customHeight="1" thickBot="1">
      <c r="C57" s="328" t="str">
        <f>개요!$B$169&amp;D57</f>
        <v/>
      </c>
      <c r="D57" s="329"/>
      <c r="E57" s="330"/>
      <c r="F57" s="331"/>
      <c r="G57" s="331"/>
      <c r="H57" s="332"/>
      <c r="I57" s="328" t="str">
        <f>개요!$B$181&amp;J57</f>
        <v/>
      </c>
      <c r="J57" s="329"/>
      <c r="K57" s="330"/>
      <c r="L57" s="331"/>
      <c r="M57" s="331"/>
      <c r="N57" s="332"/>
      <c r="O57" s="328" t="str">
        <f>개요!$B$193&amp;P57</f>
        <v/>
      </c>
      <c r="P57" s="329"/>
      <c r="Q57" s="330"/>
      <c r="R57" s="331"/>
      <c r="S57" s="331"/>
      <c r="T57" s="332"/>
      <c r="U57" s="328" t="str">
        <f>개요!$B$205&amp;V57</f>
        <v/>
      </c>
      <c r="V57" s="329"/>
      <c r="W57" s="330"/>
      <c r="X57" s="331"/>
      <c r="Y57" s="331"/>
      <c r="Z57" s="332"/>
      <c r="AA57" s="328" t="str">
        <f>개요!$B$217&amp;AB57</f>
        <v/>
      </c>
      <c r="AB57" s="329"/>
      <c r="AC57" s="330"/>
      <c r="AD57" s="331"/>
      <c r="AE57" s="331"/>
      <c r="AF57" s="332"/>
      <c r="AG57" s="328" t="str">
        <f>개요!$B$229&amp;AH57</f>
        <v/>
      </c>
      <c r="AH57" s="329"/>
      <c r="AI57" s="330"/>
      <c r="AJ57" s="331"/>
      <c r="AK57" s="331"/>
      <c r="AL57" s="332"/>
      <c r="AM57" s="328" t="str">
        <f>개요!$B$241&amp;AN57</f>
        <v/>
      </c>
      <c r="AN57" s="329"/>
      <c r="AO57" s="330"/>
      <c r="AP57" s="331"/>
      <c r="AQ57" s="331"/>
      <c r="AR57" s="332"/>
      <c r="AS57" s="328" t="str">
        <f>개요!$B$253&amp;AT57</f>
        <v/>
      </c>
      <c r="AT57" s="329"/>
      <c r="AU57" s="330"/>
      <c r="AV57" s="331"/>
      <c r="AW57" s="331"/>
      <c r="AX57" s="332"/>
      <c r="AY57" s="328" t="str">
        <f>개요!$B$265&amp;AZ57</f>
        <v/>
      </c>
      <c r="AZ57" s="329"/>
      <c r="BA57" s="330"/>
      <c r="BB57" s="331"/>
      <c r="BC57" s="331"/>
      <c r="BD57" s="332"/>
      <c r="BE57" s="328" t="str">
        <f>개요!$B$277&amp;BF57</f>
        <v/>
      </c>
      <c r="BF57" s="329"/>
      <c r="BG57" s="330"/>
      <c r="BH57" s="331"/>
      <c r="BI57" s="331"/>
    </row>
    <row r="58" spans="3:61" ht="14.25" customHeight="1" thickBot="1">
      <c r="C58" s="328" t="str">
        <f>개요!$B$169&amp;D58</f>
        <v/>
      </c>
      <c r="D58" s="329"/>
      <c r="E58" s="330"/>
      <c r="F58" s="331"/>
      <c r="G58" s="331"/>
      <c r="H58" s="332"/>
      <c r="I58" s="328" t="str">
        <f>개요!$B$181&amp;J58</f>
        <v/>
      </c>
      <c r="J58" s="329"/>
      <c r="K58" s="330"/>
      <c r="L58" s="331"/>
      <c r="M58" s="331"/>
      <c r="N58" s="332"/>
      <c r="O58" s="328" t="str">
        <f>개요!$B$193&amp;P58</f>
        <v/>
      </c>
      <c r="P58" s="329"/>
      <c r="Q58" s="330"/>
      <c r="R58" s="331"/>
      <c r="S58" s="331"/>
      <c r="T58" s="332"/>
      <c r="U58" s="328" t="str">
        <f>개요!$B$205&amp;V58</f>
        <v/>
      </c>
      <c r="V58" s="329"/>
      <c r="W58" s="330"/>
      <c r="X58" s="331"/>
      <c r="Y58" s="331"/>
      <c r="Z58" s="332"/>
      <c r="AA58" s="328" t="str">
        <f>개요!$B$217&amp;AB58</f>
        <v/>
      </c>
      <c r="AB58" s="329"/>
      <c r="AC58" s="330"/>
      <c r="AD58" s="331"/>
      <c r="AE58" s="331"/>
      <c r="AF58" s="332"/>
      <c r="AG58" s="328" t="str">
        <f>개요!$B$229&amp;AH58</f>
        <v/>
      </c>
      <c r="AH58" s="329"/>
      <c r="AI58" s="330"/>
      <c r="AJ58" s="331"/>
      <c r="AK58" s="331"/>
      <c r="AL58" s="332"/>
      <c r="AM58" s="328" t="str">
        <f>개요!$B$241&amp;AN58</f>
        <v/>
      </c>
      <c r="AN58" s="329"/>
      <c r="AO58" s="330"/>
      <c r="AP58" s="331"/>
      <c r="AQ58" s="331"/>
      <c r="AR58" s="332"/>
      <c r="AS58" s="328" t="str">
        <f>개요!$B$253&amp;AT58</f>
        <v/>
      </c>
      <c r="AT58" s="329"/>
      <c r="AU58" s="330"/>
      <c r="AV58" s="331"/>
      <c r="AW58" s="331"/>
      <c r="AX58" s="332"/>
      <c r="AY58" s="328" t="str">
        <f>개요!$B$265&amp;AZ58</f>
        <v/>
      </c>
      <c r="AZ58" s="329"/>
      <c r="BA58" s="330"/>
      <c r="BB58" s="331"/>
      <c r="BC58" s="331"/>
      <c r="BD58" s="332"/>
      <c r="BE58" s="328" t="str">
        <f>개요!$B$277&amp;BF58</f>
        <v/>
      </c>
      <c r="BF58" s="329"/>
      <c r="BG58" s="330"/>
      <c r="BH58" s="331"/>
      <c r="BI58" s="331"/>
    </row>
    <row r="59" spans="3:61" ht="14.25" customHeight="1" thickBot="1">
      <c r="C59" s="328" t="str">
        <f>개요!$B$169&amp;D59</f>
        <v/>
      </c>
      <c r="D59" s="329"/>
      <c r="E59" s="330"/>
      <c r="F59" s="331"/>
      <c r="G59" s="331"/>
      <c r="H59" s="332"/>
      <c r="I59" s="328" t="str">
        <f>개요!$B$181&amp;J59</f>
        <v/>
      </c>
      <c r="J59" s="329"/>
      <c r="K59" s="330"/>
      <c r="L59" s="331"/>
      <c r="M59" s="331"/>
      <c r="N59" s="332"/>
      <c r="O59" s="328" t="str">
        <f>개요!$B$193&amp;P59</f>
        <v/>
      </c>
      <c r="P59" s="329"/>
      <c r="Q59" s="330"/>
      <c r="R59" s="331"/>
      <c r="S59" s="331"/>
      <c r="T59" s="332"/>
      <c r="U59" s="328" t="str">
        <f>개요!$B$205&amp;V59</f>
        <v/>
      </c>
      <c r="V59" s="329"/>
      <c r="W59" s="330"/>
      <c r="X59" s="331"/>
      <c r="Y59" s="331"/>
      <c r="Z59" s="332"/>
      <c r="AA59" s="328" t="str">
        <f>개요!$B$217&amp;AB59</f>
        <v/>
      </c>
      <c r="AB59" s="329"/>
      <c r="AC59" s="330"/>
      <c r="AD59" s="331"/>
      <c r="AE59" s="331"/>
      <c r="AF59" s="332"/>
      <c r="AG59" s="328" t="str">
        <f>개요!$B$229&amp;AH59</f>
        <v/>
      </c>
      <c r="AH59" s="329"/>
      <c r="AI59" s="330"/>
      <c r="AJ59" s="331"/>
      <c r="AK59" s="331"/>
      <c r="AL59" s="332"/>
      <c r="AM59" s="328" t="str">
        <f>개요!$B$241&amp;AN59</f>
        <v/>
      </c>
      <c r="AN59" s="329"/>
      <c r="AO59" s="330"/>
      <c r="AP59" s="331"/>
      <c r="AQ59" s="331"/>
      <c r="AR59" s="332"/>
      <c r="AS59" s="328" t="str">
        <f>개요!$B$253&amp;AT59</f>
        <v/>
      </c>
      <c r="AT59" s="329"/>
      <c r="AU59" s="330"/>
      <c r="AV59" s="331"/>
      <c r="AW59" s="331"/>
      <c r="AX59" s="332"/>
      <c r="AY59" s="328" t="str">
        <f>개요!$B$265&amp;AZ59</f>
        <v/>
      </c>
      <c r="AZ59" s="329"/>
      <c r="BA59" s="330"/>
      <c r="BB59" s="331"/>
      <c r="BC59" s="331"/>
      <c r="BD59" s="332"/>
      <c r="BE59" s="328" t="str">
        <f>개요!$B$277&amp;BF59</f>
        <v/>
      </c>
      <c r="BF59" s="329"/>
      <c r="BG59" s="330"/>
      <c r="BH59" s="331"/>
      <c r="BI59" s="331"/>
    </row>
    <row r="60" spans="3:61" ht="14.25" customHeight="1" thickBot="1">
      <c r="C60" s="328" t="str">
        <f>개요!$B$169&amp;D60</f>
        <v/>
      </c>
      <c r="D60" s="329"/>
      <c r="E60" s="330"/>
      <c r="F60" s="331"/>
      <c r="G60" s="331"/>
      <c r="H60" s="332"/>
      <c r="I60" s="328" t="str">
        <f>개요!$B$181&amp;J60</f>
        <v/>
      </c>
      <c r="J60" s="329"/>
      <c r="K60" s="330"/>
      <c r="L60" s="331"/>
      <c r="M60" s="331"/>
      <c r="N60" s="332"/>
      <c r="O60" s="328" t="str">
        <f>개요!$B$193&amp;P60</f>
        <v/>
      </c>
      <c r="P60" s="329"/>
      <c r="Q60" s="330"/>
      <c r="R60" s="331"/>
      <c r="S60" s="331"/>
      <c r="T60" s="332"/>
      <c r="U60" s="328" t="str">
        <f>개요!$B$205&amp;V60</f>
        <v/>
      </c>
      <c r="V60" s="329"/>
      <c r="W60" s="330"/>
      <c r="X60" s="331"/>
      <c r="Y60" s="331"/>
      <c r="Z60" s="332"/>
      <c r="AA60" s="328" t="str">
        <f>개요!$B$217&amp;AB60</f>
        <v/>
      </c>
      <c r="AB60" s="329"/>
      <c r="AC60" s="330"/>
      <c r="AD60" s="331"/>
      <c r="AE60" s="331"/>
      <c r="AF60" s="332"/>
      <c r="AG60" s="328" t="str">
        <f>개요!$B$229&amp;AH60</f>
        <v/>
      </c>
      <c r="AH60" s="329"/>
      <c r="AI60" s="330"/>
      <c r="AJ60" s="331"/>
      <c r="AK60" s="331"/>
      <c r="AL60" s="332"/>
      <c r="AM60" s="328" t="str">
        <f>개요!$B$241&amp;AN60</f>
        <v/>
      </c>
      <c r="AN60" s="329"/>
      <c r="AO60" s="330"/>
      <c r="AP60" s="331"/>
      <c r="AQ60" s="331"/>
      <c r="AR60" s="332"/>
      <c r="AS60" s="328" t="str">
        <f>개요!$B$253&amp;AT60</f>
        <v/>
      </c>
      <c r="AT60" s="329"/>
      <c r="AU60" s="330"/>
      <c r="AV60" s="331"/>
      <c r="AW60" s="331"/>
      <c r="AX60" s="332"/>
      <c r="AY60" s="328" t="str">
        <f>개요!$B$265&amp;AZ60</f>
        <v/>
      </c>
      <c r="AZ60" s="329"/>
      <c r="BA60" s="330"/>
      <c r="BB60" s="331"/>
      <c r="BC60" s="331"/>
      <c r="BD60" s="332"/>
      <c r="BE60" s="328" t="str">
        <f>개요!$B$277&amp;BF60</f>
        <v/>
      </c>
      <c r="BF60" s="329"/>
      <c r="BG60" s="330"/>
      <c r="BH60" s="331"/>
      <c r="BI60" s="331"/>
    </row>
    <row r="61" spans="3:61" ht="14.25" customHeight="1" thickBot="1">
      <c r="C61" s="328" t="str">
        <f>개요!$B$169&amp;D61</f>
        <v/>
      </c>
      <c r="D61" s="329"/>
      <c r="E61" s="330"/>
      <c r="F61" s="331"/>
      <c r="G61" s="331"/>
      <c r="H61" s="332"/>
      <c r="I61" s="328" t="str">
        <f>개요!$B$181&amp;J61</f>
        <v/>
      </c>
      <c r="J61" s="329"/>
      <c r="K61" s="330"/>
      <c r="L61" s="331"/>
      <c r="M61" s="331"/>
      <c r="N61" s="332"/>
      <c r="O61" s="328" t="str">
        <f>개요!$B$193&amp;P61</f>
        <v/>
      </c>
      <c r="P61" s="329"/>
      <c r="Q61" s="330"/>
      <c r="R61" s="331"/>
      <c r="S61" s="331"/>
      <c r="T61" s="332"/>
      <c r="U61" s="328" t="str">
        <f>개요!$B$205&amp;V61</f>
        <v/>
      </c>
      <c r="V61" s="329"/>
      <c r="W61" s="330"/>
      <c r="X61" s="331"/>
      <c r="Y61" s="331"/>
      <c r="Z61" s="332"/>
      <c r="AA61" s="328" t="str">
        <f>개요!$B$217&amp;AB61</f>
        <v/>
      </c>
      <c r="AB61" s="329"/>
      <c r="AC61" s="330"/>
      <c r="AD61" s="331"/>
      <c r="AE61" s="331"/>
      <c r="AF61" s="332"/>
      <c r="AG61" s="328" t="str">
        <f>개요!$B$229&amp;AH61</f>
        <v/>
      </c>
      <c r="AH61" s="329"/>
      <c r="AI61" s="330"/>
      <c r="AJ61" s="331"/>
      <c r="AK61" s="331"/>
      <c r="AL61" s="332"/>
      <c r="AM61" s="328" t="str">
        <f>개요!$B$241&amp;AN61</f>
        <v/>
      </c>
      <c r="AN61" s="329"/>
      <c r="AO61" s="330"/>
      <c r="AP61" s="331"/>
      <c r="AQ61" s="331"/>
      <c r="AR61" s="332"/>
      <c r="AS61" s="328" t="str">
        <f>개요!$B$253&amp;AT61</f>
        <v/>
      </c>
      <c r="AT61" s="329"/>
      <c r="AU61" s="330"/>
      <c r="AV61" s="331"/>
      <c r="AW61" s="331"/>
      <c r="AX61" s="332"/>
      <c r="AY61" s="328" t="str">
        <f>개요!$B$265&amp;AZ61</f>
        <v/>
      </c>
      <c r="AZ61" s="329"/>
      <c r="BA61" s="330"/>
      <c r="BB61" s="331"/>
      <c r="BC61" s="331"/>
      <c r="BD61" s="332"/>
      <c r="BE61" s="328" t="str">
        <f>개요!$B$277&amp;BF61</f>
        <v/>
      </c>
      <c r="BF61" s="329"/>
      <c r="BG61" s="330"/>
      <c r="BH61" s="331"/>
      <c r="BI61" s="331"/>
    </row>
    <row r="62" spans="3:61" ht="14.25" customHeight="1" thickBot="1">
      <c r="C62" s="328" t="str">
        <f>개요!$B$169&amp;D62</f>
        <v/>
      </c>
      <c r="D62" s="329"/>
      <c r="E62" s="330"/>
      <c r="F62" s="331"/>
      <c r="G62" s="331"/>
      <c r="H62" s="332"/>
      <c r="I62" s="328" t="str">
        <f>개요!$B$181&amp;J62</f>
        <v/>
      </c>
      <c r="J62" s="329"/>
      <c r="K62" s="330"/>
      <c r="L62" s="331"/>
      <c r="M62" s="331"/>
      <c r="N62" s="332"/>
      <c r="O62" s="328" t="str">
        <f>개요!$B$193&amp;P62</f>
        <v/>
      </c>
      <c r="P62" s="329"/>
      <c r="Q62" s="330"/>
      <c r="R62" s="331"/>
      <c r="S62" s="331"/>
      <c r="T62" s="332"/>
      <c r="U62" s="328" t="str">
        <f>개요!$B$205&amp;V62</f>
        <v/>
      </c>
      <c r="V62" s="329"/>
      <c r="W62" s="330"/>
      <c r="X62" s="331"/>
      <c r="Y62" s="331"/>
      <c r="Z62" s="332"/>
      <c r="AA62" s="328" t="str">
        <f>개요!$B$217&amp;AB62</f>
        <v/>
      </c>
      <c r="AB62" s="329"/>
      <c r="AC62" s="330"/>
      <c r="AD62" s="331"/>
      <c r="AE62" s="331"/>
      <c r="AF62" s="332"/>
      <c r="AG62" s="328" t="str">
        <f>개요!$B$229&amp;AH62</f>
        <v/>
      </c>
      <c r="AH62" s="329"/>
      <c r="AI62" s="330"/>
      <c r="AJ62" s="331"/>
      <c r="AK62" s="331"/>
      <c r="AL62" s="332"/>
      <c r="AM62" s="328" t="str">
        <f>개요!$B$241&amp;AN62</f>
        <v/>
      </c>
      <c r="AN62" s="329"/>
      <c r="AO62" s="330"/>
      <c r="AP62" s="331"/>
      <c r="AQ62" s="331"/>
      <c r="AR62" s="332"/>
      <c r="AS62" s="328" t="str">
        <f>개요!$B$253&amp;AT62</f>
        <v/>
      </c>
      <c r="AT62" s="329"/>
      <c r="AU62" s="330"/>
      <c r="AV62" s="331"/>
      <c r="AW62" s="331"/>
      <c r="AX62" s="332"/>
      <c r="AY62" s="328" t="str">
        <f>개요!$B$265&amp;AZ62</f>
        <v/>
      </c>
      <c r="AZ62" s="329"/>
      <c r="BA62" s="330"/>
      <c r="BB62" s="331"/>
      <c r="BC62" s="331"/>
      <c r="BD62" s="332"/>
      <c r="BE62" s="328" t="str">
        <f>개요!$B$277&amp;BF62</f>
        <v/>
      </c>
      <c r="BF62" s="329"/>
      <c r="BG62" s="330"/>
      <c r="BH62" s="331"/>
      <c r="BI62" s="331"/>
    </row>
    <row r="63" spans="3:61" ht="14.25" customHeight="1" thickBot="1">
      <c r="C63" s="328" t="str">
        <f>개요!$B$169&amp;D63</f>
        <v/>
      </c>
      <c r="D63" s="329"/>
      <c r="E63" s="330"/>
      <c r="F63" s="331"/>
      <c r="G63" s="331"/>
      <c r="H63" s="332"/>
      <c r="I63" s="328" t="str">
        <f>개요!$B$181&amp;J63</f>
        <v/>
      </c>
      <c r="J63" s="329"/>
      <c r="K63" s="330"/>
      <c r="L63" s="331"/>
      <c r="M63" s="331"/>
      <c r="N63" s="332"/>
      <c r="O63" s="328" t="str">
        <f>개요!$B$193&amp;P63</f>
        <v/>
      </c>
      <c r="P63" s="329"/>
      <c r="Q63" s="330"/>
      <c r="R63" s="331"/>
      <c r="S63" s="331"/>
      <c r="T63" s="332"/>
      <c r="U63" s="328" t="str">
        <f>개요!$B$205&amp;V63</f>
        <v/>
      </c>
      <c r="V63" s="329"/>
      <c r="W63" s="330"/>
      <c r="X63" s="331"/>
      <c r="Y63" s="331"/>
      <c r="Z63" s="332"/>
      <c r="AA63" s="328" t="str">
        <f>개요!$B$217&amp;AB63</f>
        <v/>
      </c>
      <c r="AB63" s="329"/>
      <c r="AC63" s="330"/>
      <c r="AD63" s="331"/>
      <c r="AE63" s="331"/>
      <c r="AF63" s="332"/>
      <c r="AG63" s="328" t="str">
        <f>개요!$B$229&amp;AH63</f>
        <v/>
      </c>
      <c r="AH63" s="329"/>
      <c r="AI63" s="330"/>
      <c r="AJ63" s="331"/>
      <c r="AK63" s="331"/>
      <c r="AL63" s="332"/>
      <c r="AM63" s="328" t="str">
        <f>개요!$B$241&amp;AN63</f>
        <v/>
      </c>
      <c r="AN63" s="329"/>
      <c r="AO63" s="330"/>
      <c r="AP63" s="331"/>
      <c r="AQ63" s="331"/>
      <c r="AR63" s="332"/>
      <c r="AS63" s="328" t="str">
        <f>개요!$B$253&amp;AT63</f>
        <v/>
      </c>
      <c r="AT63" s="329"/>
      <c r="AU63" s="330"/>
      <c r="AV63" s="331"/>
      <c r="AW63" s="331"/>
      <c r="AX63" s="332"/>
      <c r="AY63" s="328" t="str">
        <f>개요!$B$265&amp;AZ63</f>
        <v/>
      </c>
      <c r="AZ63" s="329"/>
      <c r="BA63" s="330"/>
      <c r="BB63" s="331"/>
      <c r="BC63" s="331"/>
      <c r="BD63" s="332"/>
      <c r="BE63" s="328" t="str">
        <f>개요!$B$277&amp;BF63</f>
        <v/>
      </c>
      <c r="BF63" s="329"/>
      <c r="BG63" s="330"/>
      <c r="BH63" s="331"/>
      <c r="BI63" s="331"/>
    </row>
    <row r="64" spans="3:61" ht="14.25" customHeight="1" thickBot="1">
      <c r="C64" s="328" t="str">
        <f>개요!$B$169&amp;D64</f>
        <v/>
      </c>
      <c r="D64" s="329"/>
      <c r="E64" s="330"/>
      <c r="F64" s="331"/>
      <c r="G64" s="331"/>
      <c r="H64" s="332"/>
      <c r="I64" s="328" t="str">
        <f>개요!$B$181&amp;J64</f>
        <v/>
      </c>
      <c r="J64" s="329"/>
      <c r="K64" s="330"/>
      <c r="L64" s="331"/>
      <c r="M64" s="331"/>
      <c r="N64" s="332"/>
      <c r="O64" s="328" t="str">
        <f>개요!$B$193&amp;P64</f>
        <v/>
      </c>
      <c r="P64" s="329"/>
      <c r="Q64" s="330"/>
      <c r="R64" s="331"/>
      <c r="S64" s="331"/>
      <c r="T64" s="332"/>
      <c r="U64" s="328" t="str">
        <f>개요!$B$205&amp;V64</f>
        <v/>
      </c>
      <c r="V64" s="329"/>
      <c r="W64" s="330"/>
      <c r="X64" s="331"/>
      <c r="Y64" s="331"/>
      <c r="Z64" s="332"/>
      <c r="AA64" s="328" t="str">
        <f>개요!$B$217&amp;AB64</f>
        <v/>
      </c>
      <c r="AB64" s="329"/>
      <c r="AC64" s="330"/>
      <c r="AD64" s="331"/>
      <c r="AE64" s="331"/>
      <c r="AF64" s="332"/>
      <c r="AG64" s="328" t="str">
        <f>개요!$B$229&amp;AH64</f>
        <v/>
      </c>
      <c r="AH64" s="329"/>
      <c r="AI64" s="330"/>
      <c r="AJ64" s="331"/>
      <c r="AK64" s="331"/>
      <c r="AL64" s="332"/>
      <c r="AM64" s="328" t="str">
        <f>개요!$B$241&amp;AN64</f>
        <v/>
      </c>
      <c r="AN64" s="329"/>
      <c r="AO64" s="330"/>
      <c r="AP64" s="331"/>
      <c r="AQ64" s="331"/>
      <c r="AR64" s="332"/>
      <c r="AS64" s="328" t="str">
        <f>개요!$B$253&amp;AT64</f>
        <v/>
      </c>
      <c r="AT64" s="329"/>
      <c r="AU64" s="330"/>
      <c r="AV64" s="331"/>
      <c r="AW64" s="331"/>
      <c r="AX64" s="332"/>
      <c r="AY64" s="328" t="str">
        <f>개요!$B$265&amp;AZ64</f>
        <v/>
      </c>
      <c r="AZ64" s="329"/>
      <c r="BA64" s="330"/>
      <c r="BB64" s="331"/>
      <c r="BC64" s="331"/>
      <c r="BD64" s="332"/>
      <c r="BE64" s="328" t="str">
        <f>개요!$B$277&amp;BF64</f>
        <v/>
      </c>
      <c r="BF64" s="329"/>
      <c r="BG64" s="330"/>
      <c r="BH64" s="331"/>
      <c r="BI64" s="331"/>
    </row>
    <row r="65" spans="3:61" ht="14.25" customHeight="1" thickBot="1">
      <c r="C65" s="328" t="str">
        <f>개요!$B$169&amp;D65</f>
        <v/>
      </c>
      <c r="D65" s="329"/>
      <c r="E65" s="330"/>
      <c r="F65" s="331"/>
      <c r="G65" s="331"/>
      <c r="H65" s="332"/>
      <c r="I65" s="328" t="str">
        <f>개요!$B$181&amp;J65</f>
        <v/>
      </c>
      <c r="J65" s="329"/>
      <c r="K65" s="330"/>
      <c r="L65" s="331"/>
      <c r="M65" s="331"/>
      <c r="N65" s="332"/>
      <c r="O65" s="328" t="str">
        <f>개요!$B$193&amp;P65</f>
        <v/>
      </c>
      <c r="P65" s="329"/>
      <c r="Q65" s="330"/>
      <c r="R65" s="331"/>
      <c r="S65" s="331"/>
      <c r="T65" s="332"/>
      <c r="U65" s="328" t="str">
        <f>개요!$B$205&amp;V65</f>
        <v/>
      </c>
      <c r="V65" s="329"/>
      <c r="W65" s="330"/>
      <c r="X65" s="331"/>
      <c r="Y65" s="331"/>
      <c r="Z65" s="332"/>
      <c r="AA65" s="328" t="str">
        <f>개요!$B$217&amp;AB65</f>
        <v/>
      </c>
      <c r="AB65" s="329"/>
      <c r="AC65" s="330"/>
      <c r="AD65" s="331"/>
      <c r="AE65" s="331"/>
      <c r="AF65" s="332"/>
      <c r="AG65" s="328" t="str">
        <f>개요!$B$229&amp;AH65</f>
        <v/>
      </c>
      <c r="AH65" s="329"/>
      <c r="AI65" s="330"/>
      <c r="AJ65" s="331"/>
      <c r="AK65" s="331"/>
      <c r="AL65" s="332"/>
      <c r="AM65" s="328" t="str">
        <f>개요!$B$241&amp;AN65</f>
        <v/>
      </c>
      <c r="AN65" s="329"/>
      <c r="AO65" s="330"/>
      <c r="AP65" s="331"/>
      <c r="AQ65" s="331"/>
      <c r="AR65" s="332"/>
      <c r="AS65" s="328" t="str">
        <f>개요!$B$253&amp;AT65</f>
        <v/>
      </c>
      <c r="AT65" s="329"/>
      <c r="AU65" s="330"/>
      <c r="AV65" s="331"/>
      <c r="AW65" s="331"/>
      <c r="AX65" s="332"/>
      <c r="AY65" s="328" t="str">
        <f>개요!$B$265&amp;AZ65</f>
        <v/>
      </c>
      <c r="AZ65" s="329"/>
      <c r="BA65" s="330"/>
      <c r="BB65" s="331"/>
      <c r="BC65" s="331"/>
      <c r="BD65" s="332"/>
      <c r="BE65" s="328" t="str">
        <f>개요!$B$277&amp;BF65</f>
        <v/>
      </c>
      <c r="BF65" s="329"/>
      <c r="BG65" s="330"/>
      <c r="BH65" s="331"/>
      <c r="BI65" s="331"/>
    </row>
    <row r="66" spans="3:61" ht="14.25" customHeight="1" thickBot="1">
      <c r="C66" s="328" t="str">
        <f>개요!$B$169&amp;D66</f>
        <v/>
      </c>
      <c r="D66" s="329"/>
      <c r="E66" s="330"/>
      <c r="F66" s="331"/>
      <c r="G66" s="331"/>
      <c r="H66" s="332"/>
      <c r="I66" s="328" t="str">
        <f>개요!$B$181&amp;J66</f>
        <v/>
      </c>
      <c r="J66" s="329"/>
      <c r="K66" s="330"/>
      <c r="L66" s="331"/>
      <c r="M66" s="331"/>
      <c r="N66" s="332"/>
      <c r="O66" s="328" t="str">
        <f>개요!$B$193&amp;P66</f>
        <v/>
      </c>
      <c r="P66" s="329"/>
      <c r="Q66" s="330"/>
      <c r="R66" s="331"/>
      <c r="S66" s="331"/>
      <c r="T66" s="332"/>
      <c r="U66" s="328" t="str">
        <f>개요!$B$205&amp;V66</f>
        <v/>
      </c>
      <c r="V66" s="329"/>
      <c r="W66" s="330"/>
      <c r="X66" s="331"/>
      <c r="Y66" s="331"/>
      <c r="Z66" s="332"/>
      <c r="AA66" s="328" t="str">
        <f>개요!$B$217&amp;AB66</f>
        <v/>
      </c>
      <c r="AB66" s="329"/>
      <c r="AC66" s="330"/>
      <c r="AD66" s="331"/>
      <c r="AE66" s="331"/>
      <c r="AF66" s="332"/>
      <c r="AG66" s="328" t="str">
        <f>개요!$B$229&amp;AH66</f>
        <v/>
      </c>
      <c r="AH66" s="329"/>
      <c r="AI66" s="330"/>
      <c r="AJ66" s="331"/>
      <c r="AK66" s="331"/>
      <c r="AL66" s="332"/>
      <c r="AM66" s="328" t="str">
        <f>개요!$B$241&amp;AN66</f>
        <v/>
      </c>
      <c r="AN66" s="329"/>
      <c r="AO66" s="330"/>
      <c r="AP66" s="331"/>
      <c r="AQ66" s="331"/>
      <c r="AR66" s="332"/>
      <c r="AS66" s="328" t="str">
        <f>개요!$B$253&amp;AT66</f>
        <v/>
      </c>
      <c r="AT66" s="329"/>
      <c r="AU66" s="330"/>
      <c r="AV66" s="331"/>
      <c r="AW66" s="331"/>
      <c r="AX66" s="332"/>
      <c r="AY66" s="328" t="str">
        <f>개요!$B$265&amp;AZ66</f>
        <v/>
      </c>
      <c r="AZ66" s="329"/>
      <c r="BA66" s="330"/>
      <c r="BB66" s="331"/>
      <c r="BC66" s="331"/>
      <c r="BD66" s="332"/>
      <c r="BE66" s="328" t="str">
        <f>개요!$B$277&amp;BF66</f>
        <v/>
      </c>
      <c r="BF66" s="329"/>
      <c r="BG66" s="330"/>
      <c r="BH66" s="331"/>
      <c r="BI66" s="331"/>
    </row>
    <row r="67" spans="3:61" ht="14.25" customHeight="1" thickBot="1">
      <c r="C67" s="328" t="str">
        <f>개요!$B$169&amp;D67</f>
        <v/>
      </c>
      <c r="D67" s="329"/>
      <c r="E67" s="330"/>
      <c r="F67" s="331"/>
      <c r="G67" s="331"/>
      <c r="H67" s="332"/>
      <c r="I67" s="328" t="str">
        <f>개요!$B$181&amp;J67</f>
        <v/>
      </c>
      <c r="J67" s="329"/>
      <c r="K67" s="330"/>
      <c r="L67" s="331"/>
      <c r="M67" s="331"/>
      <c r="N67" s="332"/>
      <c r="O67" s="328" t="str">
        <f>개요!$B$193&amp;P67</f>
        <v/>
      </c>
      <c r="P67" s="329"/>
      <c r="Q67" s="330"/>
      <c r="R67" s="331"/>
      <c r="S67" s="331"/>
      <c r="T67" s="332"/>
      <c r="U67" s="328" t="str">
        <f>개요!$B$205&amp;V67</f>
        <v/>
      </c>
      <c r="V67" s="329"/>
      <c r="W67" s="330"/>
      <c r="X67" s="331"/>
      <c r="Y67" s="331"/>
      <c r="Z67" s="332"/>
      <c r="AA67" s="328" t="str">
        <f>개요!$B$217&amp;AB67</f>
        <v/>
      </c>
      <c r="AB67" s="329"/>
      <c r="AC67" s="330"/>
      <c r="AD67" s="331"/>
      <c r="AE67" s="331"/>
      <c r="AF67" s="332"/>
      <c r="AG67" s="328" t="str">
        <f>개요!$B$229&amp;AH67</f>
        <v/>
      </c>
      <c r="AH67" s="329"/>
      <c r="AI67" s="330"/>
      <c r="AJ67" s="331"/>
      <c r="AK67" s="331"/>
      <c r="AL67" s="332"/>
      <c r="AM67" s="328" t="str">
        <f>개요!$B$241&amp;AN67</f>
        <v/>
      </c>
      <c r="AN67" s="329"/>
      <c r="AO67" s="330"/>
      <c r="AP67" s="331"/>
      <c r="AQ67" s="331"/>
      <c r="AR67" s="332"/>
      <c r="AS67" s="328" t="str">
        <f>개요!$B$253&amp;AT67</f>
        <v/>
      </c>
      <c r="AT67" s="329"/>
      <c r="AU67" s="330"/>
      <c r="AV67" s="331"/>
      <c r="AW67" s="331"/>
      <c r="AX67" s="332"/>
      <c r="AY67" s="328" t="str">
        <f>개요!$B$265&amp;AZ67</f>
        <v/>
      </c>
      <c r="AZ67" s="329"/>
      <c r="BA67" s="330"/>
      <c r="BB67" s="331"/>
      <c r="BC67" s="331"/>
      <c r="BD67" s="332"/>
      <c r="BE67" s="328" t="str">
        <f>개요!$B$277&amp;BF67</f>
        <v/>
      </c>
      <c r="BF67" s="329"/>
      <c r="BG67" s="330"/>
      <c r="BH67" s="331"/>
      <c r="BI67" s="331"/>
    </row>
    <row r="68" spans="3:61" ht="14.25" customHeight="1" thickBot="1">
      <c r="C68" s="328" t="str">
        <f>개요!$B$169&amp;D68</f>
        <v/>
      </c>
      <c r="D68" s="329"/>
      <c r="E68" s="330"/>
      <c r="F68" s="331"/>
      <c r="G68" s="331"/>
      <c r="H68" s="332"/>
      <c r="I68" s="328" t="str">
        <f>개요!$B$181&amp;J68</f>
        <v/>
      </c>
      <c r="J68" s="329"/>
      <c r="K68" s="330"/>
      <c r="L68" s="331"/>
      <c r="M68" s="331"/>
      <c r="N68" s="332"/>
      <c r="O68" s="328" t="str">
        <f>개요!$B$193&amp;P68</f>
        <v/>
      </c>
      <c r="P68" s="329"/>
      <c r="Q68" s="330"/>
      <c r="R68" s="331"/>
      <c r="S68" s="331"/>
      <c r="T68" s="332"/>
      <c r="U68" s="328" t="str">
        <f>개요!$B$205&amp;V68</f>
        <v/>
      </c>
      <c r="V68" s="329"/>
      <c r="W68" s="330"/>
      <c r="X68" s="331"/>
      <c r="Y68" s="331"/>
      <c r="Z68" s="332"/>
      <c r="AA68" s="328" t="str">
        <f>개요!$B$217&amp;AB68</f>
        <v/>
      </c>
      <c r="AB68" s="329"/>
      <c r="AC68" s="330"/>
      <c r="AD68" s="331"/>
      <c r="AE68" s="331"/>
      <c r="AF68" s="332"/>
      <c r="AG68" s="328" t="str">
        <f>개요!$B$229&amp;AH68</f>
        <v/>
      </c>
      <c r="AH68" s="329"/>
      <c r="AI68" s="330"/>
      <c r="AJ68" s="331"/>
      <c r="AK68" s="331"/>
      <c r="AL68" s="332"/>
      <c r="AM68" s="328" t="str">
        <f>개요!$B$241&amp;AN68</f>
        <v/>
      </c>
      <c r="AN68" s="329"/>
      <c r="AO68" s="330"/>
      <c r="AP68" s="331"/>
      <c r="AQ68" s="331"/>
      <c r="AR68" s="332"/>
      <c r="AS68" s="328" t="str">
        <f>개요!$B$253&amp;AT68</f>
        <v/>
      </c>
      <c r="AT68" s="329"/>
      <c r="AU68" s="330"/>
      <c r="AV68" s="331"/>
      <c r="AW68" s="331"/>
      <c r="AX68" s="332"/>
      <c r="AY68" s="328" t="str">
        <f>개요!$B$265&amp;AZ68</f>
        <v/>
      </c>
      <c r="AZ68" s="329"/>
      <c r="BA68" s="330"/>
      <c r="BB68" s="331"/>
      <c r="BC68" s="331"/>
      <c r="BD68" s="332"/>
      <c r="BE68" s="328" t="str">
        <f>개요!$B$277&amp;BF68</f>
        <v/>
      </c>
      <c r="BF68" s="329"/>
      <c r="BG68" s="330"/>
      <c r="BH68" s="331"/>
      <c r="BI68" s="331"/>
    </row>
    <row r="69" spans="3:61" ht="14.25" customHeight="1" thickBot="1">
      <c r="C69" s="328" t="str">
        <f>개요!$B$169&amp;D69</f>
        <v/>
      </c>
      <c r="D69" s="329"/>
      <c r="E69" s="330"/>
      <c r="F69" s="331"/>
      <c r="G69" s="331"/>
      <c r="H69" s="332"/>
      <c r="I69" s="328" t="str">
        <f>개요!$B$181&amp;J69</f>
        <v/>
      </c>
      <c r="J69" s="329"/>
      <c r="K69" s="330"/>
      <c r="L69" s="331"/>
      <c r="M69" s="331"/>
      <c r="N69" s="332"/>
      <c r="O69" s="328" t="str">
        <f>개요!$B$193&amp;P69</f>
        <v/>
      </c>
      <c r="P69" s="329"/>
      <c r="Q69" s="330"/>
      <c r="R69" s="331"/>
      <c r="S69" s="331"/>
      <c r="T69" s="332"/>
      <c r="U69" s="328" t="str">
        <f>개요!$B$205&amp;V69</f>
        <v/>
      </c>
      <c r="V69" s="329"/>
      <c r="W69" s="330"/>
      <c r="X69" s="331"/>
      <c r="Y69" s="331"/>
      <c r="Z69" s="332"/>
      <c r="AA69" s="328" t="str">
        <f>개요!$B$217&amp;AB69</f>
        <v/>
      </c>
      <c r="AB69" s="329"/>
      <c r="AC69" s="330"/>
      <c r="AD69" s="331"/>
      <c r="AE69" s="331"/>
      <c r="AF69" s="332"/>
      <c r="AG69" s="328" t="str">
        <f>개요!$B$229&amp;AH69</f>
        <v/>
      </c>
      <c r="AH69" s="329"/>
      <c r="AI69" s="330"/>
      <c r="AJ69" s="331"/>
      <c r="AK69" s="331"/>
      <c r="AL69" s="332"/>
      <c r="AM69" s="328" t="str">
        <f>개요!$B$241&amp;AN69</f>
        <v/>
      </c>
      <c r="AN69" s="329"/>
      <c r="AO69" s="330"/>
      <c r="AP69" s="331"/>
      <c r="AQ69" s="331"/>
      <c r="AR69" s="332"/>
      <c r="AS69" s="328" t="str">
        <f>개요!$B$253&amp;AT69</f>
        <v/>
      </c>
      <c r="AT69" s="329"/>
      <c r="AU69" s="330"/>
      <c r="AV69" s="331"/>
      <c r="AW69" s="331"/>
      <c r="AX69" s="332"/>
      <c r="AY69" s="328" t="str">
        <f>개요!$B$265&amp;AZ69</f>
        <v/>
      </c>
      <c r="AZ69" s="329"/>
      <c r="BA69" s="330"/>
      <c r="BB69" s="331"/>
      <c r="BC69" s="331"/>
      <c r="BD69" s="332"/>
      <c r="BE69" s="328" t="str">
        <f>개요!$B$277&amp;BF69</f>
        <v/>
      </c>
      <c r="BF69" s="329"/>
      <c r="BG69" s="330"/>
      <c r="BH69" s="331"/>
      <c r="BI69" s="331"/>
    </row>
    <row r="70" spans="3:61" ht="14.25" customHeight="1" thickBot="1">
      <c r="C70" s="328" t="str">
        <f>개요!$B$169&amp;D70</f>
        <v/>
      </c>
      <c r="D70" s="329"/>
      <c r="E70" s="330"/>
      <c r="F70" s="331"/>
      <c r="G70" s="331"/>
      <c r="H70" s="332"/>
      <c r="I70" s="328" t="str">
        <f>개요!$B$181&amp;J70</f>
        <v/>
      </c>
      <c r="J70" s="329"/>
      <c r="K70" s="330"/>
      <c r="L70" s="331"/>
      <c r="M70" s="331"/>
      <c r="N70" s="332"/>
      <c r="O70" s="328" t="str">
        <f>개요!$B$193&amp;P70</f>
        <v/>
      </c>
      <c r="P70" s="329"/>
      <c r="Q70" s="330"/>
      <c r="R70" s="331"/>
      <c r="S70" s="331"/>
      <c r="T70" s="332"/>
      <c r="U70" s="328" t="str">
        <f>개요!$B$205&amp;V70</f>
        <v/>
      </c>
      <c r="V70" s="329"/>
      <c r="W70" s="330"/>
      <c r="X70" s="331"/>
      <c r="Y70" s="331"/>
      <c r="Z70" s="332"/>
      <c r="AA70" s="328" t="str">
        <f>개요!$B$217&amp;AB70</f>
        <v/>
      </c>
      <c r="AB70" s="329"/>
      <c r="AC70" s="330"/>
      <c r="AD70" s="331"/>
      <c r="AE70" s="331"/>
      <c r="AF70" s="332"/>
      <c r="AG70" s="328" t="str">
        <f>개요!$B$229&amp;AH70</f>
        <v/>
      </c>
      <c r="AH70" s="329"/>
      <c r="AI70" s="330"/>
      <c r="AJ70" s="331"/>
      <c r="AK70" s="331"/>
      <c r="AL70" s="332"/>
      <c r="AM70" s="328" t="str">
        <f>개요!$B$241&amp;AN70</f>
        <v/>
      </c>
      <c r="AN70" s="329"/>
      <c r="AO70" s="330"/>
      <c r="AP70" s="331"/>
      <c r="AQ70" s="331"/>
      <c r="AR70" s="332"/>
      <c r="AS70" s="328" t="str">
        <f>개요!$B$253&amp;AT70</f>
        <v/>
      </c>
      <c r="AT70" s="329"/>
      <c r="AU70" s="330"/>
      <c r="AV70" s="331"/>
      <c r="AW70" s="331"/>
      <c r="AX70" s="332"/>
      <c r="AY70" s="328" t="str">
        <f>개요!$B$265&amp;AZ70</f>
        <v/>
      </c>
      <c r="AZ70" s="329"/>
      <c r="BA70" s="330"/>
      <c r="BB70" s="331"/>
      <c r="BC70" s="331"/>
      <c r="BD70" s="332"/>
      <c r="BE70" s="328" t="str">
        <f>개요!$B$277&amp;BF70</f>
        <v/>
      </c>
      <c r="BF70" s="329"/>
      <c r="BG70" s="330"/>
      <c r="BH70" s="331"/>
      <c r="BI70" s="331"/>
    </row>
    <row r="71" spans="3:61" ht="14.25" customHeight="1" thickBot="1">
      <c r="C71" s="328" t="str">
        <f>개요!$B$169&amp;D71</f>
        <v/>
      </c>
      <c r="D71" s="329"/>
      <c r="E71" s="330"/>
      <c r="F71" s="331"/>
      <c r="G71" s="331"/>
      <c r="H71" s="332"/>
      <c r="I71" s="328" t="str">
        <f>개요!$B$181&amp;J71</f>
        <v/>
      </c>
      <c r="J71" s="329"/>
      <c r="K71" s="330"/>
      <c r="L71" s="331"/>
      <c r="M71" s="331"/>
      <c r="N71" s="332"/>
      <c r="O71" s="328" t="str">
        <f>개요!$B$193&amp;P71</f>
        <v/>
      </c>
      <c r="P71" s="329"/>
      <c r="Q71" s="330"/>
      <c r="R71" s="331"/>
      <c r="S71" s="331"/>
      <c r="T71" s="332"/>
      <c r="U71" s="328" t="str">
        <f>개요!$B$205&amp;V71</f>
        <v/>
      </c>
      <c r="V71" s="329"/>
      <c r="W71" s="330"/>
      <c r="X71" s="331"/>
      <c r="Y71" s="331"/>
      <c r="Z71" s="332"/>
      <c r="AA71" s="328" t="str">
        <f>개요!$B$217&amp;AB71</f>
        <v/>
      </c>
      <c r="AB71" s="329"/>
      <c r="AC71" s="330"/>
      <c r="AD71" s="331"/>
      <c r="AE71" s="331"/>
      <c r="AF71" s="332"/>
      <c r="AG71" s="328" t="str">
        <f>개요!$B$229&amp;AH71</f>
        <v/>
      </c>
      <c r="AH71" s="329"/>
      <c r="AI71" s="330"/>
      <c r="AJ71" s="331"/>
      <c r="AK71" s="331"/>
      <c r="AL71" s="332"/>
      <c r="AM71" s="328" t="str">
        <f>개요!$B$241&amp;AN71</f>
        <v/>
      </c>
      <c r="AN71" s="329"/>
      <c r="AO71" s="330"/>
      <c r="AP71" s="331"/>
      <c r="AQ71" s="331"/>
      <c r="AR71" s="332"/>
      <c r="AS71" s="328" t="str">
        <f>개요!$B$253&amp;AT71</f>
        <v/>
      </c>
      <c r="AT71" s="329"/>
      <c r="AU71" s="330"/>
      <c r="AV71" s="331"/>
      <c r="AW71" s="331"/>
      <c r="AX71" s="332"/>
      <c r="AY71" s="328" t="str">
        <f>개요!$B$265&amp;AZ71</f>
        <v/>
      </c>
      <c r="AZ71" s="329"/>
      <c r="BA71" s="330"/>
      <c r="BB71" s="331"/>
      <c r="BC71" s="331"/>
      <c r="BD71" s="332"/>
      <c r="BE71" s="328" t="str">
        <f>개요!$B$277&amp;BF71</f>
        <v/>
      </c>
      <c r="BF71" s="329"/>
      <c r="BG71" s="330"/>
      <c r="BH71" s="331"/>
      <c r="BI71" s="331"/>
    </row>
    <row r="72" spans="3:61" ht="14.25" customHeight="1" thickBot="1">
      <c r="C72" s="328" t="str">
        <f>개요!$B$169&amp;D72</f>
        <v/>
      </c>
      <c r="D72" s="329"/>
      <c r="E72" s="330"/>
      <c r="F72" s="331"/>
      <c r="G72" s="331"/>
      <c r="H72" s="332"/>
      <c r="I72" s="328" t="str">
        <f>개요!$B$181&amp;J72</f>
        <v/>
      </c>
      <c r="J72" s="329"/>
      <c r="K72" s="330"/>
      <c r="L72" s="331"/>
      <c r="M72" s="331"/>
      <c r="N72" s="332"/>
      <c r="O72" s="328" t="str">
        <f>개요!$B$193&amp;P72</f>
        <v/>
      </c>
      <c r="P72" s="329"/>
      <c r="Q72" s="330"/>
      <c r="R72" s="331"/>
      <c r="S72" s="331"/>
      <c r="T72" s="332"/>
      <c r="U72" s="328" t="str">
        <f>개요!$B$205&amp;V72</f>
        <v/>
      </c>
      <c r="V72" s="329"/>
      <c r="W72" s="330"/>
      <c r="X72" s="331"/>
      <c r="Y72" s="331"/>
      <c r="Z72" s="332"/>
      <c r="AA72" s="328" t="str">
        <f>개요!$B$217&amp;AB72</f>
        <v/>
      </c>
      <c r="AB72" s="329"/>
      <c r="AC72" s="330"/>
      <c r="AD72" s="331"/>
      <c r="AE72" s="331"/>
      <c r="AF72" s="332"/>
      <c r="AG72" s="328" t="str">
        <f>개요!$B$229&amp;AH72</f>
        <v/>
      </c>
      <c r="AH72" s="329"/>
      <c r="AI72" s="330"/>
      <c r="AJ72" s="331"/>
      <c r="AK72" s="331"/>
      <c r="AL72" s="332"/>
      <c r="AM72" s="328" t="str">
        <f>개요!$B$241&amp;AN72</f>
        <v/>
      </c>
      <c r="AN72" s="329"/>
      <c r="AO72" s="330"/>
      <c r="AP72" s="331"/>
      <c r="AQ72" s="331"/>
      <c r="AR72" s="332"/>
      <c r="AS72" s="328" t="str">
        <f>개요!$B$253&amp;AT72</f>
        <v/>
      </c>
      <c r="AT72" s="329"/>
      <c r="AU72" s="330"/>
      <c r="AV72" s="331"/>
      <c r="AW72" s="331"/>
      <c r="AX72" s="332"/>
      <c r="AY72" s="328" t="str">
        <f>개요!$B$265&amp;AZ72</f>
        <v/>
      </c>
      <c r="AZ72" s="329"/>
      <c r="BA72" s="330"/>
      <c r="BB72" s="331"/>
      <c r="BC72" s="331"/>
      <c r="BD72" s="332"/>
      <c r="BE72" s="328" t="str">
        <f>개요!$B$277&amp;BF72</f>
        <v/>
      </c>
      <c r="BF72" s="329"/>
      <c r="BG72" s="330"/>
      <c r="BH72" s="331"/>
      <c r="BI72" s="331"/>
    </row>
    <row r="73" spans="3:61" ht="14.25" customHeight="1" thickBot="1">
      <c r="C73" s="328" t="str">
        <f>개요!$B$169&amp;D73</f>
        <v/>
      </c>
      <c r="D73" s="329"/>
      <c r="E73" s="330"/>
      <c r="F73" s="331"/>
      <c r="G73" s="331"/>
      <c r="H73" s="332"/>
      <c r="I73" s="328" t="str">
        <f>개요!$B$181&amp;J73</f>
        <v/>
      </c>
      <c r="J73" s="329"/>
      <c r="K73" s="330"/>
      <c r="L73" s="331"/>
      <c r="M73" s="331"/>
      <c r="N73" s="332"/>
      <c r="O73" s="328" t="str">
        <f>개요!$B$193&amp;P73</f>
        <v/>
      </c>
      <c r="P73" s="329"/>
      <c r="Q73" s="330"/>
      <c r="R73" s="331"/>
      <c r="S73" s="331"/>
      <c r="T73" s="332"/>
      <c r="U73" s="328" t="str">
        <f>개요!$B$205&amp;V73</f>
        <v/>
      </c>
      <c r="V73" s="329"/>
      <c r="W73" s="330"/>
      <c r="X73" s="331"/>
      <c r="Y73" s="331"/>
      <c r="Z73" s="332"/>
      <c r="AA73" s="328" t="str">
        <f>개요!$B$217&amp;AB73</f>
        <v/>
      </c>
      <c r="AB73" s="329"/>
      <c r="AC73" s="330"/>
      <c r="AD73" s="331"/>
      <c r="AE73" s="331"/>
      <c r="AF73" s="332"/>
      <c r="AG73" s="328" t="str">
        <f>개요!$B$229&amp;AH73</f>
        <v/>
      </c>
      <c r="AH73" s="329"/>
      <c r="AI73" s="330"/>
      <c r="AJ73" s="331"/>
      <c r="AK73" s="331"/>
      <c r="AL73" s="332"/>
      <c r="AM73" s="328" t="str">
        <f>개요!$B$241&amp;AN73</f>
        <v/>
      </c>
      <c r="AN73" s="329"/>
      <c r="AO73" s="330"/>
      <c r="AP73" s="331"/>
      <c r="AQ73" s="331"/>
      <c r="AR73" s="332"/>
      <c r="AS73" s="328" t="str">
        <f>개요!$B$253&amp;AT73</f>
        <v/>
      </c>
      <c r="AT73" s="329"/>
      <c r="AU73" s="330"/>
      <c r="AV73" s="331"/>
      <c r="AW73" s="331"/>
      <c r="AX73" s="332"/>
      <c r="AY73" s="328" t="str">
        <f>개요!$B$265&amp;AZ73</f>
        <v/>
      </c>
      <c r="AZ73" s="329"/>
      <c r="BA73" s="330"/>
      <c r="BB73" s="331"/>
      <c r="BC73" s="331"/>
      <c r="BD73" s="332"/>
      <c r="BE73" s="328" t="str">
        <f>개요!$B$277&amp;BF73</f>
        <v/>
      </c>
      <c r="BF73" s="329"/>
      <c r="BG73" s="330"/>
      <c r="BH73" s="331"/>
      <c r="BI73" s="331"/>
    </row>
    <row r="74" spans="3:61" ht="14.25" customHeight="1" thickBot="1">
      <c r="C74" s="328" t="str">
        <f>개요!$B$169&amp;D74</f>
        <v/>
      </c>
      <c r="D74" s="329"/>
      <c r="E74" s="330"/>
      <c r="F74" s="331"/>
      <c r="G74" s="331"/>
      <c r="H74" s="332"/>
      <c r="I74" s="328" t="str">
        <f>개요!$B$181&amp;J74</f>
        <v/>
      </c>
      <c r="J74" s="329"/>
      <c r="K74" s="330"/>
      <c r="L74" s="331"/>
      <c r="M74" s="331"/>
      <c r="N74" s="332"/>
      <c r="O74" s="328" t="str">
        <f>개요!$B$193&amp;P74</f>
        <v/>
      </c>
      <c r="P74" s="329"/>
      <c r="Q74" s="330"/>
      <c r="R74" s="331"/>
      <c r="S74" s="331"/>
      <c r="T74" s="332"/>
      <c r="U74" s="328" t="str">
        <f>개요!$B$205&amp;V74</f>
        <v/>
      </c>
      <c r="V74" s="329"/>
      <c r="W74" s="330"/>
      <c r="X74" s="331"/>
      <c r="Y74" s="331"/>
      <c r="Z74" s="332"/>
      <c r="AA74" s="328" t="str">
        <f>개요!$B$217&amp;AB74</f>
        <v/>
      </c>
      <c r="AB74" s="329"/>
      <c r="AC74" s="330"/>
      <c r="AD74" s="331"/>
      <c r="AE74" s="331"/>
      <c r="AF74" s="332"/>
      <c r="AG74" s="328" t="str">
        <f>개요!$B$229&amp;AH74</f>
        <v/>
      </c>
      <c r="AH74" s="329"/>
      <c r="AI74" s="330"/>
      <c r="AJ74" s="331"/>
      <c r="AK74" s="331"/>
      <c r="AL74" s="332"/>
      <c r="AM74" s="328" t="str">
        <f>개요!$B$241&amp;AN74</f>
        <v/>
      </c>
      <c r="AN74" s="329"/>
      <c r="AO74" s="330"/>
      <c r="AP74" s="331"/>
      <c r="AQ74" s="331"/>
      <c r="AR74" s="332"/>
      <c r="AS74" s="328" t="str">
        <f>개요!$B$253&amp;AT74</f>
        <v/>
      </c>
      <c r="AT74" s="329"/>
      <c r="AU74" s="330"/>
      <c r="AV74" s="331"/>
      <c r="AW74" s="331"/>
      <c r="AX74" s="332"/>
      <c r="AY74" s="328" t="str">
        <f>개요!$B$265&amp;AZ74</f>
        <v/>
      </c>
      <c r="AZ74" s="329"/>
      <c r="BA74" s="330"/>
      <c r="BB74" s="331"/>
      <c r="BC74" s="331"/>
      <c r="BD74" s="332"/>
      <c r="BE74" s="328" t="str">
        <f>개요!$B$277&amp;BF74</f>
        <v/>
      </c>
      <c r="BF74" s="329"/>
      <c r="BG74" s="330"/>
      <c r="BH74" s="331"/>
      <c r="BI74" s="331"/>
    </row>
    <row r="75" spans="3:61" ht="14.25" customHeight="1" thickBot="1">
      <c r="C75" s="328" t="str">
        <f>개요!$B$169&amp;D75</f>
        <v/>
      </c>
      <c r="D75" s="329"/>
      <c r="E75" s="330"/>
      <c r="F75" s="331"/>
      <c r="G75" s="331"/>
      <c r="H75" s="335"/>
      <c r="I75" s="328" t="str">
        <f>개요!$B$181&amp;J75</f>
        <v/>
      </c>
      <c r="J75" s="329"/>
      <c r="K75" s="330"/>
      <c r="L75" s="331"/>
      <c r="M75" s="331"/>
      <c r="N75" s="335"/>
      <c r="O75" s="328" t="str">
        <f>개요!$B$193&amp;P75</f>
        <v/>
      </c>
      <c r="P75" s="329"/>
      <c r="Q75" s="330"/>
      <c r="R75" s="331"/>
      <c r="S75" s="331"/>
      <c r="T75" s="335"/>
      <c r="U75" s="328" t="str">
        <f>개요!$B$205&amp;V75</f>
        <v/>
      </c>
      <c r="V75" s="329"/>
      <c r="W75" s="330"/>
      <c r="X75" s="331"/>
      <c r="Y75" s="331"/>
      <c r="Z75" s="335"/>
      <c r="AA75" s="328" t="str">
        <f>개요!$B$217&amp;AB75</f>
        <v/>
      </c>
      <c r="AB75" s="329"/>
      <c r="AC75" s="330"/>
      <c r="AD75" s="331"/>
      <c r="AE75" s="331"/>
      <c r="AF75" s="335"/>
      <c r="AG75" s="328" t="str">
        <f>개요!$B$229&amp;AH75</f>
        <v/>
      </c>
      <c r="AH75" s="329"/>
      <c r="AI75" s="330"/>
      <c r="AJ75" s="331"/>
      <c r="AK75" s="331"/>
      <c r="AL75" s="335"/>
      <c r="AM75" s="328" t="str">
        <f>개요!$B$241&amp;AN75</f>
        <v/>
      </c>
      <c r="AN75" s="329"/>
      <c r="AO75" s="330"/>
      <c r="AP75" s="331"/>
      <c r="AQ75" s="331"/>
      <c r="AR75" s="335"/>
      <c r="AS75" s="328" t="str">
        <f>개요!$B$253&amp;AT75</f>
        <v/>
      </c>
      <c r="AT75" s="329"/>
      <c r="AU75" s="330"/>
      <c r="AV75" s="331"/>
      <c r="AW75" s="331"/>
      <c r="AX75" s="335"/>
      <c r="AY75" s="328" t="str">
        <f>개요!$B$265&amp;AZ75</f>
        <v/>
      </c>
      <c r="AZ75" s="329"/>
      <c r="BA75" s="330"/>
      <c r="BB75" s="331"/>
      <c r="BC75" s="331"/>
      <c r="BD75" s="335"/>
      <c r="BE75" s="328" t="str">
        <f>개요!$B$277&amp;BF75</f>
        <v/>
      </c>
      <c r="BF75" s="329"/>
      <c r="BG75" s="330"/>
      <c r="BH75" s="331"/>
      <c r="BI75" s="331"/>
    </row>
    <row r="76" spans="3:61" ht="14.25" customHeight="1" thickBot="1">
      <c r="C76" s="328" t="str">
        <f>개요!$B$169&amp;D76</f>
        <v/>
      </c>
      <c r="D76" s="329"/>
      <c r="E76" s="330"/>
      <c r="F76" s="331"/>
      <c r="G76" s="331"/>
      <c r="H76" s="332"/>
      <c r="I76" s="328" t="str">
        <f>개요!$B$181&amp;J76</f>
        <v/>
      </c>
      <c r="J76" s="329"/>
      <c r="K76" s="330"/>
      <c r="L76" s="331"/>
      <c r="M76" s="331"/>
      <c r="N76" s="332"/>
      <c r="O76" s="328" t="str">
        <f>개요!$B$193&amp;P76</f>
        <v/>
      </c>
      <c r="P76" s="329"/>
      <c r="Q76" s="330"/>
      <c r="R76" s="331"/>
      <c r="S76" s="331"/>
      <c r="T76" s="332"/>
      <c r="U76" s="328" t="str">
        <f>개요!$B$205&amp;V76</f>
        <v/>
      </c>
      <c r="V76" s="329"/>
      <c r="W76" s="330"/>
      <c r="X76" s="331"/>
      <c r="Y76" s="331"/>
      <c r="Z76" s="332"/>
      <c r="AA76" s="328" t="str">
        <f>개요!$B$217&amp;AB76</f>
        <v/>
      </c>
      <c r="AB76" s="329"/>
      <c r="AC76" s="330"/>
      <c r="AD76" s="331"/>
      <c r="AE76" s="331"/>
      <c r="AF76" s="332"/>
      <c r="AG76" s="328" t="str">
        <f>개요!$B$229&amp;AH76</f>
        <v/>
      </c>
      <c r="AH76" s="329"/>
      <c r="AI76" s="330"/>
      <c r="AJ76" s="331"/>
      <c r="AK76" s="331"/>
      <c r="AL76" s="332"/>
      <c r="AM76" s="328" t="str">
        <f>개요!$B$241&amp;AN76</f>
        <v/>
      </c>
      <c r="AN76" s="329"/>
      <c r="AO76" s="330"/>
      <c r="AP76" s="331"/>
      <c r="AQ76" s="331"/>
      <c r="AR76" s="332"/>
      <c r="AS76" s="328" t="str">
        <f>개요!$B$253&amp;AT76</f>
        <v/>
      </c>
      <c r="AT76" s="329"/>
      <c r="AU76" s="330"/>
      <c r="AV76" s="331"/>
      <c r="AW76" s="331"/>
      <c r="AX76" s="332"/>
      <c r="AY76" s="328" t="str">
        <f>개요!$B$265&amp;AZ76</f>
        <v/>
      </c>
      <c r="AZ76" s="329"/>
      <c r="BA76" s="330"/>
      <c r="BB76" s="331"/>
      <c r="BC76" s="331"/>
      <c r="BD76" s="332"/>
      <c r="BE76" s="328" t="str">
        <f>개요!$B$277&amp;BF76</f>
        <v/>
      </c>
      <c r="BF76" s="329"/>
      <c r="BG76" s="330"/>
      <c r="BH76" s="331"/>
      <c r="BI76" s="331"/>
    </row>
    <row r="77" spans="3:61" ht="14.25" customHeight="1" thickBot="1">
      <c r="C77" s="328" t="str">
        <f>개요!$B$169&amp;D77</f>
        <v/>
      </c>
      <c r="D77" s="329"/>
      <c r="E77" s="330"/>
      <c r="F77" s="331"/>
      <c r="G77" s="331"/>
      <c r="H77" s="332"/>
      <c r="I77" s="328" t="str">
        <f>개요!$B$181&amp;J77</f>
        <v/>
      </c>
      <c r="J77" s="329"/>
      <c r="K77" s="330"/>
      <c r="L77" s="331"/>
      <c r="M77" s="331"/>
      <c r="N77" s="332"/>
      <c r="O77" s="328" t="str">
        <f>개요!$B$193&amp;P77</f>
        <v/>
      </c>
      <c r="P77" s="329"/>
      <c r="Q77" s="330"/>
      <c r="R77" s="331"/>
      <c r="S77" s="331"/>
      <c r="T77" s="332"/>
      <c r="U77" s="328" t="str">
        <f>개요!$B$205&amp;V77</f>
        <v/>
      </c>
      <c r="V77" s="329"/>
      <c r="W77" s="330"/>
      <c r="X77" s="331"/>
      <c r="Y77" s="331"/>
      <c r="Z77" s="332"/>
      <c r="AA77" s="328" t="str">
        <f>개요!$B$217&amp;AB77</f>
        <v/>
      </c>
      <c r="AB77" s="329"/>
      <c r="AC77" s="330"/>
      <c r="AD77" s="331"/>
      <c r="AE77" s="331"/>
      <c r="AF77" s="332"/>
      <c r="AG77" s="328" t="str">
        <f>개요!$B$229&amp;AH77</f>
        <v/>
      </c>
      <c r="AH77" s="329"/>
      <c r="AI77" s="330"/>
      <c r="AJ77" s="331"/>
      <c r="AK77" s="331"/>
      <c r="AL77" s="332"/>
      <c r="AM77" s="328" t="str">
        <f>개요!$B$241&amp;AN77</f>
        <v/>
      </c>
      <c r="AN77" s="329"/>
      <c r="AO77" s="330"/>
      <c r="AP77" s="331"/>
      <c r="AQ77" s="331"/>
      <c r="AR77" s="332"/>
      <c r="AS77" s="328" t="str">
        <f>개요!$B$253&amp;AT77</f>
        <v/>
      </c>
      <c r="AT77" s="329"/>
      <c r="AU77" s="330"/>
      <c r="AV77" s="331"/>
      <c r="AW77" s="331"/>
      <c r="AX77" s="332"/>
      <c r="AY77" s="328" t="str">
        <f>개요!$B$265&amp;AZ77</f>
        <v/>
      </c>
      <c r="AZ77" s="329"/>
      <c r="BA77" s="330"/>
      <c r="BB77" s="331"/>
      <c r="BC77" s="331"/>
      <c r="BD77" s="332"/>
      <c r="BE77" s="328" t="str">
        <f>개요!$B$277&amp;BF77</f>
        <v/>
      </c>
      <c r="BF77" s="329"/>
      <c r="BG77" s="330"/>
      <c r="BH77" s="331"/>
      <c r="BI77" s="331"/>
    </row>
    <row r="78" spans="3:61" ht="14.25" customHeight="1" thickBot="1">
      <c r="C78" s="328" t="str">
        <f>개요!$B$169&amp;D78</f>
        <v/>
      </c>
      <c r="D78" s="329"/>
      <c r="E78" s="330"/>
      <c r="F78" s="331"/>
      <c r="G78" s="331"/>
      <c r="H78" s="332"/>
      <c r="I78" s="328" t="str">
        <f>개요!$B$181&amp;J78</f>
        <v/>
      </c>
      <c r="J78" s="329"/>
      <c r="K78" s="330"/>
      <c r="L78" s="331"/>
      <c r="M78" s="331"/>
      <c r="N78" s="332"/>
      <c r="O78" s="328" t="str">
        <f>개요!$B$193&amp;P78</f>
        <v/>
      </c>
      <c r="P78" s="329"/>
      <c r="Q78" s="330"/>
      <c r="R78" s="331"/>
      <c r="S78" s="331"/>
      <c r="T78" s="332"/>
      <c r="U78" s="328" t="str">
        <f>개요!$B$205&amp;V78</f>
        <v/>
      </c>
      <c r="V78" s="329"/>
      <c r="W78" s="330"/>
      <c r="X78" s="331"/>
      <c r="Y78" s="331"/>
      <c r="Z78" s="332"/>
      <c r="AA78" s="328" t="str">
        <f>개요!$B$217&amp;AB78</f>
        <v/>
      </c>
      <c r="AB78" s="329"/>
      <c r="AC78" s="330"/>
      <c r="AD78" s="331"/>
      <c r="AE78" s="331"/>
      <c r="AF78" s="332"/>
      <c r="AG78" s="328" t="str">
        <f>개요!$B$229&amp;AH78</f>
        <v/>
      </c>
      <c r="AH78" s="329"/>
      <c r="AI78" s="330"/>
      <c r="AJ78" s="331"/>
      <c r="AK78" s="331"/>
      <c r="AL78" s="332"/>
      <c r="AM78" s="328" t="str">
        <f>개요!$B$241&amp;AN78</f>
        <v/>
      </c>
      <c r="AN78" s="329"/>
      <c r="AO78" s="330"/>
      <c r="AP78" s="331"/>
      <c r="AQ78" s="331"/>
      <c r="AR78" s="332"/>
      <c r="AS78" s="328" t="str">
        <f>개요!$B$253&amp;AT78</f>
        <v/>
      </c>
      <c r="AT78" s="329"/>
      <c r="AU78" s="330"/>
      <c r="AV78" s="331"/>
      <c r="AW78" s="331"/>
      <c r="AX78" s="332"/>
      <c r="AY78" s="328" t="str">
        <f>개요!$B$265&amp;AZ78</f>
        <v/>
      </c>
      <c r="AZ78" s="329"/>
      <c r="BA78" s="330"/>
      <c r="BB78" s="331"/>
      <c r="BC78" s="331"/>
      <c r="BD78" s="332"/>
      <c r="BE78" s="328" t="str">
        <f>개요!$B$277&amp;BF78</f>
        <v/>
      </c>
      <c r="BF78" s="329"/>
      <c r="BG78" s="330"/>
      <c r="BH78" s="331"/>
      <c r="BI78" s="331"/>
    </row>
    <row r="79" spans="3:61" ht="14.25" customHeight="1" thickBot="1">
      <c r="C79" s="328" t="str">
        <f>개요!$B$169&amp;D79</f>
        <v/>
      </c>
      <c r="D79" s="329"/>
      <c r="E79" s="330"/>
      <c r="F79" s="331"/>
      <c r="G79" s="331"/>
      <c r="I79" s="328" t="str">
        <f>개요!$B$181&amp;J79</f>
        <v/>
      </c>
      <c r="J79" s="329"/>
      <c r="K79" s="330"/>
      <c r="L79" s="331"/>
      <c r="M79" s="331"/>
      <c r="O79" s="328" t="str">
        <f>개요!$B$193&amp;P79</f>
        <v/>
      </c>
      <c r="P79" s="329"/>
      <c r="Q79" s="330"/>
      <c r="R79" s="331"/>
      <c r="S79" s="331"/>
      <c r="U79" s="328" t="str">
        <f>개요!$B$205&amp;V79</f>
        <v/>
      </c>
      <c r="V79" s="329"/>
      <c r="W79" s="330"/>
      <c r="X79" s="331"/>
      <c r="Y79" s="331"/>
      <c r="AA79" s="328" t="str">
        <f>개요!$B$217&amp;AB79</f>
        <v/>
      </c>
      <c r="AB79" s="329"/>
      <c r="AC79" s="330"/>
      <c r="AD79" s="331"/>
      <c r="AE79" s="331"/>
      <c r="AG79" s="328" t="str">
        <f>개요!$B$229&amp;AH79</f>
        <v/>
      </c>
      <c r="AH79" s="329"/>
      <c r="AI79" s="330"/>
      <c r="AJ79" s="331"/>
      <c r="AK79" s="331"/>
      <c r="AM79" s="328" t="str">
        <f>개요!$B$241&amp;AN79</f>
        <v/>
      </c>
      <c r="AN79" s="329"/>
      <c r="AO79" s="330"/>
      <c r="AP79" s="331"/>
      <c r="AQ79" s="331"/>
      <c r="AS79" s="328" t="str">
        <f>개요!$B$253&amp;AT79</f>
        <v/>
      </c>
      <c r="AT79" s="329"/>
      <c r="AU79" s="330"/>
      <c r="AV79" s="331"/>
      <c r="AW79" s="331"/>
      <c r="AY79" s="328" t="str">
        <f>개요!$B$265&amp;AZ79</f>
        <v/>
      </c>
      <c r="AZ79" s="329"/>
      <c r="BA79" s="330"/>
      <c r="BB79" s="331"/>
      <c r="BC79" s="331"/>
      <c r="BE79" s="328" t="str">
        <f>개요!$B$277&amp;BF79</f>
        <v/>
      </c>
      <c r="BF79" s="329"/>
      <c r="BG79" s="330"/>
      <c r="BH79" s="331"/>
      <c r="BI79" s="331"/>
    </row>
    <row r="80" spans="3:61" ht="14.25" customHeight="1">
      <c r="F80" s="336" t="b">
        <f>IF(AND(NAV!B551:B564),TRUE,FALSE)</f>
        <v>1</v>
      </c>
      <c r="G80" s="336"/>
      <c r="L80" s="336" t="b">
        <f>IF(AND(NAV!B589:B602),TRUE,FALSE)</f>
        <v>1</v>
      </c>
      <c r="M80" s="336"/>
      <c r="R80" s="336" t="b">
        <f>IF(AND(NAV!B627:B640),TRUE,FALSE)</f>
        <v>1</v>
      </c>
      <c r="S80" s="336"/>
      <c r="X80" s="336" t="b">
        <f>IF(AND(NAV!B665:B678),TRUE,FALSE)</f>
        <v>1</v>
      </c>
      <c r="Y80" s="336"/>
      <c r="AD80" s="336" t="b">
        <f>IF(AND(NAV!B703:B716),TRUE,FALSE)</f>
        <v>1</v>
      </c>
      <c r="AE80" s="336"/>
      <c r="AJ80" s="336" t="b">
        <f>IF(AND(NAV!B741:B754),TRUE,FALSE)</f>
        <v>1</v>
      </c>
      <c r="AK80" s="336"/>
      <c r="AP80" s="336" t="b">
        <f>IF(AND(NAV!B779:B792),TRUE,FALSE)</f>
        <v>1</v>
      </c>
      <c r="AQ80" s="336"/>
      <c r="AV80" s="336" t="b">
        <f>IF(AND(NAV!B817:B830),TRUE,FALSE)</f>
        <v>1</v>
      </c>
      <c r="AW80" s="336"/>
      <c r="BB80" s="336" t="b">
        <f>IF(AND(NAV!B855:B868),TRUE,FALSE)</f>
        <v>1</v>
      </c>
      <c r="BC80" s="336"/>
      <c r="BH80" s="336" t="b">
        <f>IF(AND(NAV!B893:B906),TRUE,FALSE)</f>
        <v>1</v>
      </c>
      <c r="BI80" s="336"/>
    </row>
    <row r="82" spans="3:61">
      <c r="D82" s="314" t="s">
        <v>279</v>
      </c>
      <c r="E82" s="315"/>
      <c r="F82" s="316"/>
      <c r="G82" s="316"/>
      <c r="J82" s="314" t="s">
        <v>279</v>
      </c>
      <c r="K82" s="315"/>
      <c r="L82" s="316"/>
      <c r="M82" s="316"/>
      <c r="O82" s="316"/>
      <c r="P82" s="314" t="s">
        <v>279</v>
      </c>
      <c r="Q82" s="316"/>
      <c r="R82" s="316"/>
      <c r="S82" s="316"/>
      <c r="U82" s="316"/>
      <c r="V82" s="314" t="s">
        <v>279</v>
      </c>
      <c r="W82" s="316"/>
      <c r="X82" s="316"/>
      <c r="Y82" s="316"/>
      <c r="AA82" s="316"/>
      <c r="AB82" s="314" t="s">
        <v>279</v>
      </c>
      <c r="AC82" s="316"/>
      <c r="AD82" s="316"/>
      <c r="AE82" s="316"/>
      <c r="AG82" s="316"/>
      <c r="AH82" s="314" t="s">
        <v>279</v>
      </c>
      <c r="AI82" s="316"/>
      <c r="AJ82" s="316"/>
      <c r="AK82" s="316"/>
      <c r="AM82" s="316"/>
      <c r="AN82" s="314" t="s">
        <v>279</v>
      </c>
      <c r="AO82" s="316"/>
      <c r="AP82" s="316"/>
      <c r="AQ82" s="316"/>
      <c r="AS82" s="316"/>
      <c r="AT82" s="314" t="s">
        <v>279</v>
      </c>
      <c r="AU82" s="316"/>
      <c r="AV82" s="316"/>
      <c r="AW82" s="316"/>
      <c r="AY82" s="316"/>
      <c r="AZ82" s="314" t="s">
        <v>279</v>
      </c>
      <c r="BA82" s="316"/>
      <c r="BB82" s="316"/>
      <c r="BC82" s="316"/>
      <c r="BE82" s="316"/>
      <c r="BF82" s="314" t="s">
        <v>279</v>
      </c>
      <c r="BG82" s="316"/>
      <c r="BH82" s="316"/>
      <c r="BI82" s="316"/>
    </row>
    <row r="83" spans="3:61" ht="14.25" thickBot="1">
      <c r="D83" s="318" t="s">
        <v>338</v>
      </c>
      <c r="J83" s="318" t="s">
        <v>339</v>
      </c>
      <c r="P83" s="318" t="s">
        <v>340</v>
      </c>
      <c r="V83" s="318" t="s">
        <v>341</v>
      </c>
      <c r="AB83" s="318" t="s">
        <v>342</v>
      </c>
      <c r="AH83" s="318" t="s">
        <v>343</v>
      </c>
      <c r="AN83" s="318" t="s">
        <v>344</v>
      </c>
      <c r="AT83" s="318" t="s">
        <v>346</v>
      </c>
      <c r="AU83" s="317"/>
      <c r="AV83" s="317"/>
      <c r="AW83" s="317"/>
      <c r="AZ83" s="318" t="s">
        <v>347</v>
      </c>
      <c r="BF83" s="318" t="s">
        <v>345</v>
      </c>
    </row>
    <row r="84" spans="3:61">
      <c r="D84" s="319">
        <f>개요!$B$289</f>
        <v>0</v>
      </c>
      <c r="E84" s="319"/>
      <c r="F84" s="5"/>
      <c r="G84" s="320"/>
      <c r="J84" s="319">
        <f>개요!$B$301</f>
        <v>0</v>
      </c>
      <c r="K84" s="319"/>
      <c r="L84" s="5"/>
      <c r="M84" s="320"/>
      <c r="P84" s="319">
        <f>개요!$B$313</f>
        <v>0</v>
      </c>
      <c r="Q84" s="319"/>
      <c r="R84" s="5"/>
      <c r="S84" s="320"/>
      <c r="V84" s="319">
        <f>개요!$B$325</f>
        <v>0</v>
      </c>
      <c r="W84" s="319"/>
      <c r="X84" s="5"/>
      <c r="Y84" s="320"/>
      <c r="AB84" s="319">
        <f>개요!$B$337</f>
        <v>0</v>
      </c>
      <c r="AC84" s="319"/>
      <c r="AD84" s="5"/>
      <c r="AE84" s="320"/>
      <c r="AH84" s="319">
        <f>개요!$B$349</f>
        <v>0</v>
      </c>
      <c r="AI84" s="319"/>
      <c r="AJ84" s="5"/>
      <c r="AK84" s="320"/>
      <c r="AN84" s="319">
        <f>개요!$B$361</f>
        <v>0</v>
      </c>
      <c r="AO84" s="319"/>
      <c r="AP84" s="5"/>
      <c r="AQ84" s="320"/>
      <c r="AT84" s="319">
        <f>개요!$B$373</f>
        <v>0</v>
      </c>
      <c r="AU84" s="319"/>
      <c r="AV84" s="5"/>
      <c r="AW84" s="320"/>
      <c r="AZ84" s="319">
        <f>개요!$B$385</f>
        <v>0</v>
      </c>
      <c r="BA84" s="319"/>
      <c r="BB84" s="5"/>
      <c r="BC84" s="320"/>
      <c r="BF84" s="319">
        <f>개요!$B$397</f>
        <v>0</v>
      </c>
      <c r="BG84" s="319"/>
      <c r="BH84" s="5"/>
      <c r="BI84" s="320"/>
    </row>
    <row r="85" spans="3:61" ht="14.25" thickBot="1">
      <c r="D85" s="321">
        <f>개요!C290</f>
        <v>0</v>
      </c>
      <c r="E85" s="321"/>
      <c r="F85" s="2"/>
      <c r="G85" s="322"/>
      <c r="J85" s="321">
        <f>개요!$C$302</f>
        <v>0</v>
      </c>
      <c r="K85" s="321"/>
      <c r="L85" s="2"/>
      <c r="M85" s="322"/>
      <c r="P85" s="321">
        <f>개요!$C$314</f>
        <v>0</v>
      </c>
      <c r="Q85" s="321"/>
      <c r="R85" s="2"/>
      <c r="S85" s="322"/>
      <c r="V85" s="321">
        <f>개요!$C$326</f>
        <v>0</v>
      </c>
      <c r="W85" s="321"/>
      <c r="X85" s="2"/>
      <c r="Y85" s="322"/>
      <c r="AB85" s="321">
        <f>개요!$C$338</f>
        <v>0</v>
      </c>
      <c r="AC85" s="321"/>
      <c r="AD85" s="2"/>
      <c r="AE85" s="322"/>
      <c r="AH85" s="321">
        <f>개요!$C$350</f>
        <v>0</v>
      </c>
      <c r="AI85" s="321"/>
      <c r="AJ85" s="2"/>
      <c r="AK85" s="322"/>
      <c r="AN85" s="321">
        <f>개요!$C$362</f>
        <v>0</v>
      </c>
      <c r="AO85" s="321"/>
      <c r="AP85" s="2"/>
      <c r="AQ85" s="322"/>
      <c r="AT85" s="321">
        <f>개요!$C$374</f>
        <v>0</v>
      </c>
      <c r="AU85" s="321"/>
      <c r="AV85" s="2"/>
      <c r="AW85" s="322"/>
      <c r="AZ85" s="321">
        <f>개요!$C$386</f>
        <v>0</v>
      </c>
      <c r="BA85" s="321"/>
      <c r="BB85" s="2"/>
      <c r="BC85" s="322"/>
      <c r="BF85" s="321">
        <f>개요!$C$398</f>
        <v>0</v>
      </c>
      <c r="BG85" s="321"/>
      <c r="BH85" s="2"/>
      <c r="BI85" s="322"/>
    </row>
    <row r="86" spans="3:61" ht="14.25" thickBot="1">
      <c r="D86" s="323"/>
      <c r="E86" s="324"/>
      <c r="F86" s="325"/>
      <c r="G86" s="325"/>
      <c r="J86" s="323"/>
      <c r="K86" s="324"/>
      <c r="L86" s="325"/>
      <c r="M86" s="325"/>
      <c r="P86" s="323"/>
      <c r="Q86" s="324"/>
      <c r="R86" s="325"/>
      <c r="S86" s="325"/>
      <c r="V86" s="323"/>
      <c r="W86" s="324"/>
      <c r="X86" s="325"/>
      <c r="Y86" s="325"/>
      <c r="AB86" s="323"/>
      <c r="AC86" s="324"/>
      <c r="AD86" s="325"/>
      <c r="AE86" s="325"/>
      <c r="AH86" s="323"/>
      <c r="AI86" s="324"/>
      <c r="AJ86" s="325"/>
      <c r="AK86" s="325"/>
      <c r="AN86" s="323"/>
      <c r="AO86" s="324"/>
      <c r="AP86" s="325"/>
      <c r="AQ86" s="325"/>
      <c r="AT86" s="323"/>
      <c r="AU86" s="324"/>
      <c r="AV86" s="325"/>
      <c r="AW86" s="325"/>
      <c r="AZ86" s="323"/>
      <c r="BA86" s="324"/>
      <c r="BB86" s="325"/>
      <c r="BC86" s="325"/>
      <c r="BF86" s="323"/>
      <c r="BG86" s="324"/>
      <c r="BH86" s="325"/>
      <c r="BI86" s="325"/>
    </row>
    <row r="87" spans="3:61" ht="14.25" customHeight="1" thickBot="1">
      <c r="C87" s="845" t="s">
        <v>78</v>
      </c>
      <c r="D87" s="847" t="s">
        <v>77</v>
      </c>
      <c r="E87" s="847" t="s">
        <v>76</v>
      </c>
      <c r="F87" s="326"/>
      <c r="G87" s="326"/>
      <c r="I87" s="845" t="s">
        <v>78</v>
      </c>
      <c r="J87" s="847" t="s">
        <v>77</v>
      </c>
      <c r="K87" s="847" t="s">
        <v>76</v>
      </c>
      <c r="L87" s="326"/>
      <c r="M87" s="326"/>
      <c r="O87" s="845" t="s">
        <v>78</v>
      </c>
      <c r="P87" s="847" t="s">
        <v>77</v>
      </c>
      <c r="Q87" s="847" t="s">
        <v>76</v>
      </c>
      <c r="R87" s="326"/>
      <c r="S87" s="326"/>
      <c r="U87" s="845" t="s">
        <v>78</v>
      </c>
      <c r="V87" s="847" t="s">
        <v>734</v>
      </c>
      <c r="W87" s="847" t="s">
        <v>76</v>
      </c>
      <c r="X87" s="326"/>
      <c r="Y87" s="326"/>
      <c r="AA87" s="845" t="s">
        <v>78</v>
      </c>
      <c r="AB87" s="847" t="s">
        <v>77</v>
      </c>
      <c r="AC87" s="847" t="s">
        <v>76</v>
      </c>
      <c r="AD87" s="326"/>
      <c r="AE87" s="326"/>
      <c r="AG87" s="845" t="s">
        <v>78</v>
      </c>
      <c r="AH87" s="847" t="s">
        <v>77</v>
      </c>
      <c r="AI87" s="847" t="s">
        <v>76</v>
      </c>
      <c r="AJ87" s="326"/>
      <c r="AK87" s="326"/>
      <c r="AM87" s="845" t="s">
        <v>78</v>
      </c>
      <c r="AN87" s="847" t="s">
        <v>77</v>
      </c>
      <c r="AO87" s="847" t="s">
        <v>76</v>
      </c>
      <c r="AP87" s="326"/>
      <c r="AQ87" s="326"/>
      <c r="AS87" s="845" t="s">
        <v>78</v>
      </c>
      <c r="AT87" s="847" t="s">
        <v>734</v>
      </c>
      <c r="AU87" s="847" t="s">
        <v>76</v>
      </c>
      <c r="AV87" s="326"/>
      <c r="AW87" s="326"/>
      <c r="AY87" s="845" t="s">
        <v>78</v>
      </c>
      <c r="AZ87" s="847" t="s">
        <v>77</v>
      </c>
      <c r="BA87" s="847" t="s">
        <v>76</v>
      </c>
      <c r="BB87" s="326"/>
      <c r="BC87" s="326"/>
      <c r="BE87" s="845" t="s">
        <v>78</v>
      </c>
      <c r="BF87" s="847" t="s">
        <v>77</v>
      </c>
      <c r="BG87" s="847" t="s">
        <v>76</v>
      </c>
      <c r="BH87" s="326"/>
      <c r="BI87" s="326"/>
    </row>
    <row r="88" spans="3:61" ht="14.25" thickBot="1">
      <c r="C88" s="846"/>
      <c r="D88" s="847"/>
      <c r="E88" s="847"/>
      <c r="F88" s="327"/>
      <c r="G88" s="327"/>
      <c r="I88" s="846"/>
      <c r="J88" s="847"/>
      <c r="K88" s="847"/>
      <c r="L88" s="327"/>
      <c r="M88" s="327"/>
      <c r="O88" s="846"/>
      <c r="P88" s="847"/>
      <c r="Q88" s="847"/>
      <c r="R88" s="327"/>
      <c r="S88" s="327"/>
      <c r="U88" s="846"/>
      <c r="V88" s="847"/>
      <c r="W88" s="847"/>
      <c r="X88" s="327"/>
      <c r="Y88" s="327"/>
      <c r="AA88" s="846"/>
      <c r="AB88" s="847"/>
      <c r="AC88" s="847"/>
      <c r="AD88" s="327"/>
      <c r="AE88" s="327"/>
      <c r="AG88" s="846"/>
      <c r="AH88" s="847"/>
      <c r="AI88" s="847"/>
      <c r="AJ88" s="327"/>
      <c r="AK88" s="327"/>
      <c r="AM88" s="846"/>
      <c r="AN88" s="847"/>
      <c r="AO88" s="847"/>
      <c r="AP88" s="327"/>
      <c r="AQ88" s="327"/>
      <c r="AS88" s="846"/>
      <c r="AT88" s="847"/>
      <c r="AU88" s="847"/>
      <c r="AV88" s="327"/>
      <c r="AW88" s="327"/>
      <c r="AY88" s="846"/>
      <c r="AZ88" s="847"/>
      <c r="BA88" s="847"/>
      <c r="BB88" s="327"/>
      <c r="BC88" s="327"/>
      <c r="BE88" s="846"/>
      <c r="BF88" s="847"/>
      <c r="BG88" s="847"/>
      <c r="BH88" s="327"/>
      <c r="BI88" s="327"/>
    </row>
    <row r="89" spans="3:61" ht="14.25" customHeight="1" thickBot="1">
      <c r="C89" s="328" t="str">
        <f>개요!$B$289&amp;D89</f>
        <v/>
      </c>
      <c r="D89" s="329"/>
      <c r="E89" s="330"/>
      <c r="F89" s="331"/>
      <c r="G89" s="331"/>
      <c r="H89" s="332"/>
      <c r="I89" s="328" t="str">
        <f>개요!$B$301&amp;J89</f>
        <v/>
      </c>
      <c r="J89" s="329"/>
      <c r="K89" s="330"/>
      <c r="L89" s="331"/>
      <c r="M89" s="331"/>
      <c r="N89" s="332"/>
      <c r="O89" s="328" t="str">
        <f>개요!$B$313&amp;P89</f>
        <v/>
      </c>
      <c r="P89" s="329"/>
      <c r="Q89" s="330"/>
      <c r="R89" s="331"/>
      <c r="S89" s="331"/>
      <c r="T89" s="332"/>
      <c r="U89" s="328" t="str">
        <f>개요!$B$325&amp;V89</f>
        <v/>
      </c>
      <c r="V89" s="329"/>
      <c r="W89" s="330"/>
      <c r="X89" s="331"/>
      <c r="Y89" s="331"/>
      <c r="Z89" s="332"/>
      <c r="AA89" s="328" t="str">
        <f>개요!$B$337&amp;AB89</f>
        <v/>
      </c>
      <c r="AB89" s="329"/>
      <c r="AC89" s="330"/>
      <c r="AD89" s="331"/>
      <c r="AE89" s="331"/>
      <c r="AF89" s="332"/>
      <c r="AG89" s="328" t="str">
        <f>개요!$B$349&amp;AH89</f>
        <v/>
      </c>
      <c r="AH89" s="329"/>
      <c r="AI89" s="330"/>
      <c r="AJ89" s="331"/>
      <c r="AK89" s="331"/>
      <c r="AL89" s="332"/>
      <c r="AM89" s="328" t="str">
        <f>개요!$B$361&amp;AN89</f>
        <v/>
      </c>
      <c r="AN89" s="329"/>
      <c r="AO89" s="330"/>
      <c r="AP89" s="331"/>
      <c r="AQ89" s="331"/>
      <c r="AR89" s="332"/>
      <c r="AS89" s="328" t="str">
        <f>개요!$B$373&amp;AT89</f>
        <v/>
      </c>
      <c r="AT89" s="329"/>
      <c r="AU89" s="330"/>
      <c r="AV89" s="331"/>
      <c r="AW89" s="331"/>
      <c r="AX89" s="332"/>
      <c r="AY89" s="328" t="str">
        <f>개요!$B$385&amp;AZ89</f>
        <v/>
      </c>
      <c r="AZ89" s="329"/>
      <c r="BA89" s="330"/>
      <c r="BB89" s="331"/>
      <c r="BC89" s="331"/>
      <c r="BD89" s="332"/>
      <c r="BE89" s="328" t="str">
        <f>개요!$B$397&amp;BF89</f>
        <v/>
      </c>
      <c r="BF89" s="329"/>
      <c r="BG89" s="330"/>
      <c r="BH89" s="331"/>
      <c r="BI89" s="331"/>
    </row>
    <row r="90" spans="3:61" ht="14.25" customHeight="1" thickBot="1">
      <c r="C90" s="328" t="str">
        <f>개요!$B$289&amp;D90</f>
        <v/>
      </c>
      <c r="D90" s="329"/>
      <c r="E90" s="330"/>
      <c r="F90" s="331"/>
      <c r="G90" s="331"/>
      <c r="H90" s="332"/>
      <c r="I90" s="328" t="str">
        <f>개요!$B$301&amp;J90</f>
        <v/>
      </c>
      <c r="J90" s="329"/>
      <c r="K90" s="330"/>
      <c r="L90" s="331"/>
      <c r="M90" s="331"/>
      <c r="N90" s="332"/>
      <c r="O90" s="328" t="str">
        <f>개요!$B$313&amp;P90</f>
        <v/>
      </c>
      <c r="P90" s="329"/>
      <c r="Q90" s="330"/>
      <c r="R90" s="331"/>
      <c r="S90" s="331"/>
      <c r="T90" s="332"/>
      <c r="U90" s="328" t="str">
        <f>개요!$B$325&amp;V90</f>
        <v/>
      </c>
      <c r="V90" s="329"/>
      <c r="W90" s="330"/>
      <c r="X90" s="331"/>
      <c r="Y90" s="331"/>
      <c r="Z90" s="332"/>
      <c r="AA90" s="328" t="str">
        <f>개요!$B$337&amp;AB90</f>
        <v/>
      </c>
      <c r="AB90" s="329"/>
      <c r="AC90" s="330"/>
      <c r="AD90" s="331"/>
      <c r="AE90" s="331"/>
      <c r="AF90" s="332"/>
      <c r="AG90" s="328" t="str">
        <f>개요!$B$349&amp;AH90</f>
        <v/>
      </c>
      <c r="AH90" s="329"/>
      <c r="AI90" s="330"/>
      <c r="AJ90" s="331"/>
      <c r="AK90" s="331"/>
      <c r="AL90" s="332"/>
      <c r="AM90" s="328" t="str">
        <f>개요!$B$361&amp;AN90</f>
        <v/>
      </c>
      <c r="AN90" s="329"/>
      <c r="AO90" s="330"/>
      <c r="AP90" s="331"/>
      <c r="AQ90" s="331"/>
      <c r="AR90" s="332"/>
      <c r="AS90" s="328" t="str">
        <f>개요!$B$373&amp;AT90</f>
        <v/>
      </c>
      <c r="AT90" s="329"/>
      <c r="AU90" s="330"/>
      <c r="AV90" s="331"/>
      <c r="AW90" s="331"/>
      <c r="AX90" s="332"/>
      <c r="AY90" s="328" t="str">
        <f>개요!$B$385&amp;AZ90</f>
        <v/>
      </c>
      <c r="AZ90" s="329"/>
      <c r="BA90" s="330"/>
      <c r="BB90" s="331"/>
      <c r="BC90" s="331"/>
      <c r="BD90" s="332"/>
      <c r="BE90" s="328" t="str">
        <f>개요!$B$397&amp;BF90</f>
        <v/>
      </c>
      <c r="BF90" s="329"/>
      <c r="BG90" s="330"/>
      <c r="BH90" s="331"/>
      <c r="BI90" s="331"/>
    </row>
    <row r="91" spans="3:61" ht="14.25" customHeight="1" thickBot="1">
      <c r="C91" s="328" t="str">
        <f>개요!$B$289&amp;D91</f>
        <v/>
      </c>
      <c r="D91" s="329"/>
      <c r="E91" s="330"/>
      <c r="F91" s="331"/>
      <c r="G91" s="331"/>
      <c r="H91" s="332"/>
      <c r="I91" s="328" t="str">
        <f>개요!$B$301&amp;J91</f>
        <v/>
      </c>
      <c r="J91" s="329"/>
      <c r="K91" s="330"/>
      <c r="L91" s="331"/>
      <c r="M91" s="331"/>
      <c r="N91" s="332"/>
      <c r="O91" s="328" t="str">
        <f>개요!$B$313&amp;P91</f>
        <v/>
      </c>
      <c r="P91" s="329"/>
      <c r="Q91" s="330"/>
      <c r="R91" s="331"/>
      <c r="S91" s="331"/>
      <c r="T91" s="332"/>
      <c r="U91" s="328" t="str">
        <f>개요!$B$325&amp;V91</f>
        <v/>
      </c>
      <c r="V91" s="329"/>
      <c r="W91" s="330"/>
      <c r="X91" s="331"/>
      <c r="Y91" s="331"/>
      <c r="Z91" s="332"/>
      <c r="AA91" s="328" t="str">
        <f>개요!$B$337&amp;AB91</f>
        <v/>
      </c>
      <c r="AB91" s="329"/>
      <c r="AC91" s="330"/>
      <c r="AD91" s="331"/>
      <c r="AE91" s="331"/>
      <c r="AF91" s="332"/>
      <c r="AG91" s="328" t="str">
        <f>개요!$B$349&amp;AH91</f>
        <v/>
      </c>
      <c r="AH91" s="329"/>
      <c r="AI91" s="330"/>
      <c r="AJ91" s="331"/>
      <c r="AK91" s="331"/>
      <c r="AL91" s="332"/>
      <c r="AM91" s="328" t="str">
        <f>개요!$B$361&amp;AN91</f>
        <v/>
      </c>
      <c r="AN91" s="329"/>
      <c r="AO91" s="330"/>
      <c r="AP91" s="331"/>
      <c r="AQ91" s="331"/>
      <c r="AR91" s="332"/>
      <c r="AS91" s="328" t="str">
        <f>개요!$B$373&amp;AT91</f>
        <v/>
      </c>
      <c r="AT91" s="329"/>
      <c r="AU91" s="330"/>
      <c r="AV91" s="331"/>
      <c r="AW91" s="331"/>
      <c r="AX91" s="332"/>
      <c r="AY91" s="328" t="str">
        <f>개요!$B$385&amp;AZ91</f>
        <v/>
      </c>
      <c r="AZ91" s="329"/>
      <c r="BA91" s="330"/>
      <c r="BB91" s="331"/>
      <c r="BC91" s="331"/>
      <c r="BD91" s="332"/>
      <c r="BE91" s="328" t="str">
        <f>개요!$B$397&amp;BF91</f>
        <v/>
      </c>
      <c r="BF91" s="329"/>
      <c r="BG91" s="330"/>
      <c r="BH91" s="331"/>
      <c r="BI91" s="331"/>
    </row>
    <row r="92" spans="3:61" ht="14.25" customHeight="1" thickBot="1">
      <c r="C92" s="328" t="str">
        <f>개요!$B$289&amp;D92</f>
        <v/>
      </c>
      <c r="D92" s="329"/>
      <c r="E92" s="330"/>
      <c r="F92" s="331"/>
      <c r="G92" s="331"/>
      <c r="H92" s="334"/>
      <c r="I92" s="328" t="str">
        <f>개요!$B$301&amp;J92</f>
        <v/>
      </c>
      <c r="J92" s="329"/>
      <c r="K92" s="330"/>
      <c r="L92" s="331"/>
      <c r="M92" s="331"/>
      <c r="N92" s="334"/>
      <c r="O92" s="328" t="str">
        <f>개요!$B$313&amp;P92</f>
        <v/>
      </c>
      <c r="P92" s="329"/>
      <c r="Q92" s="330"/>
      <c r="R92" s="331"/>
      <c r="S92" s="331"/>
      <c r="T92" s="334"/>
      <c r="U92" s="328" t="str">
        <f>개요!$B$325&amp;V92</f>
        <v/>
      </c>
      <c r="V92" s="329"/>
      <c r="W92" s="330"/>
      <c r="X92" s="331"/>
      <c r="Y92" s="331"/>
      <c r="Z92" s="334"/>
      <c r="AA92" s="328" t="str">
        <f>개요!$B$337&amp;AB92</f>
        <v/>
      </c>
      <c r="AB92" s="329"/>
      <c r="AC92" s="330"/>
      <c r="AD92" s="331"/>
      <c r="AE92" s="331"/>
      <c r="AF92" s="334"/>
      <c r="AG92" s="328" t="str">
        <f>개요!$B$349&amp;AH92</f>
        <v/>
      </c>
      <c r="AH92" s="329"/>
      <c r="AI92" s="330"/>
      <c r="AJ92" s="331"/>
      <c r="AK92" s="331"/>
      <c r="AL92" s="334"/>
      <c r="AM92" s="328" t="str">
        <f>개요!$B$361&amp;AN92</f>
        <v/>
      </c>
      <c r="AN92" s="329"/>
      <c r="AO92" s="330"/>
      <c r="AP92" s="331"/>
      <c r="AQ92" s="331"/>
      <c r="AR92" s="334"/>
      <c r="AS92" s="328" t="str">
        <f>개요!$B$373&amp;AT92</f>
        <v/>
      </c>
      <c r="AT92" s="329"/>
      <c r="AU92" s="330"/>
      <c r="AV92" s="331"/>
      <c r="AW92" s="331"/>
      <c r="AX92" s="334"/>
      <c r="AY92" s="328" t="str">
        <f>개요!$B$385&amp;AZ92</f>
        <v/>
      </c>
      <c r="AZ92" s="329"/>
      <c r="BA92" s="330"/>
      <c r="BB92" s="331"/>
      <c r="BC92" s="331"/>
      <c r="BD92" s="334"/>
      <c r="BE92" s="328" t="str">
        <f>개요!$B$397&amp;BF92</f>
        <v/>
      </c>
      <c r="BF92" s="329"/>
      <c r="BG92" s="330"/>
      <c r="BH92" s="331"/>
      <c r="BI92" s="331"/>
    </row>
    <row r="93" spans="3:61" ht="14.25" customHeight="1" thickBot="1">
      <c r="C93" s="328" t="str">
        <f>개요!$B$289&amp;D93</f>
        <v/>
      </c>
      <c r="D93" s="329"/>
      <c r="E93" s="330"/>
      <c r="F93" s="331"/>
      <c r="G93" s="331"/>
      <c r="H93" s="334"/>
      <c r="I93" s="328" t="str">
        <f>개요!$B$301&amp;J93</f>
        <v/>
      </c>
      <c r="J93" s="329"/>
      <c r="K93" s="330"/>
      <c r="L93" s="331"/>
      <c r="M93" s="331"/>
      <c r="N93" s="334"/>
      <c r="O93" s="328" t="str">
        <f>개요!$B$313&amp;P93</f>
        <v/>
      </c>
      <c r="P93" s="329"/>
      <c r="Q93" s="330"/>
      <c r="R93" s="331"/>
      <c r="S93" s="331"/>
      <c r="T93" s="334"/>
      <c r="U93" s="328" t="str">
        <f>개요!$B$325&amp;V93</f>
        <v/>
      </c>
      <c r="V93" s="329"/>
      <c r="W93" s="330"/>
      <c r="X93" s="331"/>
      <c r="Y93" s="331"/>
      <c r="Z93" s="334"/>
      <c r="AA93" s="328" t="str">
        <f>개요!$B$337&amp;AB93</f>
        <v/>
      </c>
      <c r="AB93" s="329"/>
      <c r="AC93" s="330"/>
      <c r="AD93" s="331"/>
      <c r="AE93" s="331"/>
      <c r="AF93" s="334"/>
      <c r="AG93" s="328" t="str">
        <f>개요!$B$349&amp;AH93</f>
        <v/>
      </c>
      <c r="AH93" s="329"/>
      <c r="AI93" s="330"/>
      <c r="AJ93" s="331"/>
      <c r="AK93" s="331"/>
      <c r="AL93" s="334"/>
      <c r="AM93" s="328" t="str">
        <f>개요!$B$361&amp;AN93</f>
        <v/>
      </c>
      <c r="AN93" s="329"/>
      <c r="AO93" s="330"/>
      <c r="AP93" s="331"/>
      <c r="AQ93" s="331"/>
      <c r="AR93" s="334"/>
      <c r="AS93" s="328" t="str">
        <f>개요!$B$373&amp;AT93</f>
        <v/>
      </c>
      <c r="AT93" s="329"/>
      <c r="AU93" s="330"/>
      <c r="AV93" s="331"/>
      <c r="AW93" s="331"/>
      <c r="AX93" s="334"/>
      <c r="AY93" s="328" t="str">
        <f>개요!$B$385&amp;AZ93</f>
        <v/>
      </c>
      <c r="AZ93" s="329"/>
      <c r="BA93" s="330"/>
      <c r="BB93" s="331"/>
      <c r="BC93" s="331"/>
      <c r="BD93" s="334"/>
      <c r="BE93" s="328" t="str">
        <f>개요!$B$397&amp;BF93</f>
        <v/>
      </c>
      <c r="BF93" s="329"/>
      <c r="BG93" s="330"/>
      <c r="BH93" s="331"/>
      <c r="BI93" s="331"/>
    </row>
    <row r="94" spans="3:61" ht="14.25" customHeight="1" thickBot="1">
      <c r="C94" s="328" t="str">
        <f>개요!$B$289&amp;D94</f>
        <v/>
      </c>
      <c r="D94" s="329"/>
      <c r="E94" s="330"/>
      <c r="F94" s="331"/>
      <c r="G94" s="331"/>
      <c r="H94" s="334"/>
      <c r="I94" s="328" t="str">
        <f>개요!$B$301&amp;J94</f>
        <v/>
      </c>
      <c r="J94" s="329"/>
      <c r="K94" s="330"/>
      <c r="L94" s="331"/>
      <c r="M94" s="331"/>
      <c r="N94" s="334"/>
      <c r="O94" s="328" t="str">
        <f>개요!$B$313&amp;P94</f>
        <v/>
      </c>
      <c r="P94" s="329"/>
      <c r="Q94" s="330"/>
      <c r="R94" s="331"/>
      <c r="S94" s="331"/>
      <c r="T94" s="334"/>
      <c r="U94" s="328" t="str">
        <f>개요!$B$325&amp;V94</f>
        <v/>
      </c>
      <c r="V94" s="329"/>
      <c r="W94" s="330"/>
      <c r="X94" s="331"/>
      <c r="Y94" s="331"/>
      <c r="Z94" s="334"/>
      <c r="AA94" s="328" t="str">
        <f>개요!$B$337&amp;AB94</f>
        <v/>
      </c>
      <c r="AB94" s="329"/>
      <c r="AC94" s="330"/>
      <c r="AD94" s="331"/>
      <c r="AE94" s="331"/>
      <c r="AF94" s="334"/>
      <c r="AG94" s="328" t="str">
        <f>개요!$B$349&amp;AH94</f>
        <v/>
      </c>
      <c r="AH94" s="329"/>
      <c r="AI94" s="330"/>
      <c r="AJ94" s="331"/>
      <c r="AK94" s="331"/>
      <c r="AL94" s="334"/>
      <c r="AM94" s="328" t="str">
        <f>개요!$B$361&amp;AN94</f>
        <v/>
      </c>
      <c r="AN94" s="329"/>
      <c r="AO94" s="330"/>
      <c r="AP94" s="331"/>
      <c r="AQ94" s="331"/>
      <c r="AR94" s="334"/>
      <c r="AS94" s="328" t="str">
        <f>개요!$B$373&amp;AT94</f>
        <v/>
      </c>
      <c r="AT94" s="329"/>
      <c r="AU94" s="330"/>
      <c r="AV94" s="331"/>
      <c r="AW94" s="331"/>
      <c r="AX94" s="334"/>
      <c r="AY94" s="328" t="str">
        <f>개요!$B$385&amp;AZ94</f>
        <v/>
      </c>
      <c r="AZ94" s="329"/>
      <c r="BA94" s="330"/>
      <c r="BB94" s="331"/>
      <c r="BC94" s="331"/>
      <c r="BD94" s="334"/>
      <c r="BE94" s="328" t="str">
        <f>개요!$B$397&amp;BF94</f>
        <v/>
      </c>
      <c r="BF94" s="329"/>
      <c r="BG94" s="330"/>
      <c r="BH94" s="331"/>
      <c r="BI94" s="331"/>
    </row>
    <row r="95" spans="3:61" ht="14.25" customHeight="1" thickBot="1">
      <c r="C95" s="328" t="str">
        <f>개요!$B$289&amp;D95</f>
        <v/>
      </c>
      <c r="D95" s="329"/>
      <c r="E95" s="330"/>
      <c r="F95" s="331"/>
      <c r="G95" s="331"/>
      <c r="H95" s="334"/>
      <c r="I95" s="328" t="str">
        <f>개요!$B$301&amp;J95</f>
        <v/>
      </c>
      <c r="J95" s="329"/>
      <c r="K95" s="330"/>
      <c r="L95" s="331"/>
      <c r="M95" s="331"/>
      <c r="N95" s="334"/>
      <c r="O95" s="328" t="str">
        <f>개요!$B$313&amp;P95</f>
        <v/>
      </c>
      <c r="P95" s="329"/>
      <c r="Q95" s="330"/>
      <c r="R95" s="331"/>
      <c r="S95" s="331"/>
      <c r="T95" s="334"/>
      <c r="U95" s="328" t="str">
        <f>개요!$B$325&amp;V95</f>
        <v/>
      </c>
      <c r="V95" s="329"/>
      <c r="W95" s="330"/>
      <c r="X95" s="331"/>
      <c r="Y95" s="331"/>
      <c r="Z95" s="334"/>
      <c r="AA95" s="328" t="str">
        <f>개요!$B$337&amp;AB95</f>
        <v/>
      </c>
      <c r="AB95" s="329"/>
      <c r="AC95" s="330"/>
      <c r="AD95" s="331"/>
      <c r="AE95" s="331"/>
      <c r="AF95" s="334"/>
      <c r="AG95" s="328" t="str">
        <f>개요!$B$349&amp;AH95</f>
        <v/>
      </c>
      <c r="AH95" s="329"/>
      <c r="AI95" s="330"/>
      <c r="AJ95" s="331"/>
      <c r="AK95" s="331"/>
      <c r="AL95" s="334"/>
      <c r="AM95" s="328" t="str">
        <f>개요!$B$361&amp;AN95</f>
        <v/>
      </c>
      <c r="AN95" s="329"/>
      <c r="AO95" s="330"/>
      <c r="AP95" s="331"/>
      <c r="AQ95" s="331"/>
      <c r="AR95" s="334"/>
      <c r="AS95" s="328" t="str">
        <f>개요!$B$373&amp;AT95</f>
        <v/>
      </c>
      <c r="AT95" s="329"/>
      <c r="AU95" s="330"/>
      <c r="AV95" s="331"/>
      <c r="AW95" s="331"/>
      <c r="AX95" s="334"/>
      <c r="AY95" s="328" t="str">
        <f>개요!$B$385&amp;AZ95</f>
        <v/>
      </c>
      <c r="AZ95" s="329"/>
      <c r="BA95" s="330"/>
      <c r="BB95" s="331"/>
      <c r="BC95" s="331"/>
      <c r="BD95" s="334"/>
      <c r="BE95" s="328" t="str">
        <f>개요!$B$397&amp;BF95</f>
        <v/>
      </c>
      <c r="BF95" s="329"/>
      <c r="BG95" s="330"/>
      <c r="BH95" s="331"/>
      <c r="BI95" s="331"/>
    </row>
    <row r="96" spans="3:61" ht="14.25" customHeight="1" thickBot="1">
      <c r="C96" s="328" t="str">
        <f>개요!$B$289&amp;D96</f>
        <v/>
      </c>
      <c r="D96" s="329"/>
      <c r="E96" s="330"/>
      <c r="F96" s="331"/>
      <c r="G96" s="331"/>
      <c r="H96" s="332"/>
      <c r="I96" s="328" t="str">
        <f>개요!$B$301&amp;J96</f>
        <v/>
      </c>
      <c r="J96" s="329"/>
      <c r="K96" s="330"/>
      <c r="L96" s="331"/>
      <c r="M96" s="331"/>
      <c r="N96" s="332"/>
      <c r="O96" s="328" t="str">
        <f>개요!$B$313&amp;P96</f>
        <v/>
      </c>
      <c r="P96" s="329"/>
      <c r="Q96" s="330"/>
      <c r="R96" s="331"/>
      <c r="S96" s="331"/>
      <c r="T96" s="332"/>
      <c r="U96" s="328" t="str">
        <f>개요!$B$325&amp;V96</f>
        <v/>
      </c>
      <c r="V96" s="329"/>
      <c r="W96" s="330"/>
      <c r="X96" s="331"/>
      <c r="Y96" s="331"/>
      <c r="Z96" s="332"/>
      <c r="AA96" s="328" t="str">
        <f>개요!$B$337&amp;AB96</f>
        <v/>
      </c>
      <c r="AB96" s="329"/>
      <c r="AC96" s="330"/>
      <c r="AD96" s="331"/>
      <c r="AE96" s="331"/>
      <c r="AF96" s="332"/>
      <c r="AG96" s="328" t="str">
        <f>개요!$B$349&amp;AH96</f>
        <v/>
      </c>
      <c r="AH96" s="329"/>
      <c r="AI96" s="330"/>
      <c r="AJ96" s="331"/>
      <c r="AK96" s="331"/>
      <c r="AL96" s="332"/>
      <c r="AM96" s="328" t="str">
        <f>개요!$B$361&amp;AN96</f>
        <v/>
      </c>
      <c r="AN96" s="329"/>
      <c r="AO96" s="330"/>
      <c r="AP96" s="331"/>
      <c r="AQ96" s="331"/>
      <c r="AR96" s="332"/>
      <c r="AS96" s="328" t="str">
        <f>개요!$B$373&amp;AT96</f>
        <v/>
      </c>
      <c r="AT96" s="329"/>
      <c r="AU96" s="330"/>
      <c r="AV96" s="331"/>
      <c r="AW96" s="331"/>
      <c r="AX96" s="332"/>
      <c r="AY96" s="328" t="str">
        <f>개요!$B$385&amp;AZ96</f>
        <v/>
      </c>
      <c r="AZ96" s="329"/>
      <c r="BA96" s="330"/>
      <c r="BB96" s="331"/>
      <c r="BC96" s="331"/>
      <c r="BD96" s="332"/>
      <c r="BE96" s="328" t="str">
        <f>개요!$B$397&amp;BF96</f>
        <v/>
      </c>
      <c r="BF96" s="329"/>
      <c r="BG96" s="330"/>
      <c r="BH96" s="331"/>
      <c r="BI96" s="331"/>
    </row>
    <row r="97" spans="3:61" ht="14.25" customHeight="1" thickBot="1">
      <c r="C97" s="328" t="str">
        <f>개요!$B$289&amp;D97</f>
        <v/>
      </c>
      <c r="D97" s="329"/>
      <c r="E97" s="330"/>
      <c r="F97" s="331"/>
      <c r="G97" s="331"/>
      <c r="H97" s="332"/>
      <c r="I97" s="328" t="str">
        <f>개요!$B$301&amp;J97</f>
        <v/>
      </c>
      <c r="J97" s="329"/>
      <c r="K97" s="330"/>
      <c r="L97" s="331"/>
      <c r="M97" s="331"/>
      <c r="N97" s="332"/>
      <c r="O97" s="328" t="str">
        <f>개요!$B$313&amp;P97</f>
        <v/>
      </c>
      <c r="P97" s="329"/>
      <c r="Q97" s="330"/>
      <c r="R97" s="331"/>
      <c r="S97" s="331"/>
      <c r="T97" s="332"/>
      <c r="U97" s="328" t="str">
        <f>개요!$B$325&amp;V97</f>
        <v/>
      </c>
      <c r="V97" s="329"/>
      <c r="W97" s="330"/>
      <c r="X97" s="331"/>
      <c r="Y97" s="331"/>
      <c r="Z97" s="332"/>
      <c r="AA97" s="328" t="str">
        <f>개요!$B$337&amp;AB97</f>
        <v/>
      </c>
      <c r="AB97" s="329"/>
      <c r="AC97" s="330"/>
      <c r="AD97" s="331"/>
      <c r="AE97" s="331"/>
      <c r="AF97" s="332"/>
      <c r="AG97" s="328" t="str">
        <f>개요!$B$349&amp;AH97</f>
        <v/>
      </c>
      <c r="AH97" s="329"/>
      <c r="AI97" s="330"/>
      <c r="AJ97" s="331"/>
      <c r="AK97" s="331"/>
      <c r="AL97" s="332"/>
      <c r="AM97" s="328" t="str">
        <f>개요!$B$361&amp;AN97</f>
        <v/>
      </c>
      <c r="AN97" s="329"/>
      <c r="AO97" s="330"/>
      <c r="AP97" s="331"/>
      <c r="AQ97" s="331"/>
      <c r="AR97" s="332"/>
      <c r="AS97" s="328" t="str">
        <f>개요!$B$373&amp;AT97</f>
        <v/>
      </c>
      <c r="AT97" s="329"/>
      <c r="AU97" s="330"/>
      <c r="AV97" s="331"/>
      <c r="AW97" s="331"/>
      <c r="AX97" s="332"/>
      <c r="AY97" s="328" t="str">
        <f>개요!$B$385&amp;AZ97</f>
        <v/>
      </c>
      <c r="AZ97" s="329"/>
      <c r="BA97" s="330"/>
      <c r="BB97" s="331"/>
      <c r="BC97" s="331"/>
      <c r="BD97" s="332"/>
      <c r="BE97" s="328" t="str">
        <f>개요!$B$397&amp;BF97</f>
        <v/>
      </c>
      <c r="BF97" s="329"/>
      <c r="BG97" s="330"/>
      <c r="BH97" s="331"/>
      <c r="BI97" s="331"/>
    </row>
    <row r="98" spans="3:61" ht="14.25" customHeight="1" thickBot="1">
      <c r="C98" s="328" t="str">
        <f>개요!$B$289&amp;D98</f>
        <v/>
      </c>
      <c r="D98" s="329"/>
      <c r="E98" s="330"/>
      <c r="F98" s="331"/>
      <c r="G98" s="331"/>
      <c r="H98" s="332"/>
      <c r="I98" s="328" t="str">
        <f>개요!$B$301&amp;J98</f>
        <v/>
      </c>
      <c r="J98" s="329"/>
      <c r="K98" s="330"/>
      <c r="L98" s="331"/>
      <c r="M98" s="331"/>
      <c r="N98" s="332"/>
      <c r="O98" s="328" t="str">
        <f>개요!$B$313&amp;P98</f>
        <v/>
      </c>
      <c r="P98" s="329"/>
      <c r="Q98" s="330"/>
      <c r="R98" s="331"/>
      <c r="S98" s="331"/>
      <c r="T98" s="332"/>
      <c r="U98" s="328" t="str">
        <f>개요!$B$325&amp;V98</f>
        <v/>
      </c>
      <c r="V98" s="329"/>
      <c r="W98" s="330"/>
      <c r="X98" s="331"/>
      <c r="Y98" s="331"/>
      <c r="Z98" s="332"/>
      <c r="AA98" s="328" t="str">
        <f>개요!$B$337&amp;AB98</f>
        <v/>
      </c>
      <c r="AB98" s="329"/>
      <c r="AC98" s="330"/>
      <c r="AD98" s="331"/>
      <c r="AE98" s="331"/>
      <c r="AF98" s="332"/>
      <c r="AG98" s="328" t="str">
        <f>개요!$B$349&amp;AH98</f>
        <v/>
      </c>
      <c r="AH98" s="329"/>
      <c r="AI98" s="330"/>
      <c r="AJ98" s="331"/>
      <c r="AK98" s="331"/>
      <c r="AL98" s="332"/>
      <c r="AM98" s="328" t="str">
        <f>개요!$B$361&amp;AN98</f>
        <v/>
      </c>
      <c r="AN98" s="329"/>
      <c r="AO98" s="330"/>
      <c r="AP98" s="331"/>
      <c r="AQ98" s="331"/>
      <c r="AR98" s="332"/>
      <c r="AS98" s="328" t="str">
        <f>개요!$B$373&amp;AT98</f>
        <v/>
      </c>
      <c r="AT98" s="329"/>
      <c r="AU98" s="330"/>
      <c r="AV98" s="331"/>
      <c r="AW98" s="331"/>
      <c r="AX98" s="332"/>
      <c r="AY98" s="328" t="str">
        <f>개요!$B$385&amp;AZ98</f>
        <v/>
      </c>
      <c r="AZ98" s="329"/>
      <c r="BA98" s="330"/>
      <c r="BB98" s="331"/>
      <c r="BC98" s="331"/>
      <c r="BD98" s="332"/>
      <c r="BE98" s="328" t="str">
        <f>개요!$B$397&amp;BF98</f>
        <v/>
      </c>
      <c r="BF98" s="329"/>
      <c r="BG98" s="330"/>
      <c r="BH98" s="331"/>
      <c r="BI98" s="331"/>
    </row>
    <row r="99" spans="3:61" ht="14.25" customHeight="1" thickBot="1">
      <c r="C99" s="328" t="str">
        <f>개요!$B$289&amp;D99</f>
        <v/>
      </c>
      <c r="D99" s="329"/>
      <c r="E99" s="330"/>
      <c r="F99" s="331"/>
      <c r="G99" s="331"/>
      <c r="H99" s="332"/>
      <c r="I99" s="328" t="str">
        <f>개요!$B$301&amp;J99</f>
        <v/>
      </c>
      <c r="J99" s="329"/>
      <c r="K99" s="330"/>
      <c r="L99" s="331"/>
      <c r="M99" s="331"/>
      <c r="N99" s="332"/>
      <c r="O99" s="328" t="str">
        <f>개요!$B$313&amp;P99</f>
        <v/>
      </c>
      <c r="P99" s="329"/>
      <c r="Q99" s="330"/>
      <c r="R99" s="331"/>
      <c r="S99" s="331"/>
      <c r="T99" s="332"/>
      <c r="U99" s="328" t="str">
        <f>개요!$B$325&amp;V99</f>
        <v/>
      </c>
      <c r="V99" s="329"/>
      <c r="W99" s="330"/>
      <c r="X99" s="331"/>
      <c r="Y99" s="331"/>
      <c r="Z99" s="332"/>
      <c r="AA99" s="328" t="str">
        <f>개요!$B$337&amp;AB99</f>
        <v/>
      </c>
      <c r="AB99" s="329"/>
      <c r="AC99" s="330"/>
      <c r="AD99" s="331"/>
      <c r="AE99" s="331"/>
      <c r="AF99" s="332"/>
      <c r="AG99" s="328" t="str">
        <f>개요!$B$349&amp;AH99</f>
        <v/>
      </c>
      <c r="AH99" s="329"/>
      <c r="AI99" s="330"/>
      <c r="AJ99" s="331"/>
      <c r="AK99" s="331"/>
      <c r="AL99" s="332"/>
      <c r="AM99" s="328" t="str">
        <f>개요!$B$361&amp;AN99</f>
        <v/>
      </c>
      <c r="AN99" s="329"/>
      <c r="AO99" s="330"/>
      <c r="AP99" s="331"/>
      <c r="AQ99" s="331"/>
      <c r="AR99" s="332"/>
      <c r="AS99" s="328" t="str">
        <f>개요!$B$373&amp;AT99</f>
        <v/>
      </c>
      <c r="AT99" s="329"/>
      <c r="AU99" s="330"/>
      <c r="AV99" s="331"/>
      <c r="AW99" s="331"/>
      <c r="AX99" s="332"/>
      <c r="AY99" s="328" t="str">
        <f>개요!$B$385&amp;AZ99</f>
        <v/>
      </c>
      <c r="AZ99" s="329"/>
      <c r="BA99" s="330"/>
      <c r="BB99" s="331"/>
      <c r="BC99" s="331"/>
      <c r="BD99" s="332"/>
      <c r="BE99" s="328" t="str">
        <f>개요!$B$397&amp;BF99</f>
        <v/>
      </c>
      <c r="BF99" s="329"/>
      <c r="BG99" s="330"/>
      <c r="BH99" s="331"/>
      <c r="BI99" s="331"/>
    </row>
    <row r="100" spans="3:61" ht="14.25" customHeight="1" thickBot="1">
      <c r="C100" s="328" t="str">
        <f>개요!$B$289&amp;D100</f>
        <v/>
      </c>
      <c r="D100" s="329"/>
      <c r="E100" s="330"/>
      <c r="F100" s="331"/>
      <c r="G100" s="331"/>
      <c r="H100" s="332"/>
      <c r="I100" s="328" t="str">
        <f>개요!$B$301&amp;J100</f>
        <v/>
      </c>
      <c r="J100" s="329"/>
      <c r="K100" s="330"/>
      <c r="L100" s="331"/>
      <c r="M100" s="331"/>
      <c r="N100" s="332"/>
      <c r="O100" s="328" t="str">
        <f>개요!$B$313&amp;P100</f>
        <v/>
      </c>
      <c r="P100" s="329"/>
      <c r="Q100" s="330"/>
      <c r="R100" s="331"/>
      <c r="S100" s="331"/>
      <c r="T100" s="332"/>
      <c r="U100" s="328" t="str">
        <f>개요!$B$325&amp;V100</f>
        <v/>
      </c>
      <c r="V100" s="329"/>
      <c r="W100" s="330"/>
      <c r="X100" s="331"/>
      <c r="Y100" s="331"/>
      <c r="Z100" s="332"/>
      <c r="AA100" s="328" t="str">
        <f>개요!$B$337&amp;AB100</f>
        <v/>
      </c>
      <c r="AB100" s="329"/>
      <c r="AC100" s="330"/>
      <c r="AD100" s="331"/>
      <c r="AE100" s="331"/>
      <c r="AF100" s="332"/>
      <c r="AG100" s="328" t="str">
        <f>개요!$B$349&amp;AH100</f>
        <v/>
      </c>
      <c r="AH100" s="329"/>
      <c r="AI100" s="330"/>
      <c r="AJ100" s="331"/>
      <c r="AK100" s="331"/>
      <c r="AL100" s="332"/>
      <c r="AM100" s="328" t="str">
        <f>개요!$B$361&amp;AN100</f>
        <v/>
      </c>
      <c r="AN100" s="329"/>
      <c r="AO100" s="330"/>
      <c r="AP100" s="331"/>
      <c r="AQ100" s="331"/>
      <c r="AR100" s="332"/>
      <c r="AS100" s="328" t="str">
        <f>개요!$B$373&amp;AT100</f>
        <v/>
      </c>
      <c r="AT100" s="329"/>
      <c r="AU100" s="330"/>
      <c r="AV100" s="331"/>
      <c r="AW100" s="331"/>
      <c r="AX100" s="332"/>
      <c r="AY100" s="328" t="str">
        <f>개요!$B$385&amp;AZ100</f>
        <v/>
      </c>
      <c r="AZ100" s="329"/>
      <c r="BA100" s="330"/>
      <c r="BB100" s="331"/>
      <c r="BC100" s="331"/>
      <c r="BD100" s="332"/>
      <c r="BE100" s="328" t="str">
        <f>개요!$B$397&amp;BF100</f>
        <v/>
      </c>
      <c r="BF100" s="329"/>
      <c r="BG100" s="330"/>
      <c r="BH100" s="331"/>
      <c r="BI100" s="331"/>
    </row>
    <row r="101" spans="3:61" ht="14.25" customHeight="1" thickBot="1">
      <c r="C101" s="328" t="str">
        <f>개요!$B$289&amp;D101</f>
        <v/>
      </c>
      <c r="D101" s="329"/>
      <c r="E101" s="330"/>
      <c r="F101" s="331"/>
      <c r="G101" s="331"/>
      <c r="H101" s="332"/>
      <c r="I101" s="328" t="str">
        <f>개요!$B$301&amp;J101</f>
        <v/>
      </c>
      <c r="J101" s="329"/>
      <c r="K101" s="330"/>
      <c r="L101" s="331"/>
      <c r="M101" s="331"/>
      <c r="N101" s="332"/>
      <c r="O101" s="328" t="str">
        <f>개요!$B$313&amp;P101</f>
        <v/>
      </c>
      <c r="P101" s="329"/>
      <c r="Q101" s="330"/>
      <c r="R101" s="331"/>
      <c r="S101" s="331"/>
      <c r="T101" s="332"/>
      <c r="U101" s="328" t="str">
        <f>개요!$B$325&amp;V101</f>
        <v/>
      </c>
      <c r="V101" s="329"/>
      <c r="W101" s="330"/>
      <c r="X101" s="331"/>
      <c r="Y101" s="331"/>
      <c r="Z101" s="332"/>
      <c r="AA101" s="328" t="str">
        <f>개요!$B$337&amp;AB101</f>
        <v/>
      </c>
      <c r="AB101" s="329"/>
      <c r="AC101" s="330"/>
      <c r="AD101" s="331"/>
      <c r="AE101" s="331"/>
      <c r="AF101" s="332"/>
      <c r="AG101" s="328" t="str">
        <f>개요!$B$349&amp;AH101</f>
        <v/>
      </c>
      <c r="AH101" s="329"/>
      <c r="AI101" s="330"/>
      <c r="AJ101" s="331"/>
      <c r="AK101" s="331"/>
      <c r="AL101" s="332"/>
      <c r="AM101" s="328" t="str">
        <f>개요!$B$361&amp;AN101</f>
        <v/>
      </c>
      <c r="AN101" s="329"/>
      <c r="AO101" s="330"/>
      <c r="AP101" s="331"/>
      <c r="AQ101" s="331"/>
      <c r="AR101" s="332"/>
      <c r="AS101" s="328" t="str">
        <f>개요!$B$373&amp;AT101</f>
        <v/>
      </c>
      <c r="AT101" s="329"/>
      <c r="AU101" s="330"/>
      <c r="AV101" s="331"/>
      <c r="AW101" s="331"/>
      <c r="AX101" s="332"/>
      <c r="AY101" s="328" t="str">
        <f>개요!$B$385&amp;AZ101</f>
        <v/>
      </c>
      <c r="AZ101" s="329"/>
      <c r="BA101" s="330"/>
      <c r="BB101" s="331"/>
      <c r="BC101" s="331"/>
      <c r="BD101" s="332"/>
      <c r="BE101" s="328" t="str">
        <f>개요!$B$397&amp;BF101</f>
        <v/>
      </c>
      <c r="BF101" s="329"/>
      <c r="BG101" s="330"/>
      <c r="BH101" s="331"/>
      <c r="BI101" s="331"/>
    </row>
    <row r="102" spans="3:61" ht="14.25" customHeight="1" thickBot="1">
      <c r="C102" s="328" t="str">
        <f>개요!$B$289&amp;D102</f>
        <v/>
      </c>
      <c r="D102" s="329"/>
      <c r="E102" s="330"/>
      <c r="F102" s="331"/>
      <c r="G102" s="331"/>
      <c r="H102" s="332"/>
      <c r="I102" s="328" t="str">
        <f>개요!$B$301&amp;J102</f>
        <v/>
      </c>
      <c r="J102" s="329"/>
      <c r="K102" s="330"/>
      <c r="L102" s="331"/>
      <c r="M102" s="331"/>
      <c r="N102" s="332"/>
      <c r="O102" s="328" t="str">
        <f>개요!$B$313&amp;P102</f>
        <v/>
      </c>
      <c r="P102" s="329"/>
      <c r="Q102" s="330"/>
      <c r="R102" s="331"/>
      <c r="S102" s="331"/>
      <c r="T102" s="332"/>
      <c r="U102" s="328" t="str">
        <f>개요!$B$325&amp;V102</f>
        <v/>
      </c>
      <c r="V102" s="329"/>
      <c r="W102" s="330"/>
      <c r="X102" s="331"/>
      <c r="Y102" s="331"/>
      <c r="Z102" s="332"/>
      <c r="AA102" s="328" t="str">
        <f>개요!$B$337&amp;AB102</f>
        <v/>
      </c>
      <c r="AB102" s="329"/>
      <c r="AC102" s="330"/>
      <c r="AD102" s="331"/>
      <c r="AE102" s="331"/>
      <c r="AF102" s="332"/>
      <c r="AG102" s="328" t="str">
        <f>개요!$B$349&amp;AH102</f>
        <v/>
      </c>
      <c r="AH102" s="329"/>
      <c r="AI102" s="330"/>
      <c r="AJ102" s="331"/>
      <c r="AK102" s="331"/>
      <c r="AL102" s="332"/>
      <c r="AM102" s="328" t="str">
        <f>개요!$B$361&amp;AN102</f>
        <v/>
      </c>
      <c r="AN102" s="329"/>
      <c r="AO102" s="330"/>
      <c r="AP102" s="331"/>
      <c r="AQ102" s="331"/>
      <c r="AR102" s="332"/>
      <c r="AS102" s="328" t="str">
        <f>개요!$B$373&amp;AT102</f>
        <v/>
      </c>
      <c r="AT102" s="329"/>
      <c r="AU102" s="330"/>
      <c r="AV102" s="331"/>
      <c r="AW102" s="331"/>
      <c r="AX102" s="332"/>
      <c r="AY102" s="328" t="str">
        <f>개요!$B$385&amp;AZ102</f>
        <v/>
      </c>
      <c r="AZ102" s="329"/>
      <c r="BA102" s="330"/>
      <c r="BB102" s="331"/>
      <c r="BC102" s="331"/>
      <c r="BD102" s="332"/>
      <c r="BE102" s="328" t="str">
        <f>개요!$B$397&amp;BF102</f>
        <v/>
      </c>
      <c r="BF102" s="329"/>
      <c r="BG102" s="330"/>
      <c r="BH102" s="331"/>
      <c r="BI102" s="331"/>
    </row>
    <row r="103" spans="3:61" ht="14.25" customHeight="1" thickBot="1">
      <c r="C103" s="328" t="str">
        <f>개요!$B$289&amp;D103</f>
        <v/>
      </c>
      <c r="D103" s="329"/>
      <c r="E103" s="330"/>
      <c r="F103" s="331"/>
      <c r="G103" s="331"/>
      <c r="H103" s="332"/>
      <c r="I103" s="328" t="str">
        <f>개요!$B$301&amp;J103</f>
        <v/>
      </c>
      <c r="J103" s="329"/>
      <c r="K103" s="330"/>
      <c r="L103" s="331"/>
      <c r="M103" s="331"/>
      <c r="N103" s="332"/>
      <c r="O103" s="328" t="str">
        <f>개요!$B$313&amp;P103</f>
        <v/>
      </c>
      <c r="P103" s="329"/>
      <c r="Q103" s="330"/>
      <c r="R103" s="331"/>
      <c r="S103" s="331"/>
      <c r="T103" s="332"/>
      <c r="U103" s="328" t="str">
        <f>개요!$B$325&amp;V103</f>
        <v/>
      </c>
      <c r="V103" s="329"/>
      <c r="W103" s="330"/>
      <c r="X103" s="331"/>
      <c r="Y103" s="331"/>
      <c r="Z103" s="332"/>
      <c r="AA103" s="328" t="str">
        <f>개요!$B$337&amp;AB103</f>
        <v/>
      </c>
      <c r="AB103" s="329"/>
      <c r="AC103" s="330"/>
      <c r="AD103" s="331"/>
      <c r="AE103" s="331"/>
      <c r="AF103" s="332"/>
      <c r="AG103" s="328" t="str">
        <f>개요!$B$349&amp;AH103</f>
        <v/>
      </c>
      <c r="AH103" s="329"/>
      <c r="AI103" s="330"/>
      <c r="AJ103" s="331"/>
      <c r="AK103" s="331"/>
      <c r="AL103" s="332"/>
      <c r="AM103" s="328" t="str">
        <f>개요!$B$361&amp;AN103</f>
        <v/>
      </c>
      <c r="AN103" s="329"/>
      <c r="AO103" s="330"/>
      <c r="AP103" s="331"/>
      <c r="AQ103" s="331"/>
      <c r="AR103" s="332"/>
      <c r="AS103" s="328" t="str">
        <f>개요!$B$373&amp;AT103</f>
        <v/>
      </c>
      <c r="AT103" s="329"/>
      <c r="AU103" s="330"/>
      <c r="AV103" s="331"/>
      <c r="AW103" s="331"/>
      <c r="AX103" s="332"/>
      <c r="AY103" s="328" t="str">
        <f>개요!$B$385&amp;AZ103</f>
        <v/>
      </c>
      <c r="AZ103" s="329"/>
      <c r="BA103" s="330"/>
      <c r="BB103" s="331"/>
      <c r="BC103" s="331"/>
      <c r="BD103" s="332"/>
      <c r="BE103" s="328" t="str">
        <f>개요!$B$397&amp;BF103</f>
        <v/>
      </c>
      <c r="BF103" s="329"/>
      <c r="BG103" s="330"/>
      <c r="BH103" s="331"/>
      <c r="BI103" s="331"/>
    </row>
    <row r="104" spans="3:61" ht="14.25" customHeight="1" thickBot="1">
      <c r="C104" s="328" t="str">
        <f>개요!$B$289&amp;D104</f>
        <v/>
      </c>
      <c r="D104" s="329"/>
      <c r="E104" s="330"/>
      <c r="F104" s="331"/>
      <c r="G104" s="331"/>
      <c r="H104" s="332"/>
      <c r="I104" s="328" t="str">
        <f>개요!$B$301&amp;J104</f>
        <v/>
      </c>
      <c r="J104" s="329"/>
      <c r="K104" s="330"/>
      <c r="L104" s="331"/>
      <c r="M104" s="331"/>
      <c r="N104" s="332"/>
      <c r="O104" s="328" t="str">
        <f>개요!$B$313&amp;P104</f>
        <v/>
      </c>
      <c r="P104" s="329"/>
      <c r="Q104" s="330"/>
      <c r="R104" s="331"/>
      <c r="S104" s="331"/>
      <c r="T104" s="332"/>
      <c r="U104" s="328" t="str">
        <f>개요!$B$325&amp;V104</f>
        <v/>
      </c>
      <c r="V104" s="329"/>
      <c r="W104" s="330"/>
      <c r="X104" s="331"/>
      <c r="Y104" s="331"/>
      <c r="Z104" s="332"/>
      <c r="AA104" s="328" t="str">
        <f>개요!$B$337&amp;AB104</f>
        <v/>
      </c>
      <c r="AB104" s="329"/>
      <c r="AC104" s="330"/>
      <c r="AD104" s="331"/>
      <c r="AE104" s="331"/>
      <c r="AF104" s="332"/>
      <c r="AG104" s="328" t="str">
        <f>개요!$B$349&amp;AH104</f>
        <v/>
      </c>
      <c r="AH104" s="329"/>
      <c r="AI104" s="330"/>
      <c r="AJ104" s="331"/>
      <c r="AK104" s="331"/>
      <c r="AL104" s="332"/>
      <c r="AM104" s="328" t="str">
        <f>개요!$B$361&amp;AN104</f>
        <v/>
      </c>
      <c r="AN104" s="329"/>
      <c r="AO104" s="330"/>
      <c r="AP104" s="331"/>
      <c r="AQ104" s="331"/>
      <c r="AR104" s="332"/>
      <c r="AS104" s="328" t="str">
        <f>개요!$B$373&amp;AT104</f>
        <v/>
      </c>
      <c r="AT104" s="329"/>
      <c r="AU104" s="330"/>
      <c r="AV104" s="331"/>
      <c r="AW104" s="331"/>
      <c r="AX104" s="332"/>
      <c r="AY104" s="328" t="str">
        <f>개요!$B$385&amp;AZ104</f>
        <v/>
      </c>
      <c r="AZ104" s="329"/>
      <c r="BA104" s="330"/>
      <c r="BB104" s="331"/>
      <c r="BC104" s="331"/>
      <c r="BD104" s="332"/>
      <c r="BE104" s="328" t="str">
        <f>개요!$B$397&amp;BF104</f>
        <v/>
      </c>
      <c r="BF104" s="329"/>
      <c r="BG104" s="330"/>
      <c r="BH104" s="331"/>
      <c r="BI104" s="331"/>
    </row>
    <row r="105" spans="3:61" ht="14.25" customHeight="1" thickBot="1">
      <c r="C105" s="328" t="str">
        <f>개요!$B$289&amp;D105</f>
        <v/>
      </c>
      <c r="D105" s="329"/>
      <c r="E105" s="330"/>
      <c r="F105" s="331"/>
      <c r="G105" s="331"/>
      <c r="H105" s="332"/>
      <c r="I105" s="328" t="str">
        <f>개요!$B$301&amp;J105</f>
        <v/>
      </c>
      <c r="J105" s="329"/>
      <c r="K105" s="330"/>
      <c r="L105" s="331"/>
      <c r="M105" s="331"/>
      <c r="N105" s="332"/>
      <c r="O105" s="328" t="str">
        <f>개요!$B$313&amp;P105</f>
        <v/>
      </c>
      <c r="P105" s="329"/>
      <c r="Q105" s="330"/>
      <c r="R105" s="331"/>
      <c r="S105" s="331"/>
      <c r="T105" s="332"/>
      <c r="U105" s="328" t="str">
        <f>개요!$B$325&amp;V105</f>
        <v/>
      </c>
      <c r="V105" s="329"/>
      <c r="W105" s="330"/>
      <c r="X105" s="331"/>
      <c r="Y105" s="331"/>
      <c r="Z105" s="332"/>
      <c r="AA105" s="328" t="str">
        <f>개요!$B$337&amp;AB105</f>
        <v/>
      </c>
      <c r="AB105" s="329"/>
      <c r="AC105" s="330"/>
      <c r="AD105" s="331"/>
      <c r="AE105" s="331"/>
      <c r="AF105" s="332"/>
      <c r="AG105" s="328" t="str">
        <f>개요!$B$349&amp;AH105</f>
        <v/>
      </c>
      <c r="AH105" s="329"/>
      <c r="AI105" s="330"/>
      <c r="AJ105" s="331"/>
      <c r="AK105" s="331"/>
      <c r="AL105" s="332"/>
      <c r="AM105" s="328" t="str">
        <f>개요!$B$361&amp;AN105</f>
        <v/>
      </c>
      <c r="AN105" s="329"/>
      <c r="AO105" s="330"/>
      <c r="AP105" s="331"/>
      <c r="AQ105" s="331"/>
      <c r="AR105" s="332"/>
      <c r="AS105" s="328" t="str">
        <f>개요!$B$373&amp;AT105</f>
        <v/>
      </c>
      <c r="AT105" s="329"/>
      <c r="AU105" s="330"/>
      <c r="AV105" s="331"/>
      <c r="AW105" s="331"/>
      <c r="AX105" s="332"/>
      <c r="AY105" s="328" t="str">
        <f>개요!$B$385&amp;AZ105</f>
        <v/>
      </c>
      <c r="AZ105" s="329"/>
      <c r="BA105" s="330"/>
      <c r="BB105" s="331"/>
      <c r="BC105" s="331"/>
      <c r="BD105" s="332"/>
      <c r="BE105" s="328" t="str">
        <f>개요!$B$397&amp;BF105</f>
        <v/>
      </c>
      <c r="BF105" s="329"/>
      <c r="BG105" s="330"/>
      <c r="BH105" s="331"/>
      <c r="BI105" s="331"/>
    </row>
    <row r="106" spans="3:61" ht="14.25" customHeight="1" thickBot="1">
      <c r="C106" s="328" t="str">
        <f>개요!$B$289&amp;D106</f>
        <v/>
      </c>
      <c r="D106" s="329"/>
      <c r="E106" s="330"/>
      <c r="F106" s="331"/>
      <c r="G106" s="331"/>
      <c r="H106" s="332"/>
      <c r="I106" s="328" t="str">
        <f>개요!$B$301&amp;J106</f>
        <v/>
      </c>
      <c r="J106" s="329"/>
      <c r="K106" s="330"/>
      <c r="L106" s="331"/>
      <c r="M106" s="331"/>
      <c r="N106" s="332"/>
      <c r="O106" s="328" t="str">
        <f>개요!$B$313&amp;P106</f>
        <v/>
      </c>
      <c r="P106" s="329"/>
      <c r="Q106" s="330"/>
      <c r="R106" s="331"/>
      <c r="S106" s="331"/>
      <c r="T106" s="332"/>
      <c r="U106" s="328" t="str">
        <f>개요!$B$325&amp;V106</f>
        <v/>
      </c>
      <c r="V106" s="329"/>
      <c r="W106" s="330"/>
      <c r="X106" s="331"/>
      <c r="Y106" s="331"/>
      <c r="Z106" s="332"/>
      <c r="AA106" s="328" t="str">
        <f>개요!$B$337&amp;AB106</f>
        <v/>
      </c>
      <c r="AB106" s="329"/>
      <c r="AC106" s="330"/>
      <c r="AD106" s="331"/>
      <c r="AE106" s="331"/>
      <c r="AF106" s="332"/>
      <c r="AG106" s="328" t="str">
        <f>개요!$B$349&amp;AH106</f>
        <v/>
      </c>
      <c r="AH106" s="329"/>
      <c r="AI106" s="330"/>
      <c r="AJ106" s="331"/>
      <c r="AK106" s="331"/>
      <c r="AL106" s="332"/>
      <c r="AM106" s="328" t="str">
        <f>개요!$B$361&amp;AN106</f>
        <v/>
      </c>
      <c r="AN106" s="329"/>
      <c r="AO106" s="330"/>
      <c r="AP106" s="331"/>
      <c r="AQ106" s="331"/>
      <c r="AR106" s="332"/>
      <c r="AS106" s="328" t="str">
        <f>개요!$B$373&amp;AT106</f>
        <v/>
      </c>
      <c r="AT106" s="329"/>
      <c r="AU106" s="330"/>
      <c r="AV106" s="331"/>
      <c r="AW106" s="331"/>
      <c r="AX106" s="332"/>
      <c r="AY106" s="328" t="str">
        <f>개요!$B$385&amp;AZ106</f>
        <v/>
      </c>
      <c r="AZ106" s="329"/>
      <c r="BA106" s="330"/>
      <c r="BB106" s="331"/>
      <c r="BC106" s="331"/>
      <c r="BD106" s="332"/>
      <c r="BE106" s="328" t="str">
        <f>개요!$B$397&amp;BF106</f>
        <v/>
      </c>
      <c r="BF106" s="329"/>
      <c r="BG106" s="330"/>
      <c r="BH106" s="331"/>
      <c r="BI106" s="331"/>
    </row>
    <row r="107" spans="3:61" ht="14.25" customHeight="1" thickBot="1">
      <c r="C107" s="328" t="str">
        <f>개요!$B$289&amp;D107</f>
        <v/>
      </c>
      <c r="D107" s="329"/>
      <c r="E107" s="330"/>
      <c r="F107" s="331"/>
      <c r="G107" s="331"/>
      <c r="H107" s="332"/>
      <c r="I107" s="328" t="str">
        <f>개요!$B$301&amp;J107</f>
        <v/>
      </c>
      <c r="J107" s="329"/>
      <c r="K107" s="330"/>
      <c r="L107" s="331"/>
      <c r="M107" s="331"/>
      <c r="N107" s="332"/>
      <c r="O107" s="328" t="str">
        <f>개요!$B$313&amp;P107</f>
        <v/>
      </c>
      <c r="P107" s="329"/>
      <c r="Q107" s="330"/>
      <c r="R107" s="331"/>
      <c r="S107" s="331"/>
      <c r="T107" s="332"/>
      <c r="U107" s="328" t="str">
        <f>개요!$B$325&amp;V107</f>
        <v/>
      </c>
      <c r="V107" s="329"/>
      <c r="W107" s="330"/>
      <c r="X107" s="331"/>
      <c r="Y107" s="331"/>
      <c r="Z107" s="332"/>
      <c r="AA107" s="328" t="str">
        <f>개요!$B$337&amp;AB107</f>
        <v/>
      </c>
      <c r="AB107" s="329"/>
      <c r="AC107" s="330"/>
      <c r="AD107" s="331"/>
      <c r="AE107" s="331"/>
      <c r="AF107" s="332"/>
      <c r="AG107" s="328" t="str">
        <f>개요!$B$349&amp;AH107</f>
        <v/>
      </c>
      <c r="AH107" s="329"/>
      <c r="AI107" s="330"/>
      <c r="AJ107" s="331"/>
      <c r="AK107" s="331"/>
      <c r="AL107" s="332"/>
      <c r="AM107" s="328" t="str">
        <f>개요!$B$361&amp;AN107</f>
        <v/>
      </c>
      <c r="AN107" s="329"/>
      <c r="AO107" s="330"/>
      <c r="AP107" s="331"/>
      <c r="AQ107" s="331"/>
      <c r="AR107" s="332"/>
      <c r="AS107" s="328" t="str">
        <f>개요!$B$373&amp;AT107</f>
        <v/>
      </c>
      <c r="AT107" s="329"/>
      <c r="AU107" s="330"/>
      <c r="AV107" s="331"/>
      <c r="AW107" s="331"/>
      <c r="AX107" s="332"/>
      <c r="AY107" s="328" t="str">
        <f>개요!$B$385&amp;AZ107</f>
        <v/>
      </c>
      <c r="AZ107" s="329"/>
      <c r="BA107" s="330"/>
      <c r="BB107" s="331"/>
      <c r="BC107" s="331"/>
      <c r="BD107" s="332"/>
      <c r="BE107" s="328" t="str">
        <f>개요!$B$397&amp;BF107</f>
        <v/>
      </c>
      <c r="BF107" s="329"/>
      <c r="BG107" s="330"/>
      <c r="BH107" s="331"/>
      <c r="BI107" s="331"/>
    </row>
    <row r="108" spans="3:61" ht="14.25" customHeight="1" thickBot="1">
      <c r="C108" s="328" t="str">
        <f>개요!$B$289&amp;D108</f>
        <v/>
      </c>
      <c r="D108" s="329"/>
      <c r="E108" s="330"/>
      <c r="F108" s="331"/>
      <c r="G108" s="331"/>
      <c r="H108" s="332"/>
      <c r="I108" s="328" t="str">
        <f>개요!$B$301&amp;J108</f>
        <v/>
      </c>
      <c r="J108" s="329"/>
      <c r="K108" s="330"/>
      <c r="L108" s="331"/>
      <c r="M108" s="331"/>
      <c r="N108" s="332"/>
      <c r="O108" s="328" t="str">
        <f>개요!$B$313&amp;P108</f>
        <v/>
      </c>
      <c r="P108" s="329"/>
      <c r="Q108" s="330"/>
      <c r="R108" s="331"/>
      <c r="S108" s="331"/>
      <c r="T108" s="332"/>
      <c r="U108" s="328" t="str">
        <f>개요!$B$325&amp;V108</f>
        <v/>
      </c>
      <c r="V108" s="329"/>
      <c r="W108" s="330"/>
      <c r="X108" s="331"/>
      <c r="Y108" s="331"/>
      <c r="Z108" s="332"/>
      <c r="AA108" s="328" t="str">
        <f>개요!$B$337&amp;AB108</f>
        <v/>
      </c>
      <c r="AB108" s="329"/>
      <c r="AC108" s="330"/>
      <c r="AD108" s="331"/>
      <c r="AE108" s="331"/>
      <c r="AF108" s="332"/>
      <c r="AG108" s="328" t="str">
        <f>개요!$B$349&amp;AH108</f>
        <v/>
      </c>
      <c r="AH108" s="329"/>
      <c r="AI108" s="330"/>
      <c r="AJ108" s="331"/>
      <c r="AK108" s="331"/>
      <c r="AL108" s="332"/>
      <c r="AM108" s="328" t="str">
        <f>개요!$B$361&amp;AN108</f>
        <v/>
      </c>
      <c r="AN108" s="329"/>
      <c r="AO108" s="330"/>
      <c r="AP108" s="331"/>
      <c r="AQ108" s="331"/>
      <c r="AR108" s="332"/>
      <c r="AS108" s="328" t="str">
        <f>개요!$B$373&amp;AT108</f>
        <v/>
      </c>
      <c r="AT108" s="329"/>
      <c r="AU108" s="330"/>
      <c r="AV108" s="331"/>
      <c r="AW108" s="331"/>
      <c r="AX108" s="332"/>
      <c r="AY108" s="328" t="str">
        <f>개요!$B$385&amp;AZ108</f>
        <v/>
      </c>
      <c r="AZ108" s="329"/>
      <c r="BA108" s="330"/>
      <c r="BB108" s="331"/>
      <c r="BC108" s="331"/>
      <c r="BD108" s="332"/>
      <c r="BE108" s="328" t="str">
        <f>개요!$B$397&amp;BF108</f>
        <v/>
      </c>
      <c r="BF108" s="329"/>
      <c r="BG108" s="330"/>
      <c r="BH108" s="331"/>
      <c r="BI108" s="331"/>
    </row>
    <row r="109" spans="3:61" ht="14.25" customHeight="1" thickBot="1">
      <c r="C109" s="328" t="str">
        <f>개요!$B$289&amp;D109</f>
        <v/>
      </c>
      <c r="D109" s="329"/>
      <c r="E109" s="330"/>
      <c r="F109" s="331"/>
      <c r="G109" s="331"/>
      <c r="H109" s="332"/>
      <c r="I109" s="328" t="str">
        <f>개요!$B$301&amp;J109</f>
        <v/>
      </c>
      <c r="J109" s="329"/>
      <c r="K109" s="330"/>
      <c r="L109" s="331"/>
      <c r="M109" s="331"/>
      <c r="N109" s="332"/>
      <c r="O109" s="328" t="str">
        <f>개요!$B$313&amp;P109</f>
        <v/>
      </c>
      <c r="P109" s="329"/>
      <c r="Q109" s="330"/>
      <c r="R109" s="331"/>
      <c r="S109" s="331"/>
      <c r="T109" s="332"/>
      <c r="U109" s="328" t="str">
        <f>개요!$B$325&amp;V109</f>
        <v/>
      </c>
      <c r="V109" s="329"/>
      <c r="W109" s="330"/>
      <c r="X109" s="331"/>
      <c r="Y109" s="331"/>
      <c r="Z109" s="332"/>
      <c r="AA109" s="328" t="str">
        <f>개요!$B$337&amp;AB109</f>
        <v/>
      </c>
      <c r="AB109" s="329"/>
      <c r="AC109" s="330"/>
      <c r="AD109" s="331"/>
      <c r="AE109" s="331"/>
      <c r="AF109" s="332"/>
      <c r="AG109" s="328" t="str">
        <f>개요!$B$349&amp;AH109</f>
        <v/>
      </c>
      <c r="AH109" s="329"/>
      <c r="AI109" s="330"/>
      <c r="AJ109" s="331"/>
      <c r="AK109" s="331"/>
      <c r="AL109" s="332"/>
      <c r="AM109" s="328" t="str">
        <f>개요!$B$361&amp;AN109</f>
        <v/>
      </c>
      <c r="AN109" s="329"/>
      <c r="AO109" s="330"/>
      <c r="AP109" s="331"/>
      <c r="AQ109" s="331"/>
      <c r="AR109" s="332"/>
      <c r="AS109" s="328" t="str">
        <f>개요!$B$373&amp;AT109</f>
        <v/>
      </c>
      <c r="AT109" s="329"/>
      <c r="AU109" s="330"/>
      <c r="AV109" s="331"/>
      <c r="AW109" s="331"/>
      <c r="AX109" s="332"/>
      <c r="AY109" s="328" t="str">
        <f>개요!$B$385&amp;AZ109</f>
        <v/>
      </c>
      <c r="AZ109" s="329"/>
      <c r="BA109" s="330"/>
      <c r="BB109" s="331"/>
      <c r="BC109" s="331"/>
      <c r="BD109" s="332"/>
      <c r="BE109" s="328" t="str">
        <f>개요!$B$397&amp;BF109</f>
        <v/>
      </c>
      <c r="BF109" s="329"/>
      <c r="BG109" s="330"/>
      <c r="BH109" s="331"/>
      <c r="BI109" s="331"/>
    </row>
    <row r="110" spans="3:61" ht="14.25" customHeight="1" thickBot="1">
      <c r="C110" s="328" t="str">
        <f>개요!$B$289&amp;D110</f>
        <v/>
      </c>
      <c r="D110" s="329"/>
      <c r="E110" s="330"/>
      <c r="F110" s="331"/>
      <c r="G110" s="331"/>
      <c r="H110" s="332"/>
      <c r="I110" s="328" t="str">
        <f>개요!$B$301&amp;J110</f>
        <v/>
      </c>
      <c r="J110" s="329"/>
      <c r="K110" s="330"/>
      <c r="L110" s="331"/>
      <c r="M110" s="331"/>
      <c r="N110" s="332"/>
      <c r="O110" s="328" t="str">
        <f>개요!$B$313&amp;P110</f>
        <v/>
      </c>
      <c r="P110" s="329"/>
      <c r="Q110" s="330"/>
      <c r="R110" s="331"/>
      <c r="S110" s="331"/>
      <c r="T110" s="332"/>
      <c r="U110" s="328" t="str">
        <f>개요!$B$325&amp;V110</f>
        <v/>
      </c>
      <c r="V110" s="329"/>
      <c r="W110" s="330"/>
      <c r="X110" s="331"/>
      <c r="Y110" s="331"/>
      <c r="Z110" s="332"/>
      <c r="AA110" s="328" t="str">
        <f>개요!$B$337&amp;AB110</f>
        <v/>
      </c>
      <c r="AB110" s="329"/>
      <c r="AC110" s="330"/>
      <c r="AD110" s="331"/>
      <c r="AE110" s="331"/>
      <c r="AF110" s="332"/>
      <c r="AG110" s="328" t="str">
        <f>개요!$B$349&amp;AH110</f>
        <v/>
      </c>
      <c r="AH110" s="329"/>
      <c r="AI110" s="330"/>
      <c r="AJ110" s="331"/>
      <c r="AK110" s="331"/>
      <c r="AL110" s="332"/>
      <c r="AM110" s="328" t="str">
        <f>개요!$B$361&amp;AN110</f>
        <v/>
      </c>
      <c r="AN110" s="329"/>
      <c r="AO110" s="330"/>
      <c r="AP110" s="331"/>
      <c r="AQ110" s="331"/>
      <c r="AR110" s="332"/>
      <c r="AS110" s="328" t="str">
        <f>개요!$B$373&amp;AT110</f>
        <v/>
      </c>
      <c r="AT110" s="329"/>
      <c r="AU110" s="330"/>
      <c r="AV110" s="331"/>
      <c r="AW110" s="331"/>
      <c r="AX110" s="332"/>
      <c r="AY110" s="328" t="str">
        <f>개요!$B$385&amp;AZ110</f>
        <v/>
      </c>
      <c r="AZ110" s="329"/>
      <c r="BA110" s="330"/>
      <c r="BB110" s="331"/>
      <c r="BC110" s="331"/>
      <c r="BD110" s="332"/>
      <c r="BE110" s="328" t="str">
        <f>개요!$B$397&amp;BF110</f>
        <v/>
      </c>
      <c r="BF110" s="329"/>
      <c r="BG110" s="330"/>
      <c r="BH110" s="331"/>
      <c r="BI110" s="331"/>
    </row>
    <row r="111" spans="3:61" ht="14.25" customHeight="1" thickBot="1">
      <c r="C111" s="328" t="str">
        <f>개요!$B$289&amp;D111</f>
        <v/>
      </c>
      <c r="D111" s="329"/>
      <c r="E111" s="330"/>
      <c r="F111" s="331"/>
      <c r="G111" s="331"/>
      <c r="H111" s="332"/>
      <c r="I111" s="328" t="str">
        <f>개요!$B$301&amp;J111</f>
        <v/>
      </c>
      <c r="J111" s="329"/>
      <c r="K111" s="330"/>
      <c r="L111" s="331"/>
      <c r="M111" s="331"/>
      <c r="N111" s="332"/>
      <c r="O111" s="328" t="str">
        <f>개요!$B$313&amp;P111</f>
        <v/>
      </c>
      <c r="P111" s="329"/>
      <c r="Q111" s="330"/>
      <c r="R111" s="331"/>
      <c r="S111" s="331"/>
      <c r="T111" s="332"/>
      <c r="U111" s="328" t="str">
        <f>개요!$B$325&amp;V111</f>
        <v/>
      </c>
      <c r="V111" s="329"/>
      <c r="W111" s="330"/>
      <c r="X111" s="331"/>
      <c r="Y111" s="331"/>
      <c r="Z111" s="332"/>
      <c r="AA111" s="328" t="str">
        <f>개요!$B$337&amp;AB111</f>
        <v/>
      </c>
      <c r="AB111" s="329"/>
      <c r="AC111" s="330"/>
      <c r="AD111" s="331"/>
      <c r="AE111" s="331"/>
      <c r="AF111" s="332"/>
      <c r="AG111" s="328" t="str">
        <f>개요!$B$349&amp;AH111</f>
        <v/>
      </c>
      <c r="AH111" s="329"/>
      <c r="AI111" s="330"/>
      <c r="AJ111" s="331"/>
      <c r="AK111" s="331"/>
      <c r="AL111" s="332"/>
      <c r="AM111" s="328" t="str">
        <f>개요!$B$361&amp;AN111</f>
        <v/>
      </c>
      <c r="AN111" s="329"/>
      <c r="AO111" s="330"/>
      <c r="AP111" s="331"/>
      <c r="AQ111" s="331"/>
      <c r="AR111" s="332"/>
      <c r="AS111" s="328" t="str">
        <f>개요!$B$373&amp;AT111</f>
        <v/>
      </c>
      <c r="AT111" s="329"/>
      <c r="AU111" s="330"/>
      <c r="AV111" s="331"/>
      <c r="AW111" s="331"/>
      <c r="AX111" s="332"/>
      <c r="AY111" s="328" t="str">
        <f>개요!$B$385&amp;AZ111</f>
        <v/>
      </c>
      <c r="AZ111" s="329"/>
      <c r="BA111" s="330"/>
      <c r="BB111" s="331"/>
      <c r="BC111" s="331"/>
      <c r="BD111" s="332"/>
      <c r="BE111" s="328" t="str">
        <f>개요!$B$397&amp;BF111</f>
        <v/>
      </c>
      <c r="BF111" s="329"/>
      <c r="BG111" s="330"/>
      <c r="BH111" s="331"/>
      <c r="BI111" s="331"/>
    </row>
    <row r="112" spans="3:61" ht="14.25" customHeight="1" thickBot="1">
      <c r="C112" s="328" t="str">
        <f>개요!$B$289&amp;D112</f>
        <v/>
      </c>
      <c r="D112" s="329"/>
      <c r="E112" s="330"/>
      <c r="F112" s="331"/>
      <c r="G112" s="331"/>
      <c r="H112" s="332"/>
      <c r="I112" s="328" t="str">
        <f>개요!$B$301&amp;J112</f>
        <v/>
      </c>
      <c r="J112" s="329"/>
      <c r="K112" s="330"/>
      <c r="L112" s="331"/>
      <c r="M112" s="331"/>
      <c r="N112" s="332"/>
      <c r="O112" s="328" t="str">
        <f>개요!$B$313&amp;P112</f>
        <v/>
      </c>
      <c r="P112" s="329"/>
      <c r="Q112" s="330"/>
      <c r="R112" s="331"/>
      <c r="S112" s="331"/>
      <c r="T112" s="332"/>
      <c r="U112" s="328" t="str">
        <f>개요!$B$325&amp;V112</f>
        <v/>
      </c>
      <c r="V112" s="329"/>
      <c r="W112" s="330"/>
      <c r="X112" s="331"/>
      <c r="Y112" s="331"/>
      <c r="Z112" s="332"/>
      <c r="AA112" s="328" t="str">
        <f>개요!$B$337&amp;AB112</f>
        <v/>
      </c>
      <c r="AB112" s="329"/>
      <c r="AC112" s="330"/>
      <c r="AD112" s="331"/>
      <c r="AE112" s="331"/>
      <c r="AF112" s="332"/>
      <c r="AG112" s="328" t="str">
        <f>개요!$B$349&amp;AH112</f>
        <v/>
      </c>
      <c r="AH112" s="329"/>
      <c r="AI112" s="330"/>
      <c r="AJ112" s="331"/>
      <c r="AK112" s="331"/>
      <c r="AL112" s="332"/>
      <c r="AM112" s="328" t="str">
        <f>개요!$B$361&amp;AN112</f>
        <v/>
      </c>
      <c r="AN112" s="329"/>
      <c r="AO112" s="330"/>
      <c r="AP112" s="331"/>
      <c r="AQ112" s="331"/>
      <c r="AR112" s="332"/>
      <c r="AS112" s="328" t="str">
        <f>개요!$B$373&amp;AT112</f>
        <v/>
      </c>
      <c r="AT112" s="329"/>
      <c r="AU112" s="330"/>
      <c r="AV112" s="331"/>
      <c r="AW112" s="331"/>
      <c r="AX112" s="332"/>
      <c r="AY112" s="328" t="str">
        <f>개요!$B$385&amp;AZ112</f>
        <v/>
      </c>
      <c r="AZ112" s="329"/>
      <c r="BA112" s="330"/>
      <c r="BB112" s="331"/>
      <c r="BC112" s="331"/>
      <c r="BD112" s="332"/>
      <c r="BE112" s="328" t="str">
        <f>개요!$B$397&amp;BF112</f>
        <v/>
      </c>
      <c r="BF112" s="329"/>
      <c r="BG112" s="330"/>
      <c r="BH112" s="331"/>
      <c r="BI112" s="331"/>
    </row>
    <row r="113" spans="3:61" ht="14.25" customHeight="1" thickBot="1">
      <c r="C113" s="328" t="str">
        <f>개요!$B$289&amp;D113</f>
        <v/>
      </c>
      <c r="D113" s="329"/>
      <c r="E113" s="330"/>
      <c r="F113" s="331"/>
      <c r="G113" s="331"/>
      <c r="H113" s="332"/>
      <c r="I113" s="328" t="str">
        <f>개요!$B$301&amp;J113</f>
        <v/>
      </c>
      <c r="J113" s="329"/>
      <c r="K113" s="330"/>
      <c r="L113" s="331"/>
      <c r="M113" s="331"/>
      <c r="N113" s="332"/>
      <c r="O113" s="328" t="str">
        <f>개요!$B$313&amp;P113</f>
        <v/>
      </c>
      <c r="P113" s="329"/>
      <c r="Q113" s="330"/>
      <c r="R113" s="331"/>
      <c r="S113" s="331"/>
      <c r="T113" s="332"/>
      <c r="U113" s="328" t="str">
        <f>개요!$B$325&amp;V113</f>
        <v/>
      </c>
      <c r="V113" s="329"/>
      <c r="W113" s="330"/>
      <c r="X113" s="331"/>
      <c r="Y113" s="331"/>
      <c r="Z113" s="332"/>
      <c r="AA113" s="328" t="str">
        <f>개요!$B$337&amp;AB113</f>
        <v/>
      </c>
      <c r="AB113" s="329"/>
      <c r="AC113" s="330"/>
      <c r="AD113" s="331"/>
      <c r="AE113" s="331"/>
      <c r="AF113" s="332"/>
      <c r="AG113" s="328" t="str">
        <f>개요!$B$349&amp;AH113</f>
        <v/>
      </c>
      <c r="AH113" s="329"/>
      <c r="AI113" s="330"/>
      <c r="AJ113" s="331"/>
      <c r="AK113" s="331"/>
      <c r="AL113" s="332"/>
      <c r="AM113" s="328" t="str">
        <f>개요!$B$361&amp;AN113</f>
        <v/>
      </c>
      <c r="AN113" s="329"/>
      <c r="AO113" s="330"/>
      <c r="AP113" s="331"/>
      <c r="AQ113" s="331"/>
      <c r="AR113" s="332"/>
      <c r="AS113" s="328" t="str">
        <f>개요!$B$373&amp;AT113</f>
        <v/>
      </c>
      <c r="AT113" s="329"/>
      <c r="AU113" s="330"/>
      <c r="AV113" s="331"/>
      <c r="AW113" s="331"/>
      <c r="AX113" s="332"/>
      <c r="AY113" s="328" t="str">
        <f>개요!$B$385&amp;AZ113</f>
        <v/>
      </c>
      <c r="AZ113" s="329"/>
      <c r="BA113" s="330"/>
      <c r="BB113" s="331"/>
      <c r="BC113" s="331"/>
      <c r="BD113" s="332"/>
      <c r="BE113" s="328" t="str">
        <f>개요!$B$397&amp;BF113</f>
        <v/>
      </c>
      <c r="BF113" s="329"/>
      <c r="BG113" s="330"/>
      <c r="BH113" s="331"/>
      <c r="BI113" s="331"/>
    </row>
    <row r="114" spans="3:61" ht="14.25" customHeight="1" thickBot="1">
      <c r="C114" s="328" t="str">
        <f>개요!$B$289&amp;D114</f>
        <v/>
      </c>
      <c r="D114" s="329"/>
      <c r="E114" s="330"/>
      <c r="F114" s="331"/>
      <c r="G114" s="331"/>
      <c r="H114" s="332"/>
      <c r="I114" s="328" t="str">
        <f>개요!$B$301&amp;J114</f>
        <v/>
      </c>
      <c r="J114" s="329"/>
      <c r="K114" s="330"/>
      <c r="L114" s="331"/>
      <c r="M114" s="331"/>
      <c r="N114" s="332"/>
      <c r="O114" s="328" t="str">
        <f>개요!$B$313&amp;P114</f>
        <v/>
      </c>
      <c r="P114" s="329"/>
      <c r="Q114" s="330"/>
      <c r="R114" s="331"/>
      <c r="S114" s="331"/>
      <c r="T114" s="332"/>
      <c r="U114" s="328" t="str">
        <f>개요!$B$325&amp;V114</f>
        <v/>
      </c>
      <c r="V114" s="329"/>
      <c r="W114" s="330"/>
      <c r="X114" s="331"/>
      <c r="Y114" s="331"/>
      <c r="Z114" s="332"/>
      <c r="AA114" s="328" t="str">
        <f>개요!$B$337&amp;AB114</f>
        <v/>
      </c>
      <c r="AB114" s="329"/>
      <c r="AC114" s="330"/>
      <c r="AD114" s="331"/>
      <c r="AE114" s="331"/>
      <c r="AF114" s="332"/>
      <c r="AG114" s="328" t="str">
        <f>개요!$B$349&amp;AH114</f>
        <v/>
      </c>
      <c r="AH114" s="329"/>
      <c r="AI114" s="330"/>
      <c r="AJ114" s="331"/>
      <c r="AK114" s="331"/>
      <c r="AL114" s="332"/>
      <c r="AM114" s="328" t="str">
        <f>개요!$B$361&amp;AN114</f>
        <v/>
      </c>
      <c r="AN114" s="329"/>
      <c r="AO114" s="330"/>
      <c r="AP114" s="331"/>
      <c r="AQ114" s="331"/>
      <c r="AR114" s="332"/>
      <c r="AS114" s="328" t="str">
        <f>개요!$B$373&amp;AT114</f>
        <v/>
      </c>
      <c r="AT114" s="329"/>
      <c r="AU114" s="330"/>
      <c r="AV114" s="331"/>
      <c r="AW114" s="331"/>
      <c r="AX114" s="332"/>
      <c r="AY114" s="328" t="str">
        <f>개요!$B$385&amp;AZ114</f>
        <v/>
      </c>
      <c r="AZ114" s="329"/>
      <c r="BA114" s="330"/>
      <c r="BB114" s="331"/>
      <c r="BC114" s="331"/>
      <c r="BD114" s="332"/>
      <c r="BE114" s="328" t="str">
        <f>개요!$B$397&amp;BF114</f>
        <v/>
      </c>
      <c r="BF114" s="329"/>
      <c r="BG114" s="330"/>
      <c r="BH114" s="331"/>
      <c r="BI114" s="331"/>
    </row>
    <row r="115" spans="3:61" ht="14.25" customHeight="1" thickBot="1">
      <c r="C115" s="328" t="str">
        <f>개요!$B$289&amp;D115</f>
        <v/>
      </c>
      <c r="D115" s="329"/>
      <c r="E115" s="330"/>
      <c r="F115" s="331"/>
      <c r="G115" s="331"/>
      <c r="H115" s="335"/>
      <c r="I115" s="328" t="str">
        <f>개요!$B$301&amp;J115</f>
        <v/>
      </c>
      <c r="J115" s="329"/>
      <c r="K115" s="330"/>
      <c r="L115" s="331"/>
      <c r="M115" s="331"/>
      <c r="N115" s="335"/>
      <c r="O115" s="328" t="str">
        <f>개요!$B$313&amp;P115</f>
        <v/>
      </c>
      <c r="P115" s="329"/>
      <c r="Q115" s="330"/>
      <c r="R115" s="331"/>
      <c r="S115" s="331"/>
      <c r="T115" s="335"/>
      <c r="U115" s="328" t="str">
        <f>개요!$B$325&amp;V115</f>
        <v/>
      </c>
      <c r="V115" s="329"/>
      <c r="W115" s="330"/>
      <c r="X115" s="331"/>
      <c r="Y115" s="331"/>
      <c r="Z115" s="335"/>
      <c r="AA115" s="328" t="str">
        <f>개요!$B$337&amp;AB115</f>
        <v/>
      </c>
      <c r="AB115" s="329"/>
      <c r="AC115" s="330"/>
      <c r="AD115" s="331"/>
      <c r="AE115" s="331"/>
      <c r="AF115" s="335"/>
      <c r="AG115" s="328" t="str">
        <f>개요!$B$349&amp;AH115</f>
        <v/>
      </c>
      <c r="AH115" s="329"/>
      <c r="AI115" s="330"/>
      <c r="AJ115" s="331"/>
      <c r="AK115" s="331"/>
      <c r="AL115" s="335"/>
      <c r="AM115" s="328" t="str">
        <f>개요!$B$361&amp;AN115</f>
        <v/>
      </c>
      <c r="AN115" s="329"/>
      <c r="AO115" s="330"/>
      <c r="AP115" s="331"/>
      <c r="AQ115" s="331"/>
      <c r="AR115" s="335"/>
      <c r="AS115" s="328" t="str">
        <f>개요!$B$373&amp;AT115</f>
        <v/>
      </c>
      <c r="AT115" s="329"/>
      <c r="AU115" s="330"/>
      <c r="AV115" s="331"/>
      <c r="AW115" s="331"/>
      <c r="AX115" s="335"/>
      <c r="AY115" s="328" t="str">
        <f>개요!$B$385&amp;AZ115</f>
        <v/>
      </c>
      <c r="AZ115" s="329"/>
      <c r="BA115" s="330"/>
      <c r="BB115" s="331"/>
      <c r="BC115" s="331"/>
      <c r="BD115" s="335"/>
      <c r="BE115" s="328" t="str">
        <f>개요!$B$397&amp;BF115</f>
        <v/>
      </c>
      <c r="BF115" s="329"/>
      <c r="BG115" s="330"/>
      <c r="BH115" s="331"/>
      <c r="BI115" s="331"/>
    </row>
    <row r="116" spans="3:61" ht="14.25" customHeight="1" thickBot="1">
      <c r="C116" s="328" t="str">
        <f>개요!$B$289&amp;D116</f>
        <v/>
      </c>
      <c r="D116" s="329"/>
      <c r="E116" s="330"/>
      <c r="F116" s="331"/>
      <c r="G116" s="331"/>
      <c r="H116" s="332"/>
      <c r="I116" s="328" t="str">
        <f>개요!$B$301&amp;J116</f>
        <v/>
      </c>
      <c r="J116" s="329"/>
      <c r="K116" s="330"/>
      <c r="L116" s="331"/>
      <c r="M116" s="331"/>
      <c r="N116" s="332"/>
      <c r="O116" s="328" t="str">
        <f>개요!$B$313&amp;P116</f>
        <v/>
      </c>
      <c r="P116" s="329"/>
      <c r="Q116" s="330"/>
      <c r="R116" s="331"/>
      <c r="S116" s="331"/>
      <c r="T116" s="332"/>
      <c r="U116" s="328" t="str">
        <f>개요!$B$325&amp;V116</f>
        <v/>
      </c>
      <c r="V116" s="329"/>
      <c r="W116" s="330"/>
      <c r="X116" s="331"/>
      <c r="Y116" s="331"/>
      <c r="Z116" s="332"/>
      <c r="AA116" s="328" t="str">
        <f>개요!$B$337&amp;AB116</f>
        <v/>
      </c>
      <c r="AB116" s="329"/>
      <c r="AC116" s="330"/>
      <c r="AD116" s="331"/>
      <c r="AE116" s="331"/>
      <c r="AF116" s="332"/>
      <c r="AG116" s="328" t="str">
        <f>개요!$B$349&amp;AH116</f>
        <v/>
      </c>
      <c r="AH116" s="329"/>
      <c r="AI116" s="330"/>
      <c r="AJ116" s="331"/>
      <c r="AK116" s="331"/>
      <c r="AL116" s="332"/>
      <c r="AM116" s="328" t="str">
        <f>개요!$B$361&amp;AN116</f>
        <v/>
      </c>
      <c r="AN116" s="329"/>
      <c r="AO116" s="330"/>
      <c r="AP116" s="331"/>
      <c r="AQ116" s="331"/>
      <c r="AR116" s="332"/>
      <c r="AS116" s="328" t="str">
        <f>개요!$B$373&amp;AT116</f>
        <v/>
      </c>
      <c r="AT116" s="329"/>
      <c r="AU116" s="330"/>
      <c r="AV116" s="331"/>
      <c r="AW116" s="331"/>
      <c r="AX116" s="332"/>
      <c r="AY116" s="328" t="str">
        <f>개요!$B$385&amp;AZ116</f>
        <v/>
      </c>
      <c r="AZ116" s="329"/>
      <c r="BA116" s="330"/>
      <c r="BB116" s="331"/>
      <c r="BC116" s="331"/>
      <c r="BD116" s="332"/>
      <c r="BE116" s="328" t="str">
        <f>개요!$B$397&amp;BF116</f>
        <v/>
      </c>
      <c r="BF116" s="329"/>
      <c r="BG116" s="330"/>
      <c r="BH116" s="331"/>
      <c r="BI116" s="331"/>
    </row>
    <row r="117" spans="3:61" ht="14.25" customHeight="1" thickBot="1">
      <c r="C117" s="328" t="str">
        <f>개요!$B$289&amp;D117</f>
        <v/>
      </c>
      <c r="D117" s="329"/>
      <c r="E117" s="330"/>
      <c r="F117" s="331"/>
      <c r="G117" s="331"/>
      <c r="H117" s="332"/>
      <c r="I117" s="328" t="str">
        <f>개요!$B$301&amp;J117</f>
        <v/>
      </c>
      <c r="J117" s="329"/>
      <c r="K117" s="330"/>
      <c r="L117" s="331"/>
      <c r="M117" s="331"/>
      <c r="N117" s="332"/>
      <c r="O117" s="328" t="str">
        <f>개요!$B$313&amp;P117</f>
        <v/>
      </c>
      <c r="P117" s="329"/>
      <c r="Q117" s="330"/>
      <c r="R117" s="331"/>
      <c r="S117" s="331"/>
      <c r="T117" s="332"/>
      <c r="U117" s="328" t="str">
        <f>개요!$B$325&amp;V117</f>
        <v/>
      </c>
      <c r="V117" s="329"/>
      <c r="W117" s="330"/>
      <c r="X117" s="331"/>
      <c r="Y117" s="331"/>
      <c r="Z117" s="332"/>
      <c r="AA117" s="328" t="str">
        <f>개요!$B$337&amp;AB117</f>
        <v/>
      </c>
      <c r="AB117" s="329"/>
      <c r="AC117" s="330"/>
      <c r="AD117" s="331"/>
      <c r="AE117" s="331"/>
      <c r="AF117" s="332"/>
      <c r="AG117" s="328" t="str">
        <f>개요!$B$349&amp;AH117</f>
        <v/>
      </c>
      <c r="AH117" s="329"/>
      <c r="AI117" s="330"/>
      <c r="AJ117" s="331"/>
      <c r="AK117" s="331"/>
      <c r="AL117" s="332"/>
      <c r="AM117" s="328" t="str">
        <f>개요!$B$361&amp;AN117</f>
        <v/>
      </c>
      <c r="AN117" s="329"/>
      <c r="AO117" s="330"/>
      <c r="AP117" s="331"/>
      <c r="AQ117" s="331"/>
      <c r="AR117" s="332"/>
      <c r="AS117" s="328" t="str">
        <f>개요!$B$373&amp;AT117</f>
        <v/>
      </c>
      <c r="AT117" s="329"/>
      <c r="AU117" s="330"/>
      <c r="AV117" s="331"/>
      <c r="AW117" s="331"/>
      <c r="AX117" s="332"/>
      <c r="AY117" s="328" t="str">
        <f>개요!$B$385&amp;AZ117</f>
        <v/>
      </c>
      <c r="AZ117" s="329"/>
      <c r="BA117" s="330"/>
      <c r="BB117" s="331"/>
      <c r="BC117" s="331"/>
      <c r="BD117" s="332"/>
      <c r="BE117" s="328" t="str">
        <f>개요!$B$397&amp;BF117</f>
        <v/>
      </c>
      <c r="BF117" s="329"/>
      <c r="BG117" s="330"/>
      <c r="BH117" s="331"/>
      <c r="BI117" s="331"/>
    </row>
    <row r="118" spans="3:61" ht="14.25" customHeight="1" thickBot="1">
      <c r="C118" s="328" t="str">
        <f>개요!$B$289&amp;D118</f>
        <v/>
      </c>
      <c r="D118" s="329"/>
      <c r="E118" s="330"/>
      <c r="F118" s="331"/>
      <c r="G118" s="331"/>
      <c r="H118" s="332"/>
      <c r="I118" s="328" t="str">
        <f>개요!$B$301&amp;J118</f>
        <v/>
      </c>
      <c r="J118" s="329"/>
      <c r="K118" s="330"/>
      <c r="L118" s="331"/>
      <c r="M118" s="331"/>
      <c r="N118" s="332"/>
      <c r="O118" s="328" t="str">
        <f>개요!$B$313&amp;P118</f>
        <v/>
      </c>
      <c r="P118" s="329"/>
      <c r="Q118" s="330"/>
      <c r="R118" s="331"/>
      <c r="S118" s="331"/>
      <c r="T118" s="332"/>
      <c r="U118" s="328" t="str">
        <f>개요!$B$325&amp;V118</f>
        <v/>
      </c>
      <c r="V118" s="329"/>
      <c r="W118" s="330"/>
      <c r="X118" s="331"/>
      <c r="Y118" s="331"/>
      <c r="Z118" s="332"/>
      <c r="AA118" s="328" t="str">
        <f>개요!$B$337&amp;AB118</f>
        <v/>
      </c>
      <c r="AB118" s="329"/>
      <c r="AC118" s="330"/>
      <c r="AD118" s="331"/>
      <c r="AE118" s="331"/>
      <c r="AF118" s="332"/>
      <c r="AG118" s="328" t="str">
        <f>개요!$B$349&amp;AH118</f>
        <v/>
      </c>
      <c r="AH118" s="329"/>
      <c r="AI118" s="330"/>
      <c r="AJ118" s="331"/>
      <c r="AK118" s="331"/>
      <c r="AL118" s="332"/>
      <c r="AM118" s="328" t="str">
        <f>개요!$B$361&amp;AN118</f>
        <v/>
      </c>
      <c r="AN118" s="329"/>
      <c r="AO118" s="330"/>
      <c r="AP118" s="331"/>
      <c r="AQ118" s="331"/>
      <c r="AR118" s="332"/>
      <c r="AS118" s="328" t="str">
        <f>개요!$B$373&amp;AT118</f>
        <v/>
      </c>
      <c r="AT118" s="329"/>
      <c r="AU118" s="330"/>
      <c r="AV118" s="331"/>
      <c r="AW118" s="331"/>
      <c r="AX118" s="332"/>
      <c r="AY118" s="328" t="str">
        <f>개요!$B$385&amp;AZ118</f>
        <v/>
      </c>
      <c r="AZ118" s="329"/>
      <c r="BA118" s="330"/>
      <c r="BB118" s="331"/>
      <c r="BC118" s="331"/>
      <c r="BD118" s="332"/>
      <c r="BE118" s="328" t="str">
        <f>개요!$B$397&amp;BF118</f>
        <v/>
      </c>
      <c r="BF118" s="329"/>
      <c r="BG118" s="330"/>
      <c r="BH118" s="331"/>
      <c r="BI118" s="331"/>
    </row>
    <row r="119" spans="3:61" ht="14.25" customHeight="1" thickBot="1">
      <c r="C119" s="328" t="str">
        <f>개요!$B$289&amp;D119</f>
        <v/>
      </c>
      <c r="D119" s="329"/>
      <c r="E119" s="330"/>
      <c r="F119" s="331"/>
      <c r="G119" s="331"/>
      <c r="I119" s="328" t="str">
        <f>개요!$B$301&amp;J119</f>
        <v/>
      </c>
      <c r="J119" s="329"/>
      <c r="K119" s="330"/>
      <c r="L119" s="331"/>
      <c r="M119" s="331"/>
      <c r="O119" s="328" t="str">
        <f>개요!$B$313&amp;P119</f>
        <v/>
      </c>
      <c r="P119" s="329"/>
      <c r="Q119" s="330"/>
      <c r="R119" s="331"/>
      <c r="S119" s="331"/>
      <c r="U119" s="328" t="str">
        <f>개요!$B$325&amp;V119</f>
        <v/>
      </c>
      <c r="V119" s="329"/>
      <c r="W119" s="330"/>
      <c r="X119" s="331"/>
      <c r="Y119" s="331"/>
      <c r="AA119" s="328" t="str">
        <f>개요!$B$337&amp;AB119</f>
        <v/>
      </c>
      <c r="AB119" s="329"/>
      <c r="AC119" s="330"/>
      <c r="AD119" s="331"/>
      <c r="AE119" s="331"/>
      <c r="AG119" s="328" t="str">
        <f>개요!$B$349&amp;AH119</f>
        <v/>
      </c>
      <c r="AH119" s="329"/>
      <c r="AI119" s="330"/>
      <c r="AJ119" s="331"/>
      <c r="AK119" s="331"/>
      <c r="AM119" s="328" t="str">
        <f>개요!$B$361&amp;AN119</f>
        <v/>
      </c>
      <c r="AN119" s="329"/>
      <c r="AO119" s="330"/>
      <c r="AP119" s="331"/>
      <c r="AQ119" s="331"/>
      <c r="AS119" s="328" t="str">
        <f>개요!$B$373&amp;AT119</f>
        <v/>
      </c>
      <c r="AT119" s="329"/>
      <c r="AU119" s="330"/>
      <c r="AV119" s="331"/>
      <c r="AW119" s="331"/>
      <c r="AY119" s="328" t="str">
        <f>개요!$B$61&amp;AZ119</f>
        <v/>
      </c>
      <c r="AZ119" s="329"/>
      <c r="BA119" s="330"/>
      <c r="BB119" s="331"/>
      <c r="BC119" s="331"/>
      <c r="BE119" s="328" t="str">
        <f>개요!$B$397&amp;BF119</f>
        <v/>
      </c>
      <c r="BF119" s="329"/>
      <c r="BG119" s="330"/>
      <c r="BH119" s="331"/>
      <c r="BI119" s="331"/>
    </row>
    <row r="120" spans="3:61" ht="14.25" customHeight="1">
      <c r="F120" s="336" t="b">
        <f>IF(AND(NAV!B931:B944),TRUE,FALSE)</f>
        <v>1</v>
      </c>
      <c r="G120" s="336"/>
      <c r="L120" s="336" t="b">
        <f>IF(AND(NAV!B969:B982),TRUE,FALSE)</f>
        <v>1</v>
      </c>
      <c r="M120" s="336"/>
      <c r="R120" s="336" t="b">
        <f>IF(AND(NAV!B1007:B1020),TRUE,FALSE)</f>
        <v>1</v>
      </c>
      <c r="S120" s="336"/>
      <c r="X120" s="336" t="b">
        <f>IF(AND(NAV!B1045:B1058),TRUE,FALSE)</f>
        <v>1</v>
      </c>
      <c r="Y120" s="336"/>
      <c r="AD120" s="336" t="b">
        <f>IF(AND(NAV!B1083:B1096),TRUE,FALSE)</f>
        <v>1</v>
      </c>
      <c r="AE120" s="336"/>
      <c r="AJ120" s="336" t="b">
        <f>IF(AND(NAV!B1121:B1134),TRUE,FALSE)</f>
        <v>1</v>
      </c>
      <c r="AK120" s="336"/>
      <c r="AP120" s="336" t="b">
        <f>IF(AND(NAV!B1159:B1172),TRUE,FALSE)</f>
        <v>1</v>
      </c>
      <c r="AQ120" s="336"/>
      <c r="AV120" s="336" t="b">
        <f>IF(AND(NAV!B1197:B1210),TRUE,FALSE)</f>
        <v>1</v>
      </c>
      <c r="AW120" s="336"/>
      <c r="BB120" s="336" t="b">
        <f>IF(AND(NAV!B1235:B1248),TRUE,FALSE)</f>
        <v>1</v>
      </c>
      <c r="BC120" s="336"/>
      <c r="BH120" s="336" t="b">
        <f>IF(AND(NAV!B1273:B1286),TRUE,FALSE)</f>
        <v>1</v>
      </c>
      <c r="BI120" s="336"/>
    </row>
  </sheetData>
  <mergeCells count="90">
    <mergeCell ref="AT87:AT88"/>
    <mergeCell ref="Q87:Q88"/>
    <mergeCell ref="U87:U88"/>
    <mergeCell ref="V87:V88"/>
    <mergeCell ref="W87:W88"/>
    <mergeCell ref="AA87:AA88"/>
    <mergeCell ref="BF87:BF88"/>
    <mergeCell ref="BG87:BG88"/>
    <mergeCell ref="AB87:AB88"/>
    <mergeCell ref="AC87:AC88"/>
    <mergeCell ref="AG87:AG88"/>
    <mergeCell ref="AH87:AH88"/>
    <mergeCell ref="AI87:AI88"/>
    <mergeCell ref="AU87:AU88"/>
    <mergeCell ref="AY87:AY88"/>
    <mergeCell ref="AZ87:AZ88"/>
    <mergeCell ref="BA87:BA88"/>
    <mergeCell ref="BE87:BE88"/>
    <mergeCell ref="AM87:AM88"/>
    <mergeCell ref="AN87:AN88"/>
    <mergeCell ref="AO87:AO88"/>
    <mergeCell ref="AS87:AS88"/>
    <mergeCell ref="AT47:AT48"/>
    <mergeCell ref="AU47:AU48"/>
    <mergeCell ref="AY47:AY48"/>
    <mergeCell ref="AZ47:AZ48"/>
    <mergeCell ref="BA47:BA48"/>
    <mergeCell ref="BE47:BE48"/>
    <mergeCell ref="BF47:BF48"/>
    <mergeCell ref="BG47:BG48"/>
    <mergeCell ref="C87:C88"/>
    <mergeCell ref="D87:D88"/>
    <mergeCell ref="E87:E88"/>
    <mergeCell ref="I87:I88"/>
    <mergeCell ref="J87:J88"/>
    <mergeCell ref="K87:K88"/>
    <mergeCell ref="O87:O88"/>
    <mergeCell ref="P87:P88"/>
    <mergeCell ref="AI47:AI48"/>
    <mergeCell ref="AM47:AM48"/>
    <mergeCell ref="AN47:AN48"/>
    <mergeCell ref="AO47:AO48"/>
    <mergeCell ref="AS47:AS48"/>
    <mergeCell ref="AA47:AA48"/>
    <mergeCell ref="AB47:AB48"/>
    <mergeCell ref="AC47:AC48"/>
    <mergeCell ref="AG47:AG48"/>
    <mergeCell ref="AH47:AH48"/>
    <mergeCell ref="P47:P48"/>
    <mergeCell ref="Q47:Q48"/>
    <mergeCell ref="U47:U48"/>
    <mergeCell ref="V47:V48"/>
    <mergeCell ref="W47:W48"/>
    <mergeCell ref="E47:E48"/>
    <mergeCell ref="I47:I48"/>
    <mergeCell ref="J47:J48"/>
    <mergeCell ref="K47:K48"/>
    <mergeCell ref="O47:O48"/>
    <mergeCell ref="BE7:BE8"/>
    <mergeCell ref="BF7:BF8"/>
    <mergeCell ref="BG7:BG8"/>
    <mergeCell ref="C47:C48"/>
    <mergeCell ref="D47:D48"/>
    <mergeCell ref="BA7:BA8"/>
    <mergeCell ref="AS7:AS8"/>
    <mergeCell ref="AT7:AT8"/>
    <mergeCell ref="AU7:AU8"/>
    <mergeCell ref="AY7:AY8"/>
    <mergeCell ref="AZ7:AZ8"/>
    <mergeCell ref="C7:C8"/>
    <mergeCell ref="I7:I8"/>
    <mergeCell ref="J7:J8"/>
    <mergeCell ref="W7:W8"/>
    <mergeCell ref="K7:K8"/>
    <mergeCell ref="E7:E8"/>
    <mergeCell ref="D7:D8"/>
    <mergeCell ref="AM7:AM8"/>
    <mergeCell ref="AN7:AN8"/>
    <mergeCell ref="AO7:AO8"/>
    <mergeCell ref="AI7:AI8"/>
    <mergeCell ref="AA7:AA8"/>
    <mergeCell ref="AB7:AB8"/>
    <mergeCell ref="AC7:AC8"/>
    <mergeCell ref="AG7:AG8"/>
    <mergeCell ref="AH7:AH8"/>
    <mergeCell ref="O7:O8"/>
    <mergeCell ref="P7:P8"/>
    <mergeCell ref="Q7:Q8"/>
    <mergeCell ref="U7:U8"/>
    <mergeCell ref="V7:V8"/>
  </mergeCells>
  <phoneticPr fontId="7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Dropbox!$J$3:$J$16</xm:f>
          </x14:formula1>
          <xm:sqref>D9:D39 AZ49:AZ79 BF9:BF39 AN89:AN119 AT9:AT39 BF49:BF79 AH89:AH119 AN9:AN39 AT49:AT79 AB89:AB119 AH9:AH39 AN49:AN79 V89:V119 AB9:AB39 AH49:AH79 P89:P119 V9:V39 AB49:AB79 J89:J119 P9:P39 V49:V79 D89:D119 BF89:BF119 AT89:AT119 P49:P79 D49:D79 AZ89:AZ119 AZ9:AZ39 J49:J79 J9:J39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A2:X409"/>
  <sheetViews>
    <sheetView showGridLines="0" topLeftCell="B1" zoomScale="70" zoomScaleNormal="70" workbookViewId="0">
      <selection activeCell="R34" sqref="R34"/>
    </sheetView>
  </sheetViews>
  <sheetFormatPr defaultColWidth="11.77734375" defaultRowHeight="15" customHeight="1" outlineLevelRow="1"/>
  <cols>
    <col min="1" max="1" width="32.6640625" style="688" hidden="1" customWidth="1"/>
    <col min="2" max="2" width="2.33203125" style="686" customWidth="1"/>
    <col min="3" max="3" width="8.21875" style="687" customWidth="1"/>
    <col min="4" max="4" width="31.109375" style="688" customWidth="1"/>
    <col min="5" max="5" width="21" style="687" customWidth="1"/>
    <col min="6" max="7" width="11.77734375" style="688"/>
    <col min="8" max="8" width="15.44140625" style="688" customWidth="1"/>
    <col min="9" max="9" width="11.77734375" style="688"/>
    <col min="10" max="10" width="11.77734375" style="687"/>
    <col min="11" max="11" width="11.77734375" style="688"/>
    <col min="12" max="12" width="11.77734375" style="689"/>
    <col min="13" max="13" width="14.44140625" style="755" customWidth="1"/>
    <col min="14" max="14" width="11.77734375" style="688"/>
    <col min="15" max="15" width="11.77734375" style="690" customWidth="1"/>
    <col min="16" max="16" width="11.77734375" style="688" customWidth="1"/>
    <col min="17" max="17" width="29.6640625" style="688" customWidth="1"/>
    <col min="18" max="18" width="46.88671875" style="688" customWidth="1"/>
    <col min="19" max="20" width="11.77734375" style="688" customWidth="1"/>
    <col min="21" max="21" width="13.44140625" style="688" customWidth="1"/>
    <col min="22" max="22" width="11.77734375" style="689"/>
    <col min="23" max="23" width="13.44140625" style="689" customWidth="1"/>
    <col min="24" max="24" width="11.77734375" style="689"/>
    <col min="25" max="16384" width="11.77734375" style="688"/>
  </cols>
  <sheetData>
    <row r="2" spans="1:24" ht="20.25" customHeight="1">
      <c r="C2" s="736" t="s">
        <v>3611</v>
      </c>
    </row>
    <row r="3" spans="1:24" ht="15" customHeight="1">
      <c r="D3" s="691"/>
    </row>
    <row r="4" spans="1:24" s="738" customFormat="1" ht="22.5" customHeight="1" thickBot="1">
      <c r="B4" s="739"/>
      <c r="C4" s="744" t="s">
        <v>6837</v>
      </c>
      <c r="E4" s="741"/>
      <c r="J4" s="741"/>
      <c r="L4" s="742"/>
      <c r="M4" s="756"/>
      <c r="O4" s="743"/>
      <c r="V4" s="742"/>
      <c r="W4" s="742"/>
      <c r="X4" s="742"/>
    </row>
    <row r="5" spans="1:24" ht="15" customHeight="1" thickBot="1">
      <c r="A5" s="698" t="s">
        <v>3624</v>
      </c>
      <c r="B5" s="687"/>
      <c r="C5" s="735" t="s">
        <v>3612</v>
      </c>
      <c r="D5" s="735" t="s">
        <v>984</v>
      </c>
      <c r="E5" s="735" t="s">
        <v>3222</v>
      </c>
      <c r="F5" s="735" t="s">
        <v>3613</v>
      </c>
      <c r="G5" s="735" t="s">
        <v>3614</v>
      </c>
      <c r="H5" s="735" t="s">
        <v>3615</v>
      </c>
      <c r="I5" s="735" t="s">
        <v>981</v>
      </c>
      <c r="J5" s="735" t="s">
        <v>3224</v>
      </c>
      <c r="K5" s="735" t="s">
        <v>3616</v>
      </c>
      <c r="L5" s="735" t="s">
        <v>3617</v>
      </c>
      <c r="M5" s="757" t="s">
        <v>3618</v>
      </c>
      <c r="N5" s="735" t="s">
        <v>3619</v>
      </c>
      <c r="O5" s="735" t="s">
        <v>3620</v>
      </c>
      <c r="P5" s="735" t="s">
        <v>3621</v>
      </c>
      <c r="Q5" s="735" t="s">
        <v>3622</v>
      </c>
      <c r="R5" s="735" t="s">
        <v>3623</v>
      </c>
      <c r="S5" s="689"/>
      <c r="T5" s="689"/>
    </row>
    <row r="6" spans="1:24" ht="15" customHeight="1" thickBot="1">
      <c r="A6" s="699" t="str">
        <f t="shared" ref="A6:A37" si="0">E6&amp;H6&amp;J6</f>
        <v>1701110075540보통주0</v>
      </c>
      <c r="B6" s="687"/>
      <c r="C6" s="734">
        <f>IF(D6="","",COUNTA($D$6:D6))</f>
        <v>1</v>
      </c>
      <c r="D6" s="745" t="s">
        <v>7182</v>
      </c>
      <c r="E6" s="746">
        <v>1701110075540</v>
      </c>
      <c r="F6" s="747" t="s">
        <v>7183</v>
      </c>
      <c r="G6" s="747"/>
      <c r="H6" s="747" t="s">
        <v>41</v>
      </c>
      <c r="I6" s="747" t="s">
        <v>3134</v>
      </c>
      <c r="J6" s="746">
        <v>0</v>
      </c>
      <c r="K6" s="747" t="s">
        <v>3135</v>
      </c>
      <c r="L6" s="748"/>
      <c r="M6" s="750">
        <v>28558</v>
      </c>
      <c r="N6" s="747" t="s">
        <v>7184</v>
      </c>
      <c r="O6" s="749" t="s">
        <v>7185</v>
      </c>
      <c r="P6" s="747">
        <v>0</v>
      </c>
      <c r="Q6" s="747"/>
      <c r="R6" s="747"/>
      <c r="S6" s="689"/>
      <c r="T6" s="689"/>
    </row>
    <row r="7" spans="1:24" ht="15" customHeight="1" thickBot="1">
      <c r="A7" s="699" t="str">
        <f t="shared" si="0"/>
        <v/>
      </c>
      <c r="B7" s="687"/>
      <c r="C7" s="734" t="str">
        <f>IF(D7="","",COUNTA($D$6:D7))</f>
        <v/>
      </c>
      <c r="D7" s="745"/>
      <c r="E7" s="746"/>
      <c r="F7" s="747"/>
      <c r="G7" s="747"/>
      <c r="H7" s="747"/>
      <c r="I7" s="747"/>
      <c r="J7" s="746"/>
      <c r="K7" s="747"/>
      <c r="L7" s="748"/>
      <c r="M7" s="750"/>
      <c r="N7" s="750"/>
      <c r="O7" s="749"/>
      <c r="P7" s="747"/>
      <c r="Q7" s="747"/>
      <c r="R7" s="747"/>
      <c r="S7" s="689"/>
      <c r="T7" s="689"/>
    </row>
    <row r="8" spans="1:24" ht="15" customHeight="1" thickBot="1">
      <c r="A8" s="699" t="str">
        <f t="shared" si="0"/>
        <v/>
      </c>
      <c r="B8" s="687"/>
      <c r="C8" s="734" t="str">
        <f>IF(D8="","",COUNTA($D$6:D8))</f>
        <v/>
      </c>
      <c r="D8" s="745"/>
      <c r="E8" s="746"/>
      <c r="F8" s="747"/>
      <c r="G8" s="747"/>
      <c r="H8" s="747"/>
      <c r="I8" s="747"/>
      <c r="J8" s="746"/>
      <c r="K8" s="747"/>
      <c r="L8" s="748"/>
      <c r="M8" s="750"/>
      <c r="N8" s="750"/>
      <c r="O8" s="749"/>
      <c r="P8" s="747"/>
      <c r="Q8" s="747"/>
      <c r="R8" s="747"/>
      <c r="S8" s="689"/>
      <c r="T8" s="689"/>
    </row>
    <row r="9" spans="1:24" ht="15" customHeight="1" thickBot="1">
      <c r="A9" s="699" t="str">
        <f t="shared" si="0"/>
        <v/>
      </c>
      <c r="B9" s="687"/>
      <c r="C9" s="734" t="str">
        <f>IF(D9="","",COUNTA($D$6:D9))</f>
        <v/>
      </c>
      <c r="D9" s="745"/>
      <c r="E9" s="746"/>
      <c r="F9" s="747"/>
      <c r="G9" s="747"/>
      <c r="H9" s="747"/>
      <c r="I9" s="747"/>
      <c r="J9" s="746"/>
      <c r="K9" s="747"/>
      <c r="L9" s="748"/>
      <c r="M9" s="750"/>
      <c r="N9" s="747"/>
      <c r="O9" s="749"/>
      <c r="P9" s="747"/>
      <c r="Q9" s="747"/>
      <c r="R9" s="747"/>
      <c r="S9" s="689"/>
      <c r="T9" s="689"/>
    </row>
    <row r="10" spans="1:24" ht="15" customHeight="1" thickBot="1">
      <c r="A10" s="699" t="str">
        <f t="shared" si="0"/>
        <v/>
      </c>
      <c r="B10" s="687"/>
      <c r="C10" s="734" t="str">
        <f>IF(D10="","",COUNTA($D$6:D10))</f>
        <v/>
      </c>
      <c r="D10" s="745"/>
      <c r="E10" s="746"/>
      <c r="F10" s="747"/>
      <c r="G10" s="747"/>
      <c r="H10" s="747"/>
      <c r="I10" s="747"/>
      <c r="J10" s="746"/>
      <c r="K10" s="747"/>
      <c r="L10" s="748"/>
      <c r="M10" s="750"/>
      <c r="N10" s="747"/>
      <c r="O10" s="749"/>
      <c r="P10" s="747"/>
      <c r="Q10" s="747"/>
      <c r="R10" s="747"/>
      <c r="S10" s="689"/>
      <c r="T10" s="689"/>
    </row>
    <row r="11" spans="1:24" ht="15" customHeight="1" thickBot="1">
      <c r="A11" s="699" t="str">
        <f t="shared" si="0"/>
        <v/>
      </c>
      <c r="B11" s="687"/>
      <c r="C11" s="734" t="str">
        <f>IF(D11="","",COUNTA($D$6:D11))</f>
        <v/>
      </c>
      <c r="D11" s="745"/>
      <c r="E11" s="746"/>
      <c r="F11" s="747"/>
      <c r="G11" s="747"/>
      <c r="H11" s="747"/>
      <c r="I11" s="747"/>
      <c r="J11" s="746"/>
      <c r="K11" s="747"/>
      <c r="L11" s="748"/>
      <c r="M11" s="750"/>
      <c r="N11" s="750"/>
      <c r="O11" s="749"/>
      <c r="P11" s="747"/>
      <c r="Q11" s="747"/>
      <c r="R11" s="747"/>
      <c r="S11" s="689"/>
      <c r="T11" s="689"/>
    </row>
    <row r="12" spans="1:24" ht="15" customHeight="1" thickBot="1">
      <c r="A12" s="699" t="str">
        <f t="shared" si="0"/>
        <v/>
      </c>
      <c r="B12" s="687"/>
      <c r="C12" s="734" t="str">
        <f>IF(D12="","",COUNTA($D$6:D12))</f>
        <v/>
      </c>
      <c r="D12" s="745"/>
      <c r="E12" s="746"/>
      <c r="F12" s="747"/>
      <c r="G12" s="747"/>
      <c r="H12" s="747"/>
      <c r="I12" s="747"/>
      <c r="J12" s="746"/>
      <c r="K12" s="747"/>
      <c r="L12" s="748"/>
      <c r="M12" s="750"/>
      <c r="N12" s="750"/>
      <c r="O12" s="749"/>
      <c r="P12" s="747"/>
      <c r="Q12" s="747"/>
      <c r="R12" s="747"/>
      <c r="S12" s="689"/>
      <c r="T12" s="689"/>
    </row>
    <row r="13" spans="1:24" ht="15" customHeight="1" thickBot="1">
      <c r="A13" s="699" t="str">
        <f t="shared" si="0"/>
        <v/>
      </c>
      <c r="B13" s="687"/>
      <c r="C13" s="734" t="str">
        <f>IF(D13="","",COUNTA($D$6:D13))</f>
        <v/>
      </c>
      <c r="D13" s="745"/>
      <c r="E13" s="746"/>
      <c r="F13" s="747"/>
      <c r="G13" s="747"/>
      <c r="H13" s="747"/>
      <c r="I13" s="747"/>
      <c r="J13" s="746"/>
      <c r="K13" s="747"/>
      <c r="L13" s="748"/>
      <c r="M13" s="750"/>
      <c r="N13" s="750"/>
      <c r="O13" s="749"/>
      <c r="P13" s="747"/>
      <c r="Q13" s="747"/>
      <c r="R13" s="747"/>
      <c r="S13" s="689"/>
      <c r="T13" s="689"/>
    </row>
    <row r="14" spans="1:24" ht="15" customHeight="1" thickBot="1">
      <c r="A14" s="699" t="str">
        <f t="shared" si="0"/>
        <v/>
      </c>
      <c r="B14" s="687"/>
      <c r="C14" s="734" t="str">
        <f>IF(D14="","",COUNTA($D$6:D14))</f>
        <v/>
      </c>
      <c r="D14" s="745"/>
      <c r="E14" s="746"/>
      <c r="F14" s="747"/>
      <c r="G14" s="747"/>
      <c r="H14" s="747"/>
      <c r="I14" s="747"/>
      <c r="J14" s="746"/>
      <c r="K14" s="747"/>
      <c r="L14" s="748"/>
      <c r="M14" s="750"/>
      <c r="N14" s="750"/>
      <c r="O14" s="749"/>
      <c r="P14" s="747"/>
      <c r="Q14" s="747"/>
      <c r="R14" s="747"/>
      <c r="S14" s="689"/>
      <c r="T14" s="689"/>
    </row>
    <row r="15" spans="1:24" ht="15" customHeight="1" thickBot="1">
      <c r="A15" s="699" t="str">
        <f t="shared" si="0"/>
        <v/>
      </c>
      <c r="B15" s="687"/>
      <c r="C15" s="734" t="str">
        <f>IF(D15="","",COUNTA($D$6:D15))</f>
        <v/>
      </c>
      <c r="D15" s="745"/>
      <c r="E15" s="746"/>
      <c r="F15" s="747"/>
      <c r="G15" s="747"/>
      <c r="H15" s="747"/>
      <c r="I15" s="747"/>
      <c r="J15" s="746"/>
      <c r="K15" s="747"/>
      <c r="L15" s="748"/>
      <c r="M15" s="750"/>
      <c r="N15" s="750"/>
      <c r="O15" s="749"/>
      <c r="P15" s="747"/>
      <c r="Q15" s="747"/>
      <c r="R15" s="747"/>
      <c r="S15" s="689"/>
      <c r="T15" s="689"/>
    </row>
    <row r="16" spans="1:24" ht="15" customHeight="1" thickBot="1">
      <c r="A16" s="699" t="str">
        <f t="shared" si="0"/>
        <v/>
      </c>
      <c r="B16" s="687"/>
      <c r="C16" s="734" t="str">
        <f>IF(D16="","",COUNTA($D$6:D16))</f>
        <v/>
      </c>
      <c r="D16" s="745"/>
      <c r="E16" s="746"/>
      <c r="F16" s="747"/>
      <c r="G16" s="747"/>
      <c r="H16" s="747"/>
      <c r="I16" s="747"/>
      <c r="J16" s="746"/>
      <c r="K16" s="747"/>
      <c r="L16" s="748"/>
      <c r="M16" s="750"/>
      <c r="N16" s="750"/>
      <c r="O16" s="749"/>
      <c r="P16" s="747"/>
      <c r="Q16" s="747"/>
      <c r="R16" s="747"/>
      <c r="S16" s="689"/>
      <c r="T16" s="689"/>
    </row>
    <row r="17" spans="1:20" ht="15" customHeight="1" thickBot="1">
      <c r="A17" s="699" t="str">
        <f t="shared" si="0"/>
        <v/>
      </c>
      <c r="B17" s="687"/>
      <c r="C17" s="734" t="str">
        <f>IF(D17="","",COUNTA($D$6:D17))</f>
        <v/>
      </c>
      <c r="D17" s="745"/>
      <c r="E17" s="746"/>
      <c r="F17" s="747"/>
      <c r="G17" s="747"/>
      <c r="H17" s="747"/>
      <c r="I17" s="747"/>
      <c r="J17" s="746"/>
      <c r="K17" s="747"/>
      <c r="L17" s="748"/>
      <c r="M17" s="750"/>
      <c r="N17" s="750"/>
      <c r="O17" s="749"/>
      <c r="P17" s="747"/>
      <c r="Q17" s="747"/>
      <c r="R17" s="747"/>
      <c r="S17" s="689"/>
      <c r="T17" s="689"/>
    </row>
    <row r="18" spans="1:20" ht="15" customHeight="1" thickBot="1">
      <c r="A18" s="699" t="str">
        <f t="shared" si="0"/>
        <v/>
      </c>
      <c r="B18" s="687"/>
      <c r="C18" s="734" t="str">
        <f>IF(D18="","",COUNTA($D$6:D18))</f>
        <v/>
      </c>
      <c r="D18" s="745"/>
      <c r="E18" s="746"/>
      <c r="F18" s="747"/>
      <c r="G18" s="747"/>
      <c r="H18" s="747"/>
      <c r="I18" s="747"/>
      <c r="J18" s="746"/>
      <c r="K18" s="747"/>
      <c r="L18" s="748"/>
      <c r="M18" s="750"/>
      <c r="N18" s="750"/>
      <c r="O18" s="749"/>
      <c r="P18" s="747"/>
      <c r="Q18" s="747"/>
      <c r="R18" s="747"/>
      <c r="S18" s="689"/>
      <c r="T18" s="689"/>
    </row>
    <row r="19" spans="1:20" ht="15" customHeight="1" thickBot="1">
      <c r="A19" s="699" t="str">
        <f t="shared" si="0"/>
        <v/>
      </c>
      <c r="B19" s="687"/>
      <c r="C19" s="734" t="str">
        <f>IF(D19="","",COUNTA($D$6:D19))</f>
        <v/>
      </c>
      <c r="D19" s="745"/>
      <c r="E19" s="746"/>
      <c r="F19" s="747"/>
      <c r="G19" s="747"/>
      <c r="H19" s="747"/>
      <c r="I19" s="747"/>
      <c r="J19" s="746"/>
      <c r="K19" s="747"/>
      <c r="L19" s="748"/>
      <c r="M19" s="750"/>
      <c r="N19" s="750"/>
      <c r="O19" s="749"/>
      <c r="P19" s="747"/>
      <c r="Q19" s="747"/>
      <c r="R19" s="747"/>
      <c r="S19" s="689"/>
      <c r="T19" s="689"/>
    </row>
    <row r="20" spans="1:20" ht="15" customHeight="1" thickBot="1">
      <c r="A20" s="699" t="str">
        <f t="shared" si="0"/>
        <v/>
      </c>
      <c r="B20" s="687"/>
      <c r="C20" s="734" t="str">
        <f>IF(D20="","",COUNTA($D$6:D20))</f>
        <v/>
      </c>
      <c r="D20" s="745"/>
      <c r="E20" s="746"/>
      <c r="F20" s="747"/>
      <c r="G20" s="747"/>
      <c r="H20" s="747"/>
      <c r="I20" s="747"/>
      <c r="J20" s="746"/>
      <c r="K20" s="747"/>
      <c r="L20" s="748"/>
      <c r="M20" s="750"/>
      <c r="N20" s="750"/>
      <c r="O20" s="749"/>
      <c r="P20" s="747"/>
      <c r="Q20" s="747"/>
      <c r="R20" s="747"/>
      <c r="S20" s="689"/>
      <c r="T20" s="689"/>
    </row>
    <row r="21" spans="1:20" ht="15" customHeight="1" thickBot="1">
      <c r="A21" s="699" t="str">
        <f t="shared" si="0"/>
        <v/>
      </c>
      <c r="B21" s="687"/>
      <c r="C21" s="734" t="str">
        <f>IF(D21="","",COUNTA($D$6:D21))</f>
        <v/>
      </c>
      <c r="D21" s="745"/>
      <c r="E21" s="746"/>
      <c r="F21" s="747"/>
      <c r="G21" s="747"/>
      <c r="H21" s="747"/>
      <c r="I21" s="747"/>
      <c r="J21" s="746"/>
      <c r="K21" s="747"/>
      <c r="L21" s="748"/>
      <c r="M21" s="750"/>
      <c r="N21" s="750"/>
      <c r="O21" s="749"/>
      <c r="P21" s="747"/>
      <c r="Q21" s="747"/>
      <c r="R21" s="747"/>
      <c r="S21" s="689"/>
      <c r="T21" s="689"/>
    </row>
    <row r="22" spans="1:20" ht="15" customHeight="1" thickBot="1">
      <c r="A22" s="699" t="str">
        <f t="shared" si="0"/>
        <v/>
      </c>
      <c r="B22" s="687"/>
      <c r="C22" s="734" t="str">
        <f>IF(D22="","",COUNTA($D$6:D22))</f>
        <v/>
      </c>
      <c r="D22" s="745"/>
      <c r="E22" s="746"/>
      <c r="F22" s="747"/>
      <c r="G22" s="747"/>
      <c r="H22" s="747"/>
      <c r="I22" s="747"/>
      <c r="J22" s="746"/>
      <c r="K22" s="747"/>
      <c r="L22" s="748"/>
      <c r="M22" s="750"/>
      <c r="N22" s="750"/>
      <c r="O22" s="749"/>
      <c r="P22" s="747"/>
      <c r="Q22" s="747"/>
      <c r="R22" s="747"/>
      <c r="S22" s="689"/>
      <c r="T22" s="689"/>
    </row>
    <row r="23" spans="1:20" ht="15" customHeight="1" thickBot="1">
      <c r="A23" s="699" t="str">
        <f t="shared" si="0"/>
        <v/>
      </c>
      <c r="B23" s="687"/>
      <c r="C23" s="734" t="str">
        <f>IF(D23="","",COUNTA($D$6:D23))</f>
        <v/>
      </c>
      <c r="D23" s="745"/>
      <c r="E23" s="746"/>
      <c r="F23" s="747"/>
      <c r="G23" s="747"/>
      <c r="H23" s="747"/>
      <c r="I23" s="747"/>
      <c r="J23" s="746"/>
      <c r="K23" s="747"/>
      <c r="L23" s="748"/>
      <c r="M23" s="750"/>
      <c r="N23" s="750"/>
      <c r="O23" s="749"/>
      <c r="P23" s="747"/>
      <c r="Q23" s="747"/>
      <c r="R23" s="747"/>
      <c r="S23" s="689"/>
      <c r="T23" s="689"/>
    </row>
    <row r="24" spans="1:20" ht="15" customHeight="1" thickBot="1">
      <c r="A24" s="699" t="str">
        <f t="shared" si="0"/>
        <v/>
      </c>
      <c r="B24" s="687"/>
      <c r="C24" s="734" t="str">
        <f>IF(D24="","",COUNTA($D$6:D24))</f>
        <v/>
      </c>
      <c r="D24" s="745"/>
      <c r="E24" s="746"/>
      <c r="F24" s="747"/>
      <c r="G24" s="747"/>
      <c r="H24" s="747"/>
      <c r="I24" s="747"/>
      <c r="J24" s="746"/>
      <c r="K24" s="747"/>
      <c r="L24" s="748"/>
      <c r="M24" s="750"/>
      <c r="N24" s="750"/>
      <c r="O24" s="749"/>
      <c r="P24" s="747"/>
      <c r="Q24" s="747"/>
      <c r="R24" s="747"/>
      <c r="S24" s="689"/>
      <c r="T24" s="689"/>
    </row>
    <row r="25" spans="1:20" ht="15" customHeight="1" thickBot="1">
      <c r="A25" s="699" t="str">
        <f t="shared" si="0"/>
        <v/>
      </c>
      <c r="B25" s="687"/>
      <c r="C25" s="734" t="str">
        <f>IF(D25="","",COUNTA($D$6:D25))</f>
        <v/>
      </c>
      <c r="D25" s="745"/>
      <c r="E25" s="746"/>
      <c r="F25" s="747"/>
      <c r="G25" s="747"/>
      <c r="H25" s="747"/>
      <c r="I25" s="747"/>
      <c r="J25" s="746"/>
      <c r="K25" s="747"/>
      <c r="L25" s="748"/>
      <c r="M25" s="750"/>
      <c r="N25" s="750"/>
      <c r="O25" s="749"/>
      <c r="P25" s="747"/>
      <c r="Q25" s="747"/>
      <c r="R25" s="747"/>
      <c r="S25" s="689"/>
      <c r="T25" s="689"/>
    </row>
    <row r="26" spans="1:20" ht="15" customHeight="1" thickBot="1">
      <c r="A26" s="699" t="str">
        <f t="shared" si="0"/>
        <v/>
      </c>
      <c r="B26" s="687"/>
      <c r="C26" s="734" t="str">
        <f>IF(D26="","",COUNTA($D$6:D26))</f>
        <v/>
      </c>
      <c r="D26" s="745"/>
      <c r="E26" s="746"/>
      <c r="F26" s="747"/>
      <c r="G26" s="747"/>
      <c r="H26" s="747"/>
      <c r="I26" s="747"/>
      <c r="J26" s="746"/>
      <c r="K26" s="747"/>
      <c r="L26" s="748"/>
      <c r="M26" s="750"/>
      <c r="N26" s="750"/>
      <c r="O26" s="749"/>
      <c r="P26" s="747"/>
      <c r="Q26" s="747"/>
      <c r="R26" s="747"/>
      <c r="S26" s="689"/>
      <c r="T26" s="689"/>
    </row>
    <row r="27" spans="1:20" ht="15" customHeight="1" thickBot="1">
      <c r="A27" s="699" t="str">
        <f t="shared" si="0"/>
        <v/>
      </c>
      <c r="B27" s="687"/>
      <c r="C27" s="734" t="str">
        <f>IF(D27="","",COUNTA($D$6:D27))</f>
        <v/>
      </c>
      <c r="D27" s="745"/>
      <c r="E27" s="746"/>
      <c r="F27" s="747"/>
      <c r="G27" s="747"/>
      <c r="H27" s="747"/>
      <c r="I27" s="747"/>
      <c r="J27" s="746"/>
      <c r="K27" s="747"/>
      <c r="L27" s="748"/>
      <c r="M27" s="750"/>
      <c r="N27" s="750"/>
      <c r="O27" s="749"/>
      <c r="P27" s="747"/>
      <c r="Q27" s="747"/>
      <c r="R27" s="747"/>
      <c r="S27" s="689"/>
      <c r="T27" s="689"/>
    </row>
    <row r="28" spans="1:20" ht="15" customHeight="1" thickBot="1">
      <c r="A28" s="699" t="str">
        <f t="shared" si="0"/>
        <v/>
      </c>
      <c r="B28" s="687"/>
      <c r="C28" s="734" t="str">
        <f>IF(D28="","",COUNTA($D$6:D28))</f>
        <v/>
      </c>
      <c r="D28" s="745"/>
      <c r="E28" s="746"/>
      <c r="F28" s="747"/>
      <c r="G28" s="747"/>
      <c r="H28" s="747"/>
      <c r="I28" s="747"/>
      <c r="J28" s="746"/>
      <c r="K28" s="747"/>
      <c r="L28" s="748"/>
      <c r="M28" s="750"/>
      <c r="N28" s="750"/>
      <c r="O28" s="749"/>
      <c r="P28" s="747"/>
      <c r="Q28" s="747"/>
      <c r="R28" s="747"/>
      <c r="S28" s="689"/>
      <c r="T28" s="689"/>
    </row>
    <row r="29" spans="1:20" ht="15" customHeight="1" thickBot="1">
      <c r="A29" s="699" t="str">
        <f t="shared" si="0"/>
        <v/>
      </c>
      <c r="B29" s="687"/>
      <c r="C29" s="734" t="str">
        <f>IF(D29="","",COUNTA($D$6:D29))</f>
        <v/>
      </c>
      <c r="D29" s="745"/>
      <c r="E29" s="746"/>
      <c r="F29" s="747"/>
      <c r="G29" s="747"/>
      <c r="H29" s="747"/>
      <c r="I29" s="747"/>
      <c r="J29" s="746"/>
      <c r="K29" s="747"/>
      <c r="L29" s="748"/>
      <c r="M29" s="750"/>
      <c r="N29" s="750"/>
      <c r="O29" s="749"/>
      <c r="P29" s="747"/>
      <c r="Q29" s="747"/>
      <c r="R29" s="747"/>
      <c r="S29" s="689"/>
      <c r="T29" s="689"/>
    </row>
    <row r="30" spans="1:20" ht="15" customHeight="1" thickBot="1">
      <c r="A30" s="699" t="str">
        <f t="shared" si="0"/>
        <v/>
      </c>
      <c r="B30" s="687"/>
      <c r="C30" s="734" t="str">
        <f>IF(D30="","",COUNTA($D$6:D30))</f>
        <v/>
      </c>
      <c r="D30" s="745"/>
      <c r="E30" s="746"/>
      <c r="F30" s="747"/>
      <c r="G30" s="747"/>
      <c r="H30" s="747"/>
      <c r="I30" s="747"/>
      <c r="J30" s="746"/>
      <c r="K30" s="747"/>
      <c r="L30" s="748"/>
      <c r="M30" s="750"/>
      <c r="N30" s="750"/>
      <c r="O30" s="749"/>
      <c r="P30" s="747"/>
      <c r="Q30" s="747"/>
      <c r="R30" s="747"/>
      <c r="S30" s="689"/>
      <c r="T30" s="689"/>
    </row>
    <row r="31" spans="1:20" ht="15" customHeight="1" thickBot="1">
      <c r="A31" s="699" t="str">
        <f t="shared" si="0"/>
        <v/>
      </c>
      <c r="B31" s="687"/>
      <c r="C31" s="734" t="str">
        <f>IF(D31="","",COUNTA($D$6:D31))</f>
        <v/>
      </c>
      <c r="D31" s="745"/>
      <c r="E31" s="746"/>
      <c r="F31" s="747"/>
      <c r="G31" s="747"/>
      <c r="H31" s="747"/>
      <c r="I31" s="747"/>
      <c r="J31" s="746"/>
      <c r="K31" s="747"/>
      <c r="L31" s="748"/>
      <c r="M31" s="750"/>
      <c r="N31" s="750"/>
      <c r="O31" s="749"/>
      <c r="P31" s="747"/>
      <c r="Q31" s="747"/>
      <c r="R31" s="747"/>
      <c r="S31" s="689"/>
      <c r="T31" s="689"/>
    </row>
    <row r="32" spans="1:20" ht="15" customHeight="1" thickBot="1">
      <c r="A32" s="699" t="str">
        <f t="shared" si="0"/>
        <v/>
      </c>
      <c r="B32" s="687"/>
      <c r="C32" s="734" t="str">
        <f>IF(D32="","",COUNTA($D$6:D32))</f>
        <v/>
      </c>
      <c r="D32" s="745"/>
      <c r="E32" s="746"/>
      <c r="F32" s="747"/>
      <c r="G32" s="747"/>
      <c r="H32" s="747"/>
      <c r="I32" s="747"/>
      <c r="J32" s="746"/>
      <c r="K32" s="747"/>
      <c r="L32" s="748"/>
      <c r="M32" s="750"/>
      <c r="N32" s="747"/>
      <c r="O32" s="749"/>
      <c r="P32" s="747"/>
      <c r="Q32" s="747"/>
      <c r="R32" s="747"/>
      <c r="S32" s="689"/>
      <c r="T32" s="689"/>
    </row>
    <row r="33" spans="1:20" ht="15" customHeight="1" thickBot="1">
      <c r="A33" s="699" t="str">
        <f t="shared" si="0"/>
        <v/>
      </c>
      <c r="B33" s="687"/>
      <c r="C33" s="734" t="str">
        <f>IF(D33="","",COUNTA($D$6:D33))</f>
        <v/>
      </c>
      <c r="D33" s="745"/>
      <c r="E33" s="746"/>
      <c r="F33" s="747"/>
      <c r="G33" s="747"/>
      <c r="H33" s="747"/>
      <c r="I33" s="747"/>
      <c r="J33" s="746"/>
      <c r="K33" s="747"/>
      <c r="L33" s="748"/>
      <c r="M33" s="750"/>
      <c r="N33" s="750"/>
      <c r="O33" s="749"/>
      <c r="P33" s="747"/>
      <c r="Q33" s="747"/>
      <c r="R33" s="747"/>
      <c r="S33" s="689"/>
      <c r="T33" s="689"/>
    </row>
    <row r="34" spans="1:20" ht="15" customHeight="1" thickBot="1">
      <c r="A34" s="699" t="str">
        <f t="shared" si="0"/>
        <v/>
      </c>
      <c r="B34" s="687"/>
      <c r="C34" s="734" t="str">
        <f>IF(D34="","",COUNTA($D$6:D34))</f>
        <v/>
      </c>
      <c r="D34" s="745"/>
      <c r="E34" s="746"/>
      <c r="F34" s="747"/>
      <c r="G34" s="747"/>
      <c r="H34" s="747"/>
      <c r="I34" s="747"/>
      <c r="J34" s="746"/>
      <c r="K34" s="747"/>
      <c r="L34" s="748"/>
      <c r="M34" s="750"/>
      <c r="N34" s="750"/>
      <c r="O34" s="749"/>
      <c r="P34" s="747"/>
      <c r="Q34" s="747"/>
      <c r="R34" s="747"/>
      <c r="S34" s="689"/>
      <c r="T34" s="689"/>
    </row>
    <row r="35" spans="1:20" ht="15" customHeight="1" thickBot="1">
      <c r="A35" s="699" t="str">
        <f t="shared" si="0"/>
        <v/>
      </c>
      <c r="B35" s="687"/>
      <c r="C35" s="734" t="str">
        <f>IF(D35="","",COUNTA($D$6:D35))</f>
        <v/>
      </c>
      <c r="D35" s="745"/>
      <c r="E35" s="746"/>
      <c r="F35" s="747"/>
      <c r="G35" s="747"/>
      <c r="H35" s="747"/>
      <c r="I35" s="747"/>
      <c r="J35" s="746"/>
      <c r="K35" s="747"/>
      <c r="L35" s="748"/>
      <c r="M35" s="750"/>
      <c r="N35" s="750"/>
      <c r="O35" s="749"/>
      <c r="P35" s="747"/>
      <c r="Q35" s="747"/>
      <c r="R35" s="747"/>
      <c r="S35" s="689"/>
      <c r="T35" s="689"/>
    </row>
    <row r="36" spans="1:20" ht="15" hidden="1" customHeight="1" outlineLevel="1" thickBot="1">
      <c r="A36" s="699" t="str">
        <f t="shared" si="0"/>
        <v/>
      </c>
      <c r="B36" s="687"/>
      <c r="C36" s="734" t="str">
        <f>IF(D36="","",COUNTA($D$6:D36))</f>
        <v/>
      </c>
      <c r="D36" s="745"/>
      <c r="E36" s="746"/>
      <c r="F36" s="747"/>
      <c r="G36" s="747"/>
      <c r="H36" s="747"/>
      <c r="I36" s="747"/>
      <c r="J36" s="746"/>
      <c r="K36" s="747"/>
      <c r="L36" s="748"/>
      <c r="M36" s="750"/>
      <c r="N36" s="750"/>
      <c r="O36" s="749"/>
      <c r="P36" s="747"/>
      <c r="Q36" s="747"/>
      <c r="R36" s="747"/>
      <c r="S36" s="689"/>
      <c r="T36" s="689"/>
    </row>
    <row r="37" spans="1:20" ht="15" hidden="1" customHeight="1" outlineLevel="1" thickBot="1">
      <c r="A37" s="699" t="str">
        <f t="shared" si="0"/>
        <v/>
      </c>
      <c r="B37" s="687"/>
      <c r="C37" s="734" t="str">
        <f>IF(D37="","",COUNTA($D$6:D37))</f>
        <v/>
      </c>
      <c r="D37" s="745"/>
      <c r="E37" s="746"/>
      <c r="F37" s="747"/>
      <c r="G37" s="747"/>
      <c r="H37" s="747"/>
      <c r="I37" s="747"/>
      <c r="J37" s="746"/>
      <c r="K37" s="747"/>
      <c r="L37" s="748"/>
      <c r="M37" s="750"/>
      <c r="N37" s="747"/>
      <c r="O37" s="749"/>
      <c r="P37" s="747"/>
      <c r="Q37" s="747"/>
      <c r="R37" s="747"/>
      <c r="S37" s="689"/>
      <c r="T37" s="689"/>
    </row>
    <row r="38" spans="1:20" ht="15" hidden="1" customHeight="1" outlineLevel="1" thickBot="1">
      <c r="A38" s="699" t="str">
        <f t="shared" ref="A38:A69" si="1">E38&amp;H38&amp;J38</f>
        <v/>
      </c>
      <c r="B38" s="687"/>
      <c r="C38" s="734" t="str">
        <f>IF(D38="","",COUNTA($D$6:D38))</f>
        <v/>
      </c>
      <c r="D38" s="745"/>
      <c r="E38" s="746"/>
      <c r="F38" s="747"/>
      <c r="G38" s="747"/>
      <c r="H38" s="747"/>
      <c r="I38" s="747"/>
      <c r="J38" s="746"/>
      <c r="K38" s="747"/>
      <c r="L38" s="748"/>
      <c r="M38" s="750"/>
      <c r="N38" s="747"/>
      <c r="O38" s="749"/>
      <c r="P38" s="747"/>
      <c r="Q38" s="747"/>
      <c r="R38" s="747"/>
      <c r="S38" s="689"/>
      <c r="T38" s="689"/>
    </row>
    <row r="39" spans="1:20" ht="15" hidden="1" customHeight="1" outlineLevel="1" thickBot="1">
      <c r="A39" s="699" t="str">
        <f t="shared" si="1"/>
        <v/>
      </c>
      <c r="B39" s="687"/>
      <c r="C39" s="734" t="str">
        <f>IF(D39="","",COUNTA($D$6:D39))</f>
        <v/>
      </c>
      <c r="D39" s="745"/>
      <c r="E39" s="746"/>
      <c r="F39" s="747"/>
      <c r="G39" s="747"/>
      <c r="H39" s="747"/>
      <c r="I39" s="747"/>
      <c r="J39" s="746"/>
      <c r="K39" s="747"/>
      <c r="L39" s="748"/>
      <c r="M39" s="750"/>
      <c r="N39" s="750"/>
      <c r="O39" s="749"/>
      <c r="P39" s="747"/>
      <c r="Q39" s="747"/>
      <c r="R39" s="747"/>
      <c r="S39" s="689"/>
      <c r="T39" s="689"/>
    </row>
    <row r="40" spans="1:20" ht="15" hidden="1" customHeight="1" outlineLevel="1" thickBot="1">
      <c r="A40" s="699" t="str">
        <f t="shared" si="1"/>
        <v/>
      </c>
      <c r="B40" s="687"/>
      <c r="C40" s="734" t="str">
        <f>IF(D40="","",COUNTA($D$6:D40))</f>
        <v/>
      </c>
      <c r="D40" s="745"/>
      <c r="E40" s="746"/>
      <c r="F40" s="747"/>
      <c r="G40" s="747"/>
      <c r="H40" s="747"/>
      <c r="I40" s="747"/>
      <c r="J40" s="746"/>
      <c r="K40" s="747"/>
      <c r="L40" s="748"/>
      <c r="M40" s="750"/>
      <c r="N40" s="747"/>
      <c r="O40" s="749"/>
      <c r="P40" s="747"/>
      <c r="Q40" s="747"/>
      <c r="R40" s="747"/>
      <c r="S40" s="689"/>
      <c r="T40" s="689"/>
    </row>
    <row r="41" spans="1:20" ht="15" hidden="1" customHeight="1" outlineLevel="1" thickBot="1">
      <c r="A41" s="699" t="str">
        <f t="shared" si="1"/>
        <v/>
      </c>
      <c r="B41" s="687"/>
      <c r="C41" s="734" t="str">
        <f>IF(D41="","",COUNTA($D$6:D41))</f>
        <v/>
      </c>
      <c r="D41" s="745"/>
      <c r="E41" s="746"/>
      <c r="F41" s="747"/>
      <c r="G41" s="747"/>
      <c r="H41" s="747"/>
      <c r="I41" s="747"/>
      <c r="J41" s="746"/>
      <c r="K41" s="747"/>
      <c r="L41" s="748"/>
      <c r="M41" s="750"/>
      <c r="N41" s="747"/>
      <c r="O41" s="749"/>
      <c r="P41" s="747"/>
      <c r="Q41" s="747"/>
      <c r="R41" s="747"/>
      <c r="S41" s="689"/>
      <c r="T41" s="689"/>
    </row>
    <row r="42" spans="1:20" ht="15" hidden="1" customHeight="1" outlineLevel="1" thickBot="1">
      <c r="A42" s="699" t="str">
        <f t="shared" si="1"/>
        <v/>
      </c>
      <c r="B42" s="687"/>
      <c r="C42" s="734" t="str">
        <f>IF(D42="","",COUNTA($D$6:D42))</f>
        <v/>
      </c>
      <c r="D42" s="745"/>
      <c r="E42" s="746"/>
      <c r="F42" s="747"/>
      <c r="G42" s="747"/>
      <c r="H42" s="747"/>
      <c r="I42" s="747"/>
      <c r="J42" s="746"/>
      <c r="K42" s="747"/>
      <c r="L42" s="748"/>
      <c r="M42" s="750"/>
      <c r="N42" s="747"/>
      <c r="O42" s="749"/>
      <c r="P42" s="747"/>
      <c r="Q42" s="747"/>
      <c r="R42" s="747"/>
      <c r="S42" s="689"/>
      <c r="T42" s="689"/>
    </row>
    <row r="43" spans="1:20" ht="15" hidden="1" customHeight="1" outlineLevel="1" thickBot="1">
      <c r="A43" s="699" t="str">
        <f t="shared" si="1"/>
        <v/>
      </c>
      <c r="B43" s="687"/>
      <c r="C43" s="734" t="str">
        <f>IF(D43="","",COUNTA($D$6:D43))</f>
        <v/>
      </c>
      <c r="D43" s="745"/>
      <c r="E43" s="746"/>
      <c r="F43" s="747"/>
      <c r="G43" s="747"/>
      <c r="H43" s="747"/>
      <c r="I43" s="747"/>
      <c r="J43" s="746"/>
      <c r="K43" s="747"/>
      <c r="L43" s="748"/>
      <c r="M43" s="750"/>
      <c r="N43" s="747"/>
      <c r="O43" s="749"/>
      <c r="P43" s="747"/>
      <c r="Q43" s="747"/>
      <c r="R43" s="747"/>
      <c r="S43" s="689"/>
      <c r="T43" s="689"/>
    </row>
    <row r="44" spans="1:20" ht="15" hidden="1" customHeight="1" outlineLevel="1" thickBot="1">
      <c r="A44" s="699" t="str">
        <f t="shared" si="1"/>
        <v/>
      </c>
      <c r="B44" s="687"/>
      <c r="C44" s="734" t="str">
        <f>IF(D44="","",COUNTA($D$6:D44))</f>
        <v/>
      </c>
      <c r="D44" s="745"/>
      <c r="E44" s="746"/>
      <c r="F44" s="747"/>
      <c r="G44" s="747"/>
      <c r="H44" s="747"/>
      <c r="I44" s="747"/>
      <c r="J44" s="746"/>
      <c r="K44" s="747"/>
      <c r="L44" s="748"/>
      <c r="M44" s="750"/>
      <c r="N44" s="747"/>
      <c r="O44" s="749"/>
      <c r="P44" s="747"/>
      <c r="Q44" s="747"/>
      <c r="R44" s="747"/>
      <c r="S44" s="689"/>
      <c r="T44" s="689"/>
    </row>
    <row r="45" spans="1:20" ht="15" hidden="1" customHeight="1" outlineLevel="1" thickBot="1">
      <c r="A45" s="699" t="str">
        <f t="shared" si="1"/>
        <v/>
      </c>
      <c r="B45" s="687"/>
      <c r="C45" s="734" t="str">
        <f>IF(D45="","",COUNTA($D$6:D45))</f>
        <v/>
      </c>
      <c r="D45" s="745"/>
      <c r="E45" s="746"/>
      <c r="F45" s="747"/>
      <c r="G45" s="747"/>
      <c r="H45" s="747"/>
      <c r="I45" s="747"/>
      <c r="J45" s="746"/>
      <c r="K45" s="747"/>
      <c r="L45" s="748"/>
      <c r="M45" s="750"/>
      <c r="N45" s="747"/>
      <c r="O45" s="749"/>
      <c r="P45" s="747"/>
      <c r="Q45" s="747"/>
      <c r="R45" s="747"/>
      <c r="S45" s="689"/>
      <c r="T45" s="689"/>
    </row>
    <row r="46" spans="1:20" ht="15" hidden="1" customHeight="1" outlineLevel="1" thickBot="1">
      <c r="A46" s="699" t="str">
        <f t="shared" si="1"/>
        <v/>
      </c>
      <c r="B46" s="687"/>
      <c r="C46" s="734" t="str">
        <f>IF(D46="","",COUNTA($D$6:D46))</f>
        <v/>
      </c>
      <c r="D46" s="745"/>
      <c r="E46" s="746"/>
      <c r="F46" s="747"/>
      <c r="G46" s="747"/>
      <c r="H46" s="747"/>
      <c r="I46" s="747"/>
      <c r="J46" s="746"/>
      <c r="K46" s="747"/>
      <c r="L46" s="748"/>
      <c r="M46" s="750"/>
      <c r="N46" s="747"/>
      <c r="O46" s="749"/>
      <c r="P46" s="747"/>
      <c r="Q46" s="747"/>
      <c r="R46" s="747"/>
      <c r="S46" s="689"/>
      <c r="T46" s="689"/>
    </row>
    <row r="47" spans="1:20" ht="15" hidden="1" customHeight="1" outlineLevel="1" thickBot="1">
      <c r="A47" s="699" t="str">
        <f t="shared" si="1"/>
        <v/>
      </c>
      <c r="B47" s="687"/>
      <c r="C47" s="734" t="str">
        <f>IF(D47="","",COUNTA($D$6:D47))</f>
        <v/>
      </c>
      <c r="D47" s="745"/>
      <c r="E47" s="746"/>
      <c r="F47" s="747"/>
      <c r="G47" s="747"/>
      <c r="H47" s="747"/>
      <c r="I47" s="747"/>
      <c r="J47" s="746"/>
      <c r="K47" s="747"/>
      <c r="L47" s="748"/>
      <c r="M47" s="750"/>
      <c r="N47" s="747"/>
      <c r="O47" s="749"/>
      <c r="P47" s="747"/>
      <c r="Q47" s="747"/>
      <c r="R47" s="747"/>
      <c r="S47" s="689"/>
      <c r="T47" s="689"/>
    </row>
    <row r="48" spans="1:20" ht="15" hidden="1" customHeight="1" outlineLevel="1" thickBot="1">
      <c r="A48" s="699" t="str">
        <f t="shared" si="1"/>
        <v/>
      </c>
      <c r="B48" s="687"/>
      <c r="C48" s="734" t="str">
        <f>IF(D48="","",COUNTA($D$6:D48))</f>
        <v/>
      </c>
      <c r="D48" s="745"/>
      <c r="E48" s="746"/>
      <c r="F48" s="747"/>
      <c r="G48" s="747"/>
      <c r="H48" s="747"/>
      <c r="I48" s="747"/>
      <c r="J48" s="746"/>
      <c r="K48" s="747"/>
      <c r="L48" s="748"/>
      <c r="M48" s="750"/>
      <c r="N48" s="747"/>
      <c r="O48" s="749"/>
      <c r="P48" s="747"/>
      <c r="Q48" s="747"/>
      <c r="R48" s="747"/>
      <c r="S48" s="689"/>
      <c r="T48" s="689"/>
    </row>
    <row r="49" spans="1:20" ht="15" hidden="1" customHeight="1" outlineLevel="1" thickBot="1">
      <c r="A49" s="699" t="str">
        <f t="shared" si="1"/>
        <v/>
      </c>
      <c r="B49" s="687"/>
      <c r="C49" s="734" t="str">
        <f>IF(D49="","",COUNTA($D$6:D49))</f>
        <v/>
      </c>
      <c r="D49" s="745"/>
      <c r="E49" s="746"/>
      <c r="F49" s="747"/>
      <c r="G49" s="747"/>
      <c r="H49" s="747"/>
      <c r="I49" s="747"/>
      <c r="J49" s="746"/>
      <c r="K49" s="747"/>
      <c r="L49" s="748"/>
      <c r="M49" s="750"/>
      <c r="N49" s="747"/>
      <c r="O49" s="749"/>
      <c r="P49" s="747"/>
      <c r="Q49" s="747"/>
      <c r="R49" s="747"/>
      <c r="S49" s="689"/>
      <c r="T49" s="689"/>
    </row>
    <row r="50" spans="1:20" ht="15" hidden="1" customHeight="1" outlineLevel="1" thickBot="1">
      <c r="A50" s="699" t="str">
        <f t="shared" si="1"/>
        <v/>
      </c>
      <c r="B50" s="687"/>
      <c r="C50" s="734" t="str">
        <f>IF(D50="","",COUNTA($D$6:D50))</f>
        <v/>
      </c>
      <c r="D50" s="745"/>
      <c r="E50" s="746"/>
      <c r="F50" s="747"/>
      <c r="G50" s="747"/>
      <c r="H50" s="747"/>
      <c r="I50" s="747"/>
      <c r="J50" s="746"/>
      <c r="K50" s="747"/>
      <c r="L50" s="748"/>
      <c r="M50" s="750"/>
      <c r="N50" s="747"/>
      <c r="O50" s="749"/>
      <c r="P50" s="747"/>
      <c r="Q50" s="747"/>
      <c r="R50" s="747"/>
      <c r="S50" s="689"/>
      <c r="T50" s="689"/>
    </row>
    <row r="51" spans="1:20" ht="15" hidden="1" customHeight="1" outlineLevel="1" thickBot="1">
      <c r="A51" s="699" t="str">
        <f t="shared" si="1"/>
        <v/>
      </c>
      <c r="B51" s="687"/>
      <c r="C51" s="734" t="str">
        <f>IF(D51="","",COUNTA($D$6:D51))</f>
        <v/>
      </c>
      <c r="D51" s="745"/>
      <c r="E51" s="746"/>
      <c r="F51" s="747"/>
      <c r="G51" s="747"/>
      <c r="H51" s="747"/>
      <c r="I51" s="747"/>
      <c r="J51" s="746"/>
      <c r="K51" s="747"/>
      <c r="L51" s="748"/>
      <c r="M51" s="750"/>
      <c r="N51" s="747"/>
      <c r="O51" s="749"/>
      <c r="P51" s="747"/>
      <c r="Q51" s="747"/>
      <c r="R51" s="747"/>
      <c r="S51" s="689"/>
      <c r="T51" s="689"/>
    </row>
    <row r="52" spans="1:20" ht="15" hidden="1" customHeight="1" outlineLevel="1" thickBot="1">
      <c r="A52" s="699" t="str">
        <f t="shared" si="1"/>
        <v/>
      </c>
      <c r="B52" s="687"/>
      <c r="C52" s="734" t="str">
        <f>IF(D52="","",COUNTA($D$6:D52))</f>
        <v/>
      </c>
      <c r="D52" s="745"/>
      <c r="E52" s="746"/>
      <c r="F52" s="747"/>
      <c r="G52" s="747"/>
      <c r="H52" s="747"/>
      <c r="I52" s="747"/>
      <c r="J52" s="746"/>
      <c r="K52" s="747"/>
      <c r="L52" s="748"/>
      <c r="M52" s="750"/>
      <c r="N52" s="747"/>
      <c r="O52" s="749"/>
      <c r="P52" s="747"/>
      <c r="Q52" s="747"/>
      <c r="R52" s="747"/>
      <c r="S52" s="689"/>
      <c r="T52" s="689"/>
    </row>
    <row r="53" spans="1:20" ht="15" hidden="1" customHeight="1" outlineLevel="1" thickBot="1">
      <c r="A53" s="699" t="str">
        <f t="shared" si="1"/>
        <v/>
      </c>
      <c r="B53" s="687"/>
      <c r="C53" s="734" t="str">
        <f>IF(D53="","",COUNTA($D$6:D53))</f>
        <v/>
      </c>
      <c r="D53" s="745"/>
      <c r="E53" s="746"/>
      <c r="F53" s="747"/>
      <c r="G53" s="747"/>
      <c r="H53" s="747"/>
      <c r="I53" s="747"/>
      <c r="J53" s="746"/>
      <c r="K53" s="747"/>
      <c r="L53" s="748"/>
      <c r="M53" s="750"/>
      <c r="N53" s="747"/>
      <c r="O53" s="749"/>
      <c r="P53" s="747"/>
      <c r="Q53" s="747"/>
      <c r="R53" s="747"/>
      <c r="S53" s="689"/>
      <c r="T53" s="689"/>
    </row>
    <row r="54" spans="1:20" ht="15" hidden="1" customHeight="1" outlineLevel="1" thickBot="1">
      <c r="A54" s="699" t="str">
        <f t="shared" si="1"/>
        <v/>
      </c>
      <c r="B54" s="687"/>
      <c r="C54" s="734" t="str">
        <f>IF(D54="","",COUNTA($D$6:D54))</f>
        <v/>
      </c>
      <c r="D54" s="745"/>
      <c r="E54" s="746"/>
      <c r="F54" s="747"/>
      <c r="G54" s="747"/>
      <c r="H54" s="747"/>
      <c r="I54" s="747"/>
      <c r="J54" s="746"/>
      <c r="K54" s="747"/>
      <c r="L54" s="748"/>
      <c r="M54" s="750"/>
      <c r="N54" s="747"/>
      <c r="O54" s="749"/>
      <c r="P54" s="747"/>
      <c r="Q54" s="747"/>
      <c r="R54" s="747"/>
      <c r="S54" s="689"/>
      <c r="T54" s="689"/>
    </row>
    <row r="55" spans="1:20" ht="15" hidden="1" customHeight="1" outlineLevel="1" thickBot="1">
      <c r="A55" s="699" t="str">
        <f t="shared" si="1"/>
        <v/>
      </c>
      <c r="B55" s="687"/>
      <c r="C55" s="734" t="str">
        <f>IF(D55="","",COUNTA($D$6:D55))</f>
        <v/>
      </c>
      <c r="D55" s="745"/>
      <c r="E55" s="746"/>
      <c r="F55" s="747"/>
      <c r="G55" s="747"/>
      <c r="H55" s="747"/>
      <c r="I55" s="747"/>
      <c r="J55" s="746"/>
      <c r="K55" s="747"/>
      <c r="L55" s="748"/>
      <c r="M55" s="750"/>
      <c r="N55" s="747"/>
      <c r="O55" s="749"/>
      <c r="P55" s="747"/>
      <c r="Q55" s="747"/>
      <c r="R55" s="747"/>
      <c r="S55" s="689"/>
      <c r="T55" s="689"/>
    </row>
    <row r="56" spans="1:20" ht="15" hidden="1" customHeight="1" outlineLevel="1" thickBot="1">
      <c r="A56" s="699" t="str">
        <f t="shared" si="1"/>
        <v/>
      </c>
      <c r="B56" s="687"/>
      <c r="C56" s="734" t="str">
        <f>IF(D56="","",COUNTA($D$6:D56))</f>
        <v/>
      </c>
      <c r="D56" s="745"/>
      <c r="E56" s="746"/>
      <c r="F56" s="747"/>
      <c r="G56" s="747"/>
      <c r="H56" s="747"/>
      <c r="I56" s="747"/>
      <c r="J56" s="746"/>
      <c r="K56" s="747"/>
      <c r="L56" s="748"/>
      <c r="M56" s="750"/>
      <c r="N56" s="747"/>
      <c r="O56" s="749"/>
      <c r="P56" s="747"/>
      <c r="Q56" s="747"/>
      <c r="R56" s="747"/>
      <c r="S56" s="689"/>
      <c r="T56" s="689"/>
    </row>
    <row r="57" spans="1:20" ht="15" hidden="1" customHeight="1" outlineLevel="1" thickBot="1">
      <c r="A57" s="699" t="str">
        <f t="shared" si="1"/>
        <v/>
      </c>
      <c r="B57" s="687"/>
      <c r="C57" s="734" t="str">
        <f>IF(D57="","",COUNTA($D$6:D57))</f>
        <v/>
      </c>
      <c r="D57" s="745"/>
      <c r="E57" s="746"/>
      <c r="F57" s="747"/>
      <c r="G57" s="747"/>
      <c r="H57" s="747"/>
      <c r="I57" s="747"/>
      <c r="J57" s="746"/>
      <c r="K57" s="747"/>
      <c r="L57" s="748"/>
      <c r="M57" s="750"/>
      <c r="N57" s="747"/>
      <c r="O57" s="749"/>
      <c r="P57" s="747"/>
      <c r="Q57" s="747"/>
      <c r="R57" s="747"/>
      <c r="S57" s="689"/>
      <c r="T57" s="689"/>
    </row>
    <row r="58" spans="1:20" ht="15" hidden="1" customHeight="1" outlineLevel="1" thickBot="1">
      <c r="A58" s="699" t="str">
        <f t="shared" si="1"/>
        <v/>
      </c>
      <c r="B58" s="687"/>
      <c r="C58" s="734" t="str">
        <f>IF(D58="","",COUNTA($D$6:D58))</f>
        <v/>
      </c>
      <c r="D58" s="745"/>
      <c r="E58" s="746"/>
      <c r="F58" s="747"/>
      <c r="G58" s="747"/>
      <c r="H58" s="747"/>
      <c r="I58" s="747"/>
      <c r="J58" s="746"/>
      <c r="K58" s="747"/>
      <c r="L58" s="748"/>
      <c r="M58" s="750"/>
      <c r="N58" s="747"/>
      <c r="O58" s="749"/>
      <c r="P58" s="747"/>
      <c r="Q58" s="747"/>
      <c r="R58" s="747"/>
      <c r="S58" s="689"/>
      <c r="T58" s="689"/>
    </row>
    <row r="59" spans="1:20" ht="15" hidden="1" customHeight="1" outlineLevel="1" thickBot="1">
      <c r="A59" s="699" t="str">
        <f t="shared" si="1"/>
        <v/>
      </c>
      <c r="B59" s="687"/>
      <c r="C59" s="734" t="str">
        <f>IF(D59="","",COUNTA($D$6:D59))</f>
        <v/>
      </c>
      <c r="D59" s="745"/>
      <c r="E59" s="746"/>
      <c r="F59" s="747"/>
      <c r="G59" s="747"/>
      <c r="H59" s="747"/>
      <c r="I59" s="747"/>
      <c r="J59" s="746"/>
      <c r="K59" s="747"/>
      <c r="L59" s="748"/>
      <c r="M59" s="750"/>
      <c r="N59" s="747"/>
      <c r="O59" s="749"/>
      <c r="P59" s="747"/>
      <c r="Q59" s="747"/>
      <c r="R59" s="747"/>
      <c r="S59" s="689"/>
      <c r="T59" s="689"/>
    </row>
    <row r="60" spans="1:20" ht="15" hidden="1" customHeight="1" outlineLevel="1" thickBot="1">
      <c r="A60" s="699" t="str">
        <f t="shared" si="1"/>
        <v/>
      </c>
      <c r="B60" s="687"/>
      <c r="C60" s="734" t="str">
        <f>IF(D60="","",COUNTA($D$6:D60))</f>
        <v/>
      </c>
      <c r="D60" s="745"/>
      <c r="E60" s="746"/>
      <c r="F60" s="747"/>
      <c r="G60" s="747"/>
      <c r="H60" s="747"/>
      <c r="I60" s="747"/>
      <c r="J60" s="746"/>
      <c r="K60" s="747"/>
      <c r="L60" s="748"/>
      <c r="M60" s="750"/>
      <c r="N60" s="747"/>
      <c r="O60" s="749"/>
      <c r="P60" s="747"/>
      <c r="Q60" s="747"/>
      <c r="R60" s="747"/>
      <c r="S60" s="689"/>
      <c r="T60" s="689"/>
    </row>
    <row r="61" spans="1:20" ht="15" hidden="1" customHeight="1" outlineLevel="1" thickBot="1">
      <c r="A61" s="699" t="str">
        <f t="shared" si="1"/>
        <v/>
      </c>
      <c r="B61" s="687"/>
      <c r="C61" s="734" t="str">
        <f>IF(D61="","",COUNTA($D$6:D61))</f>
        <v/>
      </c>
      <c r="D61" s="745"/>
      <c r="E61" s="746"/>
      <c r="F61" s="747"/>
      <c r="G61" s="747"/>
      <c r="H61" s="747"/>
      <c r="I61" s="747"/>
      <c r="J61" s="746"/>
      <c r="K61" s="747"/>
      <c r="L61" s="748"/>
      <c r="M61" s="750"/>
      <c r="N61" s="747"/>
      <c r="O61" s="749"/>
      <c r="P61" s="747"/>
      <c r="Q61" s="747"/>
      <c r="R61" s="747"/>
      <c r="S61" s="689"/>
      <c r="T61" s="689"/>
    </row>
    <row r="62" spans="1:20" ht="15" hidden="1" customHeight="1" outlineLevel="1" thickBot="1">
      <c r="A62" s="699" t="str">
        <f t="shared" si="1"/>
        <v/>
      </c>
      <c r="B62" s="687"/>
      <c r="C62" s="734" t="str">
        <f>IF(D62="","",COUNTA($D$6:D62))</f>
        <v/>
      </c>
      <c r="D62" s="745"/>
      <c r="E62" s="746"/>
      <c r="F62" s="747"/>
      <c r="G62" s="747"/>
      <c r="H62" s="747"/>
      <c r="I62" s="747"/>
      <c r="J62" s="746"/>
      <c r="K62" s="747"/>
      <c r="L62" s="748"/>
      <c r="M62" s="750"/>
      <c r="N62" s="747"/>
      <c r="O62" s="749"/>
      <c r="P62" s="747"/>
      <c r="Q62" s="747"/>
      <c r="R62" s="747"/>
      <c r="S62" s="689"/>
      <c r="T62" s="689"/>
    </row>
    <row r="63" spans="1:20" ht="15" hidden="1" customHeight="1" outlineLevel="1" thickBot="1">
      <c r="A63" s="699" t="str">
        <f t="shared" si="1"/>
        <v/>
      </c>
      <c r="B63" s="687"/>
      <c r="C63" s="734" t="str">
        <f>IF(D63="","",COUNTA($D$6:D63))</f>
        <v/>
      </c>
      <c r="D63" s="745"/>
      <c r="E63" s="746"/>
      <c r="F63" s="747"/>
      <c r="G63" s="747"/>
      <c r="H63" s="747"/>
      <c r="I63" s="747"/>
      <c r="J63" s="746"/>
      <c r="K63" s="747"/>
      <c r="L63" s="748"/>
      <c r="M63" s="750"/>
      <c r="N63" s="747"/>
      <c r="O63" s="749"/>
      <c r="P63" s="747"/>
      <c r="Q63" s="747"/>
      <c r="R63" s="747"/>
      <c r="S63" s="689"/>
      <c r="T63" s="689"/>
    </row>
    <row r="64" spans="1:20" ht="15" hidden="1" customHeight="1" outlineLevel="1" thickBot="1">
      <c r="A64" s="699" t="str">
        <f t="shared" si="1"/>
        <v/>
      </c>
      <c r="B64" s="687"/>
      <c r="C64" s="734" t="str">
        <f>IF(D64="","",COUNTA($D$6:D64))</f>
        <v/>
      </c>
      <c r="D64" s="745"/>
      <c r="E64" s="746"/>
      <c r="F64" s="747"/>
      <c r="G64" s="747"/>
      <c r="H64" s="747"/>
      <c r="I64" s="747"/>
      <c r="J64" s="746"/>
      <c r="K64" s="747"/>
      <c r="L64" s="748"/>
      <c r="M64" s="750"/>
      <c r="N64" s="747"/>
      <c r="O64" s="749"/>
      <c r="P64" s="747"/>
      <c r="Q64" s="747"/>
      <c r="R64" s="747"/>
      <c r="S64" s="689"/>
      <c r="T64" s="689"/>
    </row>
    <row r="65" spans="1:20" ht="15" hidden="1" customHeight="1" outlineLevel="1" thickBot="1">
      <c r="A65" s="699" t="str">
        <f t="shared" si="1"/>
        <v/>
      </c>
      <c r="B65" s="687"/>
      <c r="C65" s="734" t="str">
        <f>IF(D65="","",COUNTA($D$6:D65))</f>
        <v/>
      </c>
      <c r="D65" s="745"/>
      <c r="E65" s="746"/>
      <c r="F65" s="747"/>
      <c r="G65" s="747"/>
      <c r="H65" s="747"/>
      <c r="I65" s="747"/>
      <c r="J65" s="746"/>
      <c r="K65" s="747"/>
      <c r="L65" s="748"/>
      <c r="M65" s="750"/>
      <c r="N65" s="747"/>
      <c r="O65" s="749"/>
      <c r="P65" s="747"/>
      <c r="Q65" s="747"/>
      <c r="R65" s="747"/>
      <c r="S65" s="689"/>
      <c r="T65" s="689"/>
    </row>
    <row r="66" spans="1:20" ht="15" hidden="1" customHeight="1" outlineLevel="1" thickBot="1">
      <c r="A66" s="699" t="str">
        <f t="shared" si="1"/>
        <v/>
      </c>
      <c r="B66" s="687"/>
      <c r="C66" s="734" t="str">
        <f>IF(D66="","",COUNTA($D$6:D66))</f>
        <v/>
      </c>
      <c r="D66" s="745"/>
      <c r="E66" s="746"/>
      <c r="F66" s="747"/>
      <c r="G66" s="747"/>
      <c r="H66" s="747"/>
      <c r="I66" s="747"/>
      <c r="J66" s="746"/>
      <c r="K66" s="747"/>
      <c r="L66" s="748"/>
      <c r="M66" s="750"/>
      <c r="N66" s="747"/>
      <c r="O66" s="749"/>
      <c r="P66" s="747"/>
      <c r="Q66" s="747"/>
      <c r="R66" s="747"/>
      <c r="S66" s="689"/>
      <c r="T66" s="689"/>
    </row>
    <row r="67" spans="1:20" ht="15" hidden="1" customHeight="1" outlineLevel="1" thickBot="1">
      <c r="A67" s="699" t="str">
        <f t="shared" si="1"/>
        <v/>
      </c>
      <c r="B67" s="687"/>
      <c r="C67" s="734" t="str">
        <f>IF(D67="","",COUNTA($D$6:D67))</f>
        <v/>
      </c>
      <c r="D67" s="745"/>
      <c r="E67" s="746"/>
      <c r="F67" s="747"/>
      <c r="G67" s="747"/>
      <c r="H67" s="747"/>
      <c r="I67" s="747"/>
      <c r="J67" s="746"/>
      <c r="K67" s="747"/>
      <c r="L67" s="748"/>
      <c r="M67" s="750"/>
      <c r="N67" s="747"/>
      <c r="O67" s="749"/>
      <c r="P67" s="747"/>
      <c r="Q67" s="747"/>
      <c r="R67" s="747"/>
      <c r="S67" s="689"/>
      <c r="T67" s="689"/>
    </row>
    <row r="68" spans="1:20" ht="15" hidden="1" customHeight="1" outlineLevel="1" thickBot="1">
      <c r="A68" s="699" t="str">
        <f t="shared" si="1"/>
        <v/>
      </c>
      <c r="B68" s="687"/>
      <c r="C68" s="734" t="str">
        <f>IF(D68="","",COUNTA($D$6:D68))</f>
        <v/>
      </c>
      <c r="D68" s="745"/>
      <c r="E68" s="746"/>
      <c r="F68" s="747"/>
      <c r="G68" s="747"/>
      <c r="H68" s="747"/>
      <c r="I68" s="747"/>
      <c r="J68" s="746"/>
      <c r="K68" s="747"/>
      <c r="L68" s="748"/>
      <c r="M68" s="750"/>
      <c r="N68" s="747"/>
      <c r="O68" s="749"/>
      <c r="P68" s="747"/>
      <c r="Q68" s="747"/>
      <c r="R68" s="747"/>
      <c r="S68" s="689"/>
      <c r="T68" s="689"/>
    </row>
    <row r="69" spans="1:20" ht="15" hidden="1" customHeight="1" outlineLevel="1" thickBot="1">
      <c r="A69" s="699" t="str">
        <f t="shared" si="1"/>
        <v/>
      </c>
      <c r="B69" s="687"/>
      <c r="C69" s="734" t="str">
        <f>IF(D69="","",COUNTA($D$6:D69))</f>
        <v/>
      </c>
      <c r="D69" s="745"/>
      <c r="E69" s="746"/>
      <c r="F69" s="747"/>
      <c r="G69" s="747"/>
      <c r="H69" s="747"/>
      <c r="I69" s="747"/>
      <c r="J69" s="746"/>
      <c r="K69" s="747"/>
      <c r="L69" s="748"/>
      <c r="M69" s="750"/>
      <c r="N69" s="747"/>
      <c r="O69" s="749"/>
      <c r="P69" s="747"/>
      <c r="Q69" s="747"/>
      <c r="R69" s="747"/>
      <c r="S69" s="689"/>
      <c r="T69" s="689"/>
    </row>
    <row r="70" spans="1:20" ht="15" hidden="1" customHeight="1" outlineLevel="1" thickBot="1">
      <c r="A70" s="699" t="str">
        <f t="shared" ref="A70:A101" si="2">E70&amp;H70&amp;J70</f>
        <v/>
      </c>
      <c r="B70" s="687"/>
      <c r="C70" s="734" t="str">
        <f>IF(D70="","",COUNTA($D$6:D70))</f>
        <v/>
      </c>
      <c r="D70" s="745"/>
      <c r="E70" s="746"/>
      <c r="F70" s="747"/>
      <c r="G70" s="747"/>
      <c r="H70" s="747"/>
      <c r="I70" s="747"/>
      <c r="J70" s="746"/>
      <c r="K70" s="747"/>
      <c r="L70" s="748"/>
      <c r="M70" s="750"/>
      <c r="N70" s="747"/>
      <c r="O70" s="749"/>
      <c r="P70" s="747"/>
      <c r="Q70" s="747"/>
      <c r="R70" s="747"/>
      <c r="S70" s="689"/>
      <c r="T70" s="689"/>
    </row>
    <row r="71" spans="1:20" ht="15" hidden="1" customHeight="1" outlineLevel="1" thickBot="1">
      <c r="A71" s="699" t="str">
        <f t="shared" si="2"/>
        <v/>
      </c>
      <c r="B71" s="687"/>
      <c r="C71" s="734" t="str">
        <f>IF(D71="","",COUNTA($D$6:D71))</f>
        <v/>
      </c>
      <c r="D71" s="745"/>
      <c r="E71" s="746"/>
      <c r="F71" s="747"/>
      <c r="G71" s="747"/>
      <c r="H71" s="747"/>
      <c r="I71" s="747"/>
      <c r="J71" s="746"/>
      <c r="K71" s="747"/>
      <c r="L71" s="748"/>
      <c r="M71" s="750"/>
      <c r="N71" s="747"/>
      <c r="O71" s="749"/>
      <c r="P71" s="747"/>
      <c r="Q71" s="747"/>
      <c r="R71" s="747"/>
      <c r="S71" s="689"/>
      <c r="T71" s="689"/>
    </row>
    <row r="72" spans="1:20" ht="15" hidden="1" customHeight="1" outlineLevel="1" thickBot="1">
      <c r="A72" s="699" t="str">
        <f t="shared" si="2"/>
        <v/>
      </c>
      <c r="B72" s="687"/>
      <c r="C72" s="734" t="str">
        <f>IF(D72="","",COUNTA($D$6:D72))</f>
        <v/>
      </c>
      <c r="D72" s="745"/>
      <c r="E72" s="746"/>
      <c r="F72" s="747"/>
      <c r="G72" s="747"/>
      <c r="H72" s="747"/>
      <c r="I72" s="747"/>
      <c r="J72" s="746"/>
      <c r="K72" s="747"/>
      <c r="L72" s="748"/>
      <c r="M72" s="750"/>
      <c r="N72" s="747"/>
      <c r="O72" s="749"/>
      <c r="P72" s="747"/>
      <c r="Q72" s="747"/>
      <c r="R72" s="747"/>
      <c r="S72" s="689"/>
      <c r="T72" s="689"/>
    </row>
    <row r="73" spans="1:20" ht="15" hidden="1" customHeight="1" outlineLevel="1" thickBot="1">
      <c r="A73" s="699" t="str">
        <f t="shared" si="2"/>
        <v/>
      </c>
      <c r="B73" s="687"/>
      <c r="C73" s="734" t="str">
        <f>IF(D73="","",COUNTA($D$6:D73))</f>
        <v/>
      </c>
      <c r="D73" s="745"/>
      <c r="E73" s="746"/>
      <c r="F73" s="747"/>
      <c r="G73" s="747"/>
      <c r="H73" s="747"/>
      <c r="I73" s="747"/>
      <c r="J73" s="746"/>
      <c r="K73" s="747"/>
      <c r="L73" s="748"/>
      <c r="M73" s="750"/>
      <c r="N73" s="747"/>
      <c r="O73" s="749"/>
      <c r="P73" s="747"/>
      <c r="Q73" s="747"/>
      <c r="R73" s="747"/>
      <c r="S73" s="689"/>
      <c r="T73" s="689"/>
    </row>
    <row r="74" spans="1:20" ht="15" hidden="1" customHeight="1" outlineLevel="1" thickBot="1">
      <c r="A74" s="699" t="str">
        <f t="shared" si="2"/>
        <v/>
      </c>
      <c r="B74" s="687"/>
      <c r="C74" s="734" t="str">
        <f>IF(D74="","",COUNTA($D$6:D74))</f>
        <v/>
      </c>
      <c r="D74" s="745"/>
      <c r="E74" s="746"/>
      <c r="F74" s="747"/>
      <c r="G74" s="747"/>
      <c r="H74" s="747"/>
      <c r="I74" s="747"/>
      <c r="J74" s="746"/>
      <c r="K74" s="747"/>
      <c r="L74" s="748"/>
      <c r="M74" s="750"/>
      <c r="N74" s="747"/>
      <c r="O74" s="749"/>
      <c r="P74" s="747"/>
      <c r="Q74" s="747"/>
      <c r="R74" s="747"/>
      <c r="S74" s="689"/>
      <c r="T74" s="689"/>
    </row>
    <row r="75" spans="1:20" ht="15" hidden="1" customHeight="1" outlineLevel="1" thickBot="1">
      <c r="A75" s="699" t="str">
        <f t="shared" si="2"/>
        <v/>
      </c>
      <c r="B75" s="687"/>
      <c r="C75" s="734" t="str">
        <f>IF(D75="","",COUNTA($D$6:D75))</f>
        <v/>
      </c>
      <c r="D75" s="745"/>
      <c r="E75" s="746"/>
      <c r="F75" s="747"/>
      <c r="G75" s="747"/>
      <c r="H75" s="747"/>
      <c r="I75" s="747"/>
      <c r="J75" s="746"/>
      <c r="K75" s="747"/>
      <c r="L75" s="748"/>
      <c r="M75" s="750"/>
      <c r="N75" s="747"/>
      <c r="O75" s="749"/>
      <c r="P75" s="747"/>
      <c r="Q75" s="747"/>
      <c r="R75" s="747"/>
      <c r="S75" s="689"/>
      <c r="T75" s="689"/>
    </row>
    <row r="76" spans="1:20" ht="15" hidden="1" customHeight="1" outlineLevel="1" thickBot="1">
      <c r="A76" s="699" t="str">
        <f t="shared" si="2"/>
        <v/>
      </c>
      <c r="B76" s="687"/>
      <c r="C76" s="734" t="str">
        <f>IF(D76="","",COUNTA($D$6:D76))</f>
        <v/>
      </c>
      <c r="D76" s="745"/>
      <c r="E76" s="746"/>
      <c r="F76" s="747"/>
      <c r="G76" s="747"/>
      <c r="H76" s="747"/>
      <c r="I76" s="747"/>
      <c r="J76" s="746"/>
      <c r="K76" s="747"/>
      <c r="L76" s="748"/>
      <c r="M76" s="750"/>
      <c r="N76" s="747"/>
      <c r="O76" s="749"/>
      <c r="P76" s="747"/>
      <c r="Q76" s="747"/>
      <c r="R76" s="747"/>
      <c r="S76" s="689"/>
      <c r="T76" s="689"/>
    </row>
    <row r="77" spans="1:20" ht="15" hidden="1" customHeight="1" outlineLevel="1" thickBot="1">
      <c r="A77" s="699" t="str">
        <f t="shared" si="2"/>
        <v/>
      </c>
      <c r="B77" s="687"/>
      <c r="C77" s="734" t="str">
        <f>IF(D77="","",COUNTA($D$6:D77))</f>
        <v/>
      </c>
      <c r="D77" s="745"/>
      <c r="E77" s="746"/>
      <c r="F77" s="747"/>
      <c r="G77" s="747"/>
      <c r="H77" s="747"/>
      <c r="I77" s="747"/>
      <c r="J77" s="746"/>
      <c r="K77" s="747"/>
      <c r="L77" s="748"/>
      <c r="M77" s="750"/>
      <c r="N77" s="747"/>
      <c r="O77" s="749"/>
      <c r="P77" s="747"/>
      <c r="Q77" s="747"/>
      <c r="R77" s="747"/>
      <c r="S77" s="689"/>
      <c r="T77" s="689"/>
    </row>
    <row r="78" spans="1:20" ht="15" hidden="1" customHeight="1" outlineLevel="1" thickBot="1">
      <c r="A78" s="699" t="str">
        <f t="shared" si="2"/>
        <v/>
      </c>
      <c r="B78" s="687"/>
      <c r="C78" s="734" t="str">
        <f>IF(D78="","",COUNTA($D$6:D78))</f>
        <v/>
      </c>
      <c r="D78" s="745"/>
      <c r="E78" s="746"/>
      <c r="F78" s="747"/>
      <c r="G78" s="747"/>
      <c r="H78" s="747"/>
      <c r="I78" s="747"/>
      <c r="J78" s="746"/>
      <c r="K78" s="747"/>
      <c r="L78" s="748"/>
      <c r="M78" s="750"/>
      <c r="N78" s="747"/>
      <c r="O78" s="749"/>
      <c r="P78" s="747"/>
      <c r="Q78" s="747"/>
      <c r="R78" s="747"/>
      <c r="S78" s="689"/>
      <c r="T78" s="689"/>
    </row>
    <row r="79" spans="1:20" ht="15" hidden="1" customHeight="1" outlineLevel="1" thickBot="1">
      <c r="A79" s="699" t="str">
        <f t="shared" si="2"/>
        <v/>
      </c>
      <c r="B79" s="687"/>
      <c r="C79" s="734" t="str">
        <f>IF(D79="","",COUNTA($D$6:D79))</f>
        <v/>
      </c>
      <c r="D79" s="745"/>
      <c r="E79" s="746"/>
      <c r="F79" s="747"/>
      <c r="G79" s="747"/>
      <c r="H79" s="747"/>
      <c r="I79" s="747"/>
      <c r="J79" s="746"/>
      <c r="K79" s="747"/>
      <c r="L79" s="748"/>
      <c r="M79" s="750"/>
      <c r="N79" s="747"/>
      <c r="O79" s="749"/>
      <c r="P79" s="747"/>
      <c r="Q79" s="747"/>
      <c r="R79" s="747"/>
      <c r="S79" s="689"/>
      <c r="T79" s="689"/>
    </row>
    <row r="80" spans="1:20" ht="15" hidden="1" customHeight="1" outlineLevel="1" thickBot="1">
      <c r="A80" s="699" t="str">
        <f t="shared" si="2"/>
        <v/>
      </c>
      <c r="B80" s="687"/>
      <c r="C80" s="734" t="str">
        <f>IF(D80="","",COUNTA($D$6:D80))</f>
        <v/>
      </c>
      <c r="D80" s="745"/>
      <c r="E80" s="746"/>
      <c r="F80" s="747"/>
      <c r="G80" s="747"/>
      <c r="H80" s="747"/>
      <c r="I80" s="747"/>
      <c r="J80" s="746"/>
      <c r="K80" s="747"/>
      <c r="L80" s="748"/>
      <c r="M80" s="750"/>
      <c r="N80" s="747"/>
      <c r="O80" s="749"/>
      <c r="P80" s="747"/>
      <c r="Q80" s="747"/>
      <c r="R80" s="747"/>
      <c r="S80" s="689"/>
      <c r="T80" s="689"/>
    </row>
    <row r="81" spans="1:20" ht="15" hidden="1" customHeight="1" outlineLevel="1" thickBot="1">
      <c r="A81" s="699" t="str">
        <f t="shared" si="2"/>
        <v/>
      </c>
      <c r="B81" s="687"/>
      <c r="C81" s="734" t="str">
        <f>IF(D81="","",COUNTA($D$6:D81))</f>
        <v/>
      </c>
      <c r="D81" s="745"/>
      <c r="E81" s="746"/>
      <c r="F81" s="747"/>
      <c r="G81" s="747"/>
      <c r="H81" s="747"/>
      <c r="I81" s="747"/>
      <c r="J81" s="746"/>
      <c r="K81" s="747"/>
      <c r="L81" s="748"/>
      <c r="M81" s="750"/>
      <c r="N81" s="747"/>
      <c r="O81" s="749"/>
      <c r="P81" s="747"/>
      <c r="Q81" s="747"/>
      <c r="R81" s="747"/>
      <c r="S81" s="689"/>
      <c r="T81" s="689"/>
    </row>
    <row r="82" spans="1:20" ht="15" hidden="1" customHeight="1" outlineLevel="1" thickBot="1">
      <c r="A82" s="699" t="str">
        <f t="shared" si="2"/>
        <v/>
      </c>
      <c r="B82" s="687"/>
      <c r="C82" s="734" t="str">
        <f>IF(D82="","",COUNTA($D$6:D82))</f>
        <v/>
      </c>
      <c r="D82" s="745"/>
      <c r="E82" s="746"/>
      <c r="F82" s="747"/>
      <c r="G82" s="747"/>
      <c r="H82" s="747"/>
      <c r="I82" s="747"/>
      <c r="J82" s="746"/>
      <c r="K82" s="747"/>
      <c r="L82" s="748"/>
      <c r="M82" s="750"/>
      <c r="N82" s="747"/>
      <c r="O82" s="749"/>
      <c r="P82" s="747"/>
      <c r="Q82" s="747"/>
      <c r="R82" s="747"/>
      <c r="S82" s="689"/>
      <c r="T82" s="689"/>
    </row>
    <row r="83" spans="1:20" ht="15" hidden="1" customHeight="1" outlineLevel="1" thickBot="1">
      <c r="A83" s="699" t="str">
        <f t="shared" si="2"/>
        <v/>
      </c>
      <c r="B83" s="687"/>
      <c r="C83" s="734" t="str">
        <f>IF(D83="","",COUNTA($D$6:D83))</f>
        <v/>
      </c>
      <c r="D83" s="745"/>
      <c r="E83" s="746"/>
      <c r="F83" s="747"/>
      <c r="G83" s="747"/>
      <c r="H83" s="747"/>
      <c r="I83" s="747"/>
      <c r="J83" s="746"/>
      <c r="K83" s="747"/>
      <c r="L83" s="748"/>
      <c r="M83" s="750"/>
      <c r="N83" s="747"/>
      <c r="O83" s="749"/>
      <c r="P83" s="747"/>
      <c r="Q83" s="747"/>
      <c r="R83" s="747"/>
      <c r="S83" s="689"/>
      <c r="T83" s="689"/>
    </row>
    <row r="84" spans="1:20" ht="15" hidden="1" customHeight="1" outlineLevel="1" thickBot="1">
      <c r="A84" s="699" t="str">
        <f t="shared" si="2"/>
        <v/>
      </c>
      <c r="B84" s="687"/>
      <c r="C84" s="734" t="str">
        <f>IF(D84="","",COUNTA($D$6:D84))</f>
        <v/>
      </c>
      <c r="D84" s="745"/>
      <c r="E84" s="746"/>
      <c r="F84" s="747"/>
      <c r="G84" s="747"/>
      <c r="H84" s="747"/>
      <c r="I84" s="747"/>
      <c r="J84" s="746"/>
      <c r="K84" s="747"/>
      <c r="L84" s="748"/>
      <c r="M84" s="750"/>
      <c r="N84" s="747"/>
      <c r="O84" s="749"/>
      <c r="P84" s="747"/>
      <c r="Q84" s="747"/>
      <c r="R84" s="747"/>
      <c r="S84" s="689"/>
      <c r="T84" s="689"/>
    </row>
    <row r="85" spans="1:20" ht="15" hidden="1" customHeight="1" outlineLevel="1" thickBot="1">
      <c r="A85" s="699" t="str">
        <f t="shared" si="2"/>
        <v/>
      </c>
      <c r="B85" s="687"/>
      <c r="C85" s="734" t="str">
        <f>IF(D85="","",COUNTA($D$6:D85))</f>
        <v/>
      </c>
      <c r="D85" s="745"/>
      <c r="E85" s="746"/>
      <c r="F85" s="747"/>
      <c r="G85" s="747"/>
      <c r="H85" s="747"/>
      <c r="I85" s="747"/>
      <c r="J85" s="746"/>
      <c r="K85" s="747"/>
      <c r="L85" s="748"/>
      <c r="M85" s="750"/>
      <c r="N85" s="747"/>
      <c r="O85" s="749"/>
      <c r="P85" s="747"/>
      <c r="Q85" s="747"/>
      <c r="R85" s="747"/>
      <c r="S85" s="689"/>
      <c r="T85" s="689"/>
    </row>
    <row r="86" spans="1:20" ht="15" hidden="1" customHeight="1" outlineLevel="1" thickBot="1">
      <c r="A86" s="699" t="str">
        <f t="shared" si="2"/>
        <v/>
      </c>
      <c r="B86" s="687"/>
      <c r="C86" s="734" t="str">
        <f>IF(D86="","",COUNTA($D$6:D86))</f>
        <v/>
      </c>
      <c r="D86" s="745"/>
      <c r="E86" s="746"/>
      <c r="F86" s="747"/>
      <c r="G86" s="747"/>
      <c r="H86" s="747"/>
      <c r="I86" s="747"/>
      <c r="J86" s="746"/>
      <c r="K86" s="747"/>
      <c r="L86" s="748"/>
      <c r="M86" s="750"/>
      <c r="N86" s="747"/>
      <c r="O86" s="749"/>
      <c r="P86" s="747"/>
      <c r="Q86" s="747"/>
      <c r="R86" s="747"/>
      <c r="S86" s="689"/>
      <c r="T86" s="689"/>
    </row>
    <row r="87" spans="1:20" ht="15" hidden="1" customHeight="1" outlineLevel="1" thickBot="1">
      <c r="A87" s="699" t="str">
        <f t="shared" si="2"/>
        <v/>
      </c>
      <c r="B87" s="687"/>
      <c r="C87" s="734" t="str">
        <f>IF(D87="","",COUNTA($D$6:D87))</f>
        <v/>
      </c>
      <c r="D87" s="745"/>
      <c r="E87" s="746"/>
      <c r="F87" s="747"/>
      <c r="G87" s="747"/>
      <c r="H87" s="747"/>
      <c r="I87" s="747"/>
      <c r="J87" s="746"/>
      <c r="K87" s="747"/>
      <c r="L87" s="748"/>
      <c r="M87" s="750"/>
      <c r="N87" s="747"/>
      <c r="O87" s="749"/>
      <c r="P87" s="747"/>
      <c r="Q87" s="747"/>
      <c r="R87" s="747"/>
      <c r="S87" s="689"/>
      <c r="T87" s="689"/>
    </row>
    <row r="88" spans="1:20" ht="15" hidden="1" customHeight="1" outlineLevel="1" thickBot="1">
      <c r="A88" s="699" t="str">
        <f t="shared" si="2"/>
        <v/>
      </c>
      <c r="B88" s="687"/>
      <c r="C88" s="734" t="str">
        <f>IF(D88="","",COUNTA($D$6:D88))</f>
        <v/>
      </c>
      <c r="D88" s="745"/>
      <c r="E88" s="746"/>
      <c r="F88" s="747"/>
      <c r="G88" s="747"/>
      <c r="H88" s="747"/>
      <c r="I88" s="747"/>
      <c r="J88" s="746"/>
      <c r="K88" s="747"/>
      <c r="L88" s="748"/>
      <c r="M88" s="750"/>
      <c r="N88" s="747"/>
      <c r="O88" s="749"/>
      <c r="P88" s="747"/>
      <c r="Q88" s="747"/>
      <c r="R88" s="747"/>
      <c r="S88" s="689"/>
      <c r="T88" s="689"/>
    </row>
    <row r="89" spans="1:20" ht="15" hidden="1" customHeight="1" outlineLevel="1" thickBot="1">
      <c r="A89" s="699" t="str">
        <f t="shared" si="2"/>
        <v/>
      </c>
      <c r="B89" s="687"/>
      <c r="C89" s="734" t="str">
        <f>IF(D89="","",COUNTA($D$6:D89))</f>
        <v/>
      </c>
      <c r="D89" s="745"/>
      <c r="E89" s="746"/>
      <c r="F89" s="747"/>
      <c r="G89" s="747"/>
      <c r="H89" s="747"/>
      <c r="I89" s="747"/>
      <c r="J89" s="746"/>
      <c r="K89" s="747"/>
      <c r="L89" s="748"/>
      <c r="M89" s="750"/>
      <c r="N89" s="747"/>
      <c r="O89" s="749"/>
      <c r="P89" s="747"/>
      <c r="Q89" s="747"/>
      <c r="R89" s="747"/>
      <c r="S89" s="689"/>
      <c r="T89" s="689"/>
    </row>
    <row r="90" spans="1:20" ht="15" hidden="1" customHeight="1" outlineLevel="1" thickBot="1">
      <c r="A90" s="699" t="str">
        <f t="shared" si="2"/>
        <v/>
      </c>
      <c r="B90" s="687"/>
      <c r="C90" s="734" t="str">
        <f>IF(D90="","",COUNTA($D$6:D90))</f>
        <v/>
      </c>
      <c r="D90" s="745"/>
      <c r="E90" s="746"/>
      <c r="F90" s="747"/>
      <c r="G90" s="747"/>
      <c r="H90" s="747"/>
      <c r="I90" s="747"/>
      <c r="J90" s="746"/>
      <c r="K90" s="747"/>
      <c r="L90" s="748"/>
      <c r="M90" s="750"/>
      <c r="N90" s="747"/>
      <c r="O90" s="749"/>
      <c r="P90" s="747"/>
      <c r="Q90" s="747"/>
      <c r="R90" s="747"/>
      <c r="S90" s="689"/>
      <c r="T90" s="689"/>
    </row>
    <row r="91" spans="1:20" ht="15" hidden="1" customHeight="1" outlineLevel="1" thickBot="1">
      <c r="A91" s="699" t="str">
        <f t="shared" si="2"/>
        <v/>
      </c>
      <c r="B91" s="687"/>
      <c r="C91" s="734" t="str">
        <f>IF(D91="","",COUNTA($D$6:D91))</f>
        <v/>
      </c>
      <c r="D91" s="745"/>
      <c r="E91" s="746"/>
      <c r="F91" s="747"/>
      <c r="G91" s="747"/>
      <c r="H91" s="747"/>
      <c r="I91" s="747"/>
      <c r="J91" s="746"/>
      <c r="K91" s="747"/>
      <c r="L91" s="748"/>
      <c r="M91" s="750"/>
      <c r="N91" s="747"/>
      <c r="O91" s="749"/>
      <c r="P91" s="747"/>
      <c r="Q91" s="747"/>
      <c r="R91" s="747"/>
      <c r="S91" s="689"/>
      <c r="T91" s="689"/>
    </row>
    <row r="92" spans="1:20" ht="15" hidden="1" customHeight="1" outlineLevel="1" thickBot="1">
      <c r="A92" s="699" t="str">
        <f t="shared" si="2"/>
        <v/>
      </c>
      <c r="B92" s="687"/>
      <c r="C92" s="734" t="str">
        <f>IF(D92="","",COUNTA($D$6:D92))</f>
        <v/>
      </c>
      <c r="D92" s="745"/>
      <c r="E92" s="746"/>
      <c r="F92" s="747"/>
      <c r="G92" s="747"/>
      <c r="H92" s="747"/>
      <c r="I92" s="747"/>
      <c r="J92" s="746"/>
      <c r="K92" s="747"/>
      <c r="L92" s="748"/>
      <c r="M92" s="750"/>
      <c r="N92" s="747"/>
      <c r="O92" s="749"/>
      <c r="P92" s="747"/>
      <c r="Q92" s="747"/>
      <c r="R92" s="747"/>
      <c r="S92" s="689"/>
      <c r="T92" s="689"/>
    </row>
    <row r="93" spans="1:20" ht="15" hidden="1" customHeight="1" outlineLevel="1" thickBot="1">
      <c r="A93" s="699" t="str">
        <f t="shared" si="2"/>
        <v/>
      </c>
      <c r="B93" s="687"/>
      <c r="C93" s="734" t="str">
        <f>IF(D93="","",COUNTA($D$6:D93))</f>
        <v/>
      </c>
      <c r="D93" s="745"/>
      <c r="E93" s="746"/>
      <c r="F93" s="747"/>
      <c r="G93" s="747"/>
      <c r="H93" s="747"/>
      <c r="I93" s="747"/>
      <c r="J93" s="746"/>
      <c r="K93" s="747"/>
      <c r="L93" s="748"/>
      <c r="M93" s="750"/>
      <c r="N93" s="747"/>
      <c r="O93" s="749"/>
      <c r="P93" s="747"/>
      <c r="Q93" s="747"/>
      <c r="R93" s="747"/>
      <c r="S93" s="689"/>
      <c r="T93" s="689"/>
    </row>
    <row r="94" spans="1:20" ht="15" hidden="1" customHeight="1" outlineLevel="1" thickBot="1">
      <c r="A94" s="699" t="str">
        <f t="shared" si="2"/>
        <v/>
      </c>
      <c r="B94" s="687"/>
      <c r="C94" s="734" t="str">
        <f>IF(D94="","",COUNTA($D$6:D94))</f>
        <v/>
      </c>
      <c r="D94" s="745"/>
      <c r="E94" s="746"/>
      <c r="F94" s="747"/>
      <c r="G94" s="747"/>
      <c r="H94" s="747"/>
      <c r="I94" s="747"/>
      <c r="J94" s="746"/>
      <c r="K94" s="747"/>
      <c r="L94" s="748"/>
      <c r="M94" s="750"/>
      <c r="N94" s="747"/>
      <c r="O94" s="749"/>
      <c r="P94" s="747"/>
      <c r="Q94" s="747"/>
      <c r="R94" s="747"/>
      <c r="S94" s="689"/>
      <c r="T94" s="689"/>
    </row>
    <row r="95" spans="1:20" ht="15" hidden="1" customHeight="1" outlineLevel="1" thickBot="1">
      <c r="A95" s="699" t="str">
        <f t="shared" si="2"/>
        <v/>
      </c>
      <c r="B95" s="687"/>
      <c r="C95" s="734" t="str">
        <f>IF(D95="","",COUNTA($D$6:D95))</f>
        <v/>
      </c>
      <c r="D95" s="745"/>
      <c r="E95" s="746"/>
      <c r="F95" s="747"/>
      <c r="G95" s="747"/>
      <c r="H95" s="747"/>
      <c r="I95" s="747"/>
      <c r="J95" s="746"/>
      <c r="K95" s="747"/>
      <c r="L95" s="748"/>
      <c r="M95" s="750"/>
      <c r="N95" s="747"/>
      <c r="O95" s="749"/>
      <c r="P95" s="747"/>
      <c r="Q95" s="747"/>
      <c r="R95" s="747"/>
      <c r="S95" s="689"/>
      <c r="T95" s="689"/>
    </row>
    <row r="96" spans="1:20" ht="15" hidden="1" customHeight="1" outlineLevel="1" thickBot="1">
      <c r="A96" s="699" t="str">
        <f t="shared" si="2"/>
        <v/>
      </c>
      <c r="B96" s="687"/>
      <c r="C96" s="734" t="str">
        <f>IF(D96="","",COUNTA($D$6:D96))</f>
        <v/>
      </c>
      <c r="D96" s="745"/>
      <c r="E96" s="746"/>
      <c r="F96" s="747"/>
      <c r="G96" s="747"/>
      <c r="H96" s="747"/>
      <c r="I96" s="747"/>
      <c r="J96" s="746"/>
      <c r="K96" s="747"/>
      <c r="L96" s="748"/>
      <c r="M96" s="750"/>
      <c r="N96" s="747"/>
      <c r="O96" s="749"/>
      <c r="P96" s="747"/>
      <c r="Q96" s="747"/>
      <c r="R96" s="747"/>
      <c r="S96" s="689"/>
      <c r="T96" s="689"/>
    </row>
    <row r="97" spans="1:20" ht="15" hidden="1" customHeight="1" outlineLevel="1" thickBot="1">
      <c r="A97" s="699" t="str">
        <f t="shared" si="2"/>
        <v/>
      </c>
      <c r="B97" s="687"/>
      <c r="C97" s="734" t="str">
        <f>IF(D97="","",COUNTA($D$6:D97))</f>
        <v/>
      </c>
      <c r="D97" s="745"/>
      <c r="E97" s="746"/>
      <c r="F97" s="747"/>
      <c r="G97" s="747"/>
      <c r="H97" s="747"/>
      <c r="I97" s="747"/>
      <c r="J97" s="746"/>
      <c r="K97" s="747"/>
      <c r="L97" s="748"/>
      <c r="M97" s="750"/>
      <c r="N97" s="747"/>
      <c r="O97" s="749"/>
      <c r="P97" s="747"/>
      <c r="Q97" s="747"/>
      <c r="R97" s="747"/>
      <c r="S97" s="689"/>
      <c r="T97" s="689"/>
    </row>
    <row r="98" spans="1:20" ht="15" hidden="1" customHeight="1" outlineLevel="1" thickBot="1">
      <c r="A98" s="699" t="str">
        <f t="shared" si="2"/>
        <v/>
      </c>
      <c r="B98" s="687"/>
      <c r="C98" s="734" t="str">
        <f>IF(D98="","",COUNTA($D$6:D98))</f>
        <v/>
      </c>
      <c r="D98" s="745"/>
      <c r="E98" s="746"/>
      <c r="F98" s="747"/>
      <c r="G98" s="747"/>
      <c r="H98" s="747"/>
      <c r="I98" s="747"/>
      <c r="J98" s="746"/>
      <c r="K98" s="747"/>
      <c r="L98" s="748"/>
      <c r="M98" s="750"/>
      <c r="N98" s="747"/>
      <c r="O98" s="749"/>
      <c r="P98" s="747"/>
      <c r="Q98" s="747"/>
      <c r="R98" s="747"/>
      <c r="S98" s="689"/>
      <c r="T98" s="689"/>
    </row>
    <row r="99" spans="1:20" ht="15" hidden="1" customHeight="1" outlineLevel="1" thickBot="1">
      <c r="A99" s="699" t="str">
        <f t="shared" si="2"/>
        <v/>
      </c>
      <c r="B99" s="687"/>
      <c r="C99" s="734" t="str">
        <f>IF(D99="","",COUNTA($D$6:D99))</f>
        <v/>
      </c>
      <c r="D99" s="745"/>
      <c r="E99" s="746"/>
      <c r="F99" s="747"/>
      <c r="G99" s="747"/>
      <c r="H99" s="747"/>
      <c r="I99" s="747"/>
      <c r="J99" s="746"/>
      <c r="K99" s="747"/>
      <c r="L99" s="748"/>
      <c r="M99" s="750"/>
      <c r="N99" s="747"/>
      <c r="O99" s="749"/>
      <c r="P99" s="747"/>
      <c r="Q99" s="747"/>
      <c r="R99" s="747"/>
      <c r="S99" s="689"/>
      <c r="T99" s="689"/>
    </row>
    <row r="100" spans="1:20" ht="15" hidden="1" customHeight="1" outlineLevel="1" thickBot="1">
      <c r="A100" s="699" t="str">
        <f t="shared" si="2"/>
        <v/>
      </c>
      <c r="B100" s="687"/>
      <c r="C100" s="734" t="str">
        <f>IF(D100="","",COUNTA($D$6:D100))</f>
        <v/>
      </c>
      <c r="D100" s="745"/>
      <c r="E100" s="746"/>
      <c r="F100" s="747"/>
      <c r="G100" s="747"/>
      <c r="H100" s="747"/>
      <c r="I100" s="747"/>
      <c r="J100" s="746"/>
      <c r="K100" s="747"/>
      <c r="L100" s="748"/>
      <c r="M100" s="750"/>
      <c r="N100" s="747"/>
      <c r="O100" s="749"/>
      <c r="P100" s="747"/>
      <c r="Q100" s="747"/>
      <c r="R100" s="747"/>
      <c r="S100" s="689"/>
      <c r="T100" s="689"/>
    </row>
    <row r="101" spans="1:20" ht="15" hidden="1" customHeight="1" outlineLevel="1" thickBot="1">
      <c r="A101" s="699" t="str">
        <f t="shared" si="2"/>
        <v/>
      </c>
      <c r="B101" s="687"/>
      <c r="C101" s="734" t="str">
        <f>IF(D101="","",COUNTA($D$6:D101))</f>
        <v/>
      </c>
      <c r="D101" s="745"/>
      <c r="E101" s="746"/>
      <c r="F101" s="747"/>
      <c r="G101" s="747"/>
      <c r="H101" s="747"/>
      <c r="I101" s="747"/>
      <c r="J101" s="746"/>
      <c r="K101" s="747"/>
      <c r="L101" s="748"/>
      <c r="M101" s="750"/>
      <c r="N101" s="747"/>
      <c r="O101" s="749"/>
      <c r="P101" s="747"/>
      <c r="Q101" s="747"/>
      <c r="R101" s="747"/>
      <c r="S101" s="689"/>
      <c r="T101" s="689"/>
    </row>
    <row r="102" spans="1:20" ht="15" hidden="1" customHeight="1" outlineLevel="1" thickBot="1">
      <c r="A102" s="699" t="str">
        <f t="shared" ref="A102:A133" si="3">E102&amp;H102&amp;J102</f>
        <v/>
      </c>
      <c r="B102" s="687"/>
      <c r="C102" s="734" t="str">
        <f>IF(D102="","",COUNTA($D$6:D102))</f>
        <v/>
      </c>
      <c r="D102" s="745"/>
      <c r="E102" s="746"/>
      <c r="F102" s="747"/>
      <c r="G102" s="747"/>
      <c r="H102" s="747"/>
      <c r="I102" s="747"/>
      <c r="J102" s="746"/>
      <c r="K102" s="747"/>
      <c r="L102" s="748"/>
      <c r="M102" s="750"/>
      <c r="N102" s="747"/>
      <c r="O102" s="749"/>
      <c r="P102" s="747"/>
      <c r="Q102" s="747"/>
      <c r="R102" s="747"/>
      <c r="S102" s="689"/>
      <c r="T102" s="689"/>
    </row>
    <row r="103" spans="1:20" ht="15" hidden="1" customHeight="1" outlineLevel="1" thickBot="1">
      <c r="A103" s="699" t="str">
        <f t="shared" si="3"/>
        <v/>
      </c>
      <c r="B103" s="687"/>
      <c r="C103" s="734" t="str">
        <f>IF(D103="","",COUNTA($D$6:D103))</f>
        <v/>
      </c>
      <c r="D103" s="745"/>
      <c r="E103" s="746"/>
      <c r="F103" s="747"/>
      <c r="G103" s="747"/>
      <c r="H103" s="747"/>
      <c r="I103" s="747"/>
      <c r="J103" s="746"/>
      <c r="K103" s="747"/>
      <c r="L103" s="748"/>
      <c r="M103" s="750"/>
      <c r="N103" s="747"/>
      <c r="O103" s="749"/>
      <c r="P103" s="747"/>
      <c r="Q103" s="747"/>
      <c r="R103" s="747"/>
      <c r="S103" s="689"/>
      <c r="T103" s="689"/>
    </row>
    <row r="104" spans="1:20" ht="15" hidden="1" customHeight="1" outlineLevel="1" thickBot="1">
      <c r="A104" s="699" t="str">
        <f t="shared" si="3"/>
        <v/>
      </c>
      <c r="B104" s="687"/>
      <c r="C104" s="734" t="str">
        <f>IF(D104="","",COUNTA($D$6:D104))</f>
        <v/>
      </c>
      <c r="D104" s="745"/>
      <c r="E104" s="746"/>
      <c r="F104" s="747"/>
      <c r="G104" s="747"/>
      <c r="H104" s="747"/>
      <c r="I104" s="747"/>
      <c r="J104" s="746"/>
      <c r="K104" s="747"/>
      <c r="L104" s="748"/>
      <c r="M104" s="750"/>
      <c r="N104" s="747"/>
      <c r="O104" s="749"/>
      <c r="P104" s="747"/>
      <c r="Q104" s="747"/>
      <c r="R104" s="747"/>
      <c r="S104" s="689"/>
      <c r="T104" s="689"/>
    </row>
    <row r="105" spans="1:20" ht="15" hidden="1" customHeight="1" outlineLevel="1" thickBot="1">
      <c r="A105" s="699" t="str">
        <f t="shared" si="3"/>
        <v/>
      </c>
      <c r="B105" s="687"/>
      <c r="C105" s="734" t="str">
        <f>IF(D105="","",COUNTA($D$6:D105))</f>
        <v/>
      </c>
      <c r="D105" s="745"/>
      <c r="E105" s="746"/>
      <c r="F105" s="747"/>
      <c r="G105" s="747"/>
      <c r="H105" s="747"/>
      <c r="I105" s="747"/>
      <c r="J105" s="746"/>
      <c r="K105" s="747"/>
      <c r="L105" s="748"/>
      <c r="M105" s="750"/>
      <c r="N105" s="747"/>
      <c r="O105" s="749"/>
      <c r="P105" s="747"/>
      <c r="Q105" s="747"/>
      <c r="R105" s="747"/>
      <c r="S105" s="689"/>
      <c r="T105" s="689"/>
    </row>
    <row r="106" spans="1:20" ht="15" hidden="1" customHeight="1" outlineLevel="1" thickBot="1">
      <c r="A106" s="699" t="str">
        <f t="shared" si="3"/>
        <v/>
      </c>
      <c r="B106" s="687"/>
      <c r="C106" s="734" t="str">
        <f>IF(D106="","",COUNTA($D$6:D106))</f>
        <v/>
      </c>
      <c r="D106" s="745"/>
      <c r="E106" s="746"/>
      <c r="F106" s="747"/>
      <c r="G106" s="747"/>
      <c r="H106" s="747"/>
      <c r="I106" s="747"/>
      <c r="J106" s="746"/>
      <c r="K106" s="747"/>
      <c r="L106" s="748"/>
      <c r="M106" s="750"/>
      <c r="N106" s="747"/>
      <c r="O106" s="749"/>
      <c r="P106" s="747"/>
      <c r="Q106" s="747"/>
      <c r="R106" s="747"/>
      <c r="S106" s="689"/>
      <c r="T106" s="689"/>
    </row>
    <row r="107" spans="1:20" ht="15" hidden="1" customHeight="1" outlineLevel="1" thickBot="1">
      <c r="A107" s="699" t="str">
        <f t="shared" si="3"/>
        <v/>
      </c>
      <c r="B107" s="687"/>
      <c r="C107" s="734" t="str">
        <f>IF(D107="","",COUNTA($D$6:D107))</f>
        <v/>
      </c>
      <c r="D107" s="745"/>
      <c r="E107" s="746"/>
      <c r="F107" s="747"/>
      <c r="G107" s="747"/>
      <c r="H107" s="747"/>
      <c r="I107" s="747"/>
      <c r="J107" s="746"/>
      <c r="K107" s="747"/>
      <c r="L107" s="748"/>
      <c r="M107" s="750"/>
      <c r="N107" s="747"/>
      <c r="O107" s="749"/>
      <c r="P107" s="747"/>
      <c r="Q107" s="747"/>
      <c r="R107" s="747"/>
      <c r="S107" s="689"/>
      <c r="T107" s="689"/>
    </row>
    <row r="108" spans="1:20" ht="15" hidden="1" customHeight="1" outlineLevel="1" thickBot="1">
      <c r="A108" s="699" t="str">
        <f t="shared" si="3"/>
        <v/>
      </c>
      <c r="B108" s="687"/>
      <c r="C108" s="734" t="str">
        <f>IF(D108="","",COUNTA($D$6:D108))</f>
        <v/>
      </c>
      <c r="D108" s="745"/>
      <c r="E108" s="746"/>
      <c r="F108" s="747"/>
      <c r="G108" s="747"/>
      <c r="H108" s="747"/>
      <c r="I108" s="747"/>
      <c r="J108" s="746"/>
      <c r="K108" s="747"/>
      <c r="L108" s="748"/>
      <c r="M108" s="750"/>
      <c r="N108" s="747"/>
      <c r="O108" s="749"/>
      <c r="P108" s="747"/>
      <c r="Q108" s="747"/>
      <c r="R108" s="747"/>
      <c r="S108" s="689"/>
      <c r="T108" s="689"/>
    </row>
    <row r="109" spans="1:20" ht="15" hidden="1" customHeight="1" outlineLevel="1" thickBot="1">
      <c r="A109" s="699" t="str">
        <f t="shared" si="3"/>
        <v/>
      </c>
      <c r="B109" s="687"/>
      <c r="C109" s="734" t="str">
        <f>IF(D109="","",COUNTA($D$6:D109))</f>
        <v/>
      </c>
      <c r="D109" s="745"/>
      <c r="E109" s="746"/>
      <c r="F109" s="747"/>
      <c r="G109" s="747"/>
      <c r="H109" s="747"/>
      <c r="I109" s="747"/>
      <c r="J109" s="746"/>
      <c r="K109" s="747"/>
      <c r="L109" s="748"/>
      <c r="M109" s="750"/>
      <c r="N109" s="747"/>
      <c r="O109" s="749"/>
      <c r="P109" s="747"/>
      <c r="Q109" s="747"/>
      <c r="R109" s="747"/>
      <c r="S109" s="689"/>
      <c r="T109" s="689"/>
    </row>
    <row r="110" spans="1:20" ht="15" hidden="1" customHeight="1" outlineLevel="1" thickBot="1">
      <c r="A110" s="699" t="str">
        <f t="shared" si="3"/>
        <v/>
      </c>
      <c r="B110" s="687"/>
      <c r="C110" s="734" t="str">
        <f>IF(D110="","",COUNTA($D$6:D110))</f>
        <v/>
      </c>
      <c r="D110" s="745"/>
      <c r="E110" s="746"/>
      <c r="F110" s="747"/>
      <c r="G110" s="747"/>
      <c r="H110" s="747"/>
      <c r="I110" s="747"/>
      <c r="J110" s="746"/>
      <c r="K110" s="747"/>
      <c r="L110" s="748"/>
      <c r="M110" s="750"/>
      <c r="N110" s="747"/>
      <c r="O110" s="749"/>
      <c r="P110" s="747"/>
      <c r="Q110" s="747"/>
      <c r="R110" s="747"/>
      <c r="S110" s="689"/>
      <c r="T110" s="689"/>
    </row>
    <row r="111" spans="1:20" ht="15" hidden="1" customHeight="1" outlineLevel="1" thickBot="1">
      <c r="A111" s="699" t="str">
        <f t="shared" si="3"/>
        <v/>
      </c>
      <c r="B111" s="687"/>
      <c r="C111" s="734" t="str">
        <f>IF(D111="","",COUNTA($D$6:D111))</f>
        <v/>
      </c>
      <c r="D111" s="745"/>
      <c r="E111" s="746"/>
      <c r="F111" s="747"/>
      <c r="G111" s="747"/>
      <c r="H111" s="747"/>
      <c r="I111" s="747"/>
      <c r="J111" s="746"/>
      <c r="K111" s="747"/>
      <c r="L111" s="748"/>
      <c r="M111" s="750"/>
      <c r="N111" s="747"/>
      <c r="O111" s="749"/>
      <c r="P111" s="747"/>
      <c r="Q111" s="747"/>
      <c r="R111" s="747"/>
      <c r="S111" s="689"/>
      <c r="T111" s="689"/>
    </row>
    <row r="112" spans="1:20" ht="15" hidden="1" customHeight="1" outlineLevel="1" thickBot="1">
      <c r="A112" s="699" t="str">
        <f t="shared" si="3"/>
        <v/>
      </c>
      <c r="B112" s="687"/>
      <c r="C112" s="734" t="str">
        <f>IF(D112="","",COUNTA($D$6:D112))</f>
        <v/>
      </c>
      <c r="D112" s="745"/>
      <c r="E112" s="746"/>
      <c r="F112" s="747"/>
      <c r="G112" s="747"/>
      <c r="H112" s="747"/>
      <c r="I112" s="747"/>
      <c r="J112" s="746"/>
      <c r="K112" s="747"/>
      <c r="L112" s="748"/>
      <c r="M112" s="750"/>
      <c r="N112" s="747"/>
      <c r="O112" s="749"/>
      <c r="P112" s="747"/>
      <c r="Q112" s="747"/>
      <c r="R112" s="747"/>
      <c r="S112" s="689"/>
      <c r="T112" s="689"/>
    </row>
    <row r="113" spans="1:20" ht="15" hidden="1" customHeight="1" outlineLevel="1" thickBot="1">
      <c r="A113" s="699" t="str">
        <f t="shared" si="3"/>
        <v/>
      </c>
      <c r="B113" s="687"/>
      <c r="C113" s="734" t="str">
        <f>IF(D113="","",COUNTA($D$6:D113))</f>
        <v/>
      </c>
      <c r="D113" s="745"/>
      <c r="E113" s="746"/>
      <c r="F113" s="747"/>
      <c r="G113" s="747"/>
      <c r="H113" s="747"/>
      <c r="I113" s="747"/>
      <c r="J113" s="746"/>
      <c r="K113" s="747"/>
      <c r="L113" s="748"/>
      <c r="M113" s="750"/>
      <c r="N113" s="747"/>
      <c r="O113" s="749"/>
      <c r="P113" s="747"/>
      <c r="Q113" s="747"/>
      <c r="R113" s="747"/>
      <c r="S113" s="689"/>
      <c r="T113" s="689"/>
    </row>
    <row r="114" spans="1:20" ht="15" hidden="1" customHeight="1" outlineLevel="1" thickBot="1">
      <c r="A114" s="699" t="str">
        <f t="shared" si="3"/>
        <v/>
      </c>
      <c r="B114" s="687"/>
      <c r="C114" s="734" t="str">
        <f>IF(D114="","",COUNTA($D$6:D114))</f>
        <v/>
      </c>
      <c r="D114" s="745"/>
      <c r="E114" s="746"/>
      <c r="F114" s="747"/>
      <c r="G114" s="747"/>
      <c r="H114" s="747"/>
      <c r="I114" s="747"/>
      <c r="J114" s="746"/>
      <c r="K114" s="747"/>
      <c r="L114" s="748"/>
      <c r="M114" s="750"/>
      <c r="N114" s="747"/>
      <c r="O114" s="749"/>
      <c r="P114" s="747"/>
      <c r="Q114" s="747"/>
      <c r="R114" s="747"/>
      <c r="S114" s="689"/>
      <c r="T114" s="689"/>
    </row>
    <row r="115" spans="1:20" ht="15" hidden="1" customHeight="1" outlineLevel="1" thickBot="1">
      <c r="A115" s="699" t="str">
        <f t="shared" si="3"/>
        <v/>
      </c>
      <c r="B115" s="687"/>
      <c r="C115" s="734" t="str">
        <f>IF(D115="","",COUNTA($D$6:D115))</f>
        <v/>
      </c>
      <c r="D115" s="745"/>
      <c r="E115" s="746"/>
      <c r="F115" s="747"/>
      <c r="G115" s="747"/>
      <c r="H115" s="747"/>
      <c r="I115" s="747"/>
      <c r="J115" s="746"/>
      <c r="K115" s="747"/>
      <c r="L115" s="748"/>
      <c r="M115" s="750"/>
      <c r="N115" s="747"/>
      <c r="O115" s="749"/>
      <c r="P115" s="747"/>
      <c r="Q115" s="747"/>
      <c r="R115" s="747"/>
      <c r="S115" s="689"/>
      <c r="T115" s="689"/>
    </row>
    <row r="116" spans="1:20" ht="15" hidden="1" customHeight="1" outlineLevel="1" thickBot="1">
      <c r="A116" s="699" t="str">
        <f t="shared" si="3"/>
        <v/>
      </c>
      <c r="B116" s="687"/>
      <c r="C116" s="734" t="str">
        <f>IF(D116="","",COUNTA($D$6:D116))</f>
        <v/>
      </c>
      <c r="D116" s="745"/>
      <c r="E116" s="746"/>
      <c r="F116" s="747"/>
      <c r="G116" s="747"/>
      <c r="H116" s="747"/>
      <c r="I116" s="747"/>
      <c r="J116" s="746"/>
      <c r="K116" s="747"/>
      <c r="L116" s="748"/>
      <c r="M116" s="750"/>
      <c r="N116" s="747"/>
      <c r="O116" s="749"/>
      <c r="P116" s="747"/>
      <c r="Q116" s="747"/>
      <c r="R116" s="747"/>
      <c r="S116" s="689"/>
      <c r="T116" s="689"/>
    </row>
    <row r="117" spans="1:20" ht="15" hidden="1" customHeight="1" outlineLevel="1" thickBot="1">
      <c r="A117" s="699" t="str">
        <f t="shared" si="3"/>
        <v/>
      </c>
      <c r="B117" s="687"/>
      <c r="C117" s="734" t="str">
        <f>IF(D117="","",COUNTA($D$6:D117))</f>
        <v/>
      </c>
      <c r="D117" s="745"/>
      <c r="E117" s="746"/>
      <c r="F117" s="747"/>
      <c r="G117" s="747"/>
      <c r="H117" s="747"/>
      <c r="I117" s="747"/>
      <c r="J117" s="746"/>
      <c r="K117" s="747"/>
      <c r="L117" s="748"/>
      <c r="M117" s="750"/>
      <c r="N117" s="747"/>
      <c r="O117" s="749"/>
      <c r="P117" s="747"/>
      <c r="Q117" s="747"/>
      <c r="R117" s="747"/>
      <c r="S117" s="689"/>
      <c r="T117" s="689"/>
    </row>
    <row r="118" spans="1:20" ht="15" hidden="1" customHeight="1" outlineLevel="1" thickBot="1">
      <c r="A118" s="699" t="str">
        <f t="shared" si="3"/>
        <v/>
      </c>
      <c r="B118" s="687"/>
      <c r="C118" s="734" t="str">
        <f>IF(D118="","",COUNTA($D$6:D118))</f>
        <v/>
      </c>
      <c r="D118" s="745"/>
      <c r="E118" s="746"/>
      <c r="F118" s="747"/>
      <c r="G118" s="747"/>
      <c r="H118" s="747"/>
      <c r="I118" s="747"/>
      <c r="J118" s="746"/>
      <c r="K118" s="747"/>
      <c r="L118" s="748"/>
      <c r="M118" s="750"/>
      <c r="N118" s="747"/>
      <c r="O118" s="749"/>
      <c r="P118" s="747"/>
      <c r="Q118" s="747"/>
      <c r="R118" s="747"/>
      <c r="S118" s="689"/>
      <c r="T118" s="689"/>
    </row>
    <row r="119" spans="1:20" ht="15" hidden="1" customHeight="1" outlineLevel="1" thickBot="1">
      <c r="A119" s="699" t="str">
        <f t="shared" si="3"/>
        <v/>
      </c>
      <c r="B119" s="687"/>
      <c r="C119" s="734" t="str">
        <f>IF(D119="","",COUNTA($D$6:D119))</f>
        <v/>
      </c>
      <c r="D119" s="745"/>
      <c r="E119" s="746"/>
      <c r="F119" s="747"/>
      <c r="G119" s="747"/>
      <c r="H119" s="747"/>
      <c r="I119" s="747"/>
      <c r="J119" s="746"/>
      <c r="K119" s="747"/>
      <c r="L119" s="748"/>
      <c r="M119" s="750"/>
      <c r="N119" s="747"/>
      <c r="O119" s="749"/>
      <c r="P119" s="747"/>
      <c r="Q119" s="747"/>
      <c r="R119" s="747"/>
      <c r="S119" s="689"/>
      <c r="T119" s="689"/>
    </row>
    <row r="120" spans="1:20" ht="15" hidden="1" customHeight="1" outlineLevel="1" thickBot="1">
      <c r="A120" s="699" t="str">
        <f t="shared" si="3"/>
        <v/>
      </c>
      <c r="B120" s="687"/>
      <c r="C120" s="734" t="str">
        <f>IF(D120="","",COUNTA($D$6:D120))</f>
        <v/>
      </c>
      <c r="D120" s="745"/>
      <c r="E120" s="746"/>
      <c r="F120" s="747"/>
      <c r="G120" s="747"/>
      <c r="H120" s="747"/>
      <c r="I120" s="747"/>
      <c r="J120" s="746"/>
      <c r="K120" s="747"/>
      <c r="L120" s="748"/>
      <c r="M120" s="750"/>
      <c r="N120" s="747"/>
      <c r="O120" s="749"/>
      <c r="P120" s="747"/>
      <c r="Q120" s="747"/>
      <c r="R120" s="747"/>
      <c r="S120" s="689"/>
      <c r="T120" s="689"/>
    </row>
    <row r="121" spans="1:20" ht="15" hidden="1" customHeight="1" outlineLevel="1" thickBot="1">
      <c r="A121" s="699" t="str">
        <f t="shared" si="3"/>
        <v/>
      </c>
      <c r="B121" s="687"/>
      <c r="C121" s="734" t="str">
        <f>IF(D121="","",COUNTA($D$6:D121))</f>
        <v/>
      </c>
      <c r="D121" s="745"/>
      <c r="E121" s="746"/>
      <c r="F121" s="747"/>
      <c r="G121" s="747"/>
      <c r="H121" s="747"/>
      <c r="I121" s="747"/>
      <c r="J121" s="746"/>
      <c r="K121" s="747"/>
      <c r="L121" s="748"/>
      <c r="M121" s="750"/>
      <c r="N121" s="747"/>
      <c r="O121" s="749"/>
      <c r="P121" s="747"/>
      <c r="Q121" s="747"/>
      <c r="R121" s="747"/>
      <c r="S121" s="689"/>
      <c r="T121" s="689"/>
    </row>
    <row r="122" spans="1:20" ht="15" hidden="1" customHeight="1" outlineLevel="1" thickBot="1">
      <c r="A122" s="699" t="str">
        <f t="shared" si="3"/>
        <v/>
      </c>
      <c r="B122" s="687"/>
      <c r="C122" s="734" t="str">
        <f>IF(D122="","",COUNTA($D$6:D122))</f>
        <v/>
      </c>
      <c r="D122" s="745"/>
      <c r="E122" s="746"/>
      <c r="F122" s="747"/>
      <c r="G122" s="747"/>
      <c r="H122" s="747"/>
      <c r="I122" s="747"/>
      <c r="J122" s="746"/>
      <c r="K122" s="747"/>
      <c r="L122" s="748"/>
      <c r="M122" s="750"/>
      <c r="N122" s="747"/>
      <c r="O122" s="749"/>
      <c r="P122" s="747"/>
      <c r="Q122" s="747"/>
      <c r="R122" s="747"/>
      <c r="S122" s="689"/>
      <c r="T122" s="689"/>
    </row>
    <row r="123" spans="1:20" ht="15" hidden="1" customHeight="1" outlineLevel="1" thickBot="1">
      <c r="A123" s="699" t="str">
        <f t="shared" si="3"/>
        <v/>
      </c>
      <c r="B123" s="687"/>
      <c r="C123" s="734" t="str">
        <f>IF(D123="","",COUNTA($D$6:D123))</f>
        <v/>
      </c>
      <c r="D123" s="745"/>
      <c r="E123" s="746"/>
      <c r="F123" s="747"/>
      <c r="G123" s="747"/>
      <c r="H123" s="747"/>
      <c r="I123" s="747"/>
      <c r="J123" s="746"/>
      <c r="K123" s="747"/>
      <c r="L123" s="748"/>
      <c r="M123" s="750"/>
      <c r="N123" s="747"/>
      <c r="O123" s="749"/>
      <c r="P123" s="747"/>
      <c r="Q123" s="747"/>
      <c r="R123" s="747"/>
      <c r="S123" s="689"/>
      <c r="T123" s="689"/>
    </row>
    <row r="124" spans="1:20" ht="15" hidden="1" customHeight="1" outlineLevel="1" thickBot="1">
      <c r="A124" s="699" t="str">
        <f t="shared" si="3"/>
        <v/>
      </c>
      <c r="B124" s="687"/>
      <c r="C124" s="734" t="str">
        <f>IF(D124="","",COUNTA($D$6:D124))</f>
        <v/>
      </c>
      <c r="D124" s="745"/>
      <c r="E124" s="746"/>
      <c r="F124" s="747"/>
      <c r="G124" s="747"/>
      <c r="H124" s="747"/>
      <c r="I124" s="747"/>
      <c r="J124" s="746"/>
      <c r="K124" s="747"/>
      <c r="L124" s="748"/>
      <c r="M124" s="750"/>
      <c r="N124" s="747"/>
      <c r="O124" s="749"/>
      <c r="P124" s="747"/>
      <c r="Q124" s="747"/>
      <c r="R124" s="747"/>
      <c r="S124" s="689"/>
      <c r="T124" s="689"/>
    </row>
    <row r="125" spans="1:20" ht="15" hidden="1" customHeight="1" outlineLevel="1" thickBot="1">
      <c r="A125" s="699" t="str">
        <f t="shared" si="3"/>
        <v/>
      </c>
      <c r="B125" s="687"/>
      <c r="C125" s="734" t="str">
        <f>IF(D125="","",COUNTA($D$6:D125))</f>
        <v/>
      </c>
      <c r="D125" s="745"/>
      <c r="E125" s="746"/>
      <c r="F125" s="747"/>
      <c r="G125" s="747"/>
      <c r="H125" s="747"/>
      <c r="I125" s="747"/>
      <c r="J125" s="746"/>
      <c r="K125" s="747"/>
      <c r="L125" s="748"/>
      <c r="M125" s="750"/>
      <c r="N125" s="747"/>
      <c r="O125" s="749"/>
      <c r="P125" s="747"/>
      <c r="Q125" s="747"/>
      <c r="R125" s="747"/>
      <c r="S125" s="689"/>
      <c r="T125" s="689"/>
    </row>
    <row r="126" spans="1:20" ht="15" hidden="1" customHeight="1" outlineLevel="1" thickBot="1">
      <c r="A126" s="699" t="str">
        <f t="shared" si="3"/>
        <v/>
      </c>
      <c r="B126" s="687"/>
      <c r="C126" s="734" t="str">
        <f>IF(D126="","",COUNTA($D$6:D126))</f>
        <v/>
      </c>
      <c r="D126" s="745"/>
      <c r="E126" s="746"/>
      <c r="F126" s="747"/>
      <c r="G126" s="747"/>
      <c r="H126" s="747"/>
      <c r="I126" s="747"/>
      <c r="J126" s="746"/>
      <c r="K126" s="747"/>
      <c r="L126" s="748"/>
      <c r="M126" s="750"/>
      <c r="N126" s="747"/>
      <c r="O126" s="749"/>
      <c r="P126" s="747"/>
      <c r="Q126" s="747"/>
      <c r="R126" s="747"/>
      <c r="S126" s="689"/>
      <c r="T126" s="689"/>
    </row>
    <row r="127" spans="1:20" ht="15" hidden="1" customHeight="1" outlineLevel="1" thickBot="1">
      <c r="A127" s="699" t="str">
        <f t="shared" si="3"/>
        <v/>
      </c>
      <c r="B127" s="687"/>
      <c r="C127" s="734" t="str">
        <f>IF(D127="","",COUNTA($D$6:D127))</f>
        <v/>
      </c>
      <c r="D127" s="745"/>
      <c r="E127" s="746"/>
      <c r="F127" s="747"/>
      <c r="G127" s="747"/>
      <c r="H127" s="747"/>
      <c r="I127" s="747"/>
      <c r="J127" s="746"/>
      <c r="K127" s="747"/>
      <c r="L127" s="748"/>
      <c r="M127" s="750"/>
      <c r="N127" s="747"/>
      <c r="O127" s="749"/>
      <c r="P127" s="747"/>
      <c r="Q127" s="747"/>
      <c r="R127" s="747"/>
      <c r="S127" s="689"/>
      <c r="T127" s="689"/>
    </row>
    <row r="128" spans="1:20" ht="15" hidden="1" customHeight="1" outlineLevel="1" thickBot="1">
      <c r="A128" s="699" t="str">
        <f t="shared" si="3"/>
        <v/>
      </c>
      <c r="B128" s="687"/>
      <c r="C128" s="734" t="str">
        <f>IF(D128="","",COUNTA($D$6:D128))</f>
        <v/>
      </c>
      <c r="D128" s="745"/>
      <c r="E128" s="746"/>
      <c r="F128" s="747"/>
      <c r="G128" s="747"/>
      <c r="H128" s="747"/>
      <c r="I128" s="747"/>
      <c r="J128" s="746"/>
      <c r="K128" s="747"/>
      <c r="L128" s="748"/>
      <c r="M128" s="750"/>
      <c r="N128" s="747"/>
      <c r="O128" s="749"/>
      <c r="P128" s="747"/>
      <c r="Q128" s="747"/>
      <c r="R128" s="747"/>
      <c r="S128" s="689"/>
      <c r="T128" s="689"/>
    </row>
    <row r="129" spans="1:20" ht="15" hidden="1" customHeight="1" outlineLevel="1" thickBot="1">
      <c r="A129" s="699" t="str">
        <f t="shared" si="3"/>
        <v/>
      </c>
      <c r="B129" s="687"/>
      <c r="C129" s="734" t="str">
        <f>IF(D129="","",COUNTA($D$6:D129))</f>
        <v/>
      </c>
      <c r="D129" s="745"/>
      <c r="E129" s="746"/>
      <c r="F129" s="747"/>
      <c r="G129" s="747"/>
      <c r="H129" s="747"/>
      <c r="I129" s="747"/>
      <c r="J129" s="746"/>
      <c r="K129" s="747"/>
      <c r="L129" s="748"/>
      <c r="M129" s="750"/>
      <c r="N129" s="747"/>
      <c r="O129" s="749"/>
      <c r="P129" s="747"/>
      <c r="Q129" s="747"/>
      <c r="R129" s="747"/>
      <c r="S129" s="689"/>
      <c r="T129" s="689"/>
    </row>
    <row r="130" spans="1:20" ht="15" hidden="1" customHeight="1" outlineLevel="1" thickBot="1">
      <c r="A130" s="699" t="str">
        <f t="shared" si="3"/>
        <v/>
      </c>
      <c r="B130" s="687"/>
      <c r="C130" s="734" t="str">
        <f>IF(D130="","",COUNTA($D$6:D130))</f>
        <v/>
      </c>
      <c r="D130" s="745"/>
      <c r="E130" s="746"/>
      <c r="F130" s="747"/>
      <c r="G130" s="747"/>
      <c r="H130" s="747"/>
      <c r="I130" s="747"/>
      <c r="J130" s="746"/>
      <c r="K130" s="747"/>
      <c r="L130" s="748"/>
      <c r="M130" s="750"/>
      <c r="N130" s="747"/>
      <c r="O130" s="749"/>
      <c r="P130" s="747"/>
      <c r="Q130" s="747"/>
      <c r="R130" s="747"/>
      <c r="S130" s="689"/>
      <c r="T130" s="689"/>
    </row>
    <row r="131" spans="1:20" ht="15" hidden="1" customHeight="1" outlineLevel="1" thickBot="1">
      <c r="A131" s="699" t="str">
        <f t="shared" si="3"/>
        <v/>
      </c>
      <c r="B131" s="687"/>
      <c r="C131" s="734" t="str">
        <f>IF(D131="","",COUNTA($D$6:D131))</f>
        <v/>
      </c>
      <c r="D131" s="745"/>
      <c r="E131" s="746"/>
      <c r="F131" s="747"/>
      <c r="G131" s="747"/>
      <c r="H131" s="747"/>
      <c r="I131" s="747"/>
      <c r="J131" s="746"/>
      <c r="K131" s="747"/>
      <c r="L131" s="748"/>
      <c r="M131" s="750"/>
      <c r="N131" s="747"/>
      <c r="O131" s="749"/>
      <c r="P131" s="747"/>
      <c r="Q131" s="747"/>
      <c r="R131" s="747"/>
      <c r="S131" s="689"/>
      <c r="T131" s="689"/>
    </row>
    <row r="132" spans="1:20" ht="15" hidden="1" customHeight="1" outlineLevel="1" thickBot="1">
      <c r="A132" s="699" t="str">
        <f t="shared" si="3"/>
        <v/>
      </c>
      <c r="B132" s="687"/>
      <c r="C132" s="734" t="str">
        <f>IF(D132="","",COUNTA($D$6:D132))</f>
        <v/>
      </c>
      <c r="D132" s="745"/>
      <c r="E132" s="746"/>
      <c r="F132" s="747"/>
      <c r="G132" s="747"/>
      <c r="H132" s="747"/>
      <c r="I132" s="747"/>
      <c r="J132" s="746"/>
      <c r="K132" s="747"/>
      <c r="L132" s="748"/>
      <c r="M132" s="750"/>
      <c r="N132" s="747"/>
      <c r="O132" s="749"/>
      <c r="P132" s="747"/>
      <c r="Q132" s="747"/>
      <c r="R132" s="747"/>
      <c r="S132" s="689"/>
      <c r="T132" s="689"/>
    </row>
    <row r="133" spans="1:20" ht="15" hidden="1" customHeight="1" outlineLevel="1" thickBot="1">
      <c r="A133" s="699" t="str">
        <f t="shared" si="3"/>
        <v/>
      </c>
      <c r="B133" s="687"/>
      <c r="C133" s="734" t="str">
        <f>IF(D133="","",COUNTA($D$6:D133))</f>
        <v/>
      </c>
      <c r="D133" s="745"/>
      <c r="E133" s="746"/>
      <c r="F133" s="747"/>
      <c r="G133" s="747"/>
      <c r="H133" s="747"/>
      <c r="I133" s="747"/>
      <c r="J133" s="746"/>
      <c r="K133" s="747"/>
      <c r="L133" s="748"/>
      <c r="M133" s="750"/>
      <c r="N133" s="747"/>
      <c r="O133" s="749"/>
      <c r="P133" s="747"/>
      <c r="Q133" s="747"/>
      <c r="R133" s="747"/>
      <c r="S133" s="689"/>
      <c r="T133" s="689"/>
    </row>
    <row r="134" spans="1:20" ht="15" hidden="1" customHeight="1" outlineLevel="1" thickBot="1">
      <c r="A134" s="699" t="str">
        <f t="shared" ref="A134:A165" si="4">E134&amp;H134&amp;J134</f>
        <v/>
      </c>
      <c r="B134" s="687"/>
      <c r="C134" s="734" t="str">
        <f>IF(D134="","",COUNTA($D$6:D134))</f>
        <v/>
      </c>
      <c r="D134" s="745"/>
      <c r="E134" s="746"/>
      <c r="F134" s="747"/>
      <c r="G134" s="747"/>
      <c r="H134" s="747"/>
      <c r="I134" s="747"/>
      <c r="J134" s="746"/>
      <c r="K134" s="747"/>
      <c r="L134" s="748"/>
      <c r="M134" s="750"/>
      <c r="N134" s="747"/>
      <c r="O134" s="749"/>
      <c r="P134" s="747"/>
      <c r="Q134" s="747"/>
      <c r="R134" s="747"/>
      <c r="S134" s="689"/>
      <c r="T134" s="689"/>
    </row>
    <row r="135" spans="1:20" ht="15" hidden="1" customHeight="1" outlineLevel="1" thickBot="1">
      <c r="A135" s="699" t="str">
        <f t="shared" si="4"/>
        <v/>
      </c>
      <c r="B135" s="687"/>
      <c r="C135" s="734" t="str">
        <f>IF(D135="","",COUNTA($D$6:D135))</f>
        <v/>
      </c>
      <c r="D135" s="745"/>
      <c r="E135" s="746"/>
      <c r="F135" s="747"/>
      <c r="G135" s="747"/>
      <c r="H135" s="747"/>
      <c r="I135" s="747"/>
      <c r="J135" s="746"/>
      <c r="K135" s="747"/>
      <c r="L135" s="748"/>
      <c r="M135" s="750"/>
      <c r="N135" s="747"/>
      <c r="O135" s="749"/>
      <c r="P135" s="747"/>
      <c r="Q135" s="747"/>
      <c r="R135" s="747"/>
      <c r="S135" s="689"/>
      <c r="T135" s="689"/>
    </row>
    <row r="136" spans="1:20" ht="15" hidden="1" customHeight="1" outlineLevel="1" thickBot="1">
      <c r="A136" s="699" t="str">
        <f t="shared" si="4"/>
        <v/>
      </c>
      <c r="B136" s="687"/>
      <c r="C136" s="734" t="str">
        <f>IF(D136="","",COUNTA($D$6:D136))</f>
        <v/>
      </c>
      <c r="D136" s="745"/>
      <c r="E136" s="746"/>
      <c r="F136" s="747"/>
      <c r="G136" s="747"/>
      <c r="H136" s="747"/>
      <c r="I136" s="747"/>
      <c r="J136" s="746"/>
      <c r="K136" s="747"/>
      <c r="L136" s="748"/>
      <c r="M136" s="750"/>
      <c r="N136" s="747"/>
      <c r="O136" s="749"/>
      <c r="P136" s="747"/>
      <c r="Q136" s="747"/>
      <c r="R136" s="747"/>
      <c r="S136" s="689"/>
      <c r="T136" s="689"/>
    </row>
    <row r="137" spans="1:20" ht="15" hidden="1" customHeight="1" outlineLevel="1" thickBot="1">
      <c r="A137" s="699" t="str">
        <f t="shared" si="4"/>
        <v/>
      </c>
      <c r="B137" s="687"/>
      <c r="C137" s="734" t="str">
        <f>IF(D137="","",COUNTA($D$6:D137))</f>
        <v/>
      </c>
      <c r="D137" s="745"/>
      <c r="E137" s="746"/>
      <c r="F137" s="747"/>
      <c r="G137" s="747"/>
      <c r="H137" s="747"/>
      <c r="I137" s="747"/>
      <c r="J137" s="746"/>
      <c r="K137" s="747"/>
      <c r="L137" s="748"/>
      <c r="M137" s="750"/>
      <c r="N137" s="747"/>
      <c r="O137" s="749"/>
      <c r="P137" s="747"/>
      <c r="Q137" s="747"/>
      <c r="R137" s="747"/>
      <c r="S137" s="689"/>
      <c r="T137" s="689"/>
    </row>
    <row r="138" spans="1:20" ht="15" hidden="1" customHeight="1" outlineLevel="1" thickBot="1">
      <c r="A138" s="699" t="str">
        <f t="shared" si="4"/>
        <v/>
      </c>
      <c r="B138" s="687"/>
      <c r="C138" s="734" t="str">
        <f>IF(D138="","",COUNTA($D$6:D138))</f>
        <v/>
      </c>
      <c r="D138" s="745"/>
      <c r="E138" s="746"/>
      <c r="F138" s="747"/>
      <c r="G138" s="747"/>
      <c r="H138" s="747"/>
      <c r="I138" s="747"/>
      <c r="J138" s="746"/>
      <c r="K138" s="747"/>
      <c r="L138" s="748"/>
      <c r="M138" s="750"/>
      <c r="N138" s="747"/>
      <c r="O138" s="749"/>
      <c r="P138" s="747"/>
      <c r="Q138" s="747"/>
      <c r="R138" s="747"/>
      <c r="S138" s="689"/>
      <c r="T138" s="689"/>
    </row>
    <row r="139" spans="1:20" ht="15" hidden="1" customHeight="1" outlineLevel="1" thickBot="1">
      <c r="A139" s="699" t="str">
        <f t="shared" si="4"/>
        <v/>
      </c>
      <c r="B139" s="687"/>
      <c r="C139" s="734" t="str">
        <f>IF(D139="","",COUNTA($D$6:D139))</f>
        <v/>
      </c>
      <c r="D139" s="745"/>
      <c r="E139" s="746"/>
      <c r="F139" s="747"/>
      <c r="G139" s="747"/>
      <c r="H139" s="747"/>
      <c r="I139" s="747"/>
      <c r="J139" s="746"/>
      <c r="K139" s="747"/>
      <c r="L139" s="748"/>
      <c r="M139" s="750"/>
      <c r="N139" s="747"/>
      <c r="O139" s="749"/>
      <c r="P139" s="747"/>
      <c r="Q139" s="747"/>
      <c r="R139" s="747"/>
      <c r="S139" s="689"/>
      <c r="T139" s="689"/>
    </row>
    <row r="140" spans="1:20" ht="15" hidden="1" customHeight="1" outlineLevel="1" thickBot="1">
      <c r="A140" s="699" t="str">
        <f t="shared" si="4"/>
        <v/>
      </c>
      <c r="B140" s="687"/>
      <c r="C140" s="734" t="str">
        <f>IF(D140="","",COUNTA($D$6:D140))</f>
        <v/>
      </c>
      <c r="D140" s="745"/>
      <c r="E140" s="746"/>
      <c r="F140" s="747"/>
      <c r="G140" s="747"/>
      <c r="H140" s="747"/>
      <c r="I140" s="747"/>
      <c r="J140" s="746"/>
      <c r="K140" s="747"/>
      <c r="L140" s="748"/>
      <c r="M140" s="750"/>
      <c r="N140" s="747"/>
      <c r="O140" s="749"/>
      <c r="P140" s="747"/>
      <c r="Q140" s="747"/>
      <c r="R140" s="747"/>
      <c r="S140" s="689"/>
      <c r="T140" s="689"/>
    </row>
    <row r="141" spans="1:20" ht="15" hidden="1" customHeight="1" outlineLevel="1" thickBot="1">
      <c r="A141" s="699" t="str">
        <f t="shared" si="4"/>
        <v/>
      </c>
      <c r="B141" s="687"/>
      <c r="C141" s="734" t="str">
        <f>IF(D141="","",COUNTA($D$6:D141))</f>
        <v/>
      </c>
      <c r="D141" s="745"/>
      <c r="E141" s="746"/>
      <c r="F141" s="747"/>
      <c r="G141" s="747"/>
      <c r="H141" s="747"/>
      <c r="I141" s="747"/>
      <c r="J141" s="746"/>
      <c r="K141" s="747"/>
      <c r="L141" s="748"/>
      <c r="M141" s="750"/>
      <c r="N141" s="747"/>
      <c r="O141" s="749"/>
      <c r="P141" s="747"/>
      <c r="Q141" s="747"/>
      <c r="R141" s="747"/>
      <c r="S141" s="689"/>
      <c r="T141" s="689"/>
    </row>
    <row r="142" spans="1:20" ht="15" hidden="1" customHeight="1" outlineLevel="1" thickBot="1">
      <c r="A142" s="699" t="str">
        <f t="shared" si="4"/>
        <v/>
      </c>
      <c r="B142" s="687"/>
      <c r="C142" s="734" t="str">
        <f>IF(D142="","",COUNTA($D$6:D142))</f>
        <v/>
      </c>
      <c r="D142" s="745"/>
      <c r="E142" s="746"/>
      <c r="F142" s="747"/>
      <c r="G142" s="747"/>
      <c r="H142" s="747"/>
      <c r="I142" s="747"/>
      <c r="J142" s="746"/>
      <c r="K142" s="747"/>
      <c r="L142" s="748"/>
      <c r="M142" s="750"/>
      <c r="N142" s="747"/>
      <c r="O142" s="749"/>
      <c r="P142" s="747"/>
      <c r="Q142" s="747"/>
      <c r="R142" s="747"/>
      <c r="S142" s="689"/>
      <c r="T142" s="689"/>
    </row>
    <row r="143" spans="1:20" ht="15" hidden="1" customHeight="1" outlineLevel="1" thickBot="1">
      <c r="A143" s="699" t="str">
        <f t="shared" si="4"/>
        <v/>
      </c>
      <c r="B143" s="687"/>
      <c r="C143" s="734" t="str">
        <f>IF(D143="","",COUNTA($D$6:D143))</f>
        <v/>
      </c>
      <c r="D143" s="745"/>
      <c r="E143" s="746"/>
      <c r="F143" s="747"/>
      <c r="G143" s="747"/>
      <c r="H143" s="747"/>
      <c r="I143" s="747"/>
      <c r="J143" s="746"/>
      <c r="K143" s="747"/>
      <c r="L143" s="748"/>
      <c r="M143" s="750"/>
      <c r="N143" s="747"/>
      <c r="O143" s="749"/>
      <c r="P143" s="747"/>
      <c r="Q143" s="747"/>
      <c r="R143" s="747"/>
      <c r="S143" s="689"/>
      <c r="T143" s="689"/>
    </row>
    <row r="144" spans="1:20" ht="15" hidden="1" customHeight="1" outlineLevel="1" thickBot="1">
      <c r="A144" s="699" t="str">
        <f t="shared" si="4"/>
        <v/>
      </c>
      <c r="B144" s="687"/>
      <c r="C144" s="734" t="str">
        <f>IF(D144="","",COUNTA($D$6:D144))</f>
        <v/>
      </c>
      <c r="D144" s="745"/>
      <c r="E144" s="746"/>
      <c r="F144" s="747"/>
      <c r="G144" s="747"/>
      <c r="H144" s="747"/>
      <c r="I144" s="747"/>
      <c r="J144" s="746"/>
      <c r="K144" s="747"/>
      <c r="L144" s="748"/>
      <c r="M144" s="750"/>
      <c r="N144" s="747"/>
      <c r="O144" s="749"/>
      <c r="P144" s="747"/>
      <c r="Q144" s="747"/>
      <c r="R144" s="747"/>
      <c r="S144" s="689"/>
      <c r="T144" s="689"/>
    </row>
    <row r="145" spans="1:20" ht="15" hidden="1" customHeight="1" outlineLevel="1" thickBot="1">
      <c r="A145" s="699" t="str">
        <f t="shared" si="4"/>
        <v/>
      </c>
      <c r="B145" s="687"/>
      <c r="C145" s="734" t="str">
        <f>IF(D145="","",COUNTA($D$6:D145))</f>
        <v/>
      </c>
      <c r="D145" s="745"/>
      <c r="E145" s="746"/>
      <c r="F145" s="747"/>
      <c r="G145" s="747"/>
      <c r="H145" s="747"/>
      <c r="I145" s="747"/>
      <c r="J145" s="746"/>
      <c r="K145" s="747"/>
      <c r="L145" s="748"/>
      <c r="M145" s="750"/>
      <c r="N145" s="747"/>
      <c r="O145" s="749"/>
      <c r="P145" s="747"/>
      <c r="Q145" s="747"/>
      <c r="R145" s="747"/>
      <c r="S145" s="689"/>
      <c r="T145" s="689"/>
    </row>
    <row r="146" spans="1:20" ht="15" hidden="1" customHeight="1" outlineLevel="1" thickBot="1">
      <c r="A146" s="699" t="str">
        <f t="shared" si="4"/>
        <v/>
      </c>
      <c r="B146" s="687"/>
      <c r="C146" s="734" t="str">
        <f>IF(D146="","",COUNTA($D$6:D146))</f>
        <v/>
      </c>
      <c r="D146" s="745"/>
      <c r="E146" s="746"/>
      <c r="F146" s="747"/>
      <c r="G146" s="747"/>
      <c r="H146" s="747"/>
      <c r="I146" s="747"/>
      <c r="J146" s="746"/>
      <c r="K146" s="747"/>
      <c r="L146" s="748"/>
      <c r="M146" s="750"/>
      <c r="N146" s="747"/>
      <c r="O146" s="749"/>
      <c r="P146" s="747"/>
      <c r="Q146" s="747"/>
      <c r="R146" s="747"/>
      <c r="S146" s="689"/>
      <c r="T146" s="689"/>
    </row>
    <row r="147" spans="1:20" ht="15" hidden="1" customHeight="1" outlineLevel="1" thickBot="1">
      <c r="A147" s="699" t="str">
        <f t="shared" si="4"/>
        <v/>
      </c>
      <c r="B147" s="687"/>
      <c r="C147" s="734" t="str">
        <f>IF(D147="","",COUNTA($D$6:D147))</f>
        <v/>
      </c>
      <c r="D147" s="745"/>
      <c r="E147" s="746"/>
      <c r="F147" s="747"/>
      <c r="G147" s="747"/>
      <c r="H147" s="747"/>
      <c r="I147" s="747"/>
      <c r="J147" s="746"/>
      <c r="K147" s="747"/>
      <c r="L147" s="748"/>
      <c r="M147" s="750"/>
      <c r="N147" s="747"/>
      <c r="O147" s="749"/>
      <c r="P147" s="747"/>
      <c r="Q147" s="747"/>
      <c r="R147" s="747"/>
      <c r="S147" s="689"/>
      <c r="T147" s="689"/>
    </row>
    <row r="148" spans="1:20" ht="15" hidden="1" customHeight="1" outlineLevel="1" thickBot="1">
      <c r="A148" s="699" t="str">
        <f t="shared" si="4"/>
        <v/>
      </c>
      <c r="B148" s="687"/>
      <c r="C148" s="734" t="str">
        <f>IF(D148="","",COUNTA($D$6:D148))</f>
        <v/>
      </c>
      <c r="D148" s="745"/>
      <c r="E148" s="746"/>
      <c r="F148" s="747"/>
      <c r="G148" s="747"/>
      <c r="H148" s="747"/>
      <c r="I148" s="747"/>
      <c r="J148" s="746"/>
      <c r="K148" s="747"/>
      <c r="L148" s="748"/>
      <c r="M148" s="750"/>
      <c r="N148" s="747"/>
      <c r="O148" s="749"/>
      <c r="P148" s="747"/>
      <c r="Q148" s="747"/>
      <c r="R148" s="747"/>
      <c r="S148" s="689"/>
      <c r="T148" s="689"/>
    </row>
    <row r="149" spans="1:20" ht="15" hidden="1" customHeight="1" outlineLevel="1" thickBot="1">
      <c r="A149" s="699" t="str">
        <f t="shared" si="4"/>
        <v/>
      </c>
      <c r="B149" s="687"/>
      <c r="C149" s="734" t="str">
        <f>IF(D149="","",COUNTA($D$6:D149))</f>
        <v/>
      </c>
      <c r="D149" s="745"/>
      <c r="E149" s="746"/>
      <c r="F149" s="747"/>
      <c r="G149" s="747"/>
      <c r="H149" s="747"/>
      <c r="I149" s="747"/>
      <c r="J149" s="746"/>
      <c r="K149" s="747"/>
      <c r="L149" s="748"/>
      <c r="M149" s="750"/>
      <c r="N149" s="747"/>
      <c r="O149" s="749"/>
      <c r="P149" s="747"/>
      <c r="Q149" s="747"/>
      <c r="R149" s="747"/>
      <c r="S149" s="689"/>
      <c r="T149" s="689"/>
    </row>
    <row r="150" spans="1:20" ht="15" hidden="1" customHeight="1" outlineLevel="1" thickBot="1">
      <c r="A150" s="699" t="str">
        <f t="shared" si="4"/>
        <v/>
      </c>
      <c r="B150" s="687"/>
      <c r="C150" s="734" t="str">
        <f>IF(D150="","",COUNTA($D$6:D150))</f>
        <v/>
      </c>
      <c r="D150" s="745"/>
      <c r="E150" s="746"/>
      <c r="F150" s="747"/>
      <c r="G150" s="747"/>
      <c r="H150" s="747"/>
      <c r="I150" s="747"/>
      <c r="J150" s="746"/>
      <c r="K150" s="747"/>
      <c r="L150" s="748"/>
      <c r="M150" s="750"/>
      <c r="N150" s="747"/>
      <c r="O150" s="749"/>
      <c r="P150" s="747"/>
      <c r="Q150" s="747"/>
      <c r="R150" s="747"/>
      <c r="S150" s="689"/>
      <c r="T150" s="689"/>
    </row>
    <row r="151" spans="1:20" ht="15" hidden="1" customHeight="1" outlineLevel="1" thickBot="1">
      <c r="A151" s="699" t="str">
        <f t="shared" si="4"/>
        <v/>
      </c>
      <c r="B151" s="687"/>
      <c r="C151" s="734" t="str">
        <f>IF(D151="","",COUNTA($D$6:D151))</f>
        <v/>
      </c>
      <c r="D151" s="745"/>
      <c r="E151" s="746"/>
      <c r="F151" s="747"/>
      <c r="G151" s="747"/>
      <c r="H151" s="747"/>
      <c r="I151" s="747"/>
      <c r="J151" s="746"/>
      <c r="K151" s="747"/>
      <c r="L151" s="748"/>
      <c r="M151" s="750"/>
      <c r="N151" s="747"/>
      <c r="O151" s="749"/>
      <c r="P151" s="747"/>
      <c r="Q151" s="747"/>
      <c r="R151" s="747"/>
      <c r="S151" s="689"/>
      <c r="T151" s="689"/>
    </row>
    <row r="152" spans="1:20" ht="15" hidden="1" customHeight="1" outlineLevel="1" thickBot="1">
      <c r="A152" s="699" t="str">
        <f t="shared" si="4"/>
        <v/>
      </c>
      <c r="B152" s="687"/>
      <c r="C152" s="734" t="str">
        <f>IF(D152="","",COUNTA($D$6:D152))</f>
        <v/>
      </c>
      <c r="D152" s="745"/>
      <c r="E152" s="746"/>
      <c r="F152" s="747"/>
      <c r="G152" s="747"/>
      <c r="H152" s="747"/>
      <c r="I152" s="747"/>
      <c r="J152" s="746"/>
      <c r="K152" s="747"/>
      <c r="L152" s="748"/>
      <c r="M152" s="750"/>
      <c r="N152" s="747"/>
      <c r="O152" s="749"/>
      <c r="P152" s="747"/>
      <c r="Q152" s="747"/>
      <c r="R152" s="747"/>
      <c r="S152" s="689"/>
      <c r="T152" s="689"/>
    </row>
    <row r="153" spans="1:20" ht="15" hidden="1" customHeight="1" outlineLevel="1" thickBot="1">
      <c r="A153" s="699" t="str">
        <f t="shared" si="4"/>
        <v/>
      </c>
      <c r="B153" s="687"/>
      <c r="C153" s="734" t="str">
        <f>IF(D153="","",COUNTA($D$6:D153))</f>
        <v/>
      </c>
      <c r="D153" s="745"/>
      <c r="E153" s="746"/>
      <c r="F153" s="747"/>
      <c r="G153" s="747"/>
      <c r="H153" s="747"/>
      <c r="I153" s="747"/>
      <c r="J153" s="746"/>
      <c r="K153" s="747"/>
      <c r="L153" s="748"/>
      <c r="M153" s="750"/>
      <c r="N153" s="747"/>
      <c r="O153" s="749"/>
      <c r="P153" s="747"/>
      <c r="Q153" s="747"/>
      <c r="R153" s="747"/>
      <c r="S153" s="689"/>
      <c r="T153" s="689"/>
    </row>
    <row r="154" spans="1:20" ht="15" hidden="1" customHeight="1" outlineLevel="1" thickBot="1">
      <c r="A154" s="699" t="str">
        <f t="shared" si="4"/>
        <v/>
      </c>
      <c r="B154" s="687"/>
      <c r="C154" s="734" t="str">
        <f>IF(D154="","",COUNTA($D$6:D154))</f>
        <v/>
      </c>
      <c r="D154" s="745"/>
      <c r="E154" s="746"/>
      <c r="F154" s="747"/>
      <c r="G154" s="747"/>
      <c r="H154" s="747"/>
      <c r="I154" s="747"/>
      <c r="J154" s="746"/>
      <c r="K154" s="747"/>
      <c r="L154" s="748"/>
      <c r="M154" s="750"/>
      <c r="N154" s="747"/>
      <c r="O154" s="749"/>
      <c r="P154" s="747"/>
      <c r="Q154" s="747"/>
      <c r="R154" s="747"/>
      <c r="S154" s="689"/>
      <c r="T154" s="689"/>
    </row>
    <row r="155" spans="1:20" ht="15" hidden="1" customHeight="1" outlineLevel="1" thickBot="1">
      <c r="A155" s="699" t="str">
        <f t="shared" si="4"/>
        <v/>
      </c>
      <c r="B155" s="687"/>
      <c r="C155" s="734" t="str">
        <f>IF(D155="","",COUNTA($D$6:D155))</f>
        <v/>
      </c>
      <c r="D155" s="745"/>
      <c r="E155" s="746"/>
      <c r="F155" s="747"/>
      <c r="G155" s="747"/>
      <c r="H155" s="747"/>
      <c r="I155" s="747"/>
      <c r="J155" s="746"/>
      <c r="K155" s="747"/>
      <c r="L155" s="748"/>
      <c r="M155" s="750"/>
      <c r="N155" s="747"/>
      <c r="O155" s="749"/>
      <c r="P155" s="747"/>
      <c r="Q155" s="747"/>
      <c r="R155" s="747"/>
      <c r="S155" s="689"/>
      <c r="T155" s="689"/>
    </row>
    <row r="156" spans="1:20" ht="15" hidden="1" customHeight="1" outlineLevel="1" thickBot="1">
      <c r="A156" s="699" t="str">
        <f t="shared" si="4"/>
        <v/>
      </c>
      <c r="B156" s="687"/>
      <c r="C156" s="734" t="str">
        <f>IF(D156="","",COUNTA($D$6:D156))</f>
        <v/>
      </c>
      <c r="D156" s="745"/>
      <c r="E156" s="746"/>
      <c r="F156" s="747"/>
      <c r="G156" s="747"/>
      <c r="H156" s="747"/>
      <c r="I156" s="747"/>
      <c r="J156" s="746"/>
      <c r="K156" s="747"/>
      <c r="L156" s="748"/>
      <c r="M156" s="750"/>
      <c r="N156" s="747"/>
      <c r="O156" s="749"/>
      <c r="P156" s="747"/>
      <c r="Q156" s="747"/>
      <c r="R156" s="747"/>
      <c r="S156" s="689"/>
      <c r="T156" s="689"/>
    </row>
    <row r="157" spans="1:20" ht="15" hidden="1" customHeight="1" outlineLevel="1" thickBot="1">
      <c r="A157" s="699" t="str">
        <f t="shared" si="4"/>
        <v/>
      </c>
      <c r="B157" s="687"/>
      <c r="C157" s="734" t="str">
        <f>IF(D157="","",COUNTA($D$6:D157))</f>
        <v/>
      </c>
      <c r="D157" s="745"/>
      <c r="E157" s="746"/>
      <c r="F157" s="747"/>
      <c r="G157" s="747"/>
      <c r="H157" s="747"/>
      <c r="I157" s="747"/>
      <c r="J157" s="746"/>
      <c r="K157" s="747"/>
      <c r="L157" s="748"/>
      <c r="M157" s="750"/>
      <c r="N157" s="747"/>
      <c r="O157" s="749"/>
      <c r="P157" s="747"/>
      <c r="Q157" s="747"/>
      <c r="R157" s="747"/>
      <c r="S157" s="689"/>
      <c r="T157" s="689"/>
    </row>
    <row r="158" spans="1:20" ht="15" hidden="1" customHeight="1" outlineLevel="1" thickBot="1">
      <c r="A158" s="699" t="str">
        <f t="shared" si="4"/>
        <v/>
      </c>
      <c r="B158" s="687"/>
      <c r="C158" s="734" t="str">
        <f>IF(D158="","",COUNTA($D$6:D158))</f>
        <v/>
      </c>
      <c r="D158" s="745"/>
      <c r="E158" s="746"/>
      <c r="F158" s="747"/>
      <c r="G158" s="747"/>
      <c r="H158" s="747"/>
      <c r="I158" s="747"/>
      <c r="J158" s="746"/>
      <c r="K158" s="747"/>
      <c r="L158" s="748"/>
      <c r="M158" s="750"/>
      <c r="N158" s="747"/>
      <c r="O158" s="749"/>
      <c r="P158" s="747"/>
      <c r="Q158" s="747"/>
      <c r="R158" s="747"/>
      <c r="S158" s="689"/>
      <c r="T158" s="689"/>
    </row>
    <row r="159" spans="1:20" ht="15" hidden="1" customHeight="1" outlineLevel="1" thickBot="1">
      <c r="A159" s="699" t="str">
        <f t="shared" si="4"/>
        <v/>
      </c>
      <c r="B159" s="687"/>
      <c r="C159" s="734" t="str">
        <f>IF(D159="","",COUNTA($D$6:D159))</f>
        <v/>
      </c>
      <c r="D159" s="745"/>
      <c r="E159" s="746"/>
      <c r="F159" s="747"/>
      <c r="G159" s="747"/>
      <c r="H159" s="747"/>
      <c r="I159" s="747"/>
      <c r="J159" s="746"/>
      <c r="K159" s="747"/>
      <c r="L159" s="748"/>
      <c r="M159" s="750"/>
      <c r="N159" s="747"/>
      <c r="O159" s="749"/>
      <c r="P159" s="747"/>
      <c r="Q159" s="747"/>
      <c r="R159" s="747"/>
      <c r="S159" s="689"/>
      <c r="T159" s="689"/>
    </row>
    <row r="160" spans="1:20" ht="15" hidden="1" customHeight="1" outlineLevel="1" thickBot="1">
      <c r="A160" s="699" t="str">
        <f t="shared" si="4"/>
        <v/>
      </c>
      <c r="B160" s="687"/>
      <c r="C160" s="734" t="str">
        <f>IF(D160="","",COUNTA($D$6:D160))</f>
        <v/>
      </c>
      <c r="D160" s="745"/>
      <c r="E160" s="746"/>
      <c r="F160" s="747"/>
      <c r="G160" s="747"/>
      <c r="H160" s="747"/>
      <c r="I160" s="747"/>
      <c r="J160" s="746"/>
      <c r="K160" s="747"/>
      <c r="L160" s="748"/>
      <c r="M160" s="750"/>
      <c r="N160" s="747"/>
      <c r="O160" s="749"/>
      <c r="P160" s="747"/>
      <c r="Q160" s="747"/>
      <c r="R160" s="747"/>
      <c r="S160" s="689"/>
      <c r="T160" s="689"/>
    </row>
    <row r="161" spans="1:20" ht="15" hidden="1" customHeight="1" outlineLevel="1" thickBot="1">
      <c r="A161" s="699" t="str">
        <f t="shared" si="4"/>
        <v/>
      </c>
      <c r="B161" s="687"/>
      <c r="C161" s="734" t="str">
        <f>IF(D161="","",COUNTA($D$6:D161))</f>
        <v/>
      </c>
      <c r="D161" s="745"/>
      <c r="E161" s="746"/>
      <c r="F161" s="747"/>
      <c r="G161" s="747"/>
      <c r="H161" s="747"/>
      <c r="I161" s="747"/>
      <c r="J161" s="746"/>
      <c r="K161" s="747"/>
      <c r="L161" s="748"/>
      <c r="M161" s="750"/>
      <c r="N161" s="747"/>
      <c r="O161" s="749"/>
      <c r="P161" s="747"/>
      <c r="Q161" s="747"/>
      <c r="R161" s="747"/>
      <c r="S161" s="689"/>
      <c r="T161" s="689"/>
    </row>
    <row r="162" spans="1:20" ht="15" hidden="1" customHeight="1" outlineLevel="1" thickBot="1">
      <c r="A162" s="699" t="str">
        <f t="shared" si="4"/>
        <v/>
      </c>
      <c r="B162" s="687"/>
      <c r="C162" s="734" t="str">
        <f>IF(D162="","",COUNTA($D$6:D162))</f>
        <v/>
      </c>
      <c r="D162" s="745"/>
      <c r="E162" s="746"/>
      <c r="F162" s="747"/>
      <c r="G162" s="747"/>
      <c r="H162" s="747"/>
      <c r="I162" s="747"/>
      <c r="J162" s="746"/>
      <c r="K162" s="747"/>
      <c r="L162" s="748"/>
      <c r="M162" s="750"/>
      <c r="N162" s="747"/>
      <c r="O162" s="749"/>
      <c r="P162" s="747"/>
      <c r="Q162" s="747"/>
      <c r="R162" s="747"/>
      <c r="S162" s="689"/>
      <c r="T162" s="689"/>
    </row>
    <row r="163" spans="1:20" ht="15" hidden="1" customHeight="1" outlineLevel="1" thickBot="1">
      <c r="A163" s="699" t="str">
        <f t="shared" si="4"/>
        <v/>
      </c>
      <c r="B163" s="687"/>
      <c r="C163" s="734" t="str">
        <f>IF(D163="","",COUNTA($D$6:D163))</f>
        <v/>
      </c>
      <c r="D163" s="745"/>
      <c r="E163" s="746"/>
      <c r="F163" s="747"/>
      <c r="G163" s="747"/>
      <c r="H163" s="747"/>
      <c r="I163" s="747"/>
      <c r="J163" s="746"/>
      <c r="K163" s="747"/>
      <c r="L163" s="748"/>
      <c r="M163" s="750"/>
      <c r="N163" s="747"/>
      <c r="O163" s="749"/>
      <c r="P163" s="747"/>
      <c r="Q163" s="747"/>
      <c r="R163" s="747"/>
      <c r="S163" s="689"/>
      <c r="T163" s="689"/>
    </row>
    <row r="164" spans="1:20" ht="15" hidden="1" customHeight="1" outlineLevel="1" thickBot="1">
      <c r="A164" s="699" t="str">
        <f t="shared" si="4"/>
        <v/>
      </c>
      <c r="B164" s="687"/>
      <c r="C164" s="734" t="str">
        <f>IF(D164="","",COUNTA($D$6:D164))</f>
        <v/>
      </c>
      <c r="D164" s="745"/>
      <c r="E164" s="746"/>
      <c r="F164" s="747"/>
      <c r="G164" s="747"/>
      <c r="H164" s="747"/>
      <c r="I164" s="747"/>
      <c r="J164" s="746"/>
      <c r="K164" s="747"/>
      <c r="L164" s="748"/>
      <c r="M164" s="750"/>
      <c r="N164" s="747"/>
      <c r="O164" s="749"/>
      <c r="P164" s="747"/>
      <c r="Q164" s="747"/>
      <c r="R164" s="747"/>
      <c r="S164" s="689"/>
      <c r="T164" s="689"/>
    </row>
    <row r="165" spans="1:20" ht="15" hidden="1" customHeight="1" outlineLevel="1" thickBot="1">
      <c r="A165" s="699" t="str">
        <f t="shared" si="4"/>
        <v/>
      </c>
      <c r="B165" s="687"/>
      <c r="C165" s="734" t="str">
        <f>IF(D165="","",COUNTA($D$6:D165))</f>
        <v/>
      </c>
      <c r="D165" s="745"/>
      <c r="E165" s="746"/>
      <c r="F165" s="747"/>
      <c r="G165" s="747"/>
      <c r="H165" s="747"/>
      <c r="I165" s="747"/>
      <c r="J165" s="746"/>
      <c r="K165" s="747"/>
      <c r="L165" s="748"/>
      <c r="M165" s="750"/>
      <c r="N165" s="747"/>
      <c r="O165" s="749"/>
      <c r="P165" s="747"/>
      <c r="Q165" s="747"/>
      <c r="R165" s="747"/>
      <c r="S165" s="689"/>
      <c r="T165" s="689"/>
    </row>
    <row r="166" spans="1:20" ht="15" hidden="1" customHeight="1" outlineLevel="1" thickBot="1">
      <c r="A166" s="699" t="str">
        <f t="shared" ref="A166:A197" si="5">E166&amp;H166&amp;J166</f>
        <v/>
      </c>
      <c r="B166" s="687"/>
      <c r="C166" s="734" t="str">
        <f>IF(D166="","",COUNTA($D$6:D166))</f>
        <v/>
      </c>
      <c r="D166" s="745"/>
      <c r="E166" s="746"/>
      <c r="F166" s="747"/>
      <c r="G166" s="747"/>
      <c r="H166" s="747"/>
      <c r="I166" s="747"/>
      <c r="J166" s="746"/>
      <c r="K166" s="747"/>
      <c r="L166" s="748"/>
      <c r="M166" s="750"/>
      <c r="N166" s="747"/>
      <c r="O166" s="749"/>
      <c r="P166" s="747"/>
      <c r="Q166" s="747"/>
      <c r="R166" s="747"/>
      <c r="S166" s="689"/>
      <c r="T166" s="689"/>
    </row>
    <row r="167" spans="1:20" ht="15" hidden="1" customHeight="1" outlineLevel="1" thickBot="1">
      <c r="A167" s="699" t="str">
        <f t="shared" si="5"/>
        <v/>
      </c>
      <c r="B167" s="687"/>
      <c r="C167" s="734" t="str">
        <f>IF(D167="","",COUNTA($D$6:D167))</f>
        <v/>
      </c>
      <c r="D167" s="745"/>
      <c r="E167" s="746"/>
      <c r="F167" s="747"/>
      <c r="G167" s="747"/>
      <c r="H167" s="747"/>
      <c r="I167" s="747"/>
      <c r="J167" s="746"/>
      <c r="K167" s="747"/>
      <c r="L167" s="748"/>
      <c r="M167" s="750"/>
      <c r="N167" s="747"/>
      <c r="O167" s="749"/>
      <c r="P167" s="747"/>
      <c r="Q167" s="747"/>
      <c r="R167" s="747"/>
      <c r="S167" s="689"/>
      <c r="T167" s="689"/>
    </row>
    <row r="168" spans="1:20" ht="15" hidden="1" customHeight="1" outlineLevel="1" thickBot="1">
      <c r="A168" s="699" t="str">
        <f t="shared" si="5"/>
        <v/>
      </c>
      <c r="B168" s="687"/>
      <c r="C168" s="734" t="str">
        <f>IF(D168="","",COUNTA($D$6:D168))</f>
        <v/>
      </c>
      <c r="D168" s="745"/>
      <c r="E168" s="746"/>
      <c r="F168" s="747"/>
      <c r="G168" s="747"/>
      <c r="H168" s="747"/>
      <c r="I168" s="747"/>
      <c r="J168" s="746"/>
      <c r="K168" s="747"/>
      <c r="L168" s="748"/>
      <c r="M168" s="750"/>
      <c r="N168" s="747"/>
      <c r="O168" s="749"/>
      <c r="P168" s="747"/>
      <c r="Q168" s="747"/>
      <c r="R168" s="747"/>
      <c r="S168" s="689"/>
      <c r="T168" s="689"/>
    </row>
    <row r="169" spans="1:20" ht="15" hidden="1" customHeight="1" outlineLevel="1" thickBot="1">
      <c r="A169" s="699" t="str">
        <f t="shared" si="5"/>
        <v/>
      </c>
      <c r="B169" s="687"/>
      <c r="C169" s="734" t="str">
        <f>IF(D169="","",COUNTA($D$6:D169))</f>
        <v/>
      </c>
      <c r="D169" s="745"/>
      <c r="E169" s="746"/>
      <c r="F169" s="747"/>
      <c r="G169" s="747"/>
      <c r="H169" s="747"/>
      <c r="I169" s="747"/>
      <c r="J169" s="746"/>
      <c r="K169" s="747"/>
      <c r="L169" s="748"/>
      <c r="M169" s="750"/>
      <c r="N169" s="747"/>
      <c r="O169" s="749"/>
      <c r="P169" s="747"/>
      <c r="Q169" s="747"/>
      <c r="R169" s="747"/>
      <c r="S169" s="689"/>
      <c r="T169" s="689"/>
    </row>
    <row r="170" spans="1:20" ht="15" hidden="1" customHeight="1" outlineLevel="1" thickBot="1">
      <c r="A170" s="699" t="str">
        <f t="shared" si="5"/>
        <v/>
      </c>
      <c r="B170" s="687"/>
      <c r="C170" s="734" t="str">
        <f>IF(D170="","",COUNTA($D$6:D170))</f>
        <v/>
      </c>
      <c r="D170" s="745"/>
      <c r="E170" s="746"/>
      <c r="F170" s="747"/>
      <c r="G170" s="747"/>
      <c r="H170" s="747"/>
      <c r="I170" s="747"/>
      <c r="J170" s="746"/>
      <c r="K170" s="747"/>
      <c r="L170" s="748"/>
      <c r="M170" s="750"/>
      <c r="N170" s="747"/>
      <c r="O170" s="749"/>
      <c r="P170" s="747"/>
      <c r="Q170" s="747"/>
      <c r="R170" s="747"/>
      <c r="S170" s="689"/>
      <c r="T170" s="689"/>
    </row>
    <row r="171" spans="1:20" ht="15" hidden="1" customHeight="1" outlineLevel="1" thickBot="1">
      <c r="A171" s="699" t="str">
        <f t="shared" si="5"/>
        <v/>
      </c>
      <c r="B171" s="687"/>
      <c r="C171" s="734" t="str">
        <f>IF(D171="","",COUNTA($D$6:D171))</f>
        <v/>
      </c>
      <c r="D171" s="745"/>
      <c r="E171" s="746"/>
      <c r="F171" s="747"/>
      <c r="G171" s="747"/>
      <c r="H171" s="747"/>
      <c r="I171" s="747"/>
      <c r="J171" s="746"/>
      <c r="K171" s="747"/>
      <c r="L171" s="748"/>
      <c r="M171" s="750"/>
      <c r="N171" s="747"/>
      <c r="O171" s="749"/>
      <c r="P171" s="747"/>
      <c r="Q171" s="747"/>
      <c r="R171" s="747"/>
      <c r="S171" s="689"/>
      <c r="T171" s="689"/>
    </row>
    <row r="172" spans="1:20" ht="15" hidden="1" customHeight="1" outlineLevel="1" thickBot="1">
      <c r="A172" s="699" t="str">
        <f t="shared" si="5"/>
        <v/>
      </c>
      <c r="B172" s="687"/>
      <c r="C172" s="734" t="str">
        <f>IF(D172="","",COUNTA($D$6:D172))</f>
        <v/>
      </c>
      <c r="D172" s="745"/>
      <c r="E172" s="746"/>
      <c r="F172" s="747"/>
      <c r="G172" s="747"/>
      <c r="H172" s="747"/>
      <c r="I172" s="747"/>
      <c r="J172" s="746"/>
      <c r="K172" s="747"/>
      <c r="L172" s="748"/>
      <c r="M172" s="750"/>
      <c r="N172" s="747"/>
      <c r="O172" s="749"/>
      <c r="P172" s="747"/>
      <c r="Q172" s="747"/>
      <c r="R172" s="747"/>
      <c r="S172" s="689"/>
      <c r="T172" s="689"/>
    </row>
    <row r="173" spans="1:20" ht="15" hidden="1" customHeight="1" outlineLevel="1" thickBot="1">
      <c r="A173" s="699" t="str">
        <f t="shared" si="5"/>
        <v/>
      </c>
      <c r="B173" s="687"/>
      <c r="C173" s="734" t="str">
        <f>IF(D173="","",COUNTA($D$6:D173))</f>
        <v/>
      </c>
      <c r="D173" s="745"/>
      <c r="E173" s="746"/>
      <c r="F173" s="747"/>
      <c r="G173" s="747"/>
      <c r="H173" s="747"/>
      <c r="I173" s="747"/>
      <c r="J173" s="746"/>
      <c r="K173" s="747"/>
      <c r="L173" s="748"/>
      <c r="M173" s="750"/>
      <c r="N173" s="747"/>
      <c r="O173" s="749"/>
      <c r="P173" s="747"/>
      <c r="Q173" s="747"/>
      <c r="R173" s="747"/>
      <c r="S173" s="689"/>
      <c r="T173" s="689"/>
    </row>
    <row r="174" spans="1:20" ht="15" hidden="1" customHeight="1" outlineLevel="1" thickBot="1">
      <c r="A174" s="699" t="str">
        <f t="shared" si="5"/>
        <v/>
      </c>
      <c r="B174" s="687"/>
      <c r="C174" s="734" t="str">
        <f>IF(D174="","",COUNTA($D$6:D174))</f>
        <v/>
      </c>
      <c r="D174" s="745"/>
      <c r="E174" s="746"/>
      <c r="F174" s="747"/>
      <c r="G174" s="747"/>
      <c r="H174" s="747"/>
      <c r="I174" s="747"/>
      <c r="J174" s="746"/>
      <c r="K174" s="747"/>
      <c r="L174" s="748"/>
      <c r="M174" s="750"/>
      <c r="N174" s="747"/>
      <c r="O174" s="749"/>
      <c r="P174" s="747"/>
      <c r="Q174" s="747"/>
      <c r="R174" s="747"/>
      <c r="S174" s="689"/>
      <c r="T174" s="689"/>
    </row>
    <row r="175" spans="1:20" ht="15" hidden="1" customHeight="1" outlineLevel="1" thickBot="1">
      <c r="A175" s="699" t="str">
        <f t="shared" si="5"/>
        <v/>
      </c>
      <c r="B175" s="687"/>
      <c r="C175" s="734" t="str">
        <f>IF(D175="","",COUNTA($D$6:D175))</f>
        <v/>
      </c>
      <c r="D175" s="745"/>
      <c r="E175" s="746"/>
      <c r="F175" s="747"/>
      <c r="G175" s="747"/>
      <c r="H175" s="747"/>
      <c r="I175" s="747"/>
      <c r="J175" s="746"/>
      <c r="K175" s="747"/>
      <c r="L175" s="748"/>
      <c r="M175" s="750"/>
      <c r="N175" s="747"/>
      <c r="O175" s="749"/>
      <c r="P175" s="747"/>
      <c r="Q175" s="747"/>
      <c r="R175" s="747"/>
      <c r="S175" s="689"/>
      <c r="T175" s="689"/>
    </row>
    <row r="176" spans="1:20" ht="15" hidden="1" customHeight="1" outlineLevel="1" thickBot="1">
      <c r="A176" s="699" t="str">
        <f t="shared" si="5"/>
        <v/>
      </c>
      <c r="B176" s="687"/>
      <c r="C176" s="734" t="str">
        <f>IF(D176="","",COUNTA($D$6:D176))</f>
        <v/>
      </c>
      <c r="D176" s="745"/>
      <c r="E176" s="746"/>
      <c r="F176" s="747"/>
      <c r="G176" s="747"/>
      <c r="H176" s="747"/>
      <c r="I176" s="747"/>
      <c r="J176" s="746"/>
      <c r="K176" s="747"/>
      <c r="L176" s="748"/>
      <c r="M176" s="750"/>
      <c r="N176" s="747"/>
      <c r="O176" s="749"/>
      <c r="P176" s="747"/>
      <c r="Q176" s="747"/>
      <c r="R176" s="747"/>
      <c r="S176" s="689"/>
      <c r="T176" s="689"/>
    </row>
    <row r="177" spans="1:20" ht="15" hidden="1" customHeight="1" outlineLevel="1" thickBot="1">
      <c r="A177" s="699" t="str">
        <f t="shared" si="5"/>
        <v/>
      </c>
      <c r="B177" s="687"/>
      <c r="C177" s="734" t="str">
        <f>IF(D177="","",COUNTA($D$6:D177))</f>
        <v/>
      </c>
      <c r="D177" s="745"/>
      <c r="E177" s="746"/>
      <c r="F177" s="747"/>
      <c r="G177" s="747"/>
      <c r="H177" s="747"/>
      <c r="I177" s="747"/>
      <c r="J177" s="746"/>
      <c r="K177" s="747"/>
      <c r="L177" s="748"/>
      <c r="M177" s="750"/>
      <c r="N177" s="747"/>
      <c r="O177" s="749"/>
      <c r="P177" s="747"/>
      <c r="Q177" s="747"/>
      <c r="R177" s="747"/>
      <c r="S177" s="689"/>
      <c r="T177" s="689"/>
    </row>
    <row r="178" spans="1:20" ht="15" hidden="1" customHeight="1" outlineLevel="1" thickBot="1">
      <c r="A178" s="699" t="str">
        <f t="shared" si="5"/>
        <v/>
      </c>
      <c r="B178" s="687"/>
      <c r="C178" s="734" t="str">
        <f>IF(D178="","",COUNTA($D$6:D178))</f>
        <v/>
      </c>
      <c r="D178" s="745"/>
      <c r="E178" s="746"/>
      <c r="F178" s="747"/>
      <c r="G178" s="747"/>
      <c r="H178" s="747"/>
      <c r="I178" s="747"/>
      <c r="J178" s="746"/>
      <c r="K178" s="747"/>
      <c r="L178" s="748"/>
      <c r="M178" s="750"/>
      <c r="N178" s="747"/>
      <c r="O178" s="749"/>
      <c r="P178" s="747"/>
      <c r="Q178" s="747"/>
      <c r="R178" s="747"/>
      <c r="S178" s="689"/>
      <c r="T178" s="689"/>
    </row>
    <row r="179" spans="1:20" ht="15" hidden="1" customHeight="1" outlineLevel="1" thickBot="1">
      <c r="A179" s="699" t="str">
        <f t="shared" si="5"/>
        <v/>
      </c>
      <c r="B179" s="687"/>
      <c r="C179" s="734" t="str">
        <f>IF(D179="","",COUNTA($D$6:D179))</f>
        <v/>
      </c>
      <c r="D179" s="745"/>
      <c r="E179" s="746"/>
      <c r="F179" s="747"/>
      <c r="G179" s="747"/>
      <c r="H179" s="747"/>
      <c r="I179" s="747"/>
      <c r="J179" s="746"/>
      <c r="K179" s="747"/>
      <c r="L179" s="748"/>
      <c r="M179" s="750"/>
      <c r="N179" s="747"/>
      <c r="O179" s="749"/>
      <c r="P179" s="747"/>
      <c r="Q179" s="747"/>
      <c r="R179" s="747"/>
      <c r="S179" s="689"/>
      <c r="T179" s="689"/>
    </row>
    <row r="180" spans="1:20" ht="15" hidden="1" customHeight="1" outlineLevel="1" thickBot="1">
      <c r="A180" s="699" t="str">
        <f t="shared" si="5"/>
        <v/>
      </c>
      <c r="B180" s="687"/>
      <c r="C180" s="734" t="str">
        <f>IF(D180="","",COUNTA($D$6:D180))</f>
        <v/>
      </c>
      <c r="D180" s="745"/>
      <c r="E180" s="746"/>
      <c r="F180" s="747"/>
      <c r="G180" s="747"/>
      <c r="H180" s="747"/>
      <c r="I180" s="747"/>
      <c r="J180" s="746"/>
      <c r="K180" s="747"/>
      <c r="L180" s="748"/>
      <c r="M180" s="750"/>
      <c r="N180" s="747"/>
      <c r="O180" s="749"/>
      <c r="P180" s="747"/>
      <c r="Q180" s="747"/>
      <c r="R180" s="747"/>
      <c r="S180" s="689"/>
      <c r="T180" s="689"/>
    </row>
    <row r="181" spans="1:20" ht="15" hidden="1" customHeight="1" outlineLevel="1" thickBot="1">
      <c r="A181" s="699" t="str">
        <f t="shared" si="5"/>
        <v/>
      </c>
      <c r="B181" s="687"/>
      <c r="C181" s="734" t="str">
        <f>IF(D181="","",COUNTA($D$6:D181))</f>
        <v/>
      </c>
      <c r="D181" s="745"/>
      <c r="E181" s="746"/>
      <c r="F181" s="747"/>
      <c r="G181" s="747"/>
      <c r="H181" s="747"/>
      <c r="I181" s="747"/>
      <c r="J181" s="746"/>
      <c r="K181" s="747"/>
      <c r="L181" s="748"/>
      <c r="M181" s="750"/>
      <c r="N181" s="747"/>
      <c r="O181" s="749"/>
      <c r="P181" s="747"/>
      <c r="Q181" s="747"/>
      <c r="R181" s="747"/>
      <c r="S181" s="689"/>
      <c r="T181" s="689"/>
    </row>
    <row r="182" spans="1:20" ht="15" hidden="1" customHeight="1" outlineLevel="1" thickBot="1">
      <c r="A182" s="699" t="str">
        <f t="shared" si="5"/>
        <v/>
      </c>
      <c r="B182" s="687"/>
      <c r="C182" s="734" t="str">
        <f>IF(D182="","",COUNTA($D$6:D182))</f>
        <v/>
      </c>
      <c r="D182" s="745"/>
      <c r="E182" s="746"/>
      <c r="F182" s="747"/>
      <c r="G182" s="747"/>
      <c r="H182" s="747"/>
      <c r="I182" s="747"/>
      <c r="J182" s="746"/>
      <c r="K182" s="747"/>
      <c r="L182" s="748"/>
      <c r="M182" s="750"/>
      <c r="N182" s="747"/>
      <c r="O182" s="749"/>
      <c r="P182" s="747"/>
      <c r="Q182" s="747"/>
      <c r="R182" s="747"/>
      <c r="S182" s="689"/>
      <c r="T182" s="689"/>
    </row>
    <row r="183" spans="1:20" ht="15" hidden="1" customHeight="1" outlineLevel="1" thickBot="1">
      <c r="A183" s="699" t="str">
        <f t="shared" si="5"/>
        <v/>
      </c>
      <c r="B183" s="687"/>
      <c r="C183" s="734" t="str">
        <f>IF(D183="","",COUNTA($D$6:D183))</f>
        <v/>
      </c>
      <c r="D183" s="745"/>
      <c r="E183" s="746"/>
      <c r="F183" s="747"/>
      <c r="G183" s="747"/>
      <c r="H183" s="747"/>
      <c r="I183" s="747"/>
      <c r="J183" s="746"/>
      <c r="K183" s="747"/>
      <c r="L183" s="748"/>
      <c r="M183" s="750"/>
      <c r="N183" s="747"/>
      <c r="O183" s="749"/>
      <c r="P183" s="747"/>
      <c r="Q183" s="747"/>
      <c r="R183" s="747"/>
      <c r="S183" s="689"/>
      <c r="T183" s="689"/>
    </row>
    <row r="184" spans="1:20" ht="15" hidden="1" customHeight="1" outlineLevel="1" thickBot="1">
      <c r="A184" s="699" t="str">
        <f t="shared" si="5"/>
        <v/>
      </c>
      <c r="B184" s="687"/>
      <c r="C184" s="734" t="str">
        <f>IF(D184="","",COUNTA($D$6:D184))</f>
        <v/>
      </c>
      <c r="D184" s="745"/>
      <c r="E184" s="746"/>
      <c r="F184" s="747"/>
      <c r="G184" s="747"/>
      <c r="H184" s="747"/>
      <c r="I184" s="747"/>
      <c r="J184" s="746"/>
      <c r="K184" s="747"/>
      <c r="L184" s="748"/>
      <c r="M184" s="750"/>
      <c r="N184" s="747"/>
      <c r="O184" s="749"/>
      <c r="P184" s="747"/>
      <c r="Q184" s="747"/>
      <c r="R184" s="747"/>
      <c r="S184" s="689"/>
      <c r="T184" s="689"/>
    </row>
    <row r="185" spans="1:20" ht="15" hidden="1" customHeight="1" outlineLevel="1" thickBot="1">
      <c r="A185" s="699" t="str">
        <f t="shared" si="5"/>
        <v/>
      </c>
      <c r="B185" s="687"/>
      <c r="C185" s="734" t="str">
        <f>IF(D185="","",COUNTA($D$6:D185))</f>
        <v/>
      </c>
      <c r="D185" s="745"/>
      <c r="E185" s="746"/>
      <c r="F185" s="747"/>
      <c r="G185" s="747"/>
      <c r="H185" s="747"/>
      <c r="I185" s="747"/>
      <c r="J185" s="746"/>
      <c r="K185" s="747"/>
      <c r="L185" s="748"/>
      <c r="M185" s="750"/>
      <c r="N185" s="747"/>
      <c r="O185" s="749"/>
      <c r="P185" s="747"/>
      <c r="Q185" s="747"/>
      <c r="R185" s="747"/>
      <c r="S185" s="689"/>
      <c r="T185" s="689"/>
    </row>
    <row r="186" spans="1:20" ht="15" hidden="1" customHeight="1" outlineLevel="1" thickBot="1">
      <c r="A186" s="699" t="str">
        <f t="shared" si="5"/>
        <v/>
      </c>
      <c r="B186" s="687"/>
      <c r="C186" s="734" t="str">
        <f>IF(D186="","",COUNTA($D$6:D186))</f>
        <v/>
      </c>
      <c r="D186" s="745"/>
      <c r="E186" s="746"/>
      <c r="F186" s="747"/>
      <c r="G186" s="747"/>
      <c r="H186" s="747"/>
      <c r="I186" s="747"/>
      <c r="J186" s="746"/>
      <c r="K186" s="747"/>
      <c r="L186" s="748"/>
      <c r="M186" s="750"/>
      <c r="N186" s="747"/>
      <c r="O186" s="749"/>
      <c r="P186" s="747"/>
      <c r="Q186" s="747"/>
      <c r="R186" s="747"/>
      <c r="S186" s="689"/>
      <c r="T186" s="689"/>
    </row>
    <row r="187" spans="1:20" ht="15" hidden="1" customHeight="1" outlineLevel="1" thickBot="1">
      <c r="A187" s="699" t="str">
        <f t="shared" si="5"/>
        <v/>
      </c>
      <c r="B187" s="687"/>
      <c r="C187" s="734" t="str">
        <f>IF(D187="","",COUNTA($D$6:D187))</f>
        <v/>
      </c>
      <c r="D187" s="745"/>
      <c r="E187" s="746"/>
      <c r="F187" s="747"/>
      <c r="G187" s="747"/>
      <c r="H187" s="747"/>
      <c r="I187" s="747"/>
      <c r="J187" s="746"/>
      <c r="K187" s="747"/>
      <c r="L187" s="748"/>
      <c r="M187" s="750"/>
      <c r="N187" s="747"/>
      <c r="O187" s="749"/>
      <c r="P187" s="747"/>
      <c r="Q187" s="747"/>
      <c r="R187" s="747"/>
      <c r="S187" s="689"/>
      <c r="T187" s="689"/>
    </row>
    <row r="188" spans="1:20" ht="15" hidden="1" customHeight="1" outlineLevel="1" thickBot="1">
      <c r="A188" s="699" t="str">
        <f t="shared" si="5"/>
        <v/>
      </c>
      <c r="B188" s="687"/>
      <c r="C188" s="734" t="str">
        <f>IF(D188="","",COUNTA($D$6:D188))</f>
        <v/>
      </c>
      <c r="D188" s="745"/>
      <c r="E188" s="746"/>
      <c r="F188" s="747"/>
      <c r="G188" s="747"/>
      <c r="H188" s="747"/>
      <c r="I188" s="747"/>
      <c r="J188" s="746"/>
      <c r="K188" s="747"/>
      <c r="L188" s="748"/>
      <c r="M188" s="750"/>
      <c r="N188" s="747"/>
      <c r="O188" s="749"/>
      <c r="P188" s="747"/>
      <c r="Q188" s="747"/>
      <c r="R188" s="747"/>
      <c r="S188" s="689"/>
      <c r="T188" s="689"/>
    </row>
    <row r="189" spans="1:20" ht="15" hidden="1" customHeight="1" outlineLevel="1" thickBot="1">
      <c r="A189" s="699" t="str">
        <f t="shared" si="5"/>
        <v/>
      </c>
      <c r="B189" s="687"/>
      <c r="C189" s="734" t="str">
        <f>IF(D189="","",COUNTA($D$6:D189))</f>
        <v/>
      </c>
      <c r="D189" s="745"/>
      <c r="E189" s="746"/>
      <c r="F189" s="747"/>
      <c r="G189" s="747"/>
      <c r="H189" s="747"/>
      <c r="I189" s="747"/>
      <c r="J189" s="746"/>
      <c r="K189" s="747"/>
      <c r="L189" s="748"/>
      <c r="M189" s="750"/>
      <c r="N189" s="747"/>
      <c r="O189" s="749"/>
      <c r="P189" s="747"/>
      <c r="Q189" s="747"/>
      <c r="R189" s="747"/>
      <c r="S189" s="689"/>
      <c r="T189" s="689"/>
    </row>
    <row r="190" spans="1:20" ht="15" hidden="1" customHeight="1" outlineLevel="1" thickBot="1">
      <c r="A190" s="699" t="str">
        <f t="shared" si="5"/>
        <v/>
      </c>
      <c r="B190" s="687"/>
      <c r="C190" s="734" t="str">
        <f>IF(D190="","",COUNTA($D$6:D190))</f>
        <v/>
      </c>
      <c r="D190" s="745"/>
      <c r="E190" s="746"/>
      <c r="F190" s="747"/>
      <c r="G190" s="747"/>
      <c r="H190" s="747"/>
      <c r="I190" s="747"/>
      <c r="J190" s="746"/>
      <c r="K190" s="747"/>
      <c r="L190" s="748"/>
      <c r="M190" s="750"/>
      <c r="N190" s="747"/>
      <c r="O190" s="749"/>
      <c r="P190" s="747"/>
      <c r="Q190" s="747"/>
      <c r="R190" s="747"/>
      <c r="S190" s="689"/>
      <c r="T190" s="689"/>
    </row>
    <row r="191" spans="1:20" ht="15" hidden="1" customHeight="1" outlineLevel="1" thickBot="1">
      <c r="A191" s="699" t="str">
        <f t="shared" si="5"/>
        <v/>
      </c>
      <c r="B191" s="687"/>
      <c r="C191" s="734" t="str">
        <f>IF(D191="","",COUNTA($D$6:D191))</f>
        <v/>
      </c>
      <c r="D191" s="745"/>
      <c r="E191" s="746"/>
      <c r="F191" s="747"/>
      <c r="G191" s="747"/>
      <c r="H191" s="747"/>
      <c r="I191" s="747"/>
      <c r="J191" s="746"/>
      <c r="K191" s="747"/>
      <c r="L191" s="748"/>
      <c r="M191" s="750"/>
      <c r="N191" s="747"/>
      <c r="O191" s="749"/>
      <c r="P191" s="747"/>
      <c r="Q191" s="747"/>
      <c r="R191" s="747"/>
      <c r="S191" s="689"/>
      <c r="T191" s="689"/>
    </row>
    <row r="192" spans="1:20" ht="15" hidden="1" customHeight="1" outlineLevel="1" thickBot="1">
      <c r="A192" s="699" t="str">
        <f t="shared" si="5"/>
        <v/>
      </c>
      <c r="B192" s="687"/>
      <c r="C192" s="734" t="str">
        <f>IF(D192="","",COUNTA($D$6:D192))</f>
        <v/>
      </c>
      <c r="D192" s="745"/>
      <c r="E192" s="746"/>
      <c r="F192" s="747"/>
      <c r="G192" s="747"/>
      <c r="H192" s="747"/>
      <c r="I192" s="747"/>
      <c r="J192" s="746"/>
      <c r="K192" s="747"/>
      <c r="L192" s="748"/>
      <c r="M192" s="750"/>
      <c r="N192" s="747"/>
      <c r="O192" s="749"/>
      <c r="P192" s="747"/>
      <c r="Q192" s="747"/>
      <c r="R192" s="747"/>
      <c r="S192" s="689"/>
      <c r="T192" s="689"/>
    </row>
    <row r="193" spans="1:24" ht="15" hidden="1" customHeight="1" outlineLevel="1" thickBot="1">
      <c r="A193" s="699" t="str">
        <f t="shared" si="5"/>
        <v/>
      </c>
      <c r="B193" s="687"/>
      <c r="C193" s="734" t="str">
        <f>IF(D193="","",COUNTA($D$6:D193))</f>
        <v/>
      </c>
      <c r="D193" s="745"/>
      <c r="E193" s="746"/>
      <c r="F193" s="747"/>
      <c r="G193" s="747"/>
      <c r="H193" s="747"/>
      <c r="I193" s="747"/>
      <c r="J193" s="746"/>
      <c r="K193" s="747"/>
      <c r="L193" s="748"/>
      <c r="M193" s="750"/>
      <c r="N193" s="747"/>
      <c r="O193" s="749"/>
      <c r="P193" s="747"/>
      <c r="Q193" s="747"/>
      <c r="R193" s="747"/>
      <c r="S193" s="689"/>
      <c r="T193" s="689"/>
    </row>
    <row r="194" spans="1:24" ht="15" hidden="1" customHeight="1" outlineLevel="1" thickBot="1">
      <c r="A194" s="699" t="str">
        <f t="shared" si="5"/>
        <v/>
      </c>
      <c r="B194" s="687"/>
      <c r="C194" s="734" t="str">
        <f>IF(D194="","",COUNTA($D$6:D194))</f>
        <v/>
      </c>
      <c r="D194" s="745"/>
      <c r="E194" s="746"/>
      <c r="F194" s="747"/>
      <c r="G194" s="747"/>
      <c r="H194" s="747"/>
      <c r="I194" s="747"/>
      <c r="J194" s="746"/>
      <c r="K194" s="747"/>
      <c r="L194" s="748"/>
      <c r="M194" s="750"/>
      <c r="N194" s="747"/>
      <c r="O194" s="749"/>
      <c r="P194" s="747"/>
      <c r="Q194" s="747"/>
      <c r="R194" s="747"/>
      <c r="S194" s="689"/>
      <c r="T194" s="689"/>
    </row>
    <row r="195" spans="1:24" ht="15" hidden="1" customHeight="1" outlineLevel="1" thickBot="1">
      <c r="A195" s="699" t="str">
        <f t="shared" si="5"/>
        <v/>
      </c>
      <c r="B195" s="687"/>
      <c r="C195" s="734" t="str">
        <f>IF(D195="","",COUNTA($D$6:D195))</f>
        <v/>
      </c>
      <c r="D195" s="745"/>
      <c r="E195" s="746"/>
      <c r="F195" s="747"/>
      <c r="G195" s="747"/>
      <c r="H195" s="747"/>
      <c r="I195" s="747"/>
      <c r="J195" s="746"/>
      <c r="K195" s="747"/>
      <c r="L195" s="748"/>
      <c r="M195" s="750"/>
      <c r="N195" s="747"/>
      <c r="O195" s="749"/>
      <c r="P195" s="747"/>
      <c r="Q195" s="747"/>
      <c r="R195" s="747"/>
      <c r="S195" s="689"/>
      <c r="T195" s="689"/>
    </row>
    <row r="196" spans="1:24" ht="15" hidden="1" customHeight="1" outlineLevel="1" thickBot="1">
      <c r="A196" s="699" t="str">
        <f t="shared" si="5"/>
        <v/>
      </c>
      <c r="B196" s="687"/>
      <c r="C196" s="734" t="str">
        <f>IF(D196="","",COUNTA($D$6:D196))</f>
        <v/>
      </c>
      <c r="D196" s="745"/>
      <c r="E196" s="746"/>
      <c r="F196" s="747"/>
      <c r="G196" s="747"/>
      <c r="H196" s="747"/>
      <c r="I196" s="747"/>
      <c r="J196" s="746"/>
      <c r="K196" s="747"/>
      <c r="L196" s="748"/>
      <c r="M196" s="750"/>
      <c r="N196" s="747"/>
      <c r="O196" s="749"/>
      <c r="P196" s="747"/>
      <c r="Q196" s="747"/>
      <c r="R196" s="747"/>
      <c r="S196" s="689"/>
      <c r="T196" s="689"/>
    </row>
    <row r="197" spans="1:24" ht="15" hidden="1" customHeight="1" outlineLevel="1" thickBot="1">
      <c r="A197" s="699" t="str">
        <f t="shared" si="5"/>
        <v/>
      </c>
      <c r="B197" s="687"/>
      <c r="C197" s="734" t="str">
        <f>IF(D197="","",COUNTA($D$6:D197))</f>
        <v/>
      </c>
      <c r="D197" s="745"/>
      <c r="E197" s="746"/>
      <c r="F197" s="747"/>
      <c r="G197" s="747"/>
      <c r="H197" s="747"/>
      <c r="I197" s="747"/>
      <c r="J197" s="746"/>
      <c r="K197" s="747"/>
      <c r="L197" s="748"/>
      <c r="M197" s="750"/>
      <c r="N197" s="747"/>
      <c r="O197" s="749"/>
      <c r="P197" s="747"/>
      <c r="Q197" s="747"/>
      <c r="R197" s="747"/>
      <c r="S197" s="689"/>
      <c r="T197" s="689"/>
    </row>
    <row r="198" spans="1:24" ht="15" hidden="1" customHeight="1" outlineLevel="1" thickBot="1">
      <c r="A198" s="699" t="str">
        <f t="shared" ref="A198:A205" si="6">E198&amp;H198&amp;J198</f>
        <v/>
      </c>
      <c r="B198" s="687"/>
      <c r="C198" s="734" t="str">
        <f>IF(D198="","",COUNTA($D$6:D198))</f>
        <v/>
      </c>
      <c r="D198" s="745"/>
      <c r="E198" s="746"/>
      <c r="F198" s="747"/>
      <c r="G198" s="747"/>
      <c r="H198" s="747"/>
      <c r="I198" s="747"/>
      <c r="J198" s="746"/>
      <c r="K198" s="747"/>
      <c r="L198" s="748"/>
      <c r="M198" s="750"/>
      <c r="N198" s="747"/>
      <c r="O198" s="749"/>
      <c r="P198" s="747"/>
      <c r="Q198" s="747"/>
      <c r="R198" s="747"/>
      <c r="S198" s="689"/>
      <c r="T198" s="689"/>
    </row>
    <row r="199" spans="1:24" ht="15" hidden="1" customHeight="1" outlineLevel="1" thickBot="1">
      <c r="A199" s="699" t="str">
        <f t="shared" si="6"/>
        <v/>
      </c>
      <c r="B199" s="687"/>
      <c r="C199" s="734" t="str">
        <f>IF(D199="","",COUNTA($D$6:D199))</f>
        <v/>
      </c>
      <c r="D199" s="745"/>
      <c r="E199" s="746"/>
      <c r="F199" s="747"/>
      <c r="G199" s="747"/>
      <c r="H199" s="747"/>
      <c r="I199" s="747"/>
      <c r="J199" s="746"/>
      <c r="K199" s="747"/>
      <c r="L199" s="748"/>
      <c r="M199" s="750"/>
      <c r="N199" s="747"/>
      <c r="O199" s="749"/>
      <c r="P199" s="747"/>
      <c r="Q199" s="747"/>
      <c r="R199" s="747"/>
      <c r="S199" s="689"/>
      <c r="T199" s="689"/>
    </row>
    <row r="200" spans="1:24" ht="15" hidden="1" customHeight="1" outlineLevel="1" thickBot="1">
      <c r="A200" s="699" t="str">
        <f t="shared" si="6"/>
        <v/>
      </c>
      <c r="B200" s="687"/>
      <c r="C200" s="734" t="str">
        <f>IF(D200="","",COUNTA($D$6:D200))</f>
        <v/>
      </c>
      <c r="D200" s="745"/>
      <c r="E200" s="746"/>
      <c r="F200" s="747"/>
      <c r="G200" s="747"/>
      <c r="H200" s="747"/>
      <c r="I200" s="747"/>
      <c r="J200" s="746"/>
      <c r="K200" s="747"/>
      <c r="L200" s="748"/>
      <c r="M200" s="750"/>
      <c r="N200" s="747"/>
      <c r="O200" s="749"/>
      <c r="P200" s="747"/>
      <c r="Q200" s="747"/>
      <c r="R200" s="747"/>
      <c r="S200" s="689"/>
      <c r="T200" s="689"/>
    </row>
    <row r="201" spans="1:24" ht="15" hidden="1" customHeight="1" outlineLevel="1" thickBot="1">
      <c r="A201" s="699" t="str">
        <f t="shared" si="6"/>
        <v/>
      </c>
      <c r="B201" s="687"/>
      <c r="C201" s="734" t="str">
        <f>IF(D201="","",COUNTA($D$6:D201))</f>
        <v/>
      </c>
      <c r="D201" s="745"/>
      <c r="E201" s="746"/>
      <c r="F201" s="747"/>
      <c r="G201" s="747"/>
      <c r="H201" s="747"/>
      <c r="I201" s="747"/>
      <c r="J201" s="746"/>
      <c r="K201" s="747"/>
      <c r="L201" s="748"/>
      <c r="M201" s="750"/>
      <c r="N201" s="747"/>
      <c r="O201" s="749"/>
      <c r="P201" s="747"/>
      <c r="Q201" s="747"/>
      <c r="R201" s="747"/>
      <c r="S201" s="689"/>
      <c r="T201" s="689"/>
    </row>
    <row r="202" spans="1:24" ht="15" hidden="1" customHeight="1" outlineLevel="1" thickBot="1">
      <c r="A202" s="699" t="str">
        <f t="shared" si="6"/>
        <v/>
      </c>
      <c r="B202" s="687"/>
      <c r="C202" s="734" t="str">
        <f>IF(D202="","",COUNTA($D$6:D202))</f>
        <v/>
      </c>
      <c r="D202" s="745"/>
      <c r="E202" s="746"/>
      <c r="F202" s="747"/>
      <c r="G202" s="747"/>
      <c r="H202" s="747"/>
      <c r="I202" s="747"/>
      <c r="J202" s="746"/>
      <c r="K202" s="747"/>
      <c r="L202" s="748"/>
      <c r="M202" s="750"/>
      <c r="N202" s="747"/>
      <c r="O202" s="749"/>
      <c r="P202" s="747"/>
      <c r="Q202" s="747"/>
      <c r="R202" s="747"/>
      <c r="S202" s="689"/>
      <c r="T202" s="689"/>
    </row>
    <row r="203" spans="1:24" ht="15" hidden="1" customHeight="1" outlineLevel="1" thickBot="1">
      <c r="A203" s="699" t="str">
        <f t="shared" si="6"/>
        <v/>
      </c>
      <c r="B203" s="687"/>
      <c r="C203" s="734" t="str">
        <f>IF(D203="","",COUNTA($D$6:D203))</f>
        <v/>
      </c>
      <c r="D203" s="745"/>
      <c r="E203" s="746"/>
      <c r="F203" s="747"/>
      <c r="G203" s="747"/>
      <c r="H203" s="747"/>
      <c r="I203" s="747"/>
      <c r="J203" s="746"/>
      <c r="K203" s="747"/>
      <c r="L203" s="748"/>
      <c r="M203" s="750"/>
      <c r="N203" s="747"/>
      <c r="O203" s="749"/>
      <c r="P203" s="747"/>
      <c r="Q203" s="747"/>
      <c r="R203" s="747"/>
      <c r="S203" s="689"/>
      <c r="T203" s="689"/>
    </row>
    <row r="204" spans="1:24" ht="15" hidden="1" customHeight="1" outlineLevel="1" thickBot="1">
      <c r="A204" s="699" t="str">
        <f t="shared" si="6"/>
        <v/>
      </c>
      <c r="B204" s="687"/>
      <c r="C204" s="734" t="str">
        <f>IF(D204="","",COUNTA($D$6:D204))</f>
        <v/>
      </c>
      <c r="D204" s="745"/>
      <c r="E204" s="746"/>
      <c r="F204" s="747"/>
      <c r="G204" s="747"/>
      <c r="H204" s="747"/>
      <c r="I204" s="747"/>
      <c r="J204" s="746"/>
      <c r="K204" s="747"/>
      <c r="L204" s="748"/>
      <c r="M204" s="750"/>
      <c r="N204" s="747"/>
      <c r="O204" s="749"/>
      <c r="P204" s="747"/>
      <c r="Q204" s="747"/>
      <c r="R204" s="747"/>
      <c r="S204" s="689"/>
      <c r="T204" s="689"/>
    </row>
    <row r="205" spans="1:24" ht="15" hidden="1" customHeight="1" outlineLevel="1" thickBot="1">
      <c r="A205" s="699" t="str">
        <f t="shared" si="6"/>
        <v/>
      </c>
      <c r="B205" s="687"/>
      <c r="C205" s="734" t="str">
        <f>IF(D205="","",COUNTA($D$6:D205))</f>
        <v/>
      </c>
      <c r="D205" s="745"/>
      <c r="E205" s="746"/>
      <c r="F205" s="747"/>
      <c r="G205" s="747"/>
      <c r="H205" s="747"/>
      <c r="I205" s="747"/>
      <c r="J205" s="746"/>
      <c r="K205" s="747"/>
      <c r="L205" s="748"/>
      <c r="M205" s="750"/>
      <c r="N205" s="747"/>
      <c r="O205" s="749"/>
      <c r="P205" s="747"/>
      <c r="Q205" s="747"/>
      <c r="R205" s="747"/>
      <c r="S205" s="689"/>
      <c r="T205" s="689"/>
    </row>
    <row r="206" spans="1:24" ht="15" customHeight="1" collapsed="1">
      <c r="A206" s="751"/>
      <c r="B206" s="687"/>
      <c r="C206" s="752"/>
      <c r="D206" s="752"/>
      <c r="E206" s="752"/>
      <c r="F206" s="752"/>
      <c r="G206" s="752"/>
      <c r="H206" s="752"/>
      <c r="I206" s="752"/>
      <c r="J206" s="752"/>
      <c r="K206" s="752"/>
      <c r="L206" s="752"/>
      <c r="M206" s="758"/>
      <c r="N206" s="752"/>
      <c r="O206" s="752"/>
      <c r="P206" s="752"/>
      <c r="Q206" s="752"/>
      <c r="R206" s="752"/>
      <c r="S206" s="689"/>
      <c r="T206" s="689"/>
    </row>
    <row r="207" spans="1:24" s="738" customFormat="1" ht="22.5" customHeight="1" thickBot="1">
      <c r="B207" s="739"/>
      <c r="C207" s="740" t="s">
        <v>6838</v>
      </c>
      <c r="E207" s="741"/>
      <c r="J207" s="741"/>
      <c r="L207" s="742"/>
      <c r="M207" s="756"/>
      <c r="O207" s="743"/>
      <c r="V207" s="742"/>
      <c r="W207" s="742"/>
      <c r="X207" s="742"/>
    </row>
    <row r="208" spans="1:24" ht="15" customHeight="1" thickBot="1">
      <c r="A208" s="698" t="s">
        <v>3624</v>
      </c>
      <c r="B208" s="687"/>
      <c r="C208" s="735" t="s">
        <v>3612</v>
      </c>
      <c r="D208" s="735" t="s">
        <v>984</v>
      </c>
      <c r="E208" s="735" t="s">
        <v>3222</v>
      </c>
      <c r="F208" s="735" t="s">
        <v>3613</v>
      </c>
      <c r="G208" s="735" t="s">
        <v>98</v>
      </c>
      <c r="H208" s="735" t="s">
        <v>3615</v>
      </c>
      <c r="I208" s="735" t="s">
        <v>981</v>
      </c>
      <c r="J208" s="735" t="s">
        <v>3224</v>
      </c>
      <c r="K208" s="735" t="s">
        <v>96</v>
      </c>
      <c r="L208" s="735" t="s">
        <v>3617</v>
      </c>
      <c r="M208" s="757" t="s">
        <v>3618</v>
      </c>
      <c r="N208" s="735" t="s">
        <v>99</v>
      </c>
      <c r="O208" s="735" t="s">
        <v>3620</v>
      </c>
      <c r="P208" s="735" t="s">
        <v>3621</v>
      </c>
      <c r="Q208" s="735" t="s">
        <v>3622</v>
      </c>
      <c r="R208" s="735" t="s">
        <v>3623</v>
      </c>
    </row>
    <row r="209" spans="1:18" ht="15" customHeight="1" thickBot="1">
      <c r="A209" s="699" t="str">
        <f t="shared" ref="A209:A272" si="7">E209&amp;H209&amp;J209</f>
        <v>1701110075540보통주0</v>
      </c>
      <c r="B209" s="687"/>
      <c r="C209" s="734">
        <f>IF(D209="","",COUNTA($D$209:D209))</f>
        <v>1</v>
      </c>
      <c r="D209" s="692" t="s">
        <v>7182</v>
      </c>
      <c r="E209" s="693">
        <v>1701110075540</v>
      </c>
      <c r="F209" s="694" t="s">
        <v>7183</v>
      </c>
      <c r="G209" s="694" t="s">
        <v>7214</v>
      </c>
      <c r="H209" s="694" t="s">
        <v>41</v>
      </c>
      <c r="I209" s="694" t="s">
        <v>3134</v>
      </c>
      <c r="J209" s="693">
        <v>0</v>
      </c>
      <c r="K209" s="694" t="s">
        <v>3135</v>
      </c>
      <c r="L209" s="695">
        <v>909090</v>
      </c>
      <c r="M209" s="697"/>
      <c r="N209" s="694" t="s">
        <v>7184</v>
      </c>
      <c r="O209" s="696" t="s">
        <v>7185</v>
      </c>
      <c r="P209" s="694" t="b">
        <v>0</v>
      </c>
      <c r="Q209" s="694"/>
      <c r="R209" s="694"/>
    </row>
    <row r="210" spans="1:18" ht="15" customHeight="1" thickBot="1">
      <c r="A210" s="699" t="str">
        <f t="shared" si="7"/>
        <v/>
      </c>
      <c r="B210" s="687"/>
      <c r="C210" s="734" t="str">
        <f>IF(D210="","",COUNTA($D$209:D210))</f>
        <v/>
      </c>
      <c r="D210" s="692"/>
      <c r="E210" s="693"/>
      <c r="F210" s="694"/>
      <c r="G210" s="694"/>
      <c r="H210" s="694"/>
      <c r="I210" s="694"/>
      <c r="J210" s="693"/>
      <c r="K210" s="694"/>
      <c r="L210" s="695"/>
      <c r="M210" s="697"/>
      <c r="N210" s="697"/>
      <c r="O210" s="696"/>
      <c r="P210" s="694"/>
      <c r="Q210" s="694"/>
      <c r="R210" s="694"/>
    </row>
    <row r="211" spans="1:18" ht="15" customHeight="1" thickBot="1">
      <c r="A211" s="699" t="str">
        <f t="shared" si="7"/>
        <v/>
      </c>
      <c r="B211" s="687"/>
      <c r="C211" s="734" t="str">
        <f>IF(D211="","",COUNTA($D$209:D211))</f>
        <v/>
      </c>
      <c r="D211" s="692"/>
      <c r="E211" s="693"/>
      <c r="F211" s="694"/>
      <c r="G211" s="694"/>
      <c r="H211" s="694"/>
      <c r="I211" s="694"/>
      <c r="J211" s="693"/>
      <c r="K211" s="694"/>
      <c r="L211" s="695"/>
      <c r="M211" s="697"/>
      <c r="N211" s="697"/>
      <c r="O211" s="696"/>
      <c r="P211" s="694"/>
      <c r="Q211" s="694"/>
      <c r="R211" s="694"/>
    </row>
    <row r="212" spans="1:18" ht="15" customHeight="1" thickBot="1">
      <c r="A212" s="699" t="str">
        <f t="shared" si="7"/>
        <v/>
      </c>
      <c r="B212" s="687"/>
      <c r="C212" s="734" t="str">
        <f>IF(D212="","",COUNTA($D$209:D212))</f>
        <v/>
      </c>
      <c r="D212" s="692"/>
      <c r="E212" s="693"/>
      <c r="F212" s="694"/>
      <c r="G212" s="694"/>
      <c r="H212" s="694"/>
      <c r="I212" s="694"/>
      <c r="J212" s="693"/>
      <c r="K212" s="694"/>
      <c r="L212" s="695"/>
      <c r="M212" s="697"/>
      <c r="N212" s="694"/>
      <c r="O212" s="696"/>
      <c r="P212" s="694"/>
      <c r="Q212" s="694"/>
      <c r="R212" s="694"/>
    </row>
    <row r="213" spans="1:18" ht="15" customHeight="1" thickBot="1">
      <c r="A213" s="699" t="str">
        <f t="shared" si="7"/>
        <v/>
      </c>
      <c r="B213" s="687"/>
      <c r="C213" s="734" t="str">
        <f>IF(D213="","",COUNTA($D$209:D213))</f>
        <v/>
      </c>
      <c r="D213" s="692"/>
      <c r="E213" s="693"/>
      <c r="F213" s="694"/>
      <c r="G213" s="694"/>
      <c r="H213" s="694"/>
      <c r="I213" s="694"/>
      <c r="J213" s="693"/>
      <c r="K213" s="694"/>
      <c r="L213" s="695"/>
      <c r="M213" s="697"/>
      <c r="N213" s="694"/>
      <c r="O213" s="696"/>
      <c r="P213" s="694"/>
      <c r="Q213" s="694"/>
      <c r="R213" s="694"/>
    </row>
    <row r="214" spans="1:18" ht="15" customHeight="1" thickBot="1">
      <c r="A214" s="699" t="str">
        <f t="shared" si="7"/>
        <v/>
      </c>
      <c r="B214" s="687"/>
      <c r="C214" s="734" t="str">
        <f>IF(D214="","",COUNTA($D$209:D214))</f>
        <v/>
      </c>
      <c r="D214" s="692"/>
      <c r="E214" s="693"/>
      <c r="F214" s="694"/>
      <c r="G214" s="694"/>
      <c r="H214" s="694"/>
      <c r="I214" s="694"/>
      <c r="J214" s="693"/>
      <c r="K214" s="694"/>
      <c r="L214" s="695"/>
      <c r="M214" s="697"/>
      <c r="N214" s="697"/>
      <c r="O214" s="696"/>
      <c r="P214" s="694"/>
      <c r="Q214" s="694"/>
      <c r="R214" s="694"/>
    </row>
    <row r="215" spans="1:18" ht="15" customHeight="1" thickBot="1">
      <c r="A215" s="699" t="str">
        <f t="shared" si="7"/>
        <v/>
      </c>
      <c r="B215" s="687"/>
      <c r="C215" s="734" t="str">
        <f>IF(D215="","",COUNTA($D$209:D215))</f>
        <v/>
      </c>
      <c r="D215" s="692"/>
      <c r="E215" s="693"/>
      <c r="F215" s="694"/>
      <c r="G215" s="694"/>
      <c r="H215" s="694"/>
      <c r="I215" s="694"/>
      <c r="J215" s="693"/>
      <c r="K215" s="694"/>
      <c r="L215" s="695"/>
      <c r="M215" s="697"/>
      <c r="N215" s="697"/>
      <c r="O215" s="696"/>
      <c r="P215" s="694"/>
      <c r="Q215" s="694"/>
      <c r="R215" s="694"/>
    </row>
    <row r="216" spans="1:18" ht="15" customHeight="1" thickBot="1">
      <c r="A216" s="699" t="str">
        <f t="shared" si="7"/>
        <v/>
      </c>
      <c r="B216" s="687"/>
      <c r="C216" s="734" t="str">
        <f>IF(D216="","",COUNTA($D$209:D216))</f>
        <v/>
      </c>
      <c r="D216" s="692"/>
      <c r="E216" s="693"/>
      <c r="F216" s="694"/>
      <c r="G216" s="694"/>
      <c r="H216" s="694"/>
      <c r="I216" s="694"/>
      <c r="J216" s="693"/>
      <c r="K216" s="694"/>
      <c r="L216" s="695"/>
      <c r="M216" s="697"/>
      <c r="N216" s="697"/>
      <c r="O216" s="696"/>
      <c r="P216" s="694"/>
      <c r="Q216" s="694"/>
      <c r="R216" s="694"/>
    </row>
    <row r="217" spans="1:18" ht="15" customHeight="1" thickBot="1">
      <c r="A217" s="699" t="str">
        <f t="shared" si="7"/>
        <v/>
      </c>
      <c r="B217" s="687"/>
      <c r="C217" s="734" t="str">
        <f>IF(D217="","",COUNTA($D$209:D217))</f>
        <v/>
      </c>
      <c r="D217" s="692"/>
      <c r="E217" s="693"/>
      <c r="F217" s="694"/>
      <c r="G217" s="694"/>
      <c r="H217" s="694"/>
      <c r="I217" s="694"/>
      <c r="J217" s="693"/>
      <c r="K217" s="694"/>
      <c r="L217" s="695"/>
      <c r="M217" s="697"/>
      <c r="N217" s="697"/>
      <c r="O217" s="696"/>
      <c r="P217" s="694"/>
      <c r="Q217" s="694"/>
      <c r="R217" s="694"/>
    </row>
    <row r="218" spans="1:18" ht="15" customHeight="1" thickBot="1">
      <c r="A218" s="699" t="str">
        <f t="shared" si="7"/>
        <v/>
      </c>
      <c r="B218" s="687"/>
      <c r="C218" s="734" t="str">
        <f>IF(D218="","",COUNTA($D$209:D218))</f>
        <v/>
      </c>
      <c r="D218" s="692"/>
      <c r="E218" s="693"/>
      <c r="F218" s="694"/>
      <c r="G218" s="694"/>
      <c r="H218" s="694"/>
      <c r="I218" s="694"/>
      <c r="J218" s="693"/>
      <c r="K218" s="694"/>
      <c r="L218" s="695"/>
      <c r="M218" s="697"/>
      <c r="N218" s="697"/>
      <c r="O218" s="696"/>
      <c r="P218" s="694"/>
      <c r="Q218" s="694"/>
      <c r="R218" s="694"/>
    </row>
    <row r="219" spans="1:18" ht="15" customHeight="1" thickBot="1">
      <c r="A219" s="699" t="str">
        <f t="shared" si="7"/>
        <v/>
      </c>
      <c r="B219" s="687"/>
      <c r="C219" s="734" t="str">
        <f>IF(D219="","",COUNTA($D$209:D219))</f>
        <v/>
      </c>
      <c r="D219" s="692"/>
      <c r="E219" s="693"/>
      <c r="F219" s="694"/>
      <c r="G219" s="694"/>
      <c r="H219" s="694"/>
      <c r="I219" s="694"/>
      <c r="J219" s="693"/>
      <c r="K219" s="694"/>
      <c r="L219" s="695"/>
      <c r="M219" s="697"/>
      <c r="N219" s="697"/>
      <c r="O219" s="696"/>
      <c r="P219" s="694"/>
      <c r="Q219" s="694"/>
      <c r="R219" s="694"/>
    </row>
    <row r="220" spans="1:18" ht="15" customHeight="1" thickBot="1">
      <c r="A220" s="699" t="str">
        <f t="shared" si="7"/>
        <v/>
      </c>
      <c r="B220" s="687"/>
      <c r="C220" s="734" t="str">
        <f>IF(D220="","",COUNTA($D$209:D220))</f>
        <v/>
      </c>
      <c r="D220" s="692"/>
      <c r="E220" s="693"/>
      <c r="F220" s="694"/>
      <c r="G220" s="694"/>
      <c r="H220" s="694"/>
      <c r="I220" s="694"/>
      <c r="J220" s="693"/>
      <c r="K220" s="694"/>
      <c r="L220" s="695"/>
      <c r="M220" s="697"/>
      <c r="N220" s="697"/>
      <c r="O220" s="696"/>
      <c r="P220" s="694"/>
      <c r="Q220" s="694"/>
      <c r="R220" s="694"/>
    </row>
    <row r="221" spans="1:18" ht="15" customHeight="1" thickBot="1">
      <c r="A221" s="699" t="str">
        <f t="shared" si="7"/>
        <v/>
      </c>
      <c r="B221" s="687"/>
      <c r="C221" s="734" t="str">
        <f>IF(D221="","",COUNTA($D$209:D221))</f>
        <v/>
      </c>
      <c r="D221" s="692"/>
      <c r="E221" s="693"/>
      <c r="F221" s="694"/>
      <c r="G221" s="694"/>
      <c r="H221" s="694"/>
      <c r="I221" s="694"/>
      <c r="J221" s="693"/>
      <c r="K221" s="694"/>
      <c r="L221" s="695"/>
      <c r="M221" s="697"/>
      <c r="N221" s="697"/>
      <c r="O221" s="696"/>
      <c r="P221" s="694"/>
      <c r="Q221" s="694"/>
      <c r="R221" s="694"/>
    </row>
    <row r="222" spans="1:18" ht="15" customHeight="1" thickBot="1">
      <c r="A222" s="699" t="str">
        <f t="shared" si="7"/>
        <v/>
      </c>
      <c r="B222" s="687"/>
      <c r="C222" s="734" t="str">
        <f>IF(D222="","",COUNTA($D$209:D222))</f>
        <v/>
      </c>
      <c r="D222" s="692"/>
      <c r="E222" s="693"/>
      <c r="F222" s="694"/>
      <c r="G222" s="694"/>
      <c r="H222" s="694"/>
      <c r="I222" s="694"/>
      <c r="J222" s="693"/>
      <c r="K222" s="694"/>
      <c r="L222" s="695"/>
      <c r="M222" s="697"/>
      <c r="N222" s="697"/>
      <c r="O222" s="696"/>
      <c r="P222" s="694"/>
      <c r="Q222" s="694"/>
      <c r="R222" s="694"/>
    </row>
    <row r="223" spans="1:18" ht="15" customHeight="1" thickBot="1">
      <c r="A223" s="699" t="str">
        <f t="shared" si="7"/>
        <v/>
      </c>
      <c r="B223" s="687"/>
      <c r="C223" s="734" t="str">
        <f>IF(D223="","",COUNTA($D$209:D223))</f>
        <v/>
      </c>
      <c r="D223" s="692"/>
      <c r="E223" s="693"/>
      <c r="F223" s="694"/>
      <c r="G223" s="694"/>
      <c r="H223" s="694"/>
      <c r="I223" s="694"/>
      <c r="J223" s="693"/>
      <c r="K223" s="694"/>
      <c r="L223" s="695"/>
      <c r="M223" s="697"/>
      <c r="N223" s="697"/>
      <c r="O223" s="696"/>
      <c r="P223" s="694"/>
      <c r="Q223" s="694"/>
      <c r="R223" s="694"/>
    </row>
    <row r="224" spans="1:18" ht="15" customHeight="1" thickBot="1">
      <c r="A224" s="699" t="str">
        <f t="shared" si="7"/>
        <v/>
      </c>
      <c r="B224" s="687"/>
      <c r="C224" s="734" t="str">
        <f>IF(D224="","",COUNTA($D$209:D224))</f>
        <v/>
      </c>
      <c r="D224" s="692"/>
      <c r="E224" s="693"/>
      <c r="F224" s="694"/>
      <c r="G224" s="694"/>
      <c r="H224" s="694"/>
      <c r="I224" s="694"/>
      <c r="J224" s="693"/>
      <c r="K224" s="694"/>
      <c r="L224" s="695"/>
      <c r="M224" s="697"/>
      <c r="N224" s="697"/>
      <c r="O224" s="696"/>
      <c r="P224" s="694"/>
      <c r="Q224" s="694"/>
      <c r="R224" s="694"/>
    </row>
    <row r="225" spans="1:18" ht="15" customHeight="1" thickBot="1">
      <c r="A225" s="699" t="str">
        <f t="shared" si="7"/>
        <v/>
      </c>
      <c r="B225" s="687"/>
      <c r="C225" s="734" t="str">
        <f>IF(D225="","",COUNTA($D$209:D225))</f>
        <v/>
      </c>
      <c r="D225" s="692"/>
      <c r="E225" s="693"/>
      <c r="F225" s="694"/>
      <c r="G225" s="694"/>
      <c r="H225" s="694"/>
      <c r="I225" s="694"/>
      <c r="J225" s="693"/>
      <c r="K225" s="694"/>
      <c r="L225" s="695"/>
      <c r="M225" s="697"/>
      <c r="N225" s="697"/>
      <c r="O225" s="696"/>
      <c r="P225" s="694"/>
      <c r="Q225" s="694"/>
      <c r="R225" s="694"/>
    </row>
    <row r="226" spans="1:18" ht="15" customHeight="1" thickBot="1">
      <c r="A226" s="699" t="str">
        <f t="shared" si="7"/>
        <v/>
      </c>
      <c r="B226" s="687"/>
      <c r="C226" s="734" t="str">
        <f>IF(D226="","",COUNTA($D$209:D226))</f>
        <v/>
      </c>
      <c r="D226" s="692"/>
      <c r="E226" s="693"/>
      <c r="F226" s="694"/>
      <c r="G226" s="694"/>
      <c r="H226" s="694"/>
      <c r="I226" s="694"/>
      <c r="J226" s="693"/>
      <c r="K226" s="694"/>
      <c r="L226" s="695"/>
      <c r="M226" s="697"/>
      <c r="N226" s="697"/>
      <c r="O226" s="696"/>
      <c r="P226" s="694"/>
      <c r="Q226" s="694"/>
      <c r="R226" s="694"/>
    </row>
    <row r="227" spans="1:18" ht="15" customHeight="1" thickBot="1">
      <c r="A227" s="699" t="str">
        <f t="shared" si="7"/>
        <v/>
      </c>
      <c r="B227" s="687"/>
      <c r="C227" s="734" t="str">
        <f>IF(D227="","",COUNTA($D$209:D227))</f>
        <v/>
      </c>
      <c r="D227" s="692"/>
      <c r="E227" s="693"/>
      <c r="F227" s="694"/>
      <c r="G227" s="694"/>
      <c r="H227" s="694"/>
      <c r="I227" s="694"/>
      <c r="J227" s="693"/>
      <c r="K227" s="694"/>
      <c r="L227" s="695"/>
      <c r="M227" s="697"/>
      <c r="N227" s="697"/>
      <c r="O227" s="696"/>
      <c r="P227" s="694"/>
      <c r="Q227" s="694"/>
      <c r="R227" s="694"/>
    </row>
    <row r="228" spans="1:18" ht="15" customHeight="1" thickBot="1">
      <c r="A228" s="699" t="str">
        <f t="shared" si="7"/>
        <v/>
      </c>
      <c r="B228" s="687"/>
      <c r="C228" s="734" t="str">
        <f>IF(D228="","",COUNTA($D$209:D228))</f>
        <v/>
      </c>
      <c r="D228" s="692"/>
      <c r="E228" s="693"/>
      <c r="F228" s="694"/>
      <c r="G228" s="694"/>
      <c r="H228" s="694"/>
      <c r="I228" s="694"/>
      <c r="J228" s="693"/>
      <c r="K228" s="694"/>
      <c r="L228" s="695"/>
      <c r="M228" s="697"/>
      <c r="N228" s="697"/>
      <c r="O228" s="696"/>
      <c r="P228" s="694"/>
      <c r="Q228" s="694"/>
      <c r="R228" s="694"/>
    </row>
    <row r="229" spans="1:18" ht="15" customHeight="1" thickBot="1">
      <c r="A229" s="699" t="str">
        <f t="shared" si="7"/>
        <v/>
      </c>
      <c r="B229" s="687"/>
      <c r="C229" s="734" t="str">
        <f>IF(D229="","",COUNTA($D$209:D229))</f>
        <v/>
      </c>
      <c r="D229" s="692"/>
      <c r="E229" s="693"/>
      <c r="F229" s="694"/>
      <c r="G229" s="694"/>
      <c r="H229" s="694"/>
      <c r="I229" s="694"/>
      <c r="J229" s="693"/>
      <c r="K229" s="694"/>
      <c r="L229" s="695"/>
      <c r="M229" s="697"/>
      <c r="N229" s="697"/>
      <c r="O229" s="696"/>
      <c r="P229" s="694"/>
      <c r="Q229" s="694"/>
      <c r="R229" s="694"/>
    </row>
    <row r="230" spans="1:18" ht="15" customHeight="1" thickBot="1">
      <c r="A230" s="699" t="str">
        <f t="shared" si="7"/>
        <v/>
      </c>
      <c r="B230" s="687"/>
      <c r="C230" s="734" t="str">
        <f>IF(D230="","",COUNTA($D$209:D230))</f>
        <v/>
      </c>
      <c r="D230" s="692"/>
      <c r="E230" s="693"/>
      <c r="F230" s="694"/>
      <c r="G230" s="694"/>
      <c r="H230" s="694"/>
      <c r="I230" s="694"/>
      <c r="J230" s="693"/>
      <c r="K230" s="694"/>
      <c r="L230" s="695"/>
      <c r="M230" s="697"/>
      <c r="N230" s="697"/>
      <c r="O230" s="696"/>
      <c r="P230" s="694"/>
      <c r="Q230" s="694"/>
      <c r="R230" s="694"/>
    </row>
    <row r="231" spans="1:18" ht="15" customHeight="1" thickBot="1">
      <c r="A231" s="699" t="str">
        <f t="shared" si="7"/>
        <v/>
      </c>
      <c r="B231" s="687"/>
      <c r="C231" s="734" t="str">
        <f>IF(D231="","",COUNTA($D$209:D231))</f>
        <v/>
      </c>
      <c r="D231" s="692"/>
      <c r="E231" s="693"/>
      <c r="F231" s="694"/>
      <c r="G231" s="694"/>
      <c r="H231" s="694"/>
      <c r="I231" s="694"/>
      <c r="J231" s="693"/>
      <c r="K231" s="694"/>
      <c r="L231" s="695"/>
      <c r="M231" s="697"/>
      <c r="N231" s="697"/>
      <c r="O231" s="696"/>
      <c r="P231" s="694"/>
      <c r="Q231" s="694"/>
      <c r="R231" s="694"/>
    </row>
    <row r="232" spans="1:18" ht="15" customHeight="1" thickBot="1">
      <c r="A232" s="699" t="str">
        <f t="shared" si="7"/>
        <v/>
      </c>
      <c r="B232" s="687"/>
      <c r="C232" s="734" t="str">
        <f>IF(D232="","",COUNTA($D$209:D232))</f>
        <v/>
      </c>
      <c r="D232" s="692"/>
      <c r="E232" s="693"/>
      <c r="F232" s="694"/>
      <c r="G232" s="694"/>
      <c r="H232" s="694"/>
      <c r="I232" s="694"/>
      <c r="J232" s="693"/>
      <c r="K232" s="694"/>
      <c r="L232" s="695"/>
      <c r="M232" s="697"/>
      <c r="N232" s="697"/>
      <c r="O232" s="696"/>
      <c r="P232" s="694"/>
      <c r="Q232" s="694"/>
      <c r="R232" s="694"/>
    </row>
    <row r="233" spans="1:18" ht="15" customHeight="1" thickBot="1">
      <c r="A233" s="699" t="str">
        <f t="shared" si="7"/>
        <v/>
      </c>
      <c r="B233" s="687"/>
      <c r="C233" s="734" t="str">
        <f>IF(D233="","",COUNTA($D$209:D233))</f>
        <v/>
      </c>
      <c r="D233" s="692"/>
      <c r="E233" s="693"/>
      <c r="F233" s="694"/>
      <c r="G233" s="694"/>
      <c r="H233" s="694"/>
      <c r="I233" s="694"/>
      <c r="J233" s="693"/>
      <c r="K233" s="694"/>
      <c r="L233" s="695"/>
      <c r="M233" s="697"/>
      <c r="N233" s="697"/>
      <c r="O233" s="696"/>
      <c r="P233" s="694"/>
      <c r="Q233" s="694"/>
      <c r="R233" s="694"/>
    </row>
    <row r="234" spans="1:18" ht="15" customHeight="1" thickBot="1">
      <c r="A234" s="699" t="str">
        <f t="shared" si="7"/>
        <v/>
      </c>
      <c r="B234" s="687"/>
      <c r="C234" s="734" t="str">
        <f>IF(D234="","",COUNTA($D$209:D234))</f>
        <v/>
      </c>
      <c r="D234" s="692"/>
      <c r="E234" s="693"/>
      <c r="F234" s="694"/>
      <c r="G234" s="694"/>
      <c r="H234" s="694"/>
      <c r="I234" s="694"/>
      <c r="J234" s="693"/>
      <c r="K234" s="694"/>
      <c r="L234" s="695"/>
      <c r="M234" s="697"/>
      <c r="N234" s="697"/>
      <c r="O234" s="696"/>
      <c r="P234" s="694"/>
      <c r="Q234" s="694"/>
      <c r="R234" s="694"/>
    </row>
    <row r="235" spans="1:18" ht="15" customHeight="1" thickBot="1">
      <c r="A235" s="699" t="str">
        <f t="shared" si="7"/>
        <v/>
      </c>
      <c r="B235" s="687"/>
      <c r="C235" s="734" t="str">
        <f>IF(D235="","",COUNTA($D$209:D235))</f>
        <v/>
      </c>
      <c r="D235" s="692"/>
      <c r="E235" s="693"/>
      <c r="F235" s="694"/>
      <c r="G235" s="694"/>
      <c r="H235" s="694"/>
      <c r="I235" s="694"/>
      <c r="J235" s="693"/>
      <c r="K235" s="694"/>
      <c r="L235" s="695"/>
      <c r="M235" s="697"/>
      <c r="N235" s="694"/>
      <c r="O235" s="696"/>
      <c r="P235" s="694"/>
      <c r="Q235" s="694"/>
      <c r="R235" s="694"/>
    </row>
    <row r="236" spans="1:18" ht="15" customHeight="1" thickBot="1">
      <c r="A236" s="699" t="str">
        <f t="shared" si="7"/>
        <v/>
      </c>
      <c r="B236" s="687"/>
      <c r="C236" s="734" t="str">
        <f>IF(D236="","",COUNTA($D$209:D236))</f>
        <v/>
      </c>
      <c r="D236" s="692"/>
      <c r="E236" s="693"/>
      <c r="F236" s="694"/>
      <c r="G236" s="694"/>
      <c r="H236" s="694"/>
      <c r="I236" s="694"/>
      <c r="J236" s="693"/>
      <c r="K236" s="694"/>
      <c r="L236" s="695"/>
      <c r="M236" s="697"/>
      <c r="N236" s="697"/>
      <c r="O236" s="696"/>
      <c r="P236" s="694"/>
      <c r="Q236" s="694"/>
      <c r="R236" s="694"/>
    </row>
    <row r="237" spans="1:18" ht="15" customHeight="1" thickBot="1">
      <c r="A237" s="699" t="str">
        <f t="shared" si="7"/>
        <v/>
      </c>
      <c r="B237" s="687"/>
      <c r="C237" s="734" t="str">
        <f>IF(D237="","",COUNTA($D$209:D237))</f>
        <v/>
      </c>
      <c r="D237" s="692"/>
      <c r="E237" s="693"/>
      <c r="F237" s="694"/>
      <c r="G237" s="694"/>
      <c r="H237" s="694"/>
      <c r="I237" s="694"/>
      <c r="J237" s="693"/>
      <c r="K237" s="694"/>
      <c r="L237" s="695"/>
      <c r="M237" s="697"/>
      <c r="N237" s="697"/>
      <c r="O237" s="696"/>
      <c r="P237" s="694"/>
      <c r="Q237" s="694"/>
      <c r="R237" s="694"/>
    </row>
    <row r="238" spans="1:18" ht="15" customHeight="1" thickBot="1">
      <c r="A238" s="699" t="str">
        <f t="shared" si="7"/>
        <v/>
      </c>
      <c r="B238" s="687"/>
      <c r="C238" s="734" t="str">
        <f>IF(D238="","",COUNTA($D$209:D238))</f>
        <v/>
      </c>
      <c r="D238" s="692"/>
      <c r="E238" s="693"/>
      <c r="F238" s="694"/>
      <c r="G238" s="694"/>
      <c r="H238" s="694"/>
      <c r="I238" s="694"/>
      <c r="J238" s="693"/>
      <c r="K238" s="694"/>
      <c r="L238" s="695"/>
      <c r="M238" s="697"/>
      <c r="N238" s="697"/>
      <c r="O238" s="696"/>
      <c r="P238" s="694"/>
      <c r="Q238" s="694"/>
      <c r="R238" s="694"/>
    </row>
    <row r="239" spans="1:18" ht="15" hidden="1" customHeight="1" outlineLevel="1" thickBot="1">
      <c r="A239" s="699" t="str">
        <f t="shared" si="7"/>
        <v/>
      </c>
      <c r="B239" s="687"/>
      <c r="C239" s="734" t="str">
        <f>IF(D239="","",COUNTA($D$209:D239))</f>
        <v/>
      </c>
      <c r="D239" s="692"/>
      <c r="E239" s="693"/>
      <c r="F239" s="694"/>
      <c r="G239" s="694"/>
      <c r="H239" s="694"/>
      <c r="I239" s="694"/>
      <c r="J239" s="693"/>
      <c r="K239" s="694"/>
      <c r="L239" s="695"/>
      <c r="M239" s="697"/>
      <c r="N239" s="697"/>
      <c r="O239" s="696"/>
      <c r="P239" s="694"/>
      <c r="Q239" s="694"/>
      <c r="R239" s="694"/>
    </row>
    <row r="240" spans="1:18" ht="15" hidden="1" customHeight="1" outlineLevel="1" thickBot="1">
      <c r="A240" s="699" t="str">
        <f t="shared" si="7"/>
        <v/>
      </c>
      <c r="B240" s="687"/>
      <c r="C240" s="734" t="str">
        <f>IF(D240="","",COUNTA($D$209:D240))</f>
        <v/>
      </c>
      <c r="D240" s="692"/>
      <c r="E240" s="693"/>
      <c r="F240" s="694"/>
      <c r="G240" s="694"/>
      <c r="H240" s="694"/>
      <c r="I240" s="694"/>
      <c r="J240" s="693"/>
      <c r="K240" s="694"/>
      <c r="L240" s="695"/>
      <c r="M240" s="697"/>
      <c r="N240" s="694"/>
      <c r="O240" s="696"/>
      <c r="P240" s="694"/>
      <c r="Q240" s="694"/>
      <c r="R240" s="694"/>
    </row>
    <row r="241" spans="1:18" ht="15" hidden="1" customHeight="1" outlineLevel="1" thickBot="1">
      <c r="A241" s="699" t="str">
        <f t="shared" si="7"/>
        <v/>
      </c>
      <c r="B241" s="687"/>
      <c r="C241" s="734" t="str">
        <f>IF(D241="","",COUNTA($D$209:D241))</f>
        <v/>
      </c>
      <c r="D241" s="692"/>
      <c r="E241" s="693"/>
      <c r="F241" s="694"/>
      <c r="G241" s="694"/>
      <c r="H241" s="694"/>
      <c r="I241" s="694"/>
      <c r="J241" s="693"/>
      <c r="K241" s="694"/>
      <c r="L241" s="695"/>
      <c r="M241" s="697"/>
      <c r="N241" s="694"/>
      <c r="O241" s="696"/>
      <c r="P241" s="694"/>
      <c r="Q241" s="694"/>
      <c r="R241" s="694"/>
    </row>
    <row r="242" spans="1:18" ht="15" hidden="1" customHeight="1" outlineLevel="1" thickBot="1">
      <c r="A242" s="699" t="str">
        <f t="shared" si="7"/>
        <v/>
      </c>
      <c r="B242" s="687"/>
      <c r="C242" s="734" t="str">
        <f>IF(D242="","",COUNTA($D$209:D242))</f>
        <v/>
      </c>
      <c r="D242" s="692"/>
      <c r="E242" s="693"/>
      <c r="F242" s="694"/>
      <c r="G242" s="694"/>
      <c r="H242" s="694"/>
      <c r="I242" s="694"/>
      <c r="J242" s="693"/>
      <c r="K242" s="694"/>
      <c r="L242" s="695"/>
      <c r="M242" s="697"/>
      <c r="N242" s="697"/>
      <c r="O242" s="696"/>
      <c r="P242" s="694"/>
      <c r="Q242" s="694"/>
      <c r="R242" s="694"/>
    </row>
    <row r="243" spans="1:18" ht="15" hidden="1" customHeight="1" outlineLevel="1" thickBot="1">
      <c r="A243" s="699" t="str">
        <f t="shared" si="7"/>
        <v/>
      </c>
      <c r="B243" s="687"/>
      <c r="C243" s="734" t="str">
        <f>IF(D243="","",COUNTA($D$209:D243))</f>
        <v/>
      </c>
      <c r="D243" s="692"/>
      <c r="E243" s="693"/>
      <c r="F243" s="694"/>
      <c r="G243" s="694"/>
      <c r="H243" s="694"/>
      <c r="I243" s="694"/>
      <c r="J243" s="693"/>
      <c r="K243" s="694"/>
      <c r="L243" s="695"/>
      <c r="M243" s="697"/>
      <c r="N243" s="694"/>
      <c r="O243" s="696"/>
      <c r="P243" s="694"/>
      <c r="Q243" s="694"/>
      <c r="R243" s="694"/>
    </row>
    <row r="244" spans="1:18" ht="15" hidden="1" customHeight="1" outlineLevel="1" thickBot="1">
      <c r="A244" s="699" t="str">
        <f t="shared" si="7"/>
        <v/>
      </c>
      <c r="B244" s="687"/>
      <c r="C244" s="734" t="str">
        <f>IF(D244="","",COUNTA($D$209:D244))</f>
        <v/>
      </c>
      <c r="D244" s="692"/>
      <c r="E244" s="693"/>
      <c r="F244" s="694"/>
      <c r="G244" s="694"/>
      <c r="H244" s="694"/>
      <c r="I244" s="694"/>
      <c r="J244" s="693"/>
      <c r="K244" s="694"/>
      <c r="L244" s="695"/>
      <c r="M244" s="697"/>
      <c r="N244" s="694"/>
      <c r="O244" s="696"/>
      <c r="P244" s="694"/>
      <c r="Q244" s="694"/>
      <c r="R244" s="694"/>
    </row>
    <row r="245" spans="1:18" ht="15" hidden="1" customHeight="1" outlineLevel="1" thickBot="1">
      <c r="A245" s="699" t="str">
        <f t="shared" si="7"/>
        <v/>
      </c>
      <c r="B245" s="687"/>
      <c r="C245" s="734" t="str">
        <f>IF(D245="","",COUNTA($D$209:D245))</f>
        <v/>
      </c>
      <c r="D245" s="692"/>
      <c r="E245" s="693"/>
      <c r="F245" s="694"/>
      <c r="G245" s="694"/>
      <c r="H245" s="694"/>
      <c r="I245" s="694"/>
      <c r="J245" s="693"/>
      <c r="K245" s="694"/>
      <c r="L245" s="695"/>
      <c r="M245" s="697"/>
      <c r="N245" s="694"/>
      <c r="O245" s="696"/>
      <c r="P245" s="694"/>
      <c r="Q245" s="694"/>
      <c r="R245" s="694"/>
    </row>
    <row r="246" spans="1:18" ht="15" hidden="1" customHeight="1" outlineLevel="1" thickBot="1">
      <c r="A246" s="699" t="str">
        <f t="shared" si="7"/>
        <v/>
      </c>
      <c r="B246" s="687"/>
      <c r="C246" s="734" t="str">
        <f>IF(D246="","",COUNTA($D$209:D246))</f>
        <v/>
      </c>
      <c r="D246" s="692"/>
      <c r="E246" s="693"/>
      <c r="F246" s="694"/>
      <c r="G246" s="694"/>
      <c r="H246" s="694"/>
      <c r="I246" s="694"/>
      <c r="J246" s="693"/>
      <c r="K246" s="694"/>
      <c r="L246" s="695"/>
      <c r="M246" s="697"/>
      <c r="N246" s="694"/>
      <c r="O246" s="696"/>
      <c r="P246" s="694"/>
      <c r="Q246" s="694"/>
      <c r="R246" s="694"/>
    </row>
    <row r="247" spans="1:18" ht="15" hidden="1" customHeight="1" outlineLevel="1" thickBot="1">
      <c r="A247" s="699" t="str">
        <f t="shared" si="7"/>
        <v/>
      </c>
      <c r="B247" s="687"/>
      <c r="C247" s="734" t="str">
        <f>IF(D247="","",COUNTA($D$209:D247))</f>
        <v/>
      </c>
      <c r="D247" s="692"/>
      <c r="E247" s="693"/>
      <c r="F247" s="694"/>
      <c r="G247" s="694"/>
      <c r="H247" s="694"/>
      <c r="I247" s="694"/>
      <c r="J247" s="693"/>
      <c r="K247" s="694"/>
      <c r="L247" s="695"/>
      <c r="M247" s="697"/>
      <c r="N247" s="694"/>
      <c r="O247" s="696"/>
      <c r="P247" s="694"/>
      <c r="Q247" s="694"/>
      <c r="R247" s="694"/>
    </row>
    <row r="248" spans="1:18" ht="15" hidden="1" customHeight="1" outlineLevel="1" thickBot="1">
      <c r="A248" s="699" t="str">
        <f t="shared" si="7"/>
        <v/>
      </c>
      <c r="B248" s="687"/>
      <c r="C248" s="734" t="str">
        <f>IF(D248="","",COUNTA($D$209:D248))</f>
        <v/>
      </c>
      <c r="D248" s="692"/>
      <c r="E248" s="693"/>
      <c r="F248" s="694"/>
      <c r="G248" s="694"/>
      <c r="H248" s="694"/>
      <c r="I248" s="694"/>
      <c r="J248" s="693"/>
      <c r="K248" s="694"/>
      <c r="L248" s="695"/>
      <c r="M248" s="697"/>
      <c r="N248" s="694"/>
      <c r="O248" s="696"/>
      <c r="P248" s="694"/>
      <c r="Q248" s="694"/>
      <c r="R248" s="694"/>
    </row>
    <row r="249" spans="1:18" ht="15" hidden="1" customHeight="1" outlineLevel="1" thickBot="1">
      <c r="A249" s="699" t="str">
        <f t="shared" si="7"/>
        <v/>
      </c>
      <c r="B249" s="687"/>
      <c r="C249" s="734" t="str">
        <f>IF(D249="","",COUNTA($D$209:D249))</f>
        <v/>
      </c>
      <c r="D249" s="692"/>
      <c r="E249" s="693"/>
      <c r="F249" s="694"/>
      <c r="G249" s="694"/>
      <c r="H249" s="694"/>
      <c r="I249" s="694"/>
      <c r="J249" s="693"/>
      <c r="K249" s="694"/>
      <c r="L249" s="695"/>
      <c r="M249" s="697"/>
      <c r="N249" s="694"/>
      <c r="O249" s="696"/>
      <c r="P249" s="694"/>
      <c r="Q249" s="694"/>
      <c r="R249" s="694"/>
    </row>
    <row r="250" spans="1:18" ht="15" hidden="1" customHeight="1" outlineLevel="1" thickBot="1">
      <c r="A250" s="699" t="str">
        <f t="shared" si="7"/>
        <v/>
      </c>
      <c r="B250" s="687"/>
      <c r="C250" s="734" t="str">
        <f>IF(D250="","",COUNTA($D$209:D250))</f>
        <v/>
      </c>
      <c r="D250" s="692"/>
      <c r="E250" s="693"/>
      <c r="F250" s="694"/>
      <c r="G250" s="694"/>
      <c r="H250" s="694"/>
      <c r="I250" s="694"/>
      <c r="J250" s="693"/>
      <c r="K250" s="694"/>
      <c r="L250" s="695"/>
      <c r="M250" s="697"/>
      <c r="N250" s="694"/>
      <c r="O250" s="696"/>
      <c r="P250" s="694"/>
      <c r="Q250" s="694"/>
      <c r="R250" s="694"/>
    </row>
    <row r="251" spans="1:18" ht="15" hidden="1" customHeight="1" outlineLevel="1" thickBot="1">
      <c r="A251" s="699" t="str">
        <f t="shared" si="7"/>
        <v/>
      </c>
      <c r="B251" s="687"/>
      <c r="C251" s="734" t="str">
        <f>IF(D251="","",COUNTA($D$209:D251))</f>
        <v/>
      </c>
      <c r="D251" s="692"/>
      <c r="E251" s="693"/>
      <c r="F251" s="694"/>
      <c r="G251" s="694"/>
      <c r="H251" s="694"/>
      <c r="I251" s="694"/>
      <c r="J251" s="693"/>
      <c r="K251" s="694"/>
      <c r="L251" s="695"/>
      <c r="M251" s="697"/>
      <c r="N251" s="694"/>
      <c r="O251" s="696"/>
      <c r="P251" s="694"/>
      <c r="Q251" s="694"/>
      <c r="R251" s="694"/>
    </row>
    <row r="252" spans="1:18" ht="15" hidden="1" customHeight="1" outlineLevel="1" thickBot="1">
      <c r="A252" s="699" t="str">
        <f t="shared" si="7"/>
        <v/>
      </c>
      <c r="B252" s="687"/>
      <c r="C252" s="734" t="str">
        <f>IF(D252="","",COUNTA($D$209:D252))</f>
        <v/>
      </c>
      <c r="D252" s="692"/>
      <c r="E252" s="693"/>
      <c r="F252" s="694"/>
      <c r="G252" s="694"/>
      <c r="H252" s="694"/>
      <c r="I252" s="694"/>
      <c r="J252" s="693"/>
      <c r="K252" s="694"/>
      <c r="L252" s="695"/>
      <c r="M252" s="697"/>
      <c r="N252" s="694"/>
      <c r="O252" s="696"/>
      <c r="P252" s="694"/>
      <c r="Q252" s="694"/>
      <c r="R252" s="694"/>
    </row>
    <row r="253" spans="1:18" ht="15" hidden="1" customHeight="1" outlineLevel="1" thickBot="1">
      <c r="A253" s="699" t="str">
        <f t="shared" si="7"/>
        <v/>
      </c>
      <c r="B253" s="687"/>
      <c r="C253" s="734" t="str">
        <f>IF(D253="","",COUNTA($D$209:D253))</f>
        <v/>
      </c>
      <c r="D253" s="692"/>
      <c r="E253" s="693"/>
      <c r="F253" s="694"/>
      <c r="G253" s="694"/>
      <c r="H253" s="694"/>
      <c r="I253" s="694"/>
      <c r="J253" s="693"/>
      <c r="K253" s="694"/>
      <c r="L253" s="695"/>
      <c r="M253" s="697"/>
      <c r="N253" s="694"/>
      <c r="O253" s="696"/>
      <c r="P253" s="694"/>
      <c r="Q253" s="694"/>
      <c r="R253" s="694"/>
    </row>
    <row r="254" spans="1:18" ht="15" hidden="1" customHeight="1" outlineLevel="1" thickBot="1">
      <c r="A254" s="699" t="str">
        <f t="shared" si="7"/>
        <v/>
      </c>
      <c r="B254" s="687"/>
      <c r="C254" s="734" t="str">
        <f>IF(D254="","",COUNTA($D$209:D254))</f>
        <v/>
      </c>
      <c r="D254" s="692"/>
      <c r="E254" s="693"/>
      <c r="F254" s="694"/>
      <c r="G254" s="694"/>
      <c r="H254" s="694"/>
      <c r="I254" s="694"/>
      <c r="J254" s="693"/>
      <c r="K254" s="694"/>
      <c r="L254" s="695"/>
      <c r="M254" s="697"/>
      <c r="N254" s="694"/>
      <c r="O254" s="696"/>
      <c r="P254" s="694"/>
      <c r="Q254" s="694"/>
      <c r="R254" s="694"/>
    </row>
    <row r="255" spans="1:18" ht="15" hidden="1" customHeight="1" outlineLevel="1" thickBot="1">
      <c r="A255" s="699" t="str">
        <f t="shared" si="7"/>
        <v/>
      </c>
      <c r="B255" s="687"/>
      <c r="C255" s="734" t="str">
        <f>IF(D255="","",COUNTA($D$209:D255))</f>
        <v/>
      </c>
      <c r="D255" s="692"/>
      <c r="E255" s="693"/>
      <c r="F255" s="694"/>
      <c r="G255" s="694"/>
      <c r="H255" s="694"/>
      <c r="I255" s="694"/>
      <c r="J255" s="693"/>
      <c r="K255" s="694"/>
      <c r="L255" s="695"/>
      <c r="M255" s="697"/>
      <c r="N255" s="694"/>
      <c r="O255" s="696"/>
      <c r="P255" s="694"/>
      <c r="Q255" s="694"/>
      <c r="R255" s="694"/>
    </row>
    <row r="256" spans="1:18" ht="15" hidden="1" customHeight="1" outlineLevel="1" thickBot="1">
      <c r="A256" s="699" t="str">
        <f t="shared" si="7"/>
        <v/>
      </c>
      <c r="B256" s="687"/>
      <c r="C256" s="734" t="str">
        <f>IF(D256="","",COUNTA($D$209:D256))</f>
        <v/>
      </c>
      <c r="D256" s="692"/>
      <c r="E256" s="693"/>
      <c r="F256" s="694"/>
      <c r="G256" s="694"/>
      <c r="H256" s="694"/>
      <c r="I256" s="694"/>
      <c r="J256" s="693"/>
      <c r="K256" s="694"/>
      <c r="L256" s="695"/>
      <c r="M256" s="697"/>
      <c r="N256" s="694"/>
      <c r="O256" s="696"/>
      <c r="P256" s="694"/>
      <c r="Q256" s="694"/>
      <c r="R256" s="694"/>
    </row>
    <row r="257" spans="1:18" ht="15" hidden="1" customHeight="1" outlineLevel="1" thickBot="1">
      <c r="A257" s="699" t="str">
        <f t="shared" si="7"/>
        <v/>
      </c>
      <c r="B257" s="687"/>
      <c r="C257" s="734" t="str">
        <f>IF(D257="","",COUNTA($D$209:D257))</f>
        <v/>
      </c>
      <c r="D257" s="692"/>
      <c r="E257" s="693"/>
      <c r="F257" s="694"/>
      <c r="G257" s="694"/>
      <c r="H257" s="694"/>
      <c r="I257" s="694"/>
      <c r="J257" s="693"/>
      <c r="K257" s="694"/>
      <c r="L257" s="695"/>
      <c r="M257" s="697"/>
      <c r="N257" s="694"/>
      <c r="O257" s="696"/>
      <c r="P257" s="694"/>
      <c r="Q257" s="694"/>
      <c r="R257" s="694"/>
    </row>
    <row r="258" spans="1:18" ht="15" hidden="1" customHeight="1" outlineLevel="1" thickBot="1">
      <c r="A258" s="699" t="str">
        <f t="shared" si="7"/>
        <v/>
      </c>
      <c r="B258" s="687"/>
      <c r="C258" s="734" t="str">
        <f>IF(D258="","",COUNTA($D$209:D258))</f>
        <v/>
      </c>
      <c r="D258" s="692"/>
      <c r="E258" s="693"/>
      <c r="F258" s="694"/>
      <c r="G258" s="694"/>
      <c r="H258" s="694"/>
      <c r="I258" s="694"/>
      <c r="J258" s="693"/>
      <c r="K258" s="694"/>
      <c r="L258" s="695"/>
      <c r="M258" s="697"/>
      <c r="N258" s="694"/>
      <c r="O258" s="696"/>
      <c r="P258" s="694"/>
      <c r="Q258" s="694"/>
      <c r="R258" s="694"/>
    </row>
    <row r="259" spans="1:18" ht="15" hidden="1" customHeight="1" outlineLevel="1" thickBot="1">
      <c r="A259" s="699" t="str">
        <f t="shared" si="7"/>
        <v/>
      </c>
      <c r="B259" s="687"/>
      <c r="C259" s="734" t="str">
        <f>IF(D259="","",COUNTA($D$209:D259))</f>
        <v/>
      </c>
      <c r="D259" s="692"/>
      <c r="E259" s="693"/>
      <c r="F259" s="694"/>
      <c r="G259" s="694"/>
      <c r="H259" s="694"/>
      <c r="I259" s="694"/>
      <c r="J259" s="693"/>
      <c r="K259" s="694"/>
      <c r="L259" s="695"/>
      <c r="M259" s="697"/>
      <c r="N259" s="694"/>
      <c r="O259" s="696"/>
      <c r="P259" s="694"/>
      <c r="Q259" s="694"/>
      <c r="R259" s="694"/>
    </row>
    <row r="260" spans="1:18" ht="15" hidden="1" customHeight="1" outlineLevel="1" thickBot="1">
      <c r="A260" s="699" t="str">
        <f t="shared" si="7"/>
        <v/>
      </c>
      <c r="B260" s="687"/>
      <c r="C260" s="734" t="str">
        <f>IF(D260="","",COUNTA($D$209:D260))</f>
        <v/>
      </c>
      <c r="D260" s="692"/>
      <c r="E260" s="693"/>
      <c r="F260" s="694"/>
      <c r="G260" s="694"/>
      <c r="H260" s="694"/>
      <c r="I260" s="694"/>
      <c r="J260" s="693"/>
      <c r="K260" s="694"/>
      <c r="L260" s="695"/>
      <c r="M260" s="697"/>
      <c r="N260" s="694"/>
      <c r="O260" s="696"/>
      <c r="P260" s="694"/>
      <c r="Q260" s="694"/>
      <c r="R260" s="694"/>
    </row>
    <row r="261" spans="1:18" ht="15" hidden="1" customHeight="1" outlineLevel="1" thickBot="1">
      <c r="A261" s="699" t="str">
        <f t="shared" si="7"/>
        <v/>
      </c>
      <c r="B261" s="687"/>
      <c r="C261" s="734" t="str">
        <f>IF(D261="","",COUNTA($D$209:D261))</f>
        <v/>
      </c>
      <c r="D261" s="692"/>
      <c r="E261" s="693"/>
      <c r="F261" s="694"/>
      <c r="G261" s="694"/>
      <c r="H261" s="694"/>
      <c r="I261" s="694"/>
      <c r="J261" s="693"/>
      <c r="K261" s="694"/>
      <c r="L261" s="695"/>
      <c r="M261" s="697"/>
      <c r="N261" s="694"/>
      <c r="O261" s="696"/>
      <c r="P261" s="694"/>
      <c r="Q261" s="694"/>
      <c r="R261" s="694"/>
    </row>
    <row r="262" spans="1:18" ht="15" hidden="1" customHeight="1" outlineLevel="1" thickBot="1">
      <c r="A262" s="699" t="str">
        <f t="shared" si="7"/>
        <v/>
      </c>
      <c r="B262" s="687"/>
      <c r="C262" s="734" t="str">
        <f>IF(D262="","",COUNTA($D$209:D262))</f>
        <v/>
      </c>
      <c r="D262" s="692"/>
      <c r="E262" s="693"/>
      <c r="F262" s="694"/>
      <c r="G262" s="694"/>
      <c r="H262" s="694"/>
      <c r="I262" s="694"/>
      <c r="J262" s="693"/>
      <c r="K262" s="694"/>
      <c r="L262" s="695"/>
      <c r="M262" s="697"/>
      <c r="N262" s="694"/>
      <c r="O262" s="696"/>
      <c r="P262" s="694"/>
      <c r="Q262" s="694"/>
      <c r="R262" s="694"/>
    </row>
    <row r="263" spans="1:18" ht="15" hidden="1" customHeight="1" outlineLevel="1" thickBot="1">
      <c r="A263" s="699" t="str">
        <f t="shared" si="7"/>
        <v/>
      </c>
      <c r="B263" s="687"/>
      <c r="C263" s="734" t="str">
        <f>IF(D263="","",COUNTA($D$209:D263))</f>
        <v/>
      </c>
      <c r="D263" s="692"/>
      <c r="E263" s="693"/>
      <c r="F263" s="694"/>
      <c r="G263" s="694"/>
      <c r="H263" s="694"/>
      <c r="I263" s="694"/>
      <c r="J263" s="693"/>
      <c r="K263" s="694"/>
      <c r="L263" s="695"/>
      <c r="M263" s="697"/>
      <c r="N263" s="694"/>
      <c r="O263" s="696"/>
      <c r="P263" s="694"/>
      <c r="Q263" s="694"/>
      <c r="R263" s="694"/>
    </row>
    <row r="264" spans="1:18" ht="15" hidden="1" customHeight="1" outlineLevel="1" thickBot="1">
      <c r="A264" s="699" t="str">
        <f t="shared" si="7"/>
        <v/>
      </c>
      <c r="B264" s="687"/>
      <c r="C264" s="734" t="str">
        <f>IF(D264="","",COUNTA($D$209:D264))</f>
        <v/>
      </c>
      <c r="D264" s="692"/>
      <c r="E264" s="693"/>
      <c r="F264" s="694"/>
      <c r="G264" s="694"/>
      <c r="H264" s="694"/>
      <c r="I264" s="694"/>
      <c r="J264" s="693"/>
      <c r="K264" s="694"/>
      <c r="L264" s="695"/>
      <c r="M264" s="697"/>
      <c r="N264" s="694"/>
      <c r="O264" s="696"/>
      <c r="P264" s="694"/>
      <c r="Q264" s="694"/>
      <c r="R264" s="694"/>
    </row>
    <row r="265" spans="1:18" ht="15" hidden="1" customHeight="1" outlineLevel="1" thickBot="1">
      <c r="A265" s="699" t="str">
        <f t="shared" si="7"/>
        <v/>
      </c>
      <c r="B265" s="687"/>
      <c r="C265" s="734" t="str">
        <f>IF(D265="","",COUNTA($D$209:D265))</f>
        <v/>
      </c>
      <c r="D265" s="692"/>
      <c r="E265" s="693"/>
      <c r="F265" s="694"/>
      <c r="G265" s="694"/>
      <c r="H265" s="694"/>
      <c r="I265" s="694"/>
      <c r="J265" s="693"/>
      <c r="K265" s="694"/>
      <c r="L265" s="695"/>
      <c r="M265" s="697"/>
      <c r="N265" s="694"/>
      <c r="O265" s="696"/>
      <c r="P265" s="694"/>
      <c r="Q265" s="694"/>
      <c r="R265" s="694"/>
    </row>
    <row r="266" spans="1:18" ht="15" hidden="1" customHeight="1" outlineLevel="1" thickBot="1">
      <c r="A266" s="699" t="str">
        <f t="shared" si="7"/>
        <v/>
      </c>
      <c r="B266" s="687"/>
      <c r="C266" s="734" t="str">
        <f>IF(D266="","",COUNTA($D$209:D266))</f>
        <v/>
      </c>
      <c r="D266" s="692"/>
      <c r="E266" s="693"/>
      <c r="F266" s="694"/>
      <c r="G266" s="694"/>
      <c r="H266" s="694"/>
      <c r="I266" s="694"/>
      <c r="J266" s="693"/>
      <c r="K266" s="694"/>
      <c r="L266" s="695"/>
      <c r="M266" s="697"/>
      <c r="N266" s="694"/>
      <c r="O266" s="696"/>
      <c r="P266" s="694"/>
      <c r="Q266" s="694"/>
      <c r="R266" s="694"/>
    </row>
    <row r="267" spans="1:18" ht="15" hidden="1" customHeight="1" outlineLevel="1" thickBot="1">
      <c r="A267" s="699" t="str">
        <f t="shared" si="7"/>
        <v/>
      </c>
      <c r="B267" s="687"/>
      <c r="C267" s="734" t="str">
        <f>IF(D267="","",COUNTA($D$209:D267))</f>
        <v/>
      </c>
      <c r="D267" s="692"/>
      <c r="E267" s="693"/>
      <c r="F267" s="694"/>
      <c r="G267" s="694"/>
      <c r="H267" s="694"/>
      <c r="I267" s="694"/>
      <c r="J267" s="693"/>
      <c r="K267" s="694"/>
      <c r="L267" s="695"/>
      <c r="M267" s="697"/>
      <c r="N267" s="694"/>
      <c r="O267" s="696"/>
      <c r="P267" s="694"/>
      <c r="Q267" s="694"/>
      <c r="R267" s="694"/>
    </row>
    <row r="268" spans="1:18" ht="15" hidden="1" customHeight="1" outlineLevel="1" thickBot="1">
      <c r="A268" s="699" t="str">
        <f t="shared" si="7"/>
        <v/>
      </c>
      <c r="B268" s="687"/>
      <c r="C268" s="734" t="str">
        <f>IF(D268="","",COUNTA($D$209:D268))</f>
        <v/>
      </c>
      <c r="D268" s="692"/>
      <c r="E268" s="693"/>
      <c r="F268" s="694"/>
      <c r="G268" s="694"/>
      <c r="H268" s="694"/>
      <c r="I268" s="694"/>
      <c r="J268" s="693"/>
      <c r="K268" s="694"/>
      <c r="L268" s="695"/>
      <c r="M268" s="697"/>
      <c r="N268" s="694"/>
      <c r="O268" s="696"/>
      <c r="P268" s="694"/>
      <c r="Q268" s="694"/>
      <c r="R268" s="694"/>
    </row>
    <row r="269" spans="1:18" ht="15" hidden="1" customHeight="1" outlineLevel="1" thickBot="1">
      <c r="A269" s="699" t="str">
        <f t="shared" si="7"/>
        <v/>
      </c>
      <c r="B269" s="687"/>
      <c r="C269" s="734" t="str">
        <f>IF(D269="","",COUNTA($D$209:D269))</f>
        <v/>
      </c>
      <c r="D269" s="692"/>
      <c r="E269" s="693"/>
      <c r="F269" s="694"/>
      <c r="G269" s="694"/>
      <c r="H269" s="694"/>
      <c r="I269" s="694"/>
      <c r="J269" s="693"/>
      <c r="K269" s="694"/>
      <c r="L269" s="695"/>
      <c r="M269" s="697"/>
      <c r="N269" s="694"/>
      <c r="O269" s="696"/>
      <c r="P269" s="694"/>
      <c r="Q269" s="694"/>
      <c r="R269" s="694"/>
    </row>
    <row r="270" spans="1:18" ht="15" hidden="1" customHeight="1" outlineLevel="1" thickBot="1">
      <c r="A270" s="699" t="str">
        <f t="shared" si="7"/>
        <v/>
      </c>
      <c r="B270" s="687"/>
      <c r="C270" s="734" t="str">
        <f>IF(D270="","",COUNTA($D$209:D270))</f>
        <v/>
      </c>
      <c r="D270" s="692"/>
      <c r="E270" s="693"/>
      <c r="F270" s="694"/>
      <c r="G270" s="694"/>
      <c r="H270" s="694"/>
      <c r="I270" s="694"/>
      <c r="J270" s="693"/>
      <c r="K270" s="694"/>
      <c r="L270" s="695"/>
      <c r="M270" s="697"/>
      <c r="N270" s="694"/>
      <c r="O270" s="696"/>
      <c r="P270" s="694"/>
      <c r="Q270" s="694"/>
      <c r="R270" s="694"/>
    </row>
    <row r="271" spans="1:18" ht="15" hidden="1" customHeight="1" outlineLevel="1" thickBot="1">
      <c r="A271" s="699" t="str">
        <f t="shared" si="7"/>
        <v/>
      </c>
      <c r="B271" s="687"/>
      <c r="C271" s="734" t="str">
        <f>IF(D271="","",COUNTA($D$209:D271))</f>
        <v/>
      </c>
      <c r="D271" s="692"/>
      <c r="E271" s="693"/>
      <c r="F271" s="694"/>
      <c r="G271" s="694"/>
      <c r="H271" s="694"/>
      <c r="I271" s="694"/>
      <c r="J271" s="693"/>
      <c r="K271" s="694"/>
      <c r="L271" s="695"/>
      <c r="M271" s="697"/>
      <c r="N271" s="694"/>
      <c r="O271" s="696"/>
      <c r="P271" s="694"/>
      <c r="Q271" s="694"/>
      <c r="R271" s="694"/>
    </row>
    <row r="272" spans="1:18" ht="15" hidden="1" customHeight="1" outlineLevel="1" thickBot="1">
      <c r="A272" s="699" t="str">
        <f t="shared" si="7"/>
        <v/>
      </c>
      <c r="B272" s="687"/>
      <c r="C272" s="734" t="str">
        <f>IF(D272="","",COUNTA($D$209:D272))</f>
        <v/>
      </c>
      <c r="D272" s="692"/>
      <c r="E272" s="693"/>
      <c r="F272" s="694"/>
      <c r="G272" s="694"/>
      <c r="H272" s="694"/>
      <c r="I272" s="694"/>
      <c r="J272" s="693"/>
      <c r="K272" s="694"/>
      <c r="L272" s="695"/>
      <c r="M272" s="697"/>
      <c r="N272" s="694"/>
      <c r="O272" s="696"/>
      <c r="P272" s="694"/>
      <c r="Q272" s="694"/>
      <c r="R272" s="694"/>
    </row>
    <row r="273" spans="1:18" ht="15" hidden="1" customHeight="1" outlineLevel="1" thickBot="1">
      <c r="A273" s="699" t="str">
        <f t="shared" ref="A273:A336" si="8">E273&amp;H273&amp;J273</f>
        <v/>
      </c>
      <c r="B273" s="687"/>
      <c r="C273" s="734" t="str">
        <f>IF(D273="","",COUNTA($D$209:D273))</f>
        <v/>
      </c>
      <c r="D273" s="692"/>
      <c r="E273" s="693"/>
      <c r="F273" s="694"/>
      <c r="G273" s="694"/>
      <c r="H273" s="694"/>
      <c r="I273" s="694"/>
      <c r="J273" s="693"/>
      <c r="K273" s="694"/>
      <c r="L273" s="695"/>
      <c r="M273" s="697"/>
      <c r="N273" s="694"/>
      <c r="O273" s="696"/>
      <c r="P273" s="694"/>
      <c r="Q273" s="694"/>
      <c r="R273" s="694"/>
    </row>
    <row r="274" spans="1:18" ht="15" hidden="1" customHeight="1" outlineLevel="1" thickBot="1">
      <c r="A274" s="699" t="str">
        <f t="shared" si="8"/>
        <v/>
      </c>
      <c r="B274" s="687"/>
      <c r="C274" s="734" t="str">
        <f>IF(D274="","",COUNTA($D$209:D274))</f>
        <v/>
      </c>
      <c r="D274" s="692"/>
      <c r="E274" s="693"/>
      <c r="F274" s="694"/>
      <c r="G274" s="694"/>
      <c r="H274" s="694"/>
      <c r="I274" s="694"/>
      <c r="J274" s="693"/>
      <c r="K274" s="694"/>
      <c r="L274" s="695"/>
      <c r="M274" s="697"/>
      <c r="N274" s="694"/>
      <c r="O274" s="696"/>
      <c r="P274" s="694"/>
      <c r="Q274" s="694"/>
      <c r="R274" s="694"/>
    </row>
    <row r="275" spans="1:18" ht="15" hidden="1" customHeight="1" outlineLevel="1" thickBot="1">
      <c r="A275" s="699" t="str">
        <f t="shared" si="8"/>
        <v/>
      </c>
      <c r="B275" s="687"/>
      <c r="C275" s="734" t="str">
        <f>IF(D275="","",COUNTA($D$209:D275))</f>
        <v/>
      </c>
      <c r="D275" s="692"/>
      <c r="E275" s="693"/>
      <c r="F275" s="694"/>
      <c r="G275" s="694"/>
      <c r="H275" s="694"/>
      <c r="I275" s="694"/>
      <c r="J275" s="693"/>
      <c r="K275" s="694"/>
      <c r="L275" s="695"/>
      <c r="M275" s="697"/>
      <c r="N275" s="694"/>
      <c r="O275" s="696"/>
      <c r="P275" s="694"/>
      <c r="Q275" s="694"/>
      <c r="R275" s="694"/>
    </row>
    <row r="276" spans="1:18" ht="15" hidden="1" customHeight="1" outlineLevel="1" thickBot="1">
      <c r="A276" s="699" t="str">
        <f t="shared" si="8"/>
        <v/>
      </c>
      <c r="B276" s="687"/>
      <c r="C276" s="734" t="str">
        <f>IF(D276="","",COUNTA($D$209:D276))</f>
        <v/>
      </c>
      <c r="D276" s="692"/>
      <c r="E276" s="693"/>
      <c r="F276" s="694"/>
      <c r="G276" s="694"/>
      <c r="H276" s="694"/>
      <c r="I276" s="694"/>
      <c r="J276" s="693"/>
      <c r="K276" s="694"/>
      <c r="L276" s="695"/>
      <c r="M276" s="697"/>
      <c r="N276" s="694"/>
      <c r="O276" s="696"/>
      <c r="P276" s="694"/>
      <c r="Q276" s="694"/>
      <c r="R276" s="694"/>
    </row>
    <row r="277" spans="1:18" ht="15" hidden="1" customHeight="1" outlineLevel="1" thickBot="1">
      <c r="A277" s="699" t="str">
        <f t="shared" si="8"/>
        <v/>
      </c>
      <c r="B277" s="687"/>
      <c r="C277" s="734" t="str">
        <f>IF(D277="","",COUNTA($D$209:D277))</f>
        <v/>
      </c>
      <c r="D277" s="692"/>
      <c r="E277" s="693"/>
      <c r="F277" s="694"/>
      <c r="G277" s="694"/>
      <c r="H277" s="694"/>
      <c r="I277" s="694"/>
      <c r="J277" s="693"/>
      <c r="K277" s="694"/>
      <c r="L277" s="695"/>
      <c r="M277" s="697"/>
      <c r="N277" s="694"/>
      <c r="O277" s="696"/>
      <c r="P277" s="694"/>
      <c r="Q277" s="694"/>
      <c r="R277" s="694"/>
    </row>
    <row r="278" spans="1:18" ht="15" hidden="1" customHeight="1" outlineLevel="1" thickBot="1">
      <c r="A278" s="699" t="str">
        <f t="shared" si="8"/>
        <v/>
      </c>
      <c r="B278" s="687"/>
      <c r="C278" s="734" t="str">
        <f>IF(D278="","",COUNTA($D$209:D278))</f>
        <v/>
      </c>
      <c r="D278" s="692"/>
      <c r="E278" s="693"/>
      <c r="F278" s="694"/>
      <c r="G278" s="694"/>
      <c r="H278" s="694"/>
      <c r="I278" s="694"/>
      <c r="J278" s="693"/>
      <c r="K278" s="694"/>
      <c r="L278" s="695"/>
      <c r="M278" s="697"/>
      <c r="N278" s="694"/>
      <c r="O278" s="696"/>
      <c r="P278" s="694"/>
      <c r="Q278" s="694"/>
      <c r="R278" s="694"/>
    </row>
    <row r="279" spans="1:18" ht="15" hidden="1" customHeight="1" outlineLevel="1" thickBot="1">
      <c r="A279" s="699" t="str">
        <f t="shared" si="8"/>
        <v/>
      </c>
      <c r="B279" s="687"/>
      <c r="C279" s="734" t="str">
        <f>IF(D279="","",COUNTA($D$209:D279))</f>
        <v/>
      </c>
      <c r="D279" s="692"/>
      <c r="E279" s="693"/>
      <c r="F279" s="694"/>
      <c r="G279" s="694"/>
      <c r="H279" s="694"/>
      <c r="I279" s="694"/>
      <c r="J279" s="693"/>
      <c r="K279" s="694"/>
      <c r="L279" s="695"/>
      <c r="M279" s="697"/>
      <c r="N279" s="694"/>
      <c r="O279" s="696"/>
      <c r="P279" s="694"/>
      <c r="Q279" s="694"/>
      <c r="R279" s="694"/>
    </row>
    <row r="280" spans="1:18" ht="15" hidden="1" customHeight="1" outlineLevel="1" thickBot="1">
      <c r="A280" s="699" t="str">
        <f t="shared" si="8"/>
        <v/>
      </c>
      <c r="B280" s="687"/>
      <c r="C280" s="734" t="str">
        <f>IF(D280="","",COUNTA($D$209:D280))</f>
        <v/>
      </c>
      <c r="D280" s="692"/>
      <c r="E280" s="693"/>
      <c r="F280" s="694"/>
      <c r="G280" s="694"/>
      <c r="H280" s="694"/>
      <c r="I280" s="694"/>
      <c r="J280" s="693"/>
      <c r="K280" s="694"/>
      <c r="L280" s="695"/>
      <c r="M280" s="697"/>
      <c r="N280" s="694"/>
      <c r="O280" s="696"/>
      <c r="P280" s="694"/>
      <c r="Q280" s="694"/>
      <c r="R280" s="694"/>
    </row>
    <row r="281" spans="1:18" ht="15" hidden="1" customHeight="1" outlineLevel="1" thickBot="1">
      <c r="A281" s="699" t="str">
        <f t="shared" si="8"/>
        <v/>
      </c>
      <c r="B281" s="687"/>
      <c r="C281" s="734" t="str">
        <f>IF(D281="","",COUNTA($D$209:D281))</f>
        <v/>
      </c>
      <c r="D281" s="692"/>
      <c r="E281" s="693"/>
      <c r="F281" s="694"/>
      <c r="G281" s="694"/>
      <c r="H281" s="694"/>
      <c r="I281" s="694"/>
      <c r="J281" s="693"/>
      <c r="K281" s="694"/>
      <c r="L281" s="695"/>
      <c r="M281" s="697"/>
      <c r="N281" s="694"/>
      <c r="O281" s="696"/>
      <c r="P281" s="694"/>
      <c r="Q281" s="694"/>
      <c r="R281" s="694"/>
    </row>
    <row r="282" spans="1:18" ht="15" hidden="1" customHeight="1" outlineLevel="1" thickBot="1">
      <c r="A282" s="699" t="str">
        <f t="shared" si="8"/>
        <v/>
      </c>
      <c r="B282" s="687"/>
      <c r="C282" s="734" t="str">
        <f>IF(D282="","",COUNTA($D$209:D282))</f>
        <v/>
      </c>
      <c r="D282" s="692"/>
      <c r="E282" s="693"/>
      <c r="F282" s="694"/>
      <c r="G282" s="694"/>
      <c r="H282" s="694"/>
      <c r="I282" s="694"/>
      <c r="J282" s="693"/>
      <c r="K282" s="694"/>
      <c r="L282" s="695"/>
      <c r="M282" s="697"/>
      <c r="N282" s="694"/>
      <c r="O282" s="696"/>
      <c r="P282" s="694"/>
      <c r="Q282" s="694"/>
      <c r="R282" s="694"/>
    </row>
    <row r="283" spans="1:18" ht="15" hidden="1" customHeight="1" outlineLevel="1" thickBot="1">
      <c r="A283" s="699" t="str">
        <f t="shared" si="8"/>
        <v/>
      </c>
      <c r="B283" s="687"/>
      <c r="C283" s="734" t="str">
        <f>IF(D283="","",COUNTA($D$209:D283))</f>
        <v/>
      </c>
      <c r="D283" s="692"/>
      <c r="E283" s="693"/>
      <c r="F283" s="694"/>
      <c r="G283" s="694"/>
      <c r="H283" s="694"/>
      <c r="I283" s="694"/>
      <c r="J283" s="693"/>
      <c r="K283" s="694"/>
      <c r="L283" s="695"/>
      <c r="M283" s="697"/>
      <c r="N283" s="694"/>
      <c r="O283" s="696"/>
      <c r="P283" s="694"/>
      <c r="Q283" s="694"/>
      <c r="R283" s="694"/>
    </row>
    <row r="284" spans="1:18" ht="15" hidden="1" customHeight="1" outlineLevel="1" thickBot="1">
      <c r="A284" s="699" t="str">
        <f t="shared" si="8"/>
        <v/>
      </c>
      <c r="B284" s="687"/>
      <c r="C284" s="734" t="str">
        <f>IF(D284="","",COUNTA($D$209:D284))</f>
        <v/>
      </c>
      <c r="D284" s="692"/>
      <c r="E284" s="693"/>
      <c r="F284" s="694"/>
      <c r="G284" s="694"/>
      <c r="H284" s="694"/>
      <c r="I284" s="694"/>
      <c r="J284" s="693"/>
      <c r="K284" s="694"/>
      <c r="L284" s="695"/>
      <c r="M284" s="697"/>
      <c r="N284" s="694"/>
      <c r="O284" s="696"/>
      <c r="P284" s="694"/>
      <c r="Q284" s="694"/>
      <c r="R284" s="694"/>
    </row>
    <row r="285" spans="1:18" ht="15" hidden="1" customHeight="1" outlineLevel="1" thickBot="1">
      <c r="A285" s="699" t="str">
        <f t="shared" si="8"/>
        <v/>
      </c>
      <c r="B285" s="687"/>
      <c r="C285" s="734" t="str">
        <f>IF(D285="","",COUNTA($D$209:D285))</f>
        <v/>
      </c>
      <c r="D285" s="692"/>
      <c r="E285" s="693"/>
      <c r="F285" s="694"/>
      <c r="G285" s="694"/>
      <c r="H285" s="694"/>
      <c r="I285" s="694"/>
      <c r="J285" s="693"/>
      <c r="K285" s="694"/>
      <c r="L285" s="695"/>
      <c r="M285" s="697"/>
      <c r="N285" s="694"/>
      <c r="O285" s="696"/>
      <c r="P285" s="694"/>
      <c r="Q285" s="694"/>
      <c r="R285" s="694"/>
    </row>
    <row r="286" spans="1:18" ht="15" hidden="1" customHeight="1" outlineLevel="1" thickBot="1">
      <c r="A286" s="699" t="str">
        <f t="shared" si="8"/>
        <v/>
      </c>
      <c r="B286" s="687"/>
      <c r="C286" s="734" t="str">
        <f>IF(D286="","",COUNTA($D$209:D286))</f>
        <v/>
      </c>
      <c r="D286" s="692"/>
      <c r="E286" s="693"/>
      <c r="F286" s="694"/>
      <c r="G286" s="694"/>
      <c r="H286" s="694"/>
      <c r="I286" s="694"/>
      <c r="J286" s="693"/>
      <c r="K286" s="694"/>
      <c r="L286" s="695"/>
      <c r="M286" s="697"/>
      <c r="N286" s="694"/>
      <c r="O286" s="696"/>
      <c r="P286" s="694"/>
      <c r="Q286" s="694"/>
      <c r="R286" s="694"/>
    </row>
    <row r="287" spans="1:18" ht="15" hidden="1" customHeight="1" outlineLevel="1" thickBot="1">
      <c r="A287" s="699" t="str">
        <f t="shared" si="8"/>
        <v/>
      </c>
      <c r="B287" s="687"/>
      <c r="C287" s="734" t="str">
        <f>IF(D287="","",COUNTA($D$209:D287))</f>
        <v/>
      </c>
      <c r="D287" s="692"/>
      <c r="E287" s="693"/>
      <c r="F287" s="694"/>
      <c r="G287" s="694"/>
      <c r="H287" s="694"/>
      <c r="I287" s="694"/>
      <c r="J287" s="693"/>
      <c r="K287" s="694"/>
      <c r="L287" s="695"/>
      <c r="M287" s="697"/>
      <c r="N287" s="694"/>
      <c r="O287" s="696"/>
      <c r="P287" s="694"/>
      <c r="Q287" s="694"/>
      <c r="R287" s="694"/>
    </row>
    <row r="288" spans="1:18" ht="15" hidden="1" customHeight="1" outlineLevel="1" thickBot="1">
      <c r="A288" s="699" t="str">
        <f t="shared" si="8"/>
        <v/>
      </c>
      <c r="B288" s="687"/>
      <c r="C288" s="734" t="str">
        <f>IF(D288="","",COUNTA($D$209:D288))</f>
        <v/>
      </c>
      <c r="D288" s="692"/>
      <c r="E288" s="693"/>
      <c r="F288" s="694"/>
      <c r="G288" s="694"/>
      <c r="H288" s="694"/>
      <c r="I288" s="694"/>
      <c r="J288" s="693"/>
      <c r="K288" s="694"/>
      <c r="L288" s="695"/>
      <c r="M288" s="697"/>
      <c r="N288" s="694"/>
      <c r="O288" s="696"/>
      <c r="P288" s="694"/>
      <c r="Q288" s="694"/>
      <c r="R288" s="694"/>
    </row>
    <row r="289" spans="1:18" ht="15" hidden="1" customHeight="1" outlineLevel="1" thickBot="1">
      <c r="A289" s="699" t="str">
        <f t="shared" si="8"/>
        <v/>
      </c>
      <c r="B289" s="687"/>
      <c r="C289" s="734" t="str">
        <f>IF(D289="","",COUNTA($D$209:D289))</f>
        <v/>
      </c>
      <c r="D289" s="692"/>
      <c r="E289" s="693"/>
      <c r="F289" s="694"/>
      <c r="G289" s="694"/>
      <c r="H289" s="694"/>
      <c r="I289" s="694"/>
      <c r="J289" s="693"/>
      <c r="K289" s="694"/>
      <c r="L289" s="695"/>
      <c r="M289" s="697"/>
      <c r="N289" s="694"/>
      <c r="O289" s="696"/>
      <c r="P289" s="694"/>
      <c r="Q289" s="694"/>
      <c r="R289" s="694"/>
    </row>
    <row r="290" spans="1:18" ht="15" hidden="1" customHeight="1" outlineLevel="1" thickBot="1">
      <c r="A290" s="699" t="str">
        <f t="shared" si="8"/>
        <v/>
      </c>
      <c r="B290" s="687"/>
      <c r="C290" s="734" t="str">
        <f>IF(D290="","",COUNTA($D$209:D290))</f>
        <v/>
      </c>
      <c r="D290" s="692"/>
      <c r="E290" s="693"/>
      <c r="F290" s="694"/>
      <c r="G290" s="694"/>
      <c r="H290" s="694"/>
      <c r="I290" s="694"/>
      <c r="J290" s="693"/>
      <c r="K290" s="694"/>
      <c r="L290" s="695"/>
      <c r="M290" s="697"/>
      <c r="N290" s="694"/>
      <c r="O290" s="696"/>
      <c r="P290" s="694"/>
      <c r="Q290" s="694"/>
      <c r="R290" s="694"/>
    </row>
    <row r="291" spans="1:18" ht="15" hidden="1" customHeight="1" outlineLevel="1" thickBot="1">
      <c r="A291" s="699" t="str">
        <f t="shared" si="8"/>
        <v/>
      </c>
      <c r="B291" s="687"/>
      <c r="C291" s="734" t="str">
        <f>IF(D291="","",COUNTA($D$209:D291))</f>
        <v/>
      </c>
      <c r="D291" s="692"/>
      <c r="E291" s="693"/>
      <c r="F291" s="694"/>
      <c r="G291" s="694"/>
      <c r="H291" s="694"/>
      <c r="I291" s="694"/>
      <c r="J291" s="693"/>
      <c r="K291" s="694"/>
      <c r="L291" s="695"/>
      <c r="M291" s="697"/>
      <c r="N291" s="694"/>
      <c r="O291" s="696"/>
      <c r="P291" s="694"/>
      <c r="Q291" s="694"/>
      <c r="R291" s="694"/>
    </row>
    <row r="292" spans="1:18" ht="15" hidden="1" customHeight="1" outlineLevel="1" thickBot="1">
      <c r="A292" s="699" t="str">
        <f t="shared" si="8"/>
        <v/>
      </c>
      <c r="B292" s="687"/>
      <c r="C292" s="734" t="str">
        <f>IF(D292="","",COUNTA($D$209:D292))</f>
        <v/>
      </c>
      <c r="D292" s="692"/>
      <c r="E292" s="693"/>
      <c r="F292" s="694"/>
      <c r="G292" s="694"/>
      <c r="H292" s="694"/>
      <c r="I292" s="694"/>
      <c r="J292" s="693"/>
      <c r="K292" s="694"/>
      <c r="L292" s="695"/>
      <c r="M292" s="697"/>
      <c r="N292" s="694"/>
      <c r="O292" s="696"/>
      <c r="P292" s="694"/>
      <c r="Q292" s="694"/>
      <c r="R292" s="694"/>
    </row>
    <row r="293" spans="1:18" ht="15" hidden="1" customHeight="1" outlineLevel="1" thickBot="1">
      <c r="A293" s="699" t="str">
        <f t="shared" si="8"/>
        <v/>
      </c>
      <c r="B293" s="687"/>
      <c r="C293" s="734" t="str">
        <f>IF(D293="","",COUNTA($D$209:D293))</f>
        <v/>
      </c>
      <c r="D293" s="692"/>
      <c r="E293" s="693"/>
      <c r="F293" s="694"/>
      <c r="G293" s="694"/>
      <c r="H293" s="694"/>
      <c r="I293" s="694"/>
      <c r="J293" s="693"/>
      <c r="K293" s="694"/>
      <c r="L293" s="695"/>
      <c r="M293" s="697"/>
      <c r="N293" s="694"/>
      <c r="O293" s="696"/>
      <c r="P293" s="694"/>
      <c r="Q293" s="694"/>
      <c r="R293" s="694"/>
    </row>
    <row r="294" spans="1:18" ht="15" hidden="1" customHeight="1" outlineLevel="1" thickBot="1">
      <c r="A294" s="699" t="str">
        <f t="shared" si="8"/>
        <v/>
      </c>
      <c r="B294" s="687"/>
      <c r="C294" s="734" t="str">
        <f>IF(D294="","",COUNTA($D$209:D294))</f>
        <v/>
      </c>
      <c r="D294" s="692"/>
      <c r="E294" s="693"/>
      <c r="F294" s="694"/>
      <c r="G294" s="694"/>
      <c r="H294" s="694"/>
      <c r="I294" s="694"/>
      <c r="J294" s="693"/>
      <c r="K294" s="694"/>
      <c r="L294" s="695"/>
      <c r="M294" s="697"/>
      <c r="N294" s="694"/>
      <c r="O294" s="696"/>
      <c r="P294" s="694"/>
      <c r="Q294" s="694"/>
      <c r="R294" s="694"/>
    </row>
    <row r="295" spans="1:18" ht="15" hidden="1" customHeight="1" outlineLevel="1" thickBot="1">
      <c r="A295" s="699" t="str">
        <f t="shared" si="8"/>
        <v/>
      </c>
      <c r="B295" s="687"/>
      <c r="C295" s="734" t="str">
        <f>IF(D295="","",COUNTA($D$209:D295))</f>
        <v/>
      </c>
      <c r="D295" s="692"/>
      <c r="E295" s="693"/>
      <c r="F295" s="694"/>
      <c r="G295" s="694"/>
      <c r="H295" s="694"/>
      <c r="I295" s="694"/>
      <c r="J295" s="693"/>
      <c r="K295" s="694"/>
      <c r="L295" s="695"/>
      <c r="M295" s="697"/>
      <c r="N295" s="694"/>
      <c r="O295" s="696"/>
      <c r="P295" s="694"/>
      <c r="Q295" s="694"/>
      <c r="R295" s="694"/>
    </row>
    <row r="296" spans="1:18" ht="15" hidden="1" customHeight="1" outlineLevel="1" thickBot="1">
      <c r="A296" s="699" t="str">
        <f t="shared" si="8"/>
        <v/>
      </c>
      <c r="B296" s="687"/>
      <c r="C296" s="734" t="str">
        <f>IF(D296="","",COUNTA($D$209:D296))</f>
        <v/>
      </c>
      <c r="D296" s="692"/>
      <c r="E296" s="693"/>
      <c r="F296" s="694"/>
      <c r="G296" s="694"/>
      <c r="H296" s="694"/>
      <c r="I296" s="694"/>
      <c r="J296" s="693"/>
      <c r="K296" s="694"/>
      <c r="L296" s="695"/>
      <c r="M296" s="697"/>
      <c r="N296" s="694"/>
      <c r="O296" s="696"/>
      <c r="P296" s="694"/>
      <c r="Q296" s="694"/>
      <c r="R296" s="694"/>
    </row>
    <row r="297" spans="1:18" ht="15" hidden="1" customHeight="1" outlineLevel="1" thickBot="1">
      <c r="A297" s="699" t="str">
        <f t="shared" si="8"/>
        <v/>
      </c>
      <c r="B297" s="687"/>
      <c r="C297" s="734" t="str">
        <f>IF(D297="","",COUNTA($D$209:D297))</f>
        <v/>
      </c>
      <c r="D297" s="692"/>
      <c r="E297" s="693"/>
      <c r="F297" s="694"/>
      <c r="G297" s="694"/>
      <c r="H297" s="694"/>
      <c r="I297" s="694"/>
      <c r="J297" s="693"/>
      <c r="K297" s="694"/>
      <c r="L297" s="695"/>
      <c r="M297" s="697"/>
      <c r="N297" s="694"/>
      <c r="O297" s="696"/>
      <c r="P297" s="694"/>
      <c r="Q297" s="694"/>
      <c r="R297" s="694"/>
    </row>
    <row r="298" spans="1:18" ht="15" hidden="1" customHeight="1" outlineLevel="1" thickBot="1">
      <c r="A298" s="699" t="str">
        <f t="shared" si="8"/>
        <v/>
      </c>
      <c r="B298" s="687"/>
      <c r="C298" s="734" t="str">
        <f>IF(D298="","",COUNTA($D$209:D298))</f>
        <v/>
      </c>
      <c r="D298" s="692"/>
      <c r="E298" s="693"/>
      <c r="F298" s="694"/>
      <c r="G298" s="694"/>
      <c r="H298" s="694"/>
      <c r="I298" s="694"/>
      <c r="J298" s="693"/>
      <c r="K298" s="694"/>
      <c r="L298" s="695"/>
      <c r="M298" s="697"/>
      <c r="N298" s="694"/>
      <c r="O298" s="696"/>
      <c r="P298" s="694"/>
      <c r="Q298" s="694"/>
      <c r="R298" s="694"/>
    </row>
    <row r="299" spans="1:18" ht="15" hidden="1" customHeight="1" outlineLevel="1" thickBot="1">
      <c r="A299" s="699" t="str">
        <f t="shared" si="8"/>
        <v/>
      </c>
      <c r="B299" s="687"/>
      <c r="C299" s="734" t="str">
        <f>IF(D299="","",COUNTA($D$209:D299))</f>
        <v/>
      </c>
      <c r="D299" s="692"/>
      <c r="E299" s="693"/>
      <c r="F299" s="694"/>
      <c r="G299" s="694"/>
      <c r="H299" s="694"/>
      <c r="I299" s="694"/>
      <c r="J299" s="693"/>
      <c r="K299" s="694"/>
      <c r="L299" s="695"/>
      <c r="M299" s="697"/>
      <c r="N299" s="694"/>
      <c r="O299" s="696"/>
      <c r="P299" s="694"/>
      <c r="Q299" s="694"/>
      <c r="R299" s="694"/>
    </row>
    <row r="300" spans="1:18" ht="15" hidden="1" customHeight="1" outlineLevel="1" thickBot="1">
      <c r="A300" s="699" t="str">
        <f t="shared" si="8"/>
        <v/>
      </c>
      <c r="B300" s="687"/>
      <c r="C300" s="734" t="str">
        <f>IF(D300="","",COUNTA($D$209:D300))</f>
        <v/>
      </c>
      <c r="D300" s="692"/>
      <c r="E300" s="693"/>
      <c r="F300" s="694"/>
      <c r="G300" s="694"/>
      <c r="H300" s="694"/>
      <c r="I300" s="694"/>
      <c r="J300" s="693"/>
      <c r="K300" s="694"/>
      <c r="L300" s="695"/>
      <c r="M300" s="697"/>
      <c r="N300" s="694"/>
      <c r="O300" s="696"/>
      <c r="P300" s="694"/>
      <c r="Q300" s="694"/>
      <c r="R300" s="694"/>
    </row>
    <row r="301" spans="1:18" ht="15" hidden="1" customHeight="1" outlineLevel="1" thickBot="1">
      <c r="A301" s="699" t="str">
        <f t="shared" si="8"/>
        <v/>
      </c>
      <c r="B301" s="687"/>
      <c r="C301" s="734" t="str">
        <f>IF(D301="","",COUNTA($D$209:D301))</f>
        <v/>
      </c>
      <c r="D301" s="692"/>
      <c r="E301" s="693"/>
      <c r="F301" s="694"/>
      <c r="G301" s="694"/>
      <c r="H301" s="694"/>
      <c r="I301" s="694"/>
      <c r="J301" s="693"/>
      <c r="K301" s="694"/>
      <c r="L301" s="695"/>
      <c r="M301" s="697"/>
      <c r="N301" s="694"/>
      <c r="O301" s="696"/>
      <c r="P301" s="694"/>
      <c r="Q301" s="694"/>
      <c r="R301" s="694"/>
    </row>
    <row r="302" spans="1:18" ht="15" hidden="1" customHeight="1" outlineLevel="1" thickBot="1">
      <c r="A302" s="699" t="str">
        <f t="shared" si="8"/>
        <v/>
      </c>
      <c r="B302" s="687"/>
      <c r="C302" s="734" t="str">
        <f>IF(D302="","",COUNTA($D$209:D302))</f>
        <v/>
      </c>
      <c r="D302" s="692"/>
      <c r="E302" s="693"/>
      <c r="F302" s="694"/>
      <c r="G302" s="694"/>
      <c r="H302" s="694"/>
      <c r="I302" s="694"/>
      <c r="J302" s="693"/>
      <c r="K302" s="694"/>
      <c r="L302" s="695"/>
      <c r="M302" s="697"/>
      <c r="N302" s="694"/>
      <c r="O302" s="696"/>
      <c r="P302" s="694"/>
      <c r="Q302" s="694"/>
      <c r="R302" s="694"/>
    </row>
    <row r="303" spans="1:18" ht="15" hidden="1" customHeight="1" outlineLevel="1" thickBot="1">
      <c r="A303" s="699" t="str">
        <f t="shared" si="8"/>
        <v/>
      </c>
      <c r="B303" s="687"/>
      <c r="C303" s="734" t="str">
        <f>IF(D303="","",COUNTA($D$209:D303))</f>
        <v/>
      </c>
      <c r="D303" s="692"/>
      <c r="E303" s="693"/>
      <c r="F303" s="694"/>
      <c r="G303" s="694"/>
      <c r="H303" s="694"/>
      <c r="I303" s="694"/>
      <c r="J303" s="693"/>
      <c r="K303" s="694"/>
      <c r="L303" s="695"/>
      <c r="M303" s="697"/>
      <c r="N303" s="694"/>
      <c r="O303" s="696"/>
      <c r="P303" s="694"/>
      <c r="Q303" s="694"/>
      <c r="R303" s="694"/>
    </row>
    <row r="304" spans="1:18" ht="15" hidden="1" customHeight="1" outlineLevel="1" thickBot="1">
      <c r="A304" s="699" t="str">
        <f t="shared" si="8"/>
        <v/>
      </c>
      <c r="B304" s="687"/>
      <c r="C304" s="734" t="str">
        <f>IF(D304="","",COUNTA($D$209:D304))</f>
        <v/>
      </c>
      <c r="D304" s="692"/>
      <c r="E304" s="693"/>
      <c r="F304" s="694"/>
      <c r="G304" s="694"/>
      <c r="H304" s="694"/>
      <c r="I304" s="694"/>
      <c r="J304" s="693"/>
      <c r="K304" s="694"/>
      <c r="L304" s="695"/>
      <c r="M304" s="697"/>
      <c r="N304" s="694"/>
      <c r="O304" s="696"/>
      <c r="P304" s="694"/>
      <c r="Q304" s="694"/>
      <c r="R304" s="694"/>
    </row>
    <row r="305" spans="1:18" ht="15" hidden="1" customHeight="1" outlineLevel="1" thickBot="1">
      <c r="A305" s="699" t="str">
        <f t="shared" si="8"/>
        <v/>
      </c>
      <c r="B305" s="687"/>
      <c r="C305" s="734" t="str">
        <f>IF(D305="","",COUNTA($D$209:D305))</f>
        <v/>
      </c>
      <c r="D305" s="692"/>
      <c r="E305" s="693"/>
      <c r="F305" s="694"/>
      <c r="G305" s="694"/>
      <c r="H305" s="694"/>
      <c r="I305" s="694"/>
      <c r="J305" s="693"/>
      <c r="K305" s="694"/>
      <c r="L305" s="695"/>
      <c r="M305" s="697"/>
      <c r="N305" s="694"/>
      <c r="O305" s="696"/>
      <c r="P305" s="694"/>
      <c r="Q305" s="694"/>
      <c r="R305" s="694"/>
    </row>
    <row r="306" spans="1:18" ht="15" hidden="1" customHeight="1" outlineLevel="1" thickBot="1">
      <c r="A306" s="699" t="str">
        <f t="shared" si="8"/>
        <v/>
      </c>
      <c r="B306" s="687"/>
      <c r="C306" s="734" t="str">
        <f>IF(D306="","",COUNTA($D$209:D306))</f>
        <v/>
      </c>
      <c r="D306" s="692"/>
      <c r="E306" s="693"/>
      <c r="F306" s="694"/>
      <c r="G306" s="694"/>
      <c r="H306" s="694"/>
      <c r="I306" s="694"/>
      <c r="J306" s="693"/>
      <c r="K306" s="694"/>
      <c r="L306" s="695"/>
      <c r="M306" s="697"/>
      <c r="N306" s="694"/>
      <c r="O306" s="696"/>
      <c r="P306" s="694"/>
      <c r="Q306" s="694"/>
      <c r="R306" s="694"/>
    </row>
    <row r="307" spans="1:18" ht="15" hidden="1" customHeight="1" outlineLevel="1" thickBot="1">
      <c r="A307" s="699" t="str">
        <f t="shared" si="8"/>
        <v/>
      </c>
      <c r="B307" s="687"/>
      <c r="C307" s="734" t="str">
        <f>IF(D307="","",COUNTA($D$209:D307))</f>
        <v/>
      </c>
      <c r="D307" s="692"/>
      <c r="E307" s="693"/>
      <c r="F307" s="694"/>
      <c r="G307" s="694"/>
      <c r="H307" s="694"/>
      <c r="I307" s="694"/>
      <c r="J307" s="693"/>
      <c r="K307" s="694"/>
      <c r="L307" s="695"/>
      <c r="M307" s="697"/>
      <c r="N307" s="694"/>
      <c r="O307" s="696"/>
      <c r="P307" s="694"/>
      <c r="Q307" s="694"/>
      <c r="R307" s="694"/>
    </row>
    <row r="308" spans="1:18" ht="15" hidden="1" customHeight="1" outlineLevel="1" thickBot="1">
      <c r="A308" s="699" t="str">
        <f t="shared" si="8"/>
        <v/>
      </c>
      <c r="B308" s="687"/>
      <c r="C308" s="734" t="str">
        <f>IF(D308="","",COUNTA($D$209:D308))</f>
        <v/>
      </c>
      <c r="D308" s="692"/>
      <c r="E308" s="693"/>
      <c r="F308" s="694"/>
      <c r="G308" s="694"/>
      <c r="H308" s="694"/>
      <c r="I308" s="694"/>
      <c r="J308" s="693"/>
      <c r="K308" s="694"/>
      <c r="L308" s="695"/>
      <c r="M308" s="697"/>
      <c r="N308" s="694"/>
      <c r="O308" s="696"/>
      <c r="P308" s="694"/>
      <c r="Q308" s="694"/>
      <c r="R308" s="694"/>
    </row>
    <row r="309" spans="1:18" ht="15" hidden="1" customHeight="1" outlineLevel="1" thickBot="1">
      <c r="A309" s="699" t="str">
        <f t="shared" si="8"/>
        <v/>
      </c>
      <c r="B309" s="687"/>
      <c r="C309" s="734" t="str">
        <f>IF(D309="","",COUNTA($D$209:D309))</f>
        <v/>
      </c>
      <c r="D309" s="692"/>
      <c r="E309" s="693"/>
      <c r="F309" s="694"/>
      <c r="G309" s="694"/>
      <c r="H309" s="694"/>
      <c r="I309" s="694"/>
      <c r="J309" s="693"/>
      <c r="K309" s="694"/>
      <c r="L309" s="695"/>
      <c r="M309" s="697"/>
      <c r="N309" s="694"/>
      <c r="O309" s="696"/>
      <c r="P309" s="694"/>
      <c r="Q309" s="694"/>
      <c r="R309" s="694"/>
    </row>
    <row r="310" spans="1:18" ht="15" hidden="1" customHeight="1" outlineLevel="1" thickBot="1">
      <c r="A310" s="699" t="str">
        <f t="shared" si="8"/>
        <v/>
      </c>
      <c r="B310" s="687"/>
      <c r="C310" s="734" t="str">
        <f>IF(D310="","",COUNTA($D$209:D310))</f>
        <v/>
      </c>
      <c r="D310" s="692"/>
      <c r="E310" s="693"/>
      <c r="F310" s="694"/>
      <c r="G310" s="694"/>
      <c r="H310" s="694"/>
      <c r="I310" s="694"/>
      <c r="J310" s="693"/>
      <c r="K310" s="694"/>
      <c r="L310" s="695"/>
      <c r="M310" s="697"/>
      <c r="N310" s="694"/>
      <c r="O310" s="696"/>
      <c r="P310" s="694"/>
      <c r="Q310" s="694"/>
      <c r="R310" s="694"/>
    </row>
    <row r="311" spans="1:18" ht="15" hidden="1" customHeight="1" outlineLevel="1" thickBot="1">
      <c r="A311" s="699" t="str">
        <f t="shared" si="8"/>
        <v/>
      </c>
      <c r="B311" s="687"/>
      <c r="C311" s="734" t="str">
        <f>IF(D311="","",COUNTA($D$209:D311))</f>
        <v/>
      </c>
      <c r="D311" s="692"/>
      <c r="E311" s="693"/>
      <c r="F311" s="694"/>
      <c r="G311" s="694"/>
      <c r="H311" s="694"/>
      <c r="I311" s="694"/>
      <c r="J311" s="693"/>
      <c r="K311" s="694"/>
      <c r="L311" s="695"/>
      <c r="M311" s="697"/>
      <c r="N311" s="694"/>
      <c r="O311" s="696"/>
      <c r="P311" s="694"/>
      <c r="Q311" s="694"/>
      <c r="R311" s="694"/>
    </row>
    <row r="312" spans="1:18" ht="15" hidden="1" customHeight="1" outlineLevel="1" thickBot="1">
      <c r="A312" s="699" t="str">
        <f t="shared" si="8"/>
        <v/>
      </c>
      <c r="B312" s="687"/>
      <c r="C312" s="734" t="str">
        <f>IF(D312="","",COUNTA($D$209:D312))</f>
        <v/>
      </c>
      <c r="D312" s="692"/>
      <c r="E312" s="693"/>
      <c r="F312" s="694"/>
      <c r="G312" s="694"/>
      <c r="H312" s="694"/>
      <c r="I312" s="694"/>
      <c r="J312" s="693"/>
      <c r="K312" s="694"/>
      <c r="L312" s="695"/>
      <c r="M312" s="697"/>
      <c r="N312" s="694"/>
      <c r="O312" s="696"/>
      <c r="P312" s="694"/>
      <c r="Q312" s="694"/>
      <c r="R312" s="694"/>
    </row>
    <row r="313" spans="1:18" ht="15" hidden="1" customHeight="1" outlineLevel="1" thickBot="1">
      <c r="A313" s="699" t="str">
        <f t="shared" si="8"/>
        <v/>
      </c>
      <c r="B313" s="687"/>
      <c r="C313" s="734" t="str">
        <f>IF(D313="","",COUNTA($D$209:D313))</f>
        <v/>
      </c>
      <c r="D313" s="692"/>
      <c r="E313" s="693"/>
      <c r="F313" s="694"/>
      <c r="G313" s="694"/>
      <c r="H313" s="694"/>
      <c r="I313" s="694"/>
      <c r="J313" s="693"/>
      <c r="K313" s="694"/>
      <c r="L313" s="695"/>
      <c r="M313" s="697"/>
      <c r="N313" s="694"/>
      <c r="O313" s="696"/>
      <c r="P313" s="694"/>
      <c r="Q313" s="694"/>
      <c r="R313" s="694"/>
    </row>
    <row r="314" spans="1:18" ht="15" hidden="1" customHeight="1" outlineLevel="1" thickBot="1">
      <c r="A314" s="699" t="str">
        <f t="shared" si="8"/>
        <v/>
      </c>
      <c r="B314" s="687"/>
      <c r="C314" s="734" t="str">
        <f>IF(D314="","",COUNTA($D$209:D314))</f>
        <v/>
      </c>
      <c r="D314" s="692"/>
      <c r="E314" s="693"/>
      <c r="F314" s="694"/>
      <c r="G314" s="694"/>
      <c r="H314" s="694"/>
      <c r="I314" s="694"/>
      <c r="J314" s="693"/>
      <c r="K314" s="694"/>
      <c r="L314" s="695"/>
      <c r="M314" s="697"/>
      <c r="N314" s="694"/>
      <c r="O314" s="696"/>
      <c r="P314" s="694"/>
      <c r="Q314" s="694"/>
      <c r="R314" s="694"/>
    </row>
    <row r="315" spans="1:18" ht="15" hidden="1" customHeight="1" outlineLevel="1" thickBot="1">
      <c r="A315" s="699" t="str">
        <f t="shared" si="8"/>
        <v/>
      </c>
      <c r="B315" s="687"/>
      <c r="C315" s="734" t="str">
        <f>IF(D315="","",COUNTA($D$209:D315))</f>
        <v/>
      </c>
      <c r="D315" s="692"/>
      <c r="E315" s="693"/>
      <c r="F315" s="694"/>
      <c r="G315" s="694"/>
      <c r="H315" s="694"/>
      <c r="I315" s="694"/>
      <c r="J315" s="693"/>
      <c r="K315" s="694"/>
      <c r="L315" s="695"/>
      <c r="M315" s="697"/>
      <c r="N315" s="694"/>
      <c r="O315" s="696"/>
      <c r="P315" s="694"/>
      <c r="Q315" s="694"/>
      <c r="R315" s="694"/>
    </row>
    <row r="316" spans="1:18" ht="15" hidden="1" customHeight="1" outlineLevel="1" thickBot="1">
      <c r="A316" s="699" t="str">
        <f t="shared" si="8"/>
        <v/>
      </c>
      <c r="B316" s="687"/>
      <c r="C316" s="734" t="str">
        <f>IF(D316="","",COUNTA($D$209:D316))</f>
        <v/>
      </c>
      <c r="D316" s="692"/>
      <c r="E316" s="693"/>
      <c r="F316" s="694"/>
      <c r="G316" s="694"/>
      <c r="H316" s="694"/>
      <c r="I316" s="694"/>
      <c r="J316" s="693"/>
      <c r="K316" s="694"/>
      <c r="L316" s="695"/>
      <c r="M316" s="697"/>
      <c r="N316" s="694"/>
      <c r="O316" s="696"/>
      <c r="P316" s="694"/>
      <c r="Q316" s="694"/>
      <c r="R316" s="694"/>
    </row>
    <row r="317" spans="1:18" ht="15" hidden="1" customHeight="1" outlineLevel="1" thickBot="1">
      <c r="A317" s="699" t="str">
        <f t="shared" si="8"/>
        <v/>
      </c>
      <c r="B317" s="687"/>
      <c r="C317" s="734" t="str">
        <f>IF(D317="","",COUNTA($D$209:D317))</f>
        <v/>
      </c>
      <c r="D317" s="692"/>
      <c r="E317" s="693"/>
      <c r="F317" s="694"/>
      <c r="G317" s="694"/>
      <c r="H317" s="694"/>
      <c r="I317" s="694"/>
      <c r="J317" s="693"/>
      <c r="K317" s="694"/>
      <c r="L317" s="695"/>
      <c r="M317" s="697"/>
      <c r="N317" s="694"/>
      <c r="O317" s="696"/>
      <c r="P317" s="694"/>
      <c r="Q317" s="694"/>
      <c r="R317" s="694"/>
    </row>
    <row r="318" spans="1:18" ht="15" hidden="1" customHeight="1" outlineLevel="1" thickBot="1">
      <c r="A318" s="699" t="str">
        <f t="shared" si="8"/>
        <v/>
      </c>
      <c r="B318" s="687"/>
      <c r="C318" s="734" t="str">
        <f>IF(D318="","",COUNTA($D$209:D318))</f>
        <v/>
      </c>
      <c r="D318" s="692"/>
      <c r="E318" s="693"/>
      <c r="F318" s="694"/>
      <c r="G318" s="694"/>
      <c r="H318" s="694"/>
      <c r="I318" s="694"/>
      <c r="J318" s="693"/>
      <c r="K318" s="694"/>
      <c r="L318" s="695"/>
      <c r="M318" s="697"/>
      <c r="N318" s="694"/>
      <c r="O318" s="696"/>
      <c r="P318" s="694"/>
      <c r="Q318" s="694"/>
      <c r="R318" s="694"/>
    </row>
    <row r="319" spans="1:18" ht="15" hidden="1" customHeight="1" outlineLevel="1" thickBot="1">
      <c r="A319" s="699" t="str">
        <f t="shared" si="8"/>
        <v/>
      </c>
      <c r="B319" s="687"/>
      <c r="C319" s="734" t="str">
        <f>IF(D319="","",COUNTA($D$209:D319))</f>
        <v/>
      </c>
      <c r="D319" s="692"/>
      <c r="E319" s="693"/>
      <c r="F319" s="694"/>
      <c r="G319" s="694"/>
      <c r="H319" s="694"/>
      <c r="I319" s="694"/>
      <c r="J319" s="693"/>
      <c r="K319" s="694"/>
      <c r="L319" s="695"/>
      <c r="M319" s="697"/>
      <c r="N319" s="694"/>
      <c r="O319" s="696"/>
      <c r="P319" s="694"/>
      <c r="Q319" s="694"/>
      <c r="R319" s="694"/>
    </row>
    <row r="320" spans="1:18" ht="15" hidden="1" customHeight="1" outlineLevel="1" thickBot="1">
      <c r="A320" s="699" t="str">
        <f t="shared" si="8"/>
        <v/>
      </c>
      <c r="B320" s="687"/>
      <c r="C320" s="734" t="str">
        <f>IF(D320="","",COUNTA($D$209:D320))</f>
        <v/>
      </c>
      <c r="D320" s="692"/>
      <c r="E320" s="693"/>
      <c r="F320" s="694"/>
      <c r="G320" s="694"/>
      <c r="H320" s="694"/>
      <c r="I320" s="694"/>
      <c r="J320" s="693"/>
      <c r="K320" s="694"/>
      <c r="L320" s="695"/>
      <c r="M320" s="697"/>
      <c r="N320" s="694"/>
      <c r="O320" s="696"/>
      <c r="P320" s="694"/>
      <c r="Q320" s="694"/>
      <c r="R320" s="694"/>
    </row>
    <row r="321" spans="1:18" ht="15" hidden="1" customHeight="1" outlineLevel="1" thickBot="1">
      <c r="A321" s="699" t="str">
        <f t="shared" si="8"/>
        <v/>
      </c>
      <c r="B321" s="687"/>
      <c r="C321" s="734" t="str">
        <f>IF(D321="","",COUNTA($D$209:D321))</f>
        <v/>
      </c>
      <c r="D321" s="692"/>
      <c r="E321" s="693"/>
      <c r="F321" s="694"/>
      <c r="G321" s="694"/>
      <c r="H321" s="694"/>
      <c r="I321" s="694"/>
      <c r="J321" s="693"/>
      <c r="K321" s="694"/>
      <c r="L321" s="695"/>
      <c r="M321" s="697"/>
      <c r="N321" s="694"/>
      <c r="O321" s="696"/>
      <c r="P321" s="694"/>
      <c r="Q321" s="694"/>
      <c r="R321" s="694"/>
    </row>
    <row r="322" spans="1:18" ht="15" hidden="1" customHeight="1" outlineLevel="1" thickBot="1">
      <c r="A322" s="699" t="str">
        <f t="shared" si="8"/>
        <v/>
      </c>
      <c r="B322" s="687"/>
      <c r="C322" s="734" t="str">
        <f>IF(D322="","",COUNTA($D$209:D322))</f>
        <v/>
      </c>
      <c r="D322" s="692"/>
      <c r="E322" s="693"/>
      <c r="F322" s="694"/>
      <c r="G322" s="694"/>
      <c r="H322" s="694"/>
      <c r="I322" s="694"/>
      <c r="J322" s="693"/>
      <c r="K322" s="694"/>
      <c r="L322" s="695"/>
      <c r="M322" s="697"/>
      <c r="N322" s="694"/>
      <c r="O322" s="696"/>
      <c r="P322" s="694"/>
      <c r="Q322" s="694"/>
      <c r="R322" s="694"/>
    </row>
    <row r="323" spans="1:18" ht="15" hidden="1" customHeight="1" outlineLevel="1" thickBot="1">
      <c r="A323" s="699" t="str">
        <f t="shared" si="8"/>
        <v/>
      </c>
      <c r="B323" s="687"/>
      <c r="C323" s="734" t="str">
        <f>IF(D323="","",COUNTA($D$209:D323))</f>
        <v/>
      </c>
      <c r="D323" s="692"/>
      <c r="E323" s="693"/>
      <c r="F323" s="694"/>
      <c r="G323" s="694"/>
      <c r="H323" s="694"/>
      <c r="I323" s="694"/>
      <c r="J323" s="693"/>
      <c r="K323" s="694"/>
      <c r="L323" s="695"/>
      <c r="M323" s="697"/>
      <c r="N323" s="694"/>
      <c r="O323" s="696"/>
      <c r="P323" s="694"/>
      <c r="Q323" s="694"/>
      <c r="R323" s="694"/>
    </row>
    <row r="324" spans="1:18" ht="15" hidden="1" customHeight="1" outlineLevel="1" thickBot="1">
      <c r="A324" s="699" t="str">
        <f t="shared" si="8"/>
        <v/>
      </c>
      <c r="B324" s="687"/>
      <c r="C324" s="734" t="str">
        <f>IF(D324="","",COUNTA($D$209:D324))</f>
        <v/>
      </c>
      <c r="D324" s="692"/>
      <c r="E324" s="693"/>
      <c r="F324" s="694"/>
      <c r="G324" s="694"/>
      <c r="H324" s="694"/>
      <c r="I324" s="694"/>
      <c r="J324" s="693"/>
      <c r="K324" s="694"/>
      <c r="L324" s="695"/>
      <c r="M324" s="697"/>
      <c r="N324" s="694"/>
      <c r="O324" s="696"/>
      <c r="P324" s="694"/>
      <c r="Q324" s="694"/>
      <c r="R324" s="694"/>
    </row>
    <row r="325" spans="1:18" ht="15" hidden="1" customHeight="1" outlineLevel="1" thickBot="1">
      <c r="A325" s="699" t="str">
        <f t="shared" si="8"/>
        <v/>
      </c>
      <c r="B325" s="687"/>
      <c r="C325" s="734" t="str">
        <f>IF(D325="","",COUNTA($D$209:D325))</f>
        <v/>
      </c>
      <c r="D325" s="692"/>
      <c r="E325" s="693"/>
      <c r="F325" s="694"/>
      <c r="G325" s="694"/>
      <c r="H325" s="694"/>
      <c r="I325" s="694"/>
      <c r="J325" s="693"/>
      <c r="K325" s="694"/>
      <c r="L325" s="695"/>
      <c r="M325" s="697"/>
      <c r="N325" s="694"/>
      <c r="O325" s="696"/>
      <c r="P325" s="694"/>
      <c r="Q325" s="694"/>
      <c r="R325" s="694"/>
    </row>
    <row r="326" spans="1:18" ht="15" hidden="1" customHeight="1" outlineLevel="1" thickBot="1">
      <c r="A326" s="699" t="str">
        <f t="shared" si="8"/>
        <v/>
      </c>
      <c r="B326" s="687"/>
      <c r="C326" s="734" t="str">
        <f>IF(D326="","",COUNTA($D$209:D326))</f>
        <v/>
      </c>
      <c r="D326" s="692"/>
      <c r="E326" s="693"/>
      <c r="F326" s="694"/>
      <c r="G326" s="694"/>
      <c r="H326" s="694"/>
      <c r="I326" s="694"/>
      <c r="J326" s="693"/>
      <c r="K326" s="694"/>
      <c r="L326" s="695"/>
      <c r="M326" s="697"/>
      <c r="N326" s="694"/>
      <c r="O326" s="696"/>
      <c r="P326" s="694"/>
      <c r="Q326" s="694"/>
      <c r="R326" s="694"/>
    </row>
    <row r="327" spans="1:18" ht="15" hidden="1" customHeight="1" outlineLevel="1" thickBot="1">
      <c r="A327" s="699" t="str">
        <f t="shared" si="8"/>
        <v/>
      </c>
      <c r="B327" s="687"/>
      <c r="C327" s="734" t="str">
        <f>IF(D327="","",COUNTA($D$209:D327))</f>
        <v/>
      </c>
      <c r="D327" s="692"/>
      <c r="E327" s="693"/>
      <c r="F327" s="694"/>
      <c r="G327" s="694"/>
      <c r="H327" s="694"/>
      <c r="I327" s="694"/>
      <c r="J327" s="693"/>
      <c r="K327" s="694"/>
      <c r="L327" s="695"/>
      <c r="M327" s="697"/>
      <c r="N327" s="694"/>
      <c r="O327" s="696"/>
      <c r="P327" s="694"/>
      <c r="Q327" s="694"/>
      <c r="R327" s="694"/>
    </row>
    <row r="328" spans="1:18" ht="15" hidden="1" customHeight="1" outlineLevel="1" thickBot="1">
      <c r="A328" s="699" t="str">
        <f t="shared" si="8"/>
        <v/>
      </c>
      <c r="B328" s="687"/>
      <c r="C328" s="734" t="str">
        <f>IF(D328="","",COUNTA($D$209:D328))</f>
        <v/>
      </c>
      <c r="D328" s="692"/>
      <c r="E328" s="693"/>
      <c r="F328" s="694"/>
      <c r="G328" s="694"/>
      <c r="H328" s="694"/>
      <c r="I328" s="694"/>
      <c r="J328" s="693"/>
      <c r="K328" s="694"/>
      <c r="L328" s="695"/>
      <c r="M328" s="697"/>
      <c r="N328" s="694"/>
      <c r="O328" s="696"/>
      <c r="P328" s="694"/>
      <c r="Q328" s="694"/>
      <c r="R328" s="694"/>
    </row>
    <row r="329" spans="1:18" ht="15" hidden="1" customHeight="1" outlineLevel="1" thickBot="1">
      <c r="A329" s="699" t="str">
        <f t="shared" si="8"/>
        <v/>
      </c>
      <c r="B329" s="687"/>
      <c r="C329" s="734" t="str">
        <f>IF(D329="","",COUNTA($D$209:D329))</f>
        <v/>
      </c>
      <c r="D329" s="692"/>
      <c r="E329" s="693"/>
      <c r="F329" s="694"/>
      <c r="G329" s="694"/>
      <c r="H329" s="694"/>
      <c r="I329" s="694"/>
      <c r="J329" s="693"/>
      <c r="K329" s="694"/>
      <c r="L329" s="695"/>
      <c r="M329" s="697"/>
      <c r="N329" s="694"/>
      <c r="O329" s="696"/>
      <c r="P329" s="694"/>
      <c r="Q329" s="694"/>
      <c r="R329" s="694"/>
    </row>
    <row r="330" spans="1:18" ht="15" hidden="1" customHeight="1" outlineLevel="1" thickBot="1">
      <c r="A330" s="699" t="str">
        <f t="shared" si="8"/>
        <v/>
      </c>
      <c r="B330" s="687"/>
      <c r="C330" s="734" t="str">
        <f>IF(D330="","",COUNTA($D$209:D330))</f>
        <v/>
      </c>
      <c r="D330" s="692"/>
      <c r="E330" s="693"/>
      <c r="F330" s="694"/>
      <c r="G330" s="694"/>
      <c r="H330" s="694"/>
      <c r="I330" s="694"/>
      <c r="J330" s="693"/>
      <c r="K330" s="694"/>
      <c r="L330" s="695"/>
      <c r="M330" s="697"/>
      <c r="N330" s="694"/>
      <c r="O330" s="696"/>
      <c r="P330" s="694"/>
      <c r="Q330" s="694"/>
      <c r="R330" s="694"/>
    </row>
    <row r="331" spans="1:18" ht="15" hidden="1" customHeight="1" outlineLevel="1" thickBot="1">
      <c r="A331" s="699" t="str">
        <f t="shared" si="8"/>
        <v/>
      </c>
      <c r="B331" s="687"/>
      <c r="C331" s="734" t="str">
        <f>IF(D331="","",COUNTA($D$209:D331))</f>
        <v/>
      </c>
      <c r="D331" s="692"/>
      <c r="E331" s="693"/>
      <c r="F331" s="694"/>
      <c r="G331" s="694"/>
      <c r="H331" s="694"/>
      <c r="I331" s="694"/>
      <c r="J331" s="693"/>
      <c r="K331" s="694"/>
      <c r="L331" s="695"/>
      <c r="M331" s="697"/>
      <c r="N331" s="694"/>
      <c r="O331" s="696"/>
      <c r="P331" s="694"/>
      <c r="Q331" s="694"/>
      <c r="R331" s="694"/>
    </row>
    <row r="332" spans="1:18" ht="15" hidden="1" customHeight="1" outlineLevel="1" thickBot="1">
      <c r="A332" s="699" t="str">
        <f t="shared" si="8"/>
        <v/>
      </c>
      <c r="B332" s="687"/>
      <c r="C332" s="734" t="str">
        <f>IF(D332="","",COUNTA($D$209:D332))</f>
        <v/>
      </c>
      <c r="D332" s="692"/>
      <c r="E332" s="693"/>
      <c r="F332" s="694"/>
      <c r="G332" s="694"/>
      <c r="H332" s="694"/>
      <c r="I332" s="694"/>
      <c r="J332" s="693"/>
      <c r="K332" s="694"/>
      <c r="L332" s="695"/>
      <c r="M332" s="697"/>
      <c r="N332" s="694"/>
      <c r="O332" s="696"/>
      <c r="P332" s="694"/>
      <c r="Q332" s="694"/>
      <c r="R332" s="694"/>
    </row>
    <row r="333" spans="1:18" ht="15" hidden="1" customHeight="1" outlineLevel="1" thickBot="1">
      <c r="A333" s="699" t="str">
        <f t="shared" si="8"/>
        <v/>
      </c>
      <c r="B333" s="687"/>
      <c r="C333" s="734" t="str">
        <f>IF(D333="","",COUNTA($D$209:D333))</f>
        <v/>
      </c>
      <c r="D333" s="692"/>
      <c r="E333" s="693"/>
      <c r="F333" s="694"/>
      <c r="G333" s="694"/>
      <c r="H333" s="694"/>
      <c r="I333" s="694"/>
      <c r="J333" s="693"/>
      <c r="K333" s="694"/>
      <c r="L333" s="695"/>
      <c r="M333" s="697"/>
      <c r="N333" s="694"/>
      <c r="O333" s="696"/>
      <c r="P333" s="694"/>
      <c r="Q333" s="694"/>
      <c r="R333" s="694"/>
    </row>
    <row r="334" spans="1:18" ht="15" hidden="1" customHeight="1" outlineLevel="1" thickBot="1">
      <c r="A334" s="699" t="str">
        <f t="shared" si="8"/>
        <v/>
      </c>
      <c r="B334" s="687"/>
      <c r="C334" s="734" t="str">
        <f>IF(D334="","",COUNTA($D$209:D334))</f>
        <v/>
      </c>
      <c r="D334" s="692"/>
      <c r="E334" s="693"/>
      <c r="F334" s="694"/>
      <c r="G334" s="694"/>
      <c r="H334" s="694"/>
      <c r="I334" s="694"/>
      <c r="J334" s="693"/>
      <c r="K334" s="694"/>
      <c r="L334" s="695"/>
      <c r="M334" s="697"/>
      <c r="N334" s="694"/>
      <c r="O334" s="696"/>
      <c r="P334" s="694"/>
      <c r="Q334" s="694"/>
      <c r="R334" s="694"/>
    </row>
    <row r="335" spans="1:18" ht="15" hidden="1" customHeight="1" outlineLevel="1" thickBot="1">
      <c r="A335" s="699" t="str">
        <f t="shared" si="8"/>
        <v/>
      </c>
      <c r="B335" s="687"/>
      <c r="C335" s="734" t="str">
        <f>IF(D335="","",COUNTA($D$209:D335))</f>
        <v/>
      </c>
      <c r="D335" s="692"/>
      <c r="E335" s="693"/>
      <c r="F335" s="694"/>
      <c r="G335" s="694"/>
      <c r="H335" s="694"/>
      <c r="I335" s="694"/>
      <c r="J335" s="693"/>
      <c r="K335" s="694"/>
      <c r="L335" s="695"/>
      <c r="M335" s="697"/>
      <c r="N335" s="694"/>
      <c r="O335" s="696"/>
      <c r="P335" s="694"/>
      <c r="Q335" s="694"/>
      <c r="R335" s="694"/>
    </row>
    <row r="336" spans="1:18" ht="15" hidden="1" customHeight="1" outlineLevel="1" thickBot="1">
      <c r="A336" s="699" t="str">
        <f t="shared" si="8"/>
        <v/>
      </c>
      <c r="B336" s="687"/>
      <c r="C336" s="734" t="str">
        <f>IF(D336="","",COUNTA($D$209:D336))</f>
        <v/>
      </c>
      <c r="D336" s="692"/>
      <c r="E336" s="693"/>
      <c r="F336" s="694"/>
      <c r="G336" s="694"/>
      <c r="H336" s="694"/>
      <c r="I336" s="694"/>
      <c r="J336" s="693"/>
      <c r="K336" s="694"/>
      <c r="L336" s="695"/>
      <c r="M336" s="697"/>
      <c r="N336" s="694"/>
      <c r="O336" s="696"/>
      <c r="P336" s="694"/>
      <c r="Q336" s="694"/>
      <c r="R336" s="694"/>
    </row>
    <row r="337" spans="1:18" ht="15" hidden="1" customHeight="1" outlineLevel="1" thickBot="1">
      <c r="A337" s="699" t="str">
        <f t="shared" ref="A337:A400" si="9">E337&amp;H337&amp;J337</f>
        <v/>
      </c>
      <c r="B337" s="687"/>
      <c r="C337" s="734" t="str">
        <f>IF(D337="","",COUNTA($D$209:D337))</f>
        <v/>
      </c>
      <c r="D337" s="692"/>
      <c r="E337" s="693"/>
      <c r="F337" s="694"/>
      <c r="G337" s="694"/>
      <c r="H337" s="694"/>
      <c r="I337" s="694"/>
      <c r="J337" s="693"/>
      <c r="K337" s="694"/>
      <c r="L337" s="695"/>
      <c r="M337" s="697"/>
      <c r="N337" s="694"/>
      <c r="O337" s="696"/>
      <c r="P337" s="694"/>
      <c r="Q337" s="694"/>
      <c r="R337" s="694"/>
    </row>
    <row r="338" spans="1:18" ht="15" hidden="1" customHeight="1" outlineLevel="1" thickBot="1">
      <c r="A338" s="699" t="str">
        <f t="shared" si="9"/>
        <v/>
      </c>
      <c r="B338" s="687"/>
      <c r="C338" s="734" t="str">
        <f>IF(D338="","",COUNTA($D$209:D338))</f>
        <v/>
      </c>
      <c r="D338" s="692"/>
      <c r="E338" s="693"/>
      <c r="F338" s="694"/>
      <c r="G338" s="694"/>
      <c r="H338" s="694"/>
      <c r="I338" s="694"/>
      <c r="J338" s="693"/>
      <c r="K338" s="694"/>
      <c r="L338" s="695"/>
      <c r="M338" s="697"/>
      <c r="N338" s="694"/>
      <c r="O338" s="696"/>
      <c r="P338" s="694"/>
      <c r="Q338" s="694"/>
      <c r="R338" s="694"/>
    </row>
    <row r="339" spans="1:18" ht="15" hidden="1" customHeight="1" outlineLevel="1" thickBot="1">
      <c r="A339" s="699" t="str">
        <f t="shared" si="9"/>
        <v/>
      </c>
      <c r="B339" s="687"/>
      <c r="C339" s="734" t="str">
        <f>IF(D339="","",COUNTA($D$209:D339))</f>
        <v/>
      </c>
      <c r="D339" s="692"/>
      <c r="E339" s="693"/>
      <c r="F339" s="694"/>
      <c r="G339" s="694"/>
      <c r="H339" s="694"/>
      <c r="I339" s="694"/>
      <c r="J339" s="693"/>
      <c r="K339" s="694"/>
      <c r="L339" s="695"/>
      <c r="M339" s="697"/>
      <c r="N339" s="694"/>
      <c r="O339" s="696"/>
      <c r="P339" s="694"/>
      <c r="Q339" s="694"/>
      <c r="R339" s="694"/>
    </row>
    <row r="340" spans="1:18" ht="15" hidden="1" customHeight="1" outlineLevel="1" thickBot="1">
      <c r="A340" s="699" t="str">
        <f t="shared" si="9"/>
        <v/>
      </c>
      <c r="B340" s="687"/>
      <c r="C340" s="734" t="str">
        <f>IF(D340="","",COUNTA($D$209:D340))</f>
        <v/>
      </c>
      <c r="D340" s="692"/>
      <c r="E340" s="693"/>
      <c r="F340" s="694"/>
      <c r="G340" s="694"/>
      <c r="H340" s="694"/>
      <c r="I340" s="694"/>
      <c r="J340" s="693"/>
      <c r="K340" s="694"/>
      <c r="L340" s="695"/>
      <c r="M340" s="697"/>
      <c r="N340" s="694"/>
      <c r="O340" s="696"/>
      <c r="P340" s="694"/>
      <c r="Q340" s="694"/>
      <c r="R340" s="694"/>
    </row>
    <row r="341" spans="1:18" ht="15" hidden="1" customHeight="1" outlineLevel="1" thickBot="1">
      <c r="A341" s="699" t="str">
        <f t="shared" si="9"/>
        <v/>
      </c>
      <c r="B341" s="687"/>
      <c r="C341" s="734" t="str">
        <f>IF(D341="","",COUNTA($D$209:D341))</f>
        <v/>
      </c>
      <c r="D341" s="692"/>
      <c r="E341" s="693"/>
      <c r="F341" s="694"/>
      <c r="G341" s="694"/>
      <c r="H341" s="694"/>
      <c r="I341" s="694"/>
      <c r="J341" s="693"/>
      <c r="K341" s="694"/>
      <c r="L341" s="695"/>
      <c r="M341" s="697"/>
      <c r="N341" s="694"/>
      <c r="O341" s="696"/>
      <c r="P341" s="694"/>
      <c r="Q341" s="694"/>
      <c r="R341" s="694"/>
    </row>
    <row r="342" spans="1:18" ht="15" hidden="1" customHeight="1" outlineLevel="1" thickBot="1">
      <c r="A342" s="699" t="str">
        <f t="shared" si="9"/>
        <v/>
      </c>
      <c r="B342" s="687"/>
      <c r="C342" s="734" t="str">
        <f>IF(D342="","",COUNTA($D$209:D342))</f>
        <v/>
      </c>
      <c r="D342" s="692"/>
      <c r="E342" s="693"/>
      <c r="F342" s="694"/>
      <c r="G342" s="694"/>
      <c r="H342" s="694"/>
      <c r="I342" s="694"/>
      <c r="J342" s="693"/>
      <c r="K342" s="694"/>
      <c r="L342" s="695"/>
      <c r="M342" s="697"/>
      <c r="N342" s="694"/>
      <c r="O342" s="696"/>
      <c r="P342" s="694"/>
      <c r="Q342" s="694"/>
      <c r="R342" s="694"/>
    </row>
    <row r="343" spans="1:18" ht="15" hidden="1" customHeight="1" outlineLevel="1" thickBot="1">
      <c r="A343" s="699" t="str">
        <f t="shared" si="9"/>
        <v/>
      </c>
      <c r="B343" s="687"/>
      <c r="C343" s="734" t="str">
        <f>IF(D343="","",COUNTA($D$209:D343))</f>
        <v/>
      </c>
      <c r="D343" s="692"/>
      <c r="E343" s="693"/>
      <c r="F343" s="694"/>
      <c r="G343" s="694"/>
      <c r="H343" s="694"/>
      <c r="I343" s="694"/>
      <c r="J343" s="693"/>
      <c r="K343" s="694"/>
      <c r="L343" s="695"/>
      <c r="M343" s="697"/>
      <c r="N343" s="694"/>
      <c r="O343" s="696"/>
      <c r="P343" s="694"/>
      <c r="Q343" s="694"/>
      <c r="R343" s="694"/>
    </row>
    <row r="344" spans="1:18" ht="15" hidden="1" customHeight="1" outlineLevel="1" thickBot="1">
      <c r="A344" s="699" t="str">
        <f t="shared" si="9"/>
        <v/>
      </c>
      <c r="B344" s="687"/>
      <c r="C344" s="734" t="str">
        <f>IF(D344="","",COUNTA($D$209:D344))</f>
        <v/>
      </c>
      <c r="D344" s="692"/>
      <c r="E344" s="693"/>
      <c r="F344" s="694"/>
      <c r="G344" s="694"/>
      <c r="H344" s="694"/>
      <c r="I344" s="694"/>
      <c r="J344" s="693"/>
      <c r="K344" s="694"/>
      <c r="L344" s="695"/>
      <c r="M344" s="697"/>
      <c r="N344" s="694"/>
      <c r="O344" s="696"/>
      <c r="P344" s="694"/>
      <c r="Q344" s="694"/>
      <c r="R344" s="694"/>
    </row>
    <row r="345" spans="1:18" ht="15" hidden="1" customHeight="1" outlineLevel="1" thickBot="1">
      <c r="A345" s="699" t="str">
        <f t="shared" si="9"/>
        <v/>
      </c>
      <c r="B345" s="687"/>
      <c r="C345" s="734" t="str">
        <f>IF(D345="","",COUNTA($D$209:D345))</f>
        <v/>
      </c>
      <c r="D345" s="692"/>
      <c r="E345" s="693"/>
      <c r="F345" s="694"/>
      <c r="G345" s="694"/>
      <c r="H345" s="694"/>
      <c r="I345" s="694"/>
      <c r="J345" s="693"/>
      <c r="K345" s="694"/>
      <c r="L345" s="695"/>
      <c r="M345" s="697"/>
      <c r="N345" s="694"/>
      <c r="O345" s="696"/>
      <c r="P345" s="694"/>
      <c r="Q345" s="694"/>
      <c r="R345" s="694"/>
    </row>
    <row r="346" spans="1:18" ht="15" hidden="1" customHeight="1" outlineLevel="1" thickBot="1">
      <c r="A346" s="699" t="str">
        <f t="shared" si="9"/>
        <v/>
      </c>
      <c r="B346" s="687"/>
      <c r="C346" s="734" t="str">
        <f>IF(D346="","",COUNTA($D$209:D346))</f>
        <v/>
      </c>
      <c r="D346" s="692"/>
      <c r="E346" s="693"/>
      <c r="F346" s="694"/>
      <c r="G346" s="694"/>
      <c r="H346" s="694"/>
      <c r="I346" s="694"/>
      <c r="J346" s="693"/>
      <c r="K346" s="694"/>
      <c r="L346" s="695"/>
      <c r="M346" s="697"/>
      <c r="N346" s="694"/>
      <c r="O346" s="696"/>
      <c r="P346" s="694"/>
      <c r="Q346" s="694"/>
      <c r="R346" s="694"/>
    </row>
    <row r="347" spans="1:18" ht="15" hidden="1" customHeight="1" outlineLevel="1" thickBot="1">
      <c r="A347" s="699" t="str">
        <f t="shared" si="9"/>
        <v/>
      </c>
      <c r="B347" s="687"/>
      <c r="C347" s="734" t="str">
        <f>IF(D347="","",COUNTA($D$209:D347))</f>
        <v/>
      </c>
      <c r="D347" s="692"/>
      <c r="E347" s="693"/>
      <c r="F347" s="694"/>
      <c r="G347" s="694"/>
      <c r="H347" s="694"/>
      <c r="I347" s="694"/>
      <c r="J347" s="693"/>
      <c r="K347" s="694"/>
      <c r="L347" s="695"/>
      <c r="M347" s="697"/>
      <c r="N347" s="694"/>
      <c r="O347" s="696"/>
      <c r="P347" s="694"/>
      <c r="Q347" s="694"/>
      <c r="R347" s="694"/>
    </row>
    <row r="348" spans="1:18" ht="15" hidden="1" customHeight="1" outlineLevel="1" thickBot="1">
      <c r="A348" s="699" t="str">
        <f t="shared" si="9"/>
        <v/>
      </c>
      <c r="B348" s="687"/>
      <c r="C348" s="734" t="str">
        <f>IF(D348="","",COUNTA($D$209:D348))</f>
        <v/>
      </c>
      <c r="D348" s="692"/>
      <c r="E348" s="693"/>
      <c r="F348" s="694"/>
      <c r="G348" s="694"/>
      <c r="H348" s="694"/>
      <c r="I348" s="694"/>
      <c r="J348" s="693"/>
      <c r="K348" s="694"/>
      <c r="L348" s="695"/>
      <c r="M348" s="697"/>
      <c r="N348" s="694"/>
      <c r="O348" s="696"/>
      <c r="P348" s="694"/>
      <c r="Q348" s="694"/>
      <c r="R348" s="694"/>
    </row>
    <row r="349" spans="1:18" ht="15" hidden="1" customHeight="1" outlineLevel="1" thickBot="1">
      <c r="A349" s="699" t="str">
        <f t="shared" si="9"/>
        <v/>
      </c>
      <c r="B349" s="687"/>
      <c r="C349" s="734" t="str">
        <f>IF(D349="","",COUNTA($D$209:D349))</f>
        <v/>
      </c>
      <c r="D349" s="692"/>
      <c r="E349" s="693"/>
      <c r="F349" s="694"/>
      <c r="G349" s="694"/>
      <c r="H349" s="694"/>
      <c r="I349" s="694"/>
      <c r="J349" s="693"/>
      <c r="K349" s="694"/>
      <c r="L349" s="695"/>
      <c r="M349" s="697"/>
      <c r="N349" s="694"/>
      <c r="O349" s="696"/>
      <c r="P349" s="694"/>
      <c r="Q349" s="694"/>
      <c r="R349" s="694"/>
    </row>
    <row r="350" spans="1:18" ht="15" hidden="1" customHeight="1" outlineLevel="1" thickBot="1">
      <c r="A350" s="699" t="str">
        <f t="shared" si="9"/>
        <v/>
      </c>
      <c r="B350" s="687"/>
      <c r="C350" s="734" t="str">
        <f>IF(D350="","",COUNTA($D$209:D350))</f>
        <v/>
      </c>
      <c r="D350" s="692"/>
      <c r="E350" s="693"/>
      <c r="F350" s="694"/>
      <c r="G350" s="694"/>
      <c r="H350" s="694"/>
      <c r="I350" s="694"/>
      <c r="J350" s="693"/>
      <c r="K350" s="694"/>
      <c r="L350" s="695"/>
      <c r="M350" s="697"/>
      <c r="N350" s="694"/>
      <c r="O350" s="696"/>
      <c r="P350" s="694"/>
      <c r="Q350" s="694"/>
      <c r="R350" s="694"/>
    </row>
    <row r="351" spans="1:18" ht="15" hidden="1" customHeight="1" outlineLevel="1" thickBot="1">
      <c r="A351" s="699" t="str">
        <f t="shared" si="9"/>
        <v/>
      </c>
      <c r="B351" s="687"/>
      <c r="C351" s="734" t="str">
        <f>IF(D351="","",COUNTA($D$209:D351))</f>
        <v/>
      </c>
      <c r="D351" s="692"/>
      <c r="E351" s="693"/>
      <c r="F351" s="694"/>
      <c r="G351" s="694"/>
      <c r="H351" s="694"/>
      <c r="I351" s="694"/>
      <c r="J351" s="693"/>
      <c r="K351" s="694"/>
      <c r="L351" s="695"/>
      <c r="M351" s="697"/>
      <c r="N351" s="694"/>
      <c r="O351" s="696"/>
      <c r="P351" s="694"/>
      <c r="Q351" s="694"/>
      <c r="R351" s="694"/>
    </row>
    <row r="352" spans="1:18" ht="15" hidden="1" customHeight="1" outlineLevel="1" thickBot="1">
      <c r="A352" s="699" t="str">
        <f t="shared" si="9"/>
        <v/>
      </c>
      <c r="B352" s="687"/>
      <c r="C352" s="734" t="str">
        <f>IF(D352="","",COUNTA($D$209:D352))</f>
        <v/>
      </c>
      <c r="D352" s="692"/>
      <c r="E352" s="693"/>
      <c r="F352" s="694"/>
      <c r="G352" s="694"/>
      <c r="H352" s="694"/>
      <c r="I352" s="694"/>
      <c r="J352" s="693"/>
      <c r="K352" s="694"/>
      <c r="L352" s="695"/>
      <c r="M352" s="697"/>
      <c r="N352" s="694"/>
      <c r="O352" s="696"/>
      <c r="P352" s="694"/>
      <c r="Q352" s="694"/>
      <c r="R352" s="694"/>
    </row>
    <row r="353" spans="1:18" ht="15" hidden="1" customHeight="1" outlineLevel="1" thickBot="1">
      <c r="A353" s="699" t="str">
        <f t="shared" si="9"/>
        <v/>
      </c>
      <c r="B353" s="687"/>
      <c r="C353" s="734" t="str">
        <f>IF(D353="","",COUNTA($D$209:D353))</f>
        <v/>
      </c>
      <c r="D353" s="692"/>
      <c r="E353" s="693"/>
      <c r="F353" s="694"/>
      <c r="G353" s="694"/>
      <c r="H353" s="694"/>
      <c r="I353" s="694"/>
      <c r="J353" s="693"/>
      <c r="K353" s="694"/>
      <c r="L353" s="695"/>
      <c r="M353" s="697"/>
      <c r="N353" s="694"/>
      <c r="O353" s="696"/>
      <c r="P353" s="694"/>
      <c r="Q353" s="694"/>
      <c r="R353" s="694"/>
    </row>
    <row r="354" spans="1:18" ht="15" hidden="1" customHeight="1" outlineLevel="1" thickBot="1">
      <c r="A354" s="699" t="str">
        <f t="shared" si="9"/>
        <v/>
      </c>
      <c r="B354" s="687"/>
      <c r="C354" s="734" t="str">
        <f>IF(D354="","",COUNTA($D$209:D354))</f>
        <v/>
      </c>
      <c r="D354" s="692"/>
      <c r="E354" s="693"/>
      <c r="F354" s="694"/>
      <c r="G354" s="694"/>
      <c r="H354" s="694"/>
      <c r="I354" s="694"/>
      <c r="J354" s="693"/>
      <c r="K354" s="694"/>
      <c r="L354" s="695"/>
      <c r="M354" s="697"/>
      <c r="N354" s="694"/>
      <c r="O354" s="696"/>
      <c r="P354" s="694"/>
      <c r="Q354" s="694"/>
      <c r="R354" s="694"/>
    </row>
    <row r="355" spans="1:18" ht="15" hidden="1" customHeight="1" outlineLevel="1" thickBot="1">
      <c r="A355" s="699" t="str">
        <f t="shared" si="9"/>
        <v/>
      </c>
      <c r="B355" s="687"/>
      <c r="C355" s="734" t="str">
        <f>IF(D355="","",COUNTA($D$209:D355))</f>
        <v/>
      </c>
      <c r="D355" s="692"/>
      <c r="E355" s="693"/>
      <c r="F355" s="694"/>
      <c r="G355" s="694"/>
      <c r="H355" s="694"/>
      <c r="I355" s="694"/>
      <c r="J355" s="693"/>
      <c r="K355" s="694"/>
      <c r="L355" s="695"/>
      <c r="M355" s="697"/>
      <c r="N355" s="694"/>
      <c r="O355" s="696"/>
      <c r="P355" s="694"/>
      <c r="Q355" s="694"/>
      <c r="R355" s="694"/>
    </row>
    <row r="356" spans="1:18" ht="15" hidden="1" customHeight="1" outlineLevel="1" thickBot="1">
      <c r="A356" s="699" t="str">
        <f t="shared" si="9"/>
        <v/>
      </c>
      <c r="B356" s="687"/>
      <c r="C356" s="734" t="str">
        <f>IF(D356="","",COUNTA($D$209:D356))</f>
        <v/>
      </c>
      <c r="D356" s="692"/>
      <c r="E356" s="693"/>
      <c r="F356" s="694"/>
      <c r="G356" s="694"/>
      <c r="H356" s="694"/>
      <c r="I356" s="694"/>
      <c r="J356" s="693"/>
      <c r="K356" s="694"/>
      <c r="L356" s="695"/>
      <c r="M356" s="697"/>
      <c r="N356" s="694"/>
      <c r="O356" s="696"/>
      <c r="P356" s="694"/>
      <c r="Q356" s="694"/>
      <c r="R356" s="694"/>
    </row>
    <row r="357" spans="1:18" ht="15" hidden="1" customHeight="1" outlineLevel="1" thickBot="1">
      <c r="A357" s="699" t="str">
        <f t="shared" si="9"/>
        <v/>
      </c>
      <c r="B357" s="687"/>
      <c r="C357" s="734" t="str">
        <f>IF(D357="","",COUNTA($D$209:D357))</f>
        <v/>
      </c>
      <c r="D357" s="692"/>
      <c r="E357" s="693"/>
      <c r="F357" s="694"/>
      <c r="G357" s="694"/>
      <c r="H357" s="694"/>
      <c r="I357" s="694"/>
      <c r="J357" s="693"/>
      <c r="K357" s="694"/>
      <c r="L357" s="695"/>
      <c r="M357" s="697"/>
      <c r="N357" s="694"/>
      <c r="O357" s="696"/>
      <c r="P357" s="694"/>
      <c r="Q357" s="694"/>
      <c r="R357" s="694"/>
    </row>
    <row r="358" spans="1:18" ht="15" hidden="1" customHeight="1" outlineLevel="1" thickBot="1">
      <c r="A358" s="699" t="str">
        <f t="shared" si="9"/>
        <v/>
      </c>
      <c r="B358" s="687"/>
      <c r="C358" s="734" t="str">
        <f>IF(D358="","",COUNTA($D$209:D358))</f>
        <v/>
      </c>
      <c r="D358" s="692"/>
      <c r="E358" s="693"/>
      <c r="F358" s="694"/>
      <c r="G358" s="694"/>
      <c r="H358" s="694"/>
      <c r="I358" s="694"/>
      <c r="J358" s="693"/>
      <c r="K358" s="694"/>
      <c r="L358" s="695"/>
      <c r="M358" s="697"/>
      <c r="N358" s="694"/>
      <c r="O358" s="696"/>
      <c r="P358" s="694"/>
      <c r="Q358" s="694"/>
      <c r="R358" s="694"/>
    </row>
    <row r="359" spans="1:18" ht="15" hidden="1" customHeight="1" outlineLevel="1" thickBot="1">
      <c r="A359" s="699" t="str">
        <f t="shared" si="9"/>
        <v/>
      </c>
      <c r="B359" s="687"/>
      <c r="C359" s="734" t="str">
        <f>IF(D359="","",COUNTA($D$209:D359))</f>
        <v/>
      </c>
      <c r="D359" s="692"/>
      <c r="E359" s="693"/>
      <c r="F359" s="694"/>
      <c r="G359" s="694"/>
      <c r="H359" s="694"/>
      <c r="I359" s="694"/>
      <c r="J359" s="693"/>
      <c r="K359" s="694"/>
      <c r="L359" s="695"/>
      <c r="M359" s="697"/>
      <c r="N359" s="694"/>
      <c r="O359" s="696"/>
      <c r="P359" s="694"/>
      <c r="Q359" s="694"/>
      <c r="R359" s="694"/>
    </row>
    <row r="360" spans="1:18" ht="15" hidden="1" customHeight="1" outlineLevel="1" thickBot="1">
      <c r="A360" s="699" t="str">
        <f t="shared" si="9"/>
        <v/>
      </c>
      <c r="B360" s="687"/>
      <c r="C360" s="734" t="str">
        <f>IF(D360="","",COUNTA($D$209:D360))</f>
        <v/>
      </c>
      <c r="D360" s="692"/>
      <c r="E360" s="693"/>
      <c r="F360" s="694"/>
      <c r="G360" s="694"/>
      <c r="H360" s="694"/>
      <c r="I360" s="694"/>
      <c r="J360" s="693"/>
      <c r="K360" s="694"/>
      <c r="L360" s="695"/>
      <c r="M360" s="697"/>
      <c r="N360" s="694"/>
      <c r="O360" s="696"/>
      <c r="P360" s="694"/>
      <c r="Q360" s="694"/>
      <c r="R360" s="694"/>
    </row>
    <row r="361" spans="1:18" ht="15" hidden="1" customHeight="1" outlineLevel="1" thickBot="1">
      <c r="A361" s="699" t="str">
        <f t="shared" si="9"/>
        <v/>
      </c>
      <c r="B361" s="687"/>
      <c r="C361" s="734" t="str">
        <f>IF(D361="","",COUNTA($D$209:D361))</f>
        <v/>
      </c>
      <c r="D361" s="692"/>
      <c r="E361" s="693"/>
      <c r="F361" s="694"/>
      <c r="G361" s="694"/>
      <c r="H361" s="694"/>
      <c r="I361" s="694"/>
      <c r="J361" s="693"/>
      <c r="K361" s="694"/>
      <c r="L361" s="695"/>
      <c r="M361" s="697"/>
      <c r="N361" s="694"/>
      <c r="O361" s="696"/>
      <c r="P361" s="694"/>
      <c r="Q361" s="694"/>
      <c r="R361" s="694"/>
    </row>
    <row r="362" spans="1:18" ht="15" hidden="1" customHeight="1" outlineLevel="1" thickBot="1">
      <c r="A362" s="699" t="str">
        <f t="shared" si="9"/>
        <v/>
      </c>
      <c r="B362" s="687"/>
      <c r="C362" s="734" t="str">
        <f>IF(D362="","",COUNTA($D$209:D362))</f>
        <v/>
      </c>
      <c r="D362" s="692"/>
      <c r="E362" s="693"/>
      <c r="F362" s="694"/>
      <c r="G362" s="694"/>
      <c r="H362" s="694"/>
      <c r="I362" s="694"/>
      <c r="J362" s="693"/>
      <c r="K362" s="694"/>
      <c r="L362" s="695"/>
      <c r="M362" s="697"/>
      <c r="N362" s="694"/>
      <c r="O362" s="696"/>
      <c r="P362" s="694"/>
      <c r="Q362" s="694"/>
      <c r="R362" s="694"/>
    </row>
    <row r="363" spans="1:18" ht="15" hidden="1" customHeight="1" outlineLevel="1" thickBot="1">
      <c r="A363" s="699" t="str">
        <f t="shared" si="9"/>
        <v/>
      </c>
      <c r="B363" s="687"/>
      <c r="C363" s="734" t="str">
        <f>IF(D363="","",COUNTA($D$209:D363))</f>
        <v/>
      </c>
      <c r="D363" s="692"/>
      <c r="E363" s="693"/>
      <c r="F363" s="694"/>
      <c r="G363" s="694"/>
      <c r="H363" s="694"/>
      <c r="I363" s="694"/>
      <c r="J363" s="693"/>
      <c r="K363" s="694"/>
      <c r="L363" s="695"/>
      <c r="M363" s="697"/>
      <c r="N363" s="694"/>
      <c r="O363" s="696"/>
      <c r="P363" s="694"/>
      <c r="Q363" s="694"/>
      <c r="R363" s="694"/>
    </row>
    <row r="364" spans="1:18" ht="15" hidden="1" customHeight="1" outlineLevel="1" thickBot="1">
      <c r="A364" s="699" t="str">
        <f t="shared" si="9"/>
        <v/>
      </c>
      <c r="B364" s="687"/>
      <c r="C364" s="734" t="str">
        <f>IF(D364="","",COUNTA($D$209:D364))</f>
        <v/>
      </c>
      <c r="D364" s="692"/>
      <c r="E364" s="693"/>
      <c r="F364" s="694"/>
      <c r="G364" s="694"/>
      <c r="H364" s="694"/>
      <c r="I364" s="694"/>
      <c r="J364" s="693"/>
      <c r="K364" s="694"/>
      <c r="L364" s="695"/>
      <c r="M364" s="697"/>
      <c r="N364" s="694"/>
      <c r="O364" s="696"/>
      <c r="P364" s="694"/>
      <c r="Q364" s="694"/>
      <c r="R364" s="694"/>
    </row>
    <row r="365" spans="1:18" ht="15" hidden="1" customHeight="1" outlineLevel="1" thickBot="1">
      <c r="A365" s="699" t="str">
        <f t="shared" si="9"/>
        <v/>
      </c>
      <c r="B365" s="687"/>
      <c r="C365" s="734" t="str">
        <f>IF(D365="","",COUNTA($D$209:D365))</f>
        <v/>
      </c>
      <c r="D365" s="692"/>
      <c r="E365" s="693"/>
      <c r="F365" s="694"/>
      <c r="G365" s="694"/>
      <c r="H365" s="694"/>
      <c r="I365" s="694"/>
      <c r="J365" s="693"/>
      <c r="K365" s="694"/>
      <c r="L365" s="695"/>
      <c r="M365" s="697"/>
      <c r="N365" s="694"/>
      <c r="O365" s="696"/>
      <c r="P365" s="694"/>
      <c r="Q365" s="694"/>
      <c r="R365" s="694"/>
    </row>
    <row r="366" spans="1:18" ht="15" hidden="1" customHeight="1" outlineLevel="1" thickBot="1">
      <c r="A366" s="699" t="str">
        <f t="shared" si="9"/>
        <v/>
      </c>
      <c r="B366" s="687"/>
      <c r="C366" s="734" t="str">
        <f>IF(D366="","",COUNTA($D$209:D366))</f>
        <v/>
      </c>
      <c r="D366" s="692"/>
      <c r="E366" s="693"/>
      <c r="F366" s="694"/>
      <c r="G366" s="694"/>
      <c r="H366" s="694"/>
      <c r="I366" s="694"/>
      <c r="J366" s="693"/>
      <c r="K366" s="694"/>
      <c r="L366" s="695"/>
      <c r="M366" s="697"/>
      <c r="N366" s="694"/>
      <c r="O366" s="696"/>
      <c r="P366" s="694"/>
      <c r="Q366" s="694"/>
      <c r="R366" s="694"/>
    </row>
    <row r="367" spans="1:18" ht="15" hidden="1" customHeight="1" outlineLevel="1" thickBot="1">
      <c r="A367" s="699" t="str">
        <f t="shared" si="9"/>
        <v/>
      </c>
      <c r="B367" s="687"/>
      <c r="C367" s="734" t="str">
        <f>IF(D367="","",COUNTA($D$209:D367))</f>
        <v/>
      </c>
      <c r="D367" s="692"/>
      <c r="E367" s="693"/>
      <c r="F367" s="694"/>
      <c r="G367" s="694"/>
      <c r="H367" s="694"/>
      <c r="I367" s="694"/>
      <c r="J367" s="693"/>
      <c r="K367" s="694"/>
      <c r="L367" s="695"/>
      <c r="M367" s="697"/>
      <c r="N367" s="694"/>
      <c r="O367" s="696"/>
      <c r="P367" s="694"/>
      <c r="Q367" s="694"/>
      <c r="R367" s="694"/>
    </row>
    <row r="368" spans="1:18" ht="15" hidden="1" customHeight="1" outlineLevel="1" thickBot="1">
      <c r="A368" s="699" t="str">
        <f t="shared" si="9"/>
        <v/>
      </c>
      <c r="B368" s="687"/>
      <c r="C368" s="734" t="str">
        <f>IF(D368="","",COUNTA($D$209:D368))</f>
        <v/>
      </c>
      <c r="D368" s="692"/>
      <c r="E368" s="693"/>
      <c r="F368" s="694"/>
      <c r="G368" s="694"/>
      <c r="H368" s="694"/>
      <c r="I368" s="694"/>
      <c r="J368" s="693"/>
      <c r="K368" s="694"/>
      <c r="L368" s="695"/>
      <c r="M368" s="697"/>
      <c r="N368" s="694"/>
      <c r="O368" s="696"/>
      <c r="P368" s="694"/>
      <c r="Q368" s="694"/>
      <c r="R368" s="694"/>
    </row>
    <row r="369" spans="1:18" ht="15" hidden="1" customHeight="1" outlineLevel="1" thickBot="1">
      <c r="A369" s="699" t="str">
        <f t="shared" si="9"/>
        <v/>
      </c>
      <c r="B369" s="687"/>
      <c r="C369" s="734" t="str">
        <f>IF(D369="","",COUNTA($D$209:D369))</f>
        <v/>
      </c>
      <c r="D369" s="692"/>
      <c r="E369" s="693"/>
      <c r="F369" s="694"/>
      <c r="G369" s="694"/>
      <c r="H369" s="694"/>
      <c r="I369" s="694"/>
      <c r="J369" s="693"/>
      <c r="K369" s="694"/>
      <c r="L369" s="695"/>
      <c r="M369" s="697"/>
      <c r="N369" s="694"/>
      <c r="O369" s="696"/>
      <c r="P369" s="694"/>
      <c r="Q369" s="694"/>
      <c r="R369" s="694"/>
    </row>
    <row r="370" spans="1:18" ht="15" hidden="1" customHeight="1" outlineLevel="1" thickBot="1">
      <c r="A370" s="699" t="str">
        <f t="shared" si="9"/>
        <v/>
      </c>
      <c r="B370" s="687"/>
      <c r="C370" s="734" t="str">
        <f>IF(D370="","",COUNTA($D$209:D370))</f>
        <v/>
      </c>
      <c r="D370" s="692"/>
      <c r="E370" s="693"/>
      <c r="F370" s="694"/>
      <c r="G370" s="694"/>
      <c r="H370" s="694"/>
      <c r="I370" s="694"/>
      <c r="J370" s="693"/>
      <c r="K370" s="694"/>
      <c r="L370" s="695"/>
      <c r="M370" s="697"/>
      <c r="N370" s="694"/>
      <c r="O370" s="696"/>
      <c r="P370" s="694"/>
      <c r="Q370" s="694"/>
      <c r="R370" s="694"/>
    </row>
    <row r="371" spans="1:18" ht="15" hidden="1" customHeight="1" outlineLevel="1" thickBot="1">
      <c r="A371" s="699" t="str">
        <f t="shared" si="9"/>
        <v/>
      </c>
      <c r="B371" s="687"/>
      <c r="C371" s="734" t="str">
        <f>IF(D371="","",COUNTA($D$209:D371))</f>
        <v/>
      </c>
      <c r="D371" s="692"/>
      <c r="E371" s="693"/>
      <c r="F371" s="694"/>
      <c r="G371" s="694"/>
      <c r="H371" s="694"/>
      <c r="I371" s="694"/>
      <c r="J371" s="693"/>
      <c r="K371" s="694"/>
      <c r="L371" s="695"/>
      <c r="M371" s="697"/>
      <c r="N371" s="694"/>
      <c r="O371" s="696"/>
      <c r="P371" s="694"/>
      <c r="Q371" s="694"/>
      <c r="R371" s="694"/>
    </row>
    <row r="372" spans="1:18" ht="15" hidden="1" customHeight="1" outlineLevel="1" thickBot="1">
      <c r="A372" s="699" t="str">
        <f t="shared" si="9"/>
        <v/>
      </c>
      <c r="B372" s="687"/>
      <c r="C372" s="734" t="str">
        <f>IF(D372="","",COUNTA($D$209:D372))</f>
        <v/>
      </c>
      <c r="D372" s="692"/>
      <c r="E372" s="693"/>
      <c r="F372" s="694"/>
      <c r="G372" s="694"/>
      <c r="H372" s="694"/>
      <c r="I372" s="694"/>
      <c r="J372" s="693"/>
      <c r="K372" s="694"/>
      <c r="L372" s="695"/>
      <c r="M372" s="697"/>
      <c r="N372" s="694"/>
      <c r="O372" s="696"/>
      <c r="P372" s="694"/>
      <c r="Q372" s="694"/>
      <c r="R372" s="694"/>
    </row>
    <row r="373" spans="1:18" ht="15" hidden="1" customHeight="1" outlineLevel="1" thickBot="1">
      <c r="A373" s="699" t="str">
        <f t="shared" si="9"/>
        <v/>
      </c>
      <c r="B373" s="687"/>
      <c r="C373" s="734" t="str">
        <f>IF(D373="","",COUNTA($D$209:D373))</f>
        <v/>
      </c>
      <c r="D373" s="692"/>
      <c r="E373" s="693"/>
      <c r="F373" s="694"/>
      <c r="G373" s="694"/>
      <c r="H373" s="694"/>
      <c r="I373" s="694"/>
      <c r="J373" s="693"/>
      <c r="K373" s="694"/>
      <c r="L373" s="695"/>
      <c r="M373" s="697"/>
      <c r="N373" s="694"/>
      <c r="O373" s="696"/>
      <c r="P373" s="694"/>
      <c r="Q373" s="694"/>
      <c r="R373" s="694"/>
    </row>
    <row r="374" spans="1:18" ht="15" hidden="1" customHeight="1" outlineLevel="1" thickBot="1">
      <c r="A374" s="699" t="str">
        <f t="shared" si="9"/>
        <v/>
      </c>
      <c r="B374" s="687"/>
      <c r="C374" s="734" t="str">
        <f>IF(D374="","",COUNTA($D$209:D374))</f>
        <v/>
      </c>
      <c r="D374" s="692"/>
      <c r="E374" s="693"/>
      <c r="F374" s="694"/>
      <c r="G374" s="694"/>
      <c r="H374" s="694"/>
      <c r="I374" s="694"/>
      <c r="J374" s="693"/>
      <c r="K374" s="694"/>
      <c r="L374" s="695"/>
      <c r="M374" s="697"/>
      <c r="N374" s="694"/>
      <c r="O374" s="696"/>
      <c r="P374" s="694"/>
      <c r="Q374" s="694"/>
      <c r="R374" s="694"/>
    </row>
    <row r="375" spans="1:18" ht="15" hidden="1" customHeight="1" outlineLevel="1" thickBot="1">
      <c r="A375" s="699" t="str">
        <f t="shared" si="9"/>
        <v/>
      </c>
      <c r="B375" s="687"/>
      <c r="C375" s="734" t="str">
        <f>IF(D375="","",COUNTA($D$209:D375))</f>
        <v/>
      </c>
      <c r="D375" s="692"/>
      <c r="E375" s="693"/>
      <c r="F375" s="694"/>
      <c r="G375" s="694"/>
      <c r="H375" s="694"/>
      <c r="I375" s="694"/>
      <c r="J375" s="693"/>
      <c r="K375" s="694"/>
      <c r="L375" s="695"/>
      <c r="M375" s="697"/>
      <c r="N375" s="694"/>
      <c r="O375" s="696"/>
      <c r="P375" s="694"/>
      <c r="Q375" s="694"/>
      <c r="R375" s="694"/>
    </row>
    <row r="376" spans="1:18" ht="15" hidden="1" customHeight="1" outlineLevel="1" thickBot="1">
      <c r="A376" s="699" t="str">
        <f t="shared" si="9"/>
        <v/>
      </c>
      <c r="B376" s="687"/>
      <c r="C376" s="734" t="str">
        <f>IF(D376="","",COUNTA($D$209:D376))</f>
        <v/>
      </c>
      <c r="D376" s="692"/>
      <c r="E376" s="693"/>
      <c r="F376" s="694"/>
      <c r="G376" s="694"/>
      <c r="H376" s="694"/>
      <c r="I376" s="694"/>
      <c r="J376" s="693"/>
      <c r="K376" s="694"/>
      <c r="L376" s="695"/>
      <c r="M376" s="697"/>
      <c r="N376" s="694"/>
      <c r="O376" s="696"/>
      <c r="P376" s="694"/>
      <c r="Q376" s="694"/>
      <c r="R376" s="694"/>
    </row>
    <row r="377" spans="1:18" ht="15" hidden="1" customHeight="1" outlineLevel="1" thickBot="1">
      <c r="A377" s="699" t="str">
        <f t="shared" si="9"/>
        <v/>
      </c>
      <c r="B377" s="687"/>
      <c r="C377" s="734" t="str">
        <f>IF(D377="","",COUNTA($D$209:D377))</f>
        <v/>
      </c>
      <c r="D377" s="692"/>
      <c r="E377" s="693"/>
      <c r="F377" s="694"/>
      <c r="G377" s="694"/>
      <c r="H377" s="694"/>
      <c r="I377" s="694"/>
      <c r="J377" s="693"/>
      <c r="K377" s="694"/>
      <c r="L377" s="695"/>
      <c r="M377" s="697"/>
      <c r="N377" s="694"/>
      <c r="O377" s="696"/>
      <c r="P377" s="694"/>
      <c r="Q377" s="694"/>
      <c r="R377" s="694"/>
    </row>
    <row r="378" spans="1:18" ht="15" hidden="1" customHeight="1" outlineLevel="1" thickBot="1">
      <c r="A378" s="699" t="str">
        <f t="shared" si="9"/>
        <v/>
      </c>
      <c r="B378" s="687"/>
      <c r="C378" s="734" t="str">
        <f>IF(D378="","",COUNTA($D$209:D378))</f>
        <v/>
      </c>
      <c r="D378" s="692"/>
      <c r="E378" s="693"/>
      <c r="F378" s="694"/>
      <c r="G378" s="694"/>
      <c r="H378" s="694"/>
      <c r="I378" s="694"/>
      <c r="J378" s="693"/>
      <c r="K378" s="694"/>
      <c r="L378" s="695"/>
      <c r="M378" s="697"/>
      <c r="N378" s="694"/>
      <c r="O378" s="696"/>
      <c r="P378" s="694"/>
      <c r="Q378" s="694"/>
      <c r="R378" s="694"/>
    </row>
    <row r="379" spans="1:18" ht="15" hidden="1" customHeight="1" outlineLevel="1" thickBot="1">
      <c r="A379" s="699" t="str">
        <f t="shared" si="9"/>
        <v/>
      </c>
      <c r="B379" s="687"/>
      <c r="C379" s="734" t="str">
        <f>IF(D379="","",COUNTA($D$209:D379))</f>
        <v/>
      </c>
      <c r="D379" s="692"/>
      <c r="E379" s="693"/>
      <c r="F379" s="694"/>
      <c r="G379" s="694"/>
      <c r="H379" s="694"/>
      <c r="I379" s="694"/>
      <c r="J379" s="693"/>
      <c r="K379" s="694"/>
      <c r="L379" s="695"/>
      <c r="M379" s="697"/>
      <c r="N379" s="694"/>
      <c r="O379" s="696"/>
      <c r="P379" s="694"/>
      <c r="Q379" s="694"/>
      <c r="R379" s="694"/>
    </row>
    <row r="380" spans="1:18" ht="15" hidden="1" customHeight="1" outlineLevel="1" thickBot="1">
      <c r="A380" s="699" t="str">
        <f t="shared" si="9"/>
        <v/>
      </c>
      <c r="B380" s="687"/>
      <c r="C380" s="734" t="str">
        <f>IF(D380="","",COUNTA($D$209:D380))</f>
        <v/>
      </c>
      <c r="D380" s="692"/>
      <c r="E380" s="693"/>
      <c r="F380" s="694"/>
      <c r="G380" s="694"/>
      <c r="H380" s="694"/>
      <c r="I380" s="694"/>
      <c r="J380" s="693"/>
      <c r="K380" s="694"/>
      <c r="L380" s="695"/>
      <c r="M380" s="697"/>
      <c r="N380" s="694"/>
      <c r="O380" s="696"/>
      <c r="P380" s="694"/>
      <c r="Q380" s="694"/>
      <c r="R380" s="694"/>
    </row>
    <row r="381" spans="1:18" ht="15" hidden="1" customHeight="1" outlineLevel="1" thickBot="1">
      <c r="A381" s="699" t="str">
        <f t="shared" si="9"/>
        <v/>
      </c>
      <c r="B381" s="687"/>
      <c r="C381" s="734" t="str">
        <f>IF(D381="","",COUNTA($D$209:D381))</f>
        <v/>
      </c>
      <c r="D381" s="692"/>
      <c r="E381" s="693"/>
      <c r="F381" s="694"/>
      <c r="G381" s="694"/>
      <c r="H381" s="694"/>
      <c r="I381" s="694"/>
      <c r="J381" s="693"/>
      <c r="K381" s="694"/>
      <c r="L381" s="695"/>
      <c r="M381" s="697"/>
      <c r="N381" s="694"/>
      <c r="O381" s="696"/>
      <c r="P381" s="694"/>
      <c r="Q381" s="694"/>
      <c r="R381" s="694"/>
    </row>
    <row r="382" spans="1:18" ht="15" hidden="1" customHeight="1" outlineLevel="1" thickBot="1">
      <c r="A382" s="699" t="str">
        <f t="shared" si="9"/>
        <v/>
      </c>
      <c r="B382" s="687"/>
      <c r="C382" s="734" t="str">
        <f>IF(D382="","",COUNTA($D$209:D382))</f>
        <v/>
      </c>
      <c r="D382" s="692"/>
      <c r="E382" s="693"/>
      <c r="F382" s="694"/>
      <c r="G382" s="694"/>
      <c r="H382" s="694"/>
      <c r="I382" s="694"/>
      <c r="J382" s="693"/>
      <c r="K382" s="694"/>
      <c r="L382" s="695"/>
      <c r="M382" s="697"/>
      <c r="N382" s="694"/>
      <c r="O382" s="696"/>
      <c r="P382" s="694"/>
      <c r="Q382" s="694"/>
      <c r="R382" s="694"/>
    </row>
    <row r="383" spans="1:18" ht="15" hidden="1" customHeight="1" outlineLevel="1" thickBot="1">
      <c r="A383" s="699" t="str">
        <f t="shared" si="9"/>
        <v/>
      </c>
      <c r="B383" s="687"/>
      <c r="C383" s="734" t="str">
        <f>IF(D383="","",COUNTA($D$209:D383))</f>
        <v/>
      </c>
      <c r="D383" s="692"/>
      <c r="E383" s="693"/>
      <c r="F383" s="694"/>
      <c r="G383" s="694"/>
      <c r="H383" s="694"/>
      <c r="I383" s="694"/>
      <c r="J383" s="693"/>
      <c r="K383" s="694"/>
      <c r="L383" s="695"/>
      <c r="M383" s="697"/>
      <c r="N383" s="694"/>
      <c r="O383" s="696"/>
      <c r="P383" s="694"/>
      <c r="Q383" s="694"/>
      <c r="R383" s="694"/>
    </row>
    <row r="384" spans="1:18" ht="15" hidden="1" customHeight="1" outlineLevel="1" thickBot="1">
      <c r="A384" s="699" t="str">
        <f t="shared" si="9"/>
        <v/>
      </c>
      <c r="B384" s="687"/>
      <c r="C384" s="734" t="str">
        <f>IF(D384="","",COUNTA($D$209:D384))</f>
        <v/>
      </c>
      <c r="D384" s="692"/>
      <c r="E384" s="693"/>
      <c r="F384" s="694"/>
      <c r="G384" s="694"/>
      <c r="H384" s="694"/>
      <c r="I384" s="694"/>
      <c r="J384" s="693"/>
      <c r="K384" s="694"/>
      <c r="L384" s="695"/>
      <c r="M384" s="697"/>
      <c r="N384" s="694"/>
      <c r="O384" s="696"/>
      <c r="P384" s="694"/>
      <c r="Q384" s="694"/>
      <c r="R384" s="694"/>
    </row>
    <row r="385" spans="1:18" ht="15" hidden="1" customHeight="1" outlineLevel="1" thickBot="1">
      <c r="A385" s="699" t="str">
        <f t="shared" si="9"/>
        <v/>
      </c>
      <c r="B385" s="687"/>
      <c r="C385" s="734" t="str">
        <f>IF(D385="","",COUNTA($D$209:D385))</f>
        <v/>
      </c>
      <c r="D385" s="692"/>
      <c r="E385" s="693"/>
      <c r="F385" s="694"/>
      <c r="G385" s="694"/>
      <c r="H385" s="694"/>
      <c r="I385" s="694"/>
      <c r="J385" s="693"/>
      <c r="K385" s="694"/>
      <c r="L385" s="695"/>
      <c r="M385" s="697"/>
      <c r="N385" s="694"/>
      <c r="O385" s="696"/>
      <c r="P385" s="694"/>
      <c r="Q385" s="694"/>
      <c r="R385" s="694"/>
    </row>
    <row r="386" spans="1:18" ht="15" hidden="1" customHeight="1" outlineLevel="1" thickBot="1">
      <c r="A386" s="699" t="str">
        <f t="shared" si="9"/>
        <v/>
      </c>
      <c r="B386" s="687"/>
      <c r="C386" s="734" t="str">
        <f>IF(D386="","",COUNTA($D$209:D386))</f>
        <v/>
      </c>
      <c r="D386" s="692"/>
      <c r="E386" s="693"/>
      <c r="F386" s="694"/>
      <c r="G386" s="694"/>
      <c r="H386" s="694"/>
      <c r="I386" s="694"/>
      <c r="J386" s="693"/>
      <c r="K386" s="694"/>
      <c r="L386" s="695"/>
      <c r="M386" s="697"/>
      <c r="N386" s="694"/>
      <c r="O386" s="696"/>
      <c r="P386" s="694"/>
      <c r="Q386" s="694"/>
      <c r="R386" s="694"/>
    </row>
    <row r="387" spans="1:18" ht="15" hidden="1" customHeight="1" outlineLevel="1" thickBot="1">
      <c r="A387" s="699" t="str">
        <f t="shared" si="9"/>
        <v/>
      </c>
      <c r="B387" s="687"/>
      <c r="C387" s="734" t="str">
        <f>IF(D387="","",COUNTA($D$209:D387))</f>
        <v/>
      </c>
      <c r="D387" s="692"/>
      <c r="E387" s="693"/>
      <c r="F387" s="694"/>
      <c r="G387" s="694"/>
      <c r="H387" s="694"/>
      <c r="I387" s="694"/>
      <c r="J387" s="693"/>
      <c r="K387" s="694"/>
      <c r="L387" s="695"/>
      <c r="M387" s="697"/>
      <c r="N387" s="694"/>
      <c r="O387" s="696"/>
      <c r="P387" s="694"/>
      <c r="Q387" s="694"/>
      <c r="R387" s="694"/>
    </row>
    <row r="388" spans="1:18" ht="15" hidden="1" customHeight="1" outlineLevel="1" thickBot="1">
      <c r="A388" s="699" t="str">
        <f t="shared" si="9"/>
        <v/>
      </c>
      <c r="B388" s="687"/>
      <c r="C388" s="734" t="str">
        <f>IF(D388="","",COUNTA($D$209:D388))</f>
        <v/>
      </c>
      <c r="D388" s="692"/>
      <c r="E388" s="693"/>
      <c r="F388" s="694"/>
      <c r="G388" s="694"/>
      <c r="H388" s="694"/>
      <c r="I388" s="694"/>
      <c r="J388" s="693"/>
      <c r="K388" s="694"/>
      <c r="L388" s="695"/>
      <c r="M388" s="697"/>
      <c r="N388" s="694"/>
      <c r="O388" s="696"/>
      <c r="P388" s="694"/>
      <c r="Q388" s="694"/>
      <c r="R388" s="694"/>
    </row>
    <row r="389" spans="1:18" ht="15" hidden="1" customHeight="1" outlineLevel="1" thickBot="1">
      <c r="A389" s="699" t="str">
        <f t="shared" si="9"/>
        <v/>
      </c>
      <c r="B389" s="687"/>
      <c r="C389" s="734" t="str">
        <f>IF(D389="","",COUNTA($D$209:D389))</f>
        <v/>
      </c>
      <c r="D389" s="692"/>
      <c r="E389" s="693"/>
      <c r="F389" s="694"/>
      <c r="G389" s="694"/>
      <c r="H389" s="694"/>
      <c r="I389" s="694"/>
      <c r="J389" s="693"/>
      <c r="K389" s="694"/>
      <c r="L389" s="695"/>
      <c r="M389" s="697"/>
      <c r="N389" s="694"/>
      <c r="O389" s="696"/>
      <c r="P389" s="694"/>
      <c r="Q389" s="694"/>
      <c r="R389" s="694"/>
    </row>
    <row r="390" spans="1:18" ht="15" hidden="1" customHeight="1" outlineLevel="1" thickBot="1">
      <c r="A390" s="699" t="str">
        <f t="shared" si="9"/>
        <v/>
      </c>
      <c r="B390" s="687"/>
      <c r="C390" s="734" t="str">
        <f>IF(D390="","",COUNTA($D$209:D390))</f>
        <v/>
      </c>
      <c r="D390" s="692"/>
      <c r="E390" s="693"/>
      <c r="F390" s="694"/>
      <c r="G390" s="694"/>
      <c r="H390" s="694"/>
      <c r="I390" s="694"/>
      <c r="J390" s="693"/>
      <c r="K390" s="694"/>
      <c r="L390" s="695"/>
      <c r="M390" s="697"/>
      <c r="N390" s="694"/>
      <c r="O390" s="696"/>
      <c r="P390" s="694"/>
      <c r="Q390" s="694"/>
      <c r="R390" s="694"/>
    </row>
    <row r="391" spans="1:18" ht="15" hidden="1" customHeight="1" outlineLevel="1" thickBot="1">
      <c r="A391" s="699" t="str">
        <f t="shared" si="9"/>
        <v/>
      </c>
      <c r="B391" s="687"/>
      <c r="C391" s="734" t="str">
        <f>IF(D391="","",COUNTA($D$209:D391))</f>
        <v/>
      </c>
      <c r="D391" s="692"/>
      <c r="E391" s="693"/>
      <c r="F391" s="694"/>
      <c r="G391" s="694"/>
      <c r="H391" s="694"/>
      <c r="I391" s="694"/>
      <c r="J391" s="693"/>
      <c r="K391" s="694"/>
      <c r="L391" s="695"/>
      <c r="M391" s="697"/>
      <c r="N391" s="694"/>
      <c r="O391" s="696"/>
      <c r="P391" s="694"/>
      <c r="Q391" s="694"/>
      <c r="R391" s="694"/>
    </row>
    <row r="392" spans="1:18" ht="15" hidden="1" customHeight="1" outlineLevel="1" thickBot="1">
      <c r="A392" s="699" t="str">
        <f t="shared" si="9"/>
        <v/>
      </c>
      <c r="B392" s="687"/>
      <c r="C392" s="734" t="str">
        <f>IF(D392="","",COUNTA($D$209:D392))</f>
        <v/>
      </c>
      <c r="D392" s="692"/>
      <c r="E392" s="693"/>
      <c r="F392" s="694"/>
      <c r="G392" s="694"/>
      <c r="H392" s="694"/>
      <c r="I392" s="694"/>
      <c r="J392" s="693"/>
      <c r="K392" s="694"/>
      <c r="L392" s="695"/>
      <c r="M392" s="697"/>
      <c r="N392" s="694"/>
      <c r="O392" s="696"/>
      <c r="P392" s="694"/>
      <c r="Q392" s="694"/>
      <c r="R392" s="694"/>
    </row>
    <row r="393" spans="1:18" ht="15" hidden="1" customHeight="1" outlineLevel="1" thickBot="1">
      <c r="A393" s="699" t="str">
        <f t="shared" si="9"/>
        <v/>
      </c>
      <c r="B393" s="687"/>
      <c r="C393" s="734" t="str">
        <f>IF(D393="","",COUNTA($D$209:D393))</f>
        <v/>
      </c>
      <c r="D393" s="692"/>
      <c r="E393" s="693"/>
      <c r="F393" s="694"/>
      <c r="G393" s="694"/>
      <c r="H393" s="694"/>
      <c r="I393" s="694"/>
      <c r="J393" s="693"/>
      <c r="K393" s="694"/>
      <c r="L393" s="695"/>
      <c r="M393" s="697"/>
      <c r="N393" s="694"/>
      <c r="O393" s="696"/>
      <c r="P393" s="694"/>
      <c r="Q393" s="694"/>
      <c r="R393" s="694"/>
    </row>
    <row r="394" spans="1:18" ht="15" hidden="1" customHeight="1" outlineLevel="1" thickBot="1">
      <c r="A394" s="699" t="str">
        <f t="shared" si="9"/>
        <v/>
      </c>
      <c r="B394" s="687"/>
      <c r="C394" s="734" t="str">
        <f>IF(D394="","",COUNTA($D$209:D394))</f>
        <v/>
      </c>
      <c r="D394" s="692"/>
      <c r="E394" s="693"/>
      <c r="F394" s="694"/>
      <c r="G394" s="694"/>
      <c r="H394" s="694"/>
      <c r="I394" s="694"/>
      <c r="J394" s="693"/>
      <c r="K394" s="694"/>
      <c r="L394" s="695"/>
      <c r="M394" s="697"/>
      <c r="N394" s="694"/>
      <c r="O394" s="696"/>
      <c r="P394" s="694"/>
      <c r="Q394" s="694"/>
      <c r="R394" s="694"/>
    </row>
    <row r="395" spans="1:18" ht="15" hidden="1" customHeight="1" outlineLevel="1" thickBot="1">
      <c r="A395" s="699" t="str">
        <f t="shared" si="9"/>
        <v/>
      </c>
      <c r="B395" s="687"/>
      <c r="C395" s="734" t="str">
        <f>IF(D395="","",COUNTA($D$209:D395))</f>
        <v/>
      </c>
      <c r="D395" s="692"/>
      <c r="E395" s="693"/>
      <c r="F395" s="694"/>
      <c r="G395" s="694"/>
      <c r="H395" s="694"/>
      <c r="I395" s="694"/>
      <c r="J395" s="693"/>
      <c r="K395" s="694"/>
      <c r="L395" s="695"/>
      <c r="M395" s="697"/>
      <c r="N395" s="694"/>
      <c r="O395" s="696"/>
      <c r="P395" s="694"/>
      <c r="Q395" s="694"/>
      <c r="R395" s="694"/>
    </row>
    <row r="396" spans="1:18" ht="15" hidden="1" customHeight="1" outlineLevel="1" thickBot="1">
      <c r="A396" s="699" t="str">
        <f t="shared" si="9"/>
        <v/>
      </c>
      <c r="B396" s="687"/>
      <c r="C396" s="734" t="str">
        <f>IF(D396="","",COUNTA($D$209:D396))</f>
        <v/>
      </c>
      <c r="D396" s="692"/>
      <c r="E396" s="693"/>
      <c r="F396" s="694"/>
      <c r="G396" s="694"/>
      <c r="H396" s="694"/>
      <c r="I396" s="694"/>
      <c r="J396" s="693"/>
      <c r="K396" s="694"/>
      <c r="L396" s="695"/>
      <c r="M396" s="697"/>
      <c r="N396" s="694"/>
      <c r="O396" s="696"/>
      <c r="P396" s="694"/>
      <c r="Q396" s="694"/>
      <c r="R396" s="694"/>
    </row>
    <row r="397" spans="1:18" ht="15" hidden="1" customHeight="1" outlineLevel="1" thickBot="1">
      <c r="A397" s="699" t="str">
        <f t="shared" si="9"/>
        <v/>
      </c>
      <c r="B397" s="687"/>
      <c r="C397" s="734" t="str">
        <f>IF(D397="","",COUNTA($D$209:D397))</f>
        <v/>
      </c>
      <c r="D397" s="692"/>
      <c r="E397" s="693"/>
      <c r="F397" s="694"/>
      <c r="G397" s="694"/>
      <c r="H397" s="694"/>
      <c r="I397" s="694"/>
      <c r="J397" s="693"/>
      <c r="K397" s="694"/>
      <c r="L397" s="695"/>
      <c r="M397" s="697"/>
      <c r="N397" s="694"/>
      <c r="O397" s="696"/>
      <c r="P397" s="694"/>
      <c r="Q397" s="694"/>
      <c r="R397" s="694"/>
    </row>
    <row r="398" spans="1:18" ht="15" hidden="1" customHeight="1" outlineLevel="1" thickBot="1">
      <c r="A398" s="699" t="str">
        <f t="shared" si="9"/>
        <v/>
      </c>
      <c r="B398" s="687"/>
      <c r="C398" s="734" t="str">
        <f>IF(D398="","",COUNTA($D$209:D398))</f>
        <v/>
      </c>
      <c r="D398" s="692"/>
      <c r="E398" s="693"/>
      <c r="F398" s="694"/>
      <c r="G398" s="694"/>
      <c r="H398" s="694"/>
      <c r="I398" s="694"/>
      <c r="J398" s="693"/>
      <c r="K398" s="694"/>
      <c r="L398" s="695"/>
      <c r="M398" s="697"/>
      <c r="N398" s="694"/>
      <c r="O398" s="696"/>
      <c r="P398" s="694"/>
      <c r="Q398" s="694"/>
      <c r="R398" s="694"/>
    </row>
    <row r="399" spans="1:18" ht="15" hidden="1" customHeight="1" outlineLevel="1" thickBot="1">
      <c r="A399" s="699" t="str">
        <f t="shared" si="9"/>
        <v/>
      </c>
      <c r="B399" s="687"/>
      <c r="C399" s="734" t="str">
        <f>IF(D399="","",COUNTA($D$209:D399))</f>
        <v/>
      </c>
      <c r="D399" s="692"/>
      <c r="E399" s="693"/>
      <c r="F399" s="694"/>
      <c r="G399" s="694"/>
      <c r="H399" s="694"/>
      <c r="I399" s="694"/>
      <c r="J399" s="693"/>
      <c r="K399" s="694"/>
      <c r="L399" s="695"/>
      <c r="M399" s="697"/>
      <c r="N399" s="694"/>
      <c r="O399" s="696"/>
      <c r="P399" s="694"/>
      <c r="Q399" s="694"/>
      <c r="R399" s="694"/>
    </row>
    <row r="400" spans="1:18" ht="15" hidden="1" customHeight="1" outlineLevel="1" thickBot="1">
      <c r="A400" s="699" t="str">
        <f t="shared" si="9"/>
        <v/>
      </c>
      <c r="B400" s="687"/>
      <c r="C400" s="734" t="str">
        <f>IF(D400="","",COUNTA($D$209:D400))</f>
        <v/>
      </c>
      <c r="D400" s="692"/>
      <c r="E400" s="693"/>
      <c r="F400" s="694"/>
      <c r="G400" s="694"/>
      <c r="H400" s="694"/>
      <c r="I400" s="694"/>
      <c r="J400" s="693"/>
      <c r="K400" s="694"/>
      <c r="L400" s="695"/>
      <c r="M400" s="697"/>
      <c r="N400" s="694"/>
      <c r="O400" s="696"/>
      <c r="P400" s="694"/>
      <c r="Q400" s="694"/>
      <c r="R400" s="694"/>
    </row>
    <row r="401" spans="1:18" ht="15" hidden="1" customHeight="1" outlineLevel="1" thickBot="1">
      <c r="A401" s="699" t="str">
        <f t="shared" ref="A401:A408" si="10">E401&amp;H401&amp;J401</f>
        <v/>
      </c>
      <c r="B401" s="687"/>
      <c r="C401" s="734" t="str">
        <f>IF(D401="","",COUNTA($D$209:D401))</f>
        <v/>
      </c>
      <c r="D401" s="692"/>
      <c r="E401" s="693"/>
      <c r="F401" s="694"/>
      <c r="G401" s="694"/>
      <c r="H401" s="694"/>
      <c r="I401" s="694"/>
      <c r="J401" s="693"/>
      <c r="K401" s="694"/>
      <c r="L401" s="695"/>
      <c r="M401" s="697"/>
      <c r="N401" s="694"/>
      <c r="O401" s="696"/>
      <c r="P401" s="694"/>
      <c r="Q401" s="694"/>
      <c r="R401" s="694"/>
    </row>
    <row r="402" spans="1:18" ht="15" hidden="1" customHeight="1" outlineLevel="1" thickBot="1">
      <c r="A402" s="699" t="str">
        <f t="shared" si="10"/>
        <v/>
      </c>
      <c r="B402" s="687"/>
      <c r="C402" s="734" t="str">
        <f>IF(D402="","",COUNTA($D$209:D402))</f>
        <v/>
      </c>
      <c r="D402" s="692"/>
      <c r="E402" s="693"/>
      <c r="F402" s="694"/>
      <c r="G402" s="694"/>
      <c r="H402" s="694"/>
      <c r="I402" s="694"/>
      <c r="J402" s="693"/>
      <c r="K402" s="694"/>
      <c r="L402" s="695"/>
      <c r="M402" s="697"/>
      <c r="N402" s="694"/>
      <c r="O402" s="696"/>
      <c r="P402" s="694"/>
      <c r="Q402" s="694"/>
      <c r="R402" s="694"/>
    </row>
    <row r="403" spans="1:18" ht="15" hidden="1" customHeight="1" outlineLevel="1" thickBot="1">
      <c r="A403" s="699" t="str">
        <f t="shared" si="10"/>
        <v/>
      </c>
      <c r="B403" s="687"/>
      <c r="C403" s="734" t="str">
        <f>IF(D403="","",COUNTA($D$209:D403))</f>
        <v/>
      </c>
      <c r="D403" s="692"/>
      <c r="E403" s="693"/>
      <c r="F403" s="694"/>
      <c r="G403" s="694"/>
      <c r="H403" s="694"/>
      <c r="I403" s="694"/>
      <c r="J403" s="693"/>
      <c r="K403" s="694"/>
      <c r="L403" s="695"/>
      <c r="M403" s="697"/>
      <c r="N403" s="694"/>
      <c r="O403" s="696"/>
      <c r="P403" s="694"/>
      <c r="Q403" s="694"/>
      <c r="R403" s="694"/>
    </row>
    <row r="404" spans="1:18" ht="15" hidden="1" customHeight="1" outlineLevel="1" thickBot="1">
      <c r="A404" s="699" t="str">
        <f t="shared" si="10"/>
        <v/>
      </c>
      <c r="B404" s="687"/>
      <c r="C404" s="734" t="str">
        <f>IF(D404="","",COUNTA($D$209:D404))</f>
        <v/>
      </c>
      <c r="D404" s="692"/>
      <c r="E404" s="693"/>
      <c r="F404" s="694"/>
      <c r="G404" s="694"/>
      <c r="H404" s="694"/>
      <c r="I404" s="694"/>
      <c r="J404" s="693"/>
      <c r="K404" s="694"/>
      <c r="L404" s="695"/>
      <c r="M404" s="697"/>
      <c r="N404" s="694"/>
      <c r="O404" s="696"/>
      <c r="P404" s="694"/>
      <c r="Q404" s="694"/>
      <c r="R404" s="694"/>
    </row>
    <row r="405" spans="1:18" ht="15" hidden="1" customHeight="1" outlineLevel="1" thickBot="1">
      <c r="A405" s="699" t="str">
        <f t="shared" si="10"/>
        <v/>
      </c>
      <c r="B405" s="687"/>
      <c r="C405" s="734" t="str">
        <f>IF(D405="","",COUNTA($D$209:D405))</f>
        <v/>
      </c>
      <c r="D405" s="692"/>
      <c r="E405" s="693"/>
      <c r="F405" s="694"/>
      <c r="G405" s="694"/>
      <c r="H405" s="694"/>
      <c r="I405" s="694"/>
      <c r="J405" s="693"/>
      <c r="K405" s="694"/>
      <c r="L405" s="695"/>
      <c r="M405" s="697"/>
      <c r="N405" s="694"/>
      <c r="O405" s="696"/>
      <c r="P405" s="694"/>
      <c r="Q405" s="694"/>
      <c r="R405" s="694"/>
    </row>
    <row r="406" spans="1:18" ht="15" hidden="1" customHeight="1" outlineLevel="1" thickBot="1">
      <c r="A406" s="699" t="str">
        <f t="shared" si="10"/>
        <v/>
      </c>
      <c r="B406" s="687"/>
      <c r="C406" s="734" t="str">
        <f>IF(D406="","",COUNTA($D$209:D406))</f>
        <v/>
      </c>
      <c r="D406" s="692"/>
      <c r="E406" s="693"/>
      <c r="F406" s="694"/>
      <c r="G406" s="694"/>
      <c r="H406" s="694"/>
      <c r="I406" s="694"/>
      <c r="J406" s="693"/>
      <c r="K406" s="694"/>
      <c r="L406" s="695"/>
      <c r="M406" s="697"/>
      <c r="N406" s="694"/>
      <c r="O406" s="696"/>
      <c r="P406" s="694"/>
      <c r="Q406" s="694"/>
      <c r="R406" s="694"/>
    </row>
    <row r="407" spans="1:18" ht="15" hidden="1" customHeight="1" outlineLevel="1" thickBot="1">
      <c r="A407" s="699" t="str">
        <f t="shared" si="10"/>
        <v/>
      </c>
      <c r="B407" s="687"/>
      <c r="C407" s="734" t="str">
        <f>IF(D407="","",COUNTA($D$209:D407))</f>
        <v/>
      </c>
      <c r="D407" s="692"/>
      <c r="E407" s="693"/>
      <c r="F407" s="694"/>
      <c r="G407" s="694"/>
      <c r="H407" s="694"/>
      <c r="I407" s="694"/>
      <c r="J407" s="693"/>
      <c r="K407" s="694"/>
      <c r="L407" s="695"/>
      <c r="M407" s="697"/>
      <c r="N407" s="694"/>
      <c r="O407" s="696"/>
      <c r="P407" s="694"/>
      <c r="Q407" s="694"/>
      <c r="R407" s="694"/>
    </row>
    <row r="408" spans="1:18" ht="15" hidden="1" customHeight="1" outlineLevel="1" thickBot="1">
      <c r="A408" s="699" t="str">
        <f t="shared" si="10"/>
        <v/>
      </c>
      <c r="B408" s="687"/>
      <c r="C408" s="734" t="str">
        <f>IF(D408="","",COUNTA($D$209:D408))</f>
        <v/>
      </c>
      <c r="D408" s="692"/>
      <c r="E408" s="693"/>
      <c r="F408" s="694"/>
      <c r="G408" s="694"/>
      <c r="H408" s="694"/>
      <c r="I408" s="694"/>
      <c r="J408" s="693"/>
      <c r="K408" s="694"/>
      <c r="L408" s="695"/>
      <c r="M408" s="697"/>
      <c r="N408" s="694"/>
      <c r="O408" s="696"/>
      <c r="P408" s="694"/>
      <c r="Q408" s="694"/>
      <c r="R408" s="694"/>
    </row>
    <row r="409" spans="1:18" ht="15" customHeight="1" collapsed="1"/>
  </sheetData>
  <phoneticPr fontId="7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59999389629810485"/>
  </sheetPr>
  <dimension ref="A1:D65"/>
  <sheetViews>
    <sheetView showGridLines="0" zoomScale="70" zoomScaleNormal="70" workbookViewId="0"/>
  </sheetViews>
  <sheetFormatPr defaultColWidth="8.88671875" defaultRowHeight="16.5"/>
  <cols>
    <col min="1" max="1" width="29.21875" style="307" bestFit="1" customWidth="1"/>
    <col min="2" max="2" width="12.6640625" style="307" bestFit="1" customWidth="1"/>
    <col min="3" max="3" width="11.6640625" style="307" bestFit="1" customWidth="1"/>
    <col min="4" max="4" width="13.88671875" style="307" bestFit="1" customWidth="1"/>
    <col min="5" max="16384" width="8.88671875" style="307"/>
  </cols>
  <sheetData>
    <row r="1" spans="1:4">
      <c r="A1" s="306" t="s">
        <v>62</v>
      </c>
    </row>
    <row r="2" spans="1:4">
      <c r="A2" s="306" t="s">
        <v>6832</v>
      </c>
      <c r="B2" s="308"/>
    </row>
    <row r="3" spans="1:4">
      <c r="A3" s="309" t="s">
        <v>71</v>
      </c>
    </row>
    <row r="4" spans="1:4" ht="17.25" thickBot="1">
      <c r="A4" s="310" t="s">
        <v>63</v>
      </c>
    </row>
    <row r="5" spans="1:4" ht="17.25" thickBot="1">
      <c r="A5" s="311" t="s">
        <v>64</v>
      </c>
      <c r="B5" s="311" t="s">
        <v>65</v>
      </c>
      <c r="C5" s="311" t="s">
        <v>66</v>
      </c>
    </row>
    <row r="6" spans="1:4" ht="17.25" thickBot="1">
      <c r="A6" s="312" t="s">
        <v>3072</v>
      </c>
      <c r="B6" s="313"/>
      <c r="C6" s="313"/>
    </row>
    <row r="7" spans="1:4" ht="17.25" thickBot="1">
      <c r="A7" s="312" t="s">
        <v>67</v>
      </c>
      <c r="B7" s="313"/>
      <c r="C7" s="313"/>
    </row>
    <row r="9" spans="1:4" ht="17.25" thickBot="1">
      <c r="A9" s="310" t="s">
        <v>68</v>
      </c>
    </row>
    <row r="10" spans="1:4" ht="17.25" thickBot="1">
      <c r="A10" s="311" t="s">
        <v>64</v>
      </c>
      <c r="B10" s="311" t="s">
        <v>65</v>
      </c>
      <c r="C10" s="311" t="s">
        <v>66</v>
      </c>
      <c r="D10" s="311" t="s">
        <v>69</v>
      </c>
    </row>
    <row r="11" spans="1:4" ht="17.25" thickBot="1">
      <c r="A11" s="312" t="s">
        <v>3073</v>
      </c>
      <c r="B11" s="313"/>
      <c r="C11" s="313"/>
      <c r="D11" s="313"/>
    </row>
    <row r="12" spans="1:4" ht="17.25" thickBot="1">
      <c r="A12" s="312" t="s">
        <v>3074</v>
      </c>
      <c r="B12" s="313"/>
      <c r="C12" s="313"/>
      <c r="D12" s="313"/>
    </row>
    <row r="13" spans="1:4" ht="17.25" thickBot="1">
      <c r="A13" s="312" t="s">
        <v>3075</v>
      </c>
      <c r="B13" s="313"/>
      <c r="C13" s="313"/>
      <c r="D13" s="313"/>
    </row>
    <row r="14" spans="1:4" ht="17.25" thickBot="1">
      <c r="A14" s="312" t="s">
        <v>3076</v>
      </c>
      <c r="B14" s="313"/>
      <c r="C14" s="313"/>
      <c r="D14" s="313"/>
    </row>
    <row r="15" spans="1:4" ht="17.25" thickBot="1">
      <c r="A15" s="312" t="s">
        <v>3077</v>
      </c>
      <c r="B15" s="313"/>
      <c r="C15" s="313"/>
      <c r="D15" s="313"/>
    </row>
    <row r="16" spans="1:4" ht="17.25" thickBot="1">
      <c r="A16" s="312" t="s">
        <v>3078</v>
      </c>
      <c r="B16" s="313"/>
      <c r="C16" s="313"/>
      <c r="D16" s="313"/>
    </row>
    <row r="17" spans="1:4" ht="17.25" thickBot="1">
      <c r="A17" s="312" t="s">
        <v>3079</v>
      </c>
      <c r="B17" s="313"/>
      <c r="C17" s="313"/>
      <c r="D17" s="313"/>
    </row>
    <row r="18" spans="1:4" ht="17.25" thickBot="1">
      <c r="A18" s="312" t="s">
        <v>3080</v>
      </c>
      <c r="B18" s="313"/>
      <c r="C18" s="313"/>
      <c r="D18" s="313"/>
    </row>
    <row r="19" spans="1:4" ht="17.25" thickBot="1">
      <c r="A19" s="312" t="s">
        <v>3081</v>
      </c>
      <c r="B19" s="313"/>
      <c r="C19" s="313"/>
      <c r="D19" s="313"/>
    </row>
    <row r="20" spans="1:4" ht="17.25" thickBot="1">
      <c r="A20" s="312" t="s">
        <v>3082</v>
      </c>
      <c r="B20" s="313"/>
      <c r="C20" s="313"/>
      <c r="D20" s="313"/>
    </row>
    <row r="21" spans="1:4" ht="17.25" thickBot="1">
      <c r="A21" s="312" t="s">
        <v>3083</v>
      </c>
      <c r="B21" s="313"/>
      <c r="C21" s="313"/>
      <c r="D21" s="313"/>
    </row>
    <row r="22" spans="1:4" ht="17.25" thickBot="1">
      <c r="A22" s="312" t="s">
        <v>3084</v>
      </c>
      <c r="B22" s="313"/>
      <c r="C22" s="313"/>
      <c r="D22" s="313"/>
    </row>
    <row r="23" spans="1:4" ht="17.25" thickBot="1">
      <c r="A23" s="312" t="s">
        <v>3085</v>
      </c>
      <c r="B23" s="313"/>
      <c r="C23" s="313"/>
      <c r="D23" s="313"/>
    </row>
    <row r="24" spans="1:4" ht="17.25" thickBot="1">
      <c r="A24" s="312" t="s">
        <v>3086</v>
      </c>
      <c r="B24" s="313"/>
      <c r="C24" s="313"/>
      <c r="D24" s="313"/>
    </row>
    <row r="25" spans="1:4" ht="17.25" thickBot="1">
      <c r="A25" s="312" t="s">
        <v>3087</v>
      </c>
      <c r="B25" s="313"/>
      <c r="C25" s="313"/>
      <c r="D25" s="313"/>
    </row>
    <row r="26" spans="1:4" ht="17.25" thickBot="1">
      <c r="A26" s="312" t="s">
        <v>3088</v>
      </c>
      <c r="B26" s="313"/>
      <c r="C26" s="313"/>
      <c r="D26" s="313"/>
    </row>
    <row r="27" spans="1:4" ht="17.25" thickBot="1">
      <c r="A27" s="312" t="s">
        <v>3089</v>
      </c>
      <c r="B27" s="313"/>
      <c r="C27" s="313"/>
      <c r="D27" s="313"/>
    </row>
    <row r="28" spans="1:4" ht="17.25" thickBot="1">
      <c r="A28" s="312" t="s">
        <v>3090</v>
      </c>
      <c r="B28" s="313"/>
      <c r="C28" s="313"/>
      <c r="D28" s="313"/>
    </row>
    <row r="29" spans="1:4" ht="17.25" thickBot="1">
      <c r="A29" s="312" t="s">
        <v>3091</v>
      </c>
      <c r="B29" s="313"/>
      <c r="C29" s="313"/>
      <c r="D29" s="313"/>
    </row>
    <row r="30" spans="1:4" ht="17.25" thickBot="1">
      <c r="A30" s="312" t="s">
        <v>3092</v>
      </c>
      <c r="B30" s="313"/>
      <c r="C30" s="313"/>
      <c r="D30" s="313"/>
    </row>
    <row r="31" spans="1:4" ht="17.25" thickBot="1">
      <c r="A31" s="312" t="s">
        <v>3093</v>
      </c>
      <c r="B31" s="313"/>
      <c r="C31" s="313"/>
      <c r="D31" s="313"/>
    </row>
    <row r="32" spans="1:4" ht="17.25" thickBot="1">
      <c r="A32" s="312" t="s">
        <v>3094</v>
      </c>
      <c r="B32" s="313"/>
      <c r="C32" s="313"/>
      <c r="D32" s="313"/>
    </row>
    <row r="33" spans="1:4" ht="17.25" thickBot="1">
      <c r="A33" s="312" t="s">
        <v>3095</v>
      </c>
      <c r="B33" s="313"/>
      <c r="C33" s="313"/>
      <c r="D33" s="313"/>
    </row>
    <row r="34" spans="1:4" ht="17.25" thickBot="1">
      <c r="A34" s="312" t="s">
        <v>3096</v>
      </c>
      <c r="B34" s="313"/>
      <c r="C34" s="313"/>
      <c r="D34" s="313"/>
    </row>
    <row r="35" spans="1:4" ht="17.25" thickBot="1">
      <c r="A35" s="312" t="s">
        <v>3097</v>
      </c>
      <c r="B35" s="313"/>
      <c r="C35" s="313"/>
      <c r="D35" s="313"/>
    </row>
    <row r="36" spans="1:4" ht="17.25" thickBot="1">
      <c r="A36" s="312" t="s">
        <v>3098</v>
      </c>
      <c r="B36" s="313"/>
      <c r="C36" s="313"/>
      <c r="D36" s="313"/>
    </row>
    <row r="37" spans="1:4" ht="17.25" thickBot="1">
      <c r="A37" s="312" t="s">
        <v>3099</v>
      </c>
      <c r="B37" s="313"/>
      <c r="C37" s="313"/>
      <c r="D37" s="313"/>
    </row>
    <row r="38" spans="1:4" ht="17.25" thickBot="1">
      <c r="A38" s="312" t="s">
        <v>3100</v>
      </c>
      <c r="B38" s="313"/>
      <c r="C38" s="313"/>
      <c r="D38" s="313"/>
    </row>
    <row r="39" spans="1:4" ht="17.25" thickBot="1">
      <c r="A39" s="312" t="s">
        <v>3101</v>
      </c>
      <c r="B39" s="313"/>
      <c r="C39" s="313"/>
      <c r="D39" s="313"/>
    </row>
    <row r="40" spans="1:4" ht="17.25" thickBot="1">
      <c r="A40" s="312" t="s">
        <v>3102</v>
      </c>
      <c r="B40" s="313"/>
      <c r="C40" s="313"/>
      <c r="D40" s="313"/>
    </row>
    <row r="41" spans="1:4" ht="17.25" thickBot="1">
      <c r="A41" s="312" t="s">
        <v>3103</v>
      </c>
      <c r="B41" s="313"/>
      <c r="C41" s="313"/>
      <c r="D41" s="313"/>
    </row>
    <row r="42" spans="1:4" ht="17.25" thickBot="1">
      <c r="A42" s="312" t="s">
        <v>3104</v>
      </c>
      <c r="B42" s="313"/>
      <c r="C42" s="313"/>
      <c r="D42" s="313"/>
    </row>
    <row r="43" spans="1:4" ht="17.25" thickBot="1">
      <c r="A43" s="312" t="s">
        <v>3105</v>
      </c>
      <c r="B43" s="313"/>
      <c r="C43" s="313"/>
      <c r="D43" s="313"/>
    </row>
    <row r="44" spans="1:4" ht="17.25" thickBot="1">
      <c r="A44" s="312" t="s">
        <v>3106</v>
      </c>
      <c r="B44" s="313"/>
      <c r="C44" s="313"/>
      <c r="D44" s="313"/>
    </row>
    <row r="45" spans="1:4" ht="17.25" thickBot="1">
      <c r="A45" s="312" t="s">
        <v>3107</v>
      </c>
      <c r="B45" s="313"/>
      <c r="C45" s="313"/>
      <c r="D45" s="313"/>
    </row>
    <row r="46" spans="1:4" ht="17.25" thickBot="1">
      <c r="A46" s="312" t="s">
        <v>3108</v>
      </c>
      <c r="B46" s="313"/>
      <c r="C46" s="313"/>
      <c r="D46" s="313"/>
    </row>
    <row r="47" spans="1:4" ht="17.25" thickBot="1">
      <c r="A47" s="312" t="s">
        <v>3109</v>
      </c>
      <c r="B47" s="313"/>
      <c r="C47" s="313"/>
      <c r="D47" s="313"/>
    </row>
    <row r="48" spans="1:4" ht="17.25" thickBot="1">
      <c r="A48" s="312" t="s">
        <v>3110</v>
      </c>
      <c r="B48" s="313"/>
      <c r="C48" s="313"/>
      <c r="D48" s="313"/>
    </row>
    <row r="49" spans="1:4" ht="17.25" thickBot="1">
      <c r="A49" s="312" t="s">
        <v>3111</v>
      </c>
      <c r="B49" s="313"/>
      <c r="C49" s="313"/>
      <c r="D49" s="313"/>
    </row>
    <row r="50" spans="1:4" ht="17.25" thickBot="1">
      <c r="A50" s="312" t="s">
        <v>3112</v>
      </c>
      <c r="B50" s="313"/>
      <c r="C50" s="313"/>
      <c r="D50" s="313"/>
    </row>
    <row r="51" spans="1:4" ht="17.25" thickBot="1">
      <c r="A51" s="312" t="s">
        <v>3113</v>
      </c>
      <c r="B51" s="313"/>
      <c r="C51" s="313"/>
      <c r="D51" s="313"/>
    </row>
    <row r="52" spans="1:4" ht="17.25" thickBot="1">
      <c r="A52" s="312" t="s">
        <v>3114</v>
      </c>
      <c r="B52" s="313"/>
      <c r="C52" s="313"/>
      <c r="D52" s="313"/>
    </row>
    <row r="53" spans="1:4" ht="17.25" thickBot="1">
      <c r="A53" s="312" t="s">
        <v>3115</v>
      </c>
      <c r="B53" s="313"/>
      <c r="C53" s="313"/>
      <c r="D53" s="313"/>
    </row>
    <row r="54" spans="1:4" ht="17.25" thickBot="1">
      <c r="A54" s="312" t="s">
        <v>3116</v>
      </c>
      <c r="B54" s="313"/>
      <c r="C54" s="313"/>
      <c r="D54" s="313"/>
    </row>
    <row r="55" spans="1:4" ht="17.25" thickBot="1">
      <c r="A55" s="312" t="s">
        <v>3117</v>
      </c>
      <c r="B55" s="313"/>
      <c r="C55" s="313"/>
      <c r="D55" s="313"/>
    </row>
    <row r="56" spans="1:4" ht="17.25" thickBot="1">
      <c r="A56" s="312" t="s">
        <v>3118</v>
      </c>
      <c r="B56" s="313"/>
      <c r="C56" s="313"/>
      <c r="D56" s="313"/>
    </row>
    <row r="57" spans="1:4" ht="17.25" thickBot="1">
      <c r="A57" s="312" t="s">
        <v>3119</v>
      </c>
      <c r="B57" s="313"/>
      <c r="C57" s="313"/>
      <c r="D57" s="313"/>
    </row>
    <row r="58" spans="1:4" ht="17.25" thickBot="1">
      <c r="A58" s="312" t="s">
        <v>3120</v>
      </c>
      <c r="B58" s="313"/>
      <c r="C58" s="313"/>
      <c r="D58" s="313"/>
    </row>
    <row r="59" spans="1:4" ht="17.25" thickBot="1">
      <c r="A59" s="312" t="s">
        <v>3121</v>
      </c>
      <c r="B59" s="313"/>
      <c r="C59" s="313"/>
      <c r="D59" s="313"/>
    </row>
    <row r="60" spans="1:4" ht="17.25" thickBot="1">
      <c r="A60" s="312" t="s">
        <v>3122</v>
      </c>
      <c r="B60" s="313"/>
      <c r="C60" s="313"/>
      <c r="D60" s="313"/>
    </row>
    <row r="61" spans="1:4" ht="17.25" thickBot="1">
      <c r="A61" s="312" t="s">
        <v>3123</v>
      </c>
      <c r="B61" s="313"/>
      <c r="C61" s="313"/>
      <c r="D61" s="313"/>
    </row>
    <row r="62" spans="1:4" ht="17.25" thickBot="1">
      <c r="A62" s="312" t="s">
        <v>3124</v>
      </c>
      <c r="B62" s="313"/>
      <c r="C62" s="313"/>
      <c r="D62" s="313"/>
    </row>
    <row r="63" spans="1:4" ht="17.25" thickBot="1">
      <c r="A63" s="312" t="s">
        <v>3125</v>
      </c>
      <c r="B63" s="313"/>
      <c r="C63" s="313"/>
      <c r="D63" s="313"/>
    </row>
    <row r="64" spans="1:4" ht="17.25" thickBot="1">
      <c r="A64" s="312" t="s">
        <v>3126</v>
      </c>
      <c r="B64" s="313"/>
      <c r="C64" s="313"/>
      <c r="D64" s="313"/>
    </row>
    <row r="65" spans="1:4" ht="17.25" thickBot="1">
      <c r="A65" s="312" t="s">
        <v>3127</v>
      </c>
      <c r="B65" s="313"/>
      <c r="C65" s="313"/>
      <c r="D65" s="313"/>
    </row>
  </sheetData>
  <phoneticPr fontId="7" type="noConversion"/>
  <pageMargins left="0.75" right="0.75" top="1" bottom="1" header="0.5" footer="0.5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4" tint="0.59999389629810485"/>
  </sheetPr>
  <dimension ref="A1:L2833"/>
  <sheetViews>
    <sheetView showGridLines="0" zoomScale="70" zoomScaleNormal="70" workbookViewId="0"/>
  </sheetViews>
  <sheetFormatPr defaultColWidth="15.21875" defaultRowHeight="16.5"/>
  <cols>
    <col min="1" max="2" width="11.5546875" style="730" customWidth="1"/>
    <col min="3" max="5" width="15.77734375" style="178" customWidth="1"/>
    <col min="6" max="8" width="11.5546875" style="178" customWidth="1"/>
    <col min="9" max="10" width="15.21875" style="713"/>
    <col min="11" max="16384" width="15.21875" style="178"/>
  </cols>
  <sheetData>
    <row r="1" spans="1:12">
      <c r="A1" s="700" t="s">
        <v>7081</v>
      </c>
      <c r="B1" s="701">
        <v>74100</v>
      </c>
      <c r="C1" s="702">
        <v>45533.596539351849</v>
      </c>
      <c r="D1" s="703" t="s">
        <v>981</v>
      </c>
      <c r="E1" s="704" t="str">
        <f>VLOOKUP(E4,$I:$J,2,FALSE)</f>
        <v>005930</v>
      </c>
      <c r="I1" s="732" t="s">
        <v>983</v>
      </c>
      <c r="J1" s="732" t="s">
        <v>985</v>
      </c>
      <c r="L1" s="733" t="s">
        <v>7079</v>
      </c>
    </row>
    <row r="2" spans="1:12">
      <c r="A2" s="700" t="s">
        <v>7082</v>
      </c>
      <c r="B2" s="701">
        <v>76400</v>
      </c>
      <c r="D2" s="703" t="s">
        <v>982</v>
      </c>
      <c r="E2" s="705">
        <v>10</v>
      </c>
      <c r="F2" s="706">
        <f>COUNTA(B:B)</f>
        <v>100</v>
      </c>
      <c r="I2" s="707" t="s">
        <v>2039</v>
      </c>
      <c r="J2" s="728" t="s">
        <v>4967</v>
      </c>
      <c r="L2" s="178" t="s">
        <v>6831</v>
      </c>
    </row>
    <row r="3" spans="1:12">
      <c r="A3" s="700" t="s">
        <v>7083</v>
      </c>
      <c r="B3" s="701">
        <v>75800</v>
      </c>
      <c r="I3" s="707" t="s">
        <v>1540</v>
      </c>
      <c r="J3" s="728" t="s">
        <v>4118</v>
      </c>
    </row>
    <row r="4" spans="1:12">
      <c r="A4" s="700" t="s">
        <v>7084</v>
      </c>
      <c r="B4" s="701">
        <v>76100</v>
      </c>
      <c r="D4" s="708" t="s">
        <v>984</v>
      </c>
      <c r="E4" s="709" t="s">
        <v>3459</v>
      </c>
      <c r="F4" s="710" t="s">
        <v>3625</v>
      </c>
      <c r="I4" s="707" t="s">
        <v>1752</v>
      </c>
      <c r="J4" s="728" t="s">
        <v>4119</v>
      </c>
    </row>
    <row r="5" spans="1:12">
      <c r="A5" s="700" t="s">
        <v>7085</v>
      </c>
      <c r="B5" s="701">
        <v>77700</v>
      </c>
      <c r="D5" s="708" t="s">
        <v>3071</v>
      </c>
      <c r="E5" s="709" t="s">
        <v>7080</v>
      </c>
      <c r="F5" s="710" t="s">
        <v>3626</v>
      </c>
      <c r="I5" s="707" t="s">
        <v>3882</v>
      </c>
      <c r="J5" s="728" t="s">
        <v>5545</v>
      </c>
    </row>
    <row r="6" spans="1:12" ht="17.25" thickBot="1">
      <c r="A6" s="700" t="s">
        <v>7086</v>
      </c>
      <c r="B6" s="701">
        <v>78300</v>
      </c>
      <c r="I6" s="707" t="s">
        <v>1634</v>
      </c>
      <c r="J6" s="728" t="s">
        <v>5543</v>
      </c>
    </row>
    <row r="7" spans="1:12" ht="17.25" thickBot="1">
      <c r="A7" s="700" t="s">
        <v>7087</v>
      </c>
      <c r="B7" s="701">
        <v>78300</v>
      </c>
      <c r="D7" s="711" t="s">
        <v>3070</v>
      </c>
      <c r="E7" s="712">
        <f>IFERROR(VLOOKUP(E5,$A:$B,2,FALSE),"확인 필요")</f>
        <v>74100</v>
      </c>
      <c r="I7" s="707" t="s">
        <v>1827</v>
      </c>
      <c r="J7" s="728" t="s">
        <v>5546</v>
      </c>
    </row>
    <row r="8" spans="1:12">
      <c r="A8" s="700" t="s">
        <v>7088</v>
      </c>
      <c r="B8" s="701">
        <v>78900</v>
      </c>
      <c r="D8" s="713"/>
      <c r="E8" s="713"/>
      <c r="I8" s="707" t="s">
        <v>3883</v>
      </c>
      <c r="J8" s="728" t="s">
        <v>5547</v>
      </c>
    </row>
    <row r="9" spans="1:12">
      <c r="A9" s="700" t="s">
        <v>7089</v>
      </c>
      <c r="B9" s="701">
        <v>78300</v>
      </c>
      <c r="I9" s="707" t="s">
        <v>3754</v>
      </c>
      <c r="J9" s="728" t="s">
        <v>4895</v>
      </c>
    </row>
    <row r="10" spans="1:12">
      <c r="A10" s="700" t="s">
        <v>7090</v>
      </c>
      <c r="B10" s="701">
        <v>80200</v>
      </c>
      <c r="I10" s="707" t="s">
        <v>1428</v>
      </c>
      <c r="J10" s="728" t="s">
        <v>4121</v>
      </c>
    </row>
    <row r="11" spans="1:12">
      <c r="A11" s="700" t="s">
        <v>7091</v>
      </c>
      <c r="B11" s="701">
        <v>77200</v>
      </c>
      <c r="I11" s="707" t="s">
        <v>1075</v>
      </c>
      <c r="J11" s="728" t="s">
        <v>4120</v>
      </c>
    </row>
    <row r="12" spans="1:12">
      <c r="A12" s="700" t="s">
        <v>7092</v>
      </c>
      <c r="B12" s="701">
        <v>76100</v>
      </c>
      <c r="I12" s="707" t="s">
        <v>3292</v>
      </c>
      <c r="J12" s="728" t="s">
        <v>4903</v>
      </c>
    </row>
    <row r="13" spans="1:12">
      <c r="A13" s="700" t="s">
        <v>7093</v>
      </c>
      <c r="B13" s="701">
        <v>75500</v>
      </c>
      <c r="I13" s="707" t="s">
        <v>1102</v>
      </c>
      <c r="J13" s="728" t="s">
        <v>4122</v>
      </c>
    </row>
    <row r="14" spans="1:12">
      <c r="A14" s="700" t="s">
        <v>7094</v>
      </c>
      <c r="B14" s="701">
        <v>74700</v>
      </c>
      <c r="I14" s="707" t="s">
        <v>1671</v>
      </c>
      <c r="J14" s="728" t="s">
        <v>4123</v>
      </c>
    </row>
    <row r="15" spans="1:12">
      <c r="A15" s="700" t="s">
        <v>7095</v>
      </c>
      <c r="B15" s="701">
        <v>73400</v>
      </c>
      <c r="I15" s="707" t="s">
        <v>6839</v>
      </c>
      <c r="J15" s="728" t="s">
        <v>6962</v>
      </c>
    </row>
    <row r="16" spans="1:12">
      <c r="A16" s="700" t="s">
        <v>7096</v>
      </c>
      <c r="B16" s="701">
        <v>74700</v>
      </c>
      <c r="I16" s="707" t="s">
        <v>2404</v>
      </c>
      <c r="J16" s="728" t="s">
        <v>5226</v>
      </c>
    </row>
    <row r="17" spans="1:10">
      <c r="A17" s="700" t="s">
        <v>7097</v>
      </c>
      <c r="B17" s="701">
        <v>72500</v>
      </c>
      <c r="I17" s="707" t="s">
        <v>3813</v>
      </c>
      <c r="J17" s="728" t="s">
        <v>5259</v>
      </c>
    </row>
    <row r="18" spans="1:10">
      <c r="A18" s="700" t="s">
        <v>7098</v>
      </c>
      <c r="B18" s="701">
        <v>71400</v>
      </c>
      <c r="I18" s="707" t="s">
        <v>1100</v>
      </c>
      <c r="J18" s="728" t="s">
        <v>4124</v>
      </c>
    </row>
    <row r="19" spans="1:10">
      <c r="A19" s="700" t="s">
        <v>7099</v>
      </c>
      <c r="B19" s="701">
        <v>79600</v>
      </c>
      <c r="I19" s="707" t="s">
        <v>1218</v>
      </c>
      <c r="J19" s="728" t="s">
        <v>5254</v>
      </c>
    </row>
    <row r="20" spans="1:10">
      <c r="A20" s="700" t="s">
        <v>7100</v>
      </c>
      <c r="B20" s="701">
        <v>83100</v>
      </c>
      <c r="I20" s="707" t="s">
        <v>1109</v>
      </c>
      <c r="J20" s="728" t="s">
        <v>5255</v>
      </c>
    </row>
    <row r="21" spans="1:10">
      <c r="A21" s="700" t="s">
        <v>7101</v>
      </c>
      <c r="B21" s="701">
        <v>83900</v>
      </c>
      <c r="I21" s="707" t="s">
        <v>1897</v>
      </c>
      <c r="J21" s="728" t="s">
        <v>5253</v>
      </c>
    </row>
    <row r="22" spans="1:10">
      <c r="A22" s="700" t="s">
        <v>7102</v>
      </c>
      <c r="B22" s="701">
        <v>81000</v>
      </c>
      <c r="I22" s="707" t="s">
        <v>6840</v>
      </c>
      <c r="J22" s="728" t="s">
        <v>6963</v>
      </c>
    </row>
    <row r="23" spans="1:10">
      <c r="A23" s="700" t="s">
        <v>7103</v>
      </c>
      <c r="B23" s="701">
        <v>81200</v>
      </c>
      <c r="I23" s="707" t="s">
        <v>1089</v>
      </c>
      <c r="J23" s="728" t="s">
        <v>5252</v>
      </c>
    </row>
    <row r="24" spans="1:10">
      <c r="A24" s="700" t="s">
        <v>7104</v>
      </c>
      <c r="B24" s="701">
        <v>80900</v>
      </c>
      <c r="I24" s="707" t="s">
        <v>2200</v>
      </c>
      <c r="J24" s="728" t="s">
        <v>4125</v>
      </c>
    </row>
    <row r="25" spans="1:10">
      <c r="A25" s="700" t="s">
        <v>7105</v>
      </c>
      <c r="B25" s="701">
        <v>80400</v>
      </c>
      <c r="I25" s="707" t="s">
        <v>6841</v>
      </c>
      <c r="J25" s="728" t="s">
        <v>6964</v>
      </c>
    </row>
    <row r="26" spans="1:10">
      <c r="A26" s="700" t="s">
        <v>7106</v>
      </c>
      <c r="B26" s="701">
        <v>82000</v>
      </c>
      <c r="I26" s="707" t="s">
        <v>6842</v>
      </c>
      <c r="J26" s="728" t="s">
        <v>6965</v>
      </c>
    </row>
    <row r="27" spans="1:10">
      <c r="A27" s="700" t="s">
        <v>7107</v>
      </c>
      <c r="B27" s="701">
        <v>83900</v>
      </c>
      <c r="I27" s="707" t="s">
        <v>1042</v>
      </c>
      <c r="J27" s="728" t="s">
        <v>5256</v>
      </c>
    </row>
    <row r="28" spans="1:10">
      <c r="A28" s="700" t="s">
        <v>7108</v>
      </c>
      <c r="B28" s="701">
        <v>83000</v>
      </c>
      <c r="I28" s="707" t="s">
        <v>6843</v>
      </c>
      <c r="J28" s="728" t="s">
        <v>6966</v>
      </c>
    </row>
    <row r="29" spans="1:10">
      <c r="A29" s="700" t="s">
        <v>7109</v>
      </c>
      <c r="B29" s="701">
        <v>84400</v>
      </c>
      <c r="I29" s="707" t="s">
        <v>1357</v>
      </c>
      <c r="J29" s="728" t="s">
        <v>5257</v>
      </c>
    </row>
    <row r="30" spans="1:10">
      <c r="A30" s="700" t="s">
        <v>7110</v>
      </c>
      <c r="B30" s="701">
        <v>86900</v>
      </c>
      <c r="I30" s="707" t="s">
        <v>1476</v>
      </c>
      <c r="J30" s="728" t="s">
        <v>4126</v>
      </c>
    </row>
    <row r="31" spans="1:10">
      <c r="A31" s="700" t="s">
        <v>7111</v>
      </c>
      <c r="B31" s="701">
        <v>86700</v>
      </c>
      <c r="I31" s="707" t="s">
        <v>2722</v>
      </c>
      <c r="J31" s="728" t="s">
        <v>5235</v>
      </c>
    </row>
    <row r="32" spans="1:10">
      <c r="A32" s="700" t="s">
        <v>7112</v>
      </c>
      <c r="B32" s="701">
        <v>87700</v>
      </c>
      <c r="I32" s="707" t="s">
        <v>2215</v>
      </c>
      <c r="J32" s="728" t="s">
        <v>5238</v>
      </c>
    </row>
    <row r="33" spans="1:10">
      <c r="A33" s="700" t="s">
        <v>7113</v>
      </c>
      <c r="B33" s="701">
        <v>86700</v>
      </c>
      <c r="I33" s="707" t="s">
        <v>3789</v>
      </c>
      <c r="J33" s="728" t="s">
        <v>5157</v>
      </c>
    </row>
    <row r="34" spans="1:10">
      <c r="A34" s="700" t="s">
        <v>7114</v>
      </c>
      <c r="B34" s="701">
        <v>84400</v>
      </c>
      <c r="I34" s="707" t="s">
        <v>2977</v>
      </c>
      <c r="J34" s="728" t="s">
        <v>5240</v>
      </c>
    </row>
    <row r="35" spans="1:10">
      <c r="A35" s="700" t="s">
        <v>7115</v>
      </c>
      <c r="B35" s="701">
        <v>87600</v>
      </c>
      <c r="I35" s="707" t="s">
        <v>2742</v>
      </c>
      <c r="J35" s="728" t="s">
        <v>5242</v>
      </c>
    </row>
    <row r="36" spans="1:10">
      <c r="A36" s="700" t="s">
        <v>7116</v>
      </c>
      <c r="B36" s="701">
        <v>87800</v>
      </c>
      <c r="I36" s="707" t="s">
        <v>2702</v>
      </c>
      <c r="J36" s="728" t="s">
        <v>4127</v>
      </c>
    </row>
    <row r="37" spans="1:10">
      <c r="A37" s="700" t="s">
        <v>7117</v>
      </c>
      <c r="B37" s="701">
        <v>87800</v>
      </c>
      <c r="I37" s="707" t="s">
        <v>1978</v>
      </c>
      <c r="J37" s="728" t="s">
        <v>4128</v>
      </c>
    </row>
    <row r="38" spans="1:10">
      <c r="A38" s="700" t="s">
        <v>7118</v>
      </c>
      <c r="B38" s="701">
        <v>87400</v>
      </c>
      <c r="I38" s="707" t="s">
        <v>3690</v>
      </c>
      <c r="J38" s="728" t="s">
        <v>4603</v>
      </c>
    </row>
    <row r="39" spans="1:10">
      <c r="A39" s="700" t="s">
        <v>7119</v>
      </c>
      <c r="B39" s="701">
        <v>87100</v>
      </c>
      <c r="I39" s="707" t="s">
        <v>3691</v>
      </c>
      <c r="J39" s="728" t="s">
        <v>4604</v>
      </c>
    </row>
    <row r="40" spans="1:10">
      <c r="A40" s="700" t="s">
        <v>7120</v>
      </c>
      <c r="B40" s="701">
        <v>84600</v>
      </c>
      <c r="I40" s="707" t="s">
        <v>1775</v>
      </c>
      <c r="J40" s="728" t="s">
        <v>4129</v>
      </c>
    </row>
    <row r="41" spans="1:10">
      <c r="A41" s="700" t="s">
        <v>7121</v>
      </c>
      <c r="B41" s="701">
        <v>81800</v>
      </c>
      <c r="I41" s="707" t="s">
        <v>1052</v>
      </c>
      <c r="J41" s="728" t="s">
        <v>4130</v>
      </c>
    </row>
    <row r="42" spans="1:10">
      <c r="A42" s="700" t="s">
        <v>7122</v>
      </c>
      <c r="B42" s="701">
        <v>81800</v>
      </c>
      <c r="I42" s="707" t="s">
        <v>1098</v>
      </c>
      <c r="J42" s="728" t="s">
        <v>4131</v>
      </c>
    </row>
    <row r="43" spans="1:10">
      <c r="A43" s="700" t="s">
        <v>7123</v>
      </c>
      <c r="B43" s="701">
        <v>81800</v>
      </c>
      <c r="I43" s="707" t="s">
        <v>1163</v>
      </c>
      <c r="J43" s="728" t="s">
        <v>4132</v>
      </c>
    </row>
    <row r="44" spans="1:10">
      <c r="A44" s="700" t="s">
        <v>7124</v>
      </c>
      <c r="B44" s="701">
        <v>81500</v>
      </c>
      <c r="I44" s="707" t="s">
        <v>6844</v>
      </c>
      <c r="J44" s="728" t="s">
        <v>5335</v>
      </c>
    </row>
    <row r="45" spans="1:10">
      <c r="A45" s="700" t="s">
        <v>7125</v>
      </c>
      <c r="B45" s="701">
        <v>81600</v>
      </c>
      <c r="I45" s="707" t="s">
        <v>3695</v>
      </c>
      <c r="J45" s="728" t="s">
        <v>4639</v>
      </c>
    </row>
    <row r="46" spans="1:10">
      <c r="A46" s="700" t="s">
        <v>7126</v>
      </c>
      <c r="B46" s="701">
        <v>81300</v>
      </c>
      <c r="I46" s="707" t="s">
        <v>3694</v>
      </c>
      <c r="J46" s="728" t="s">
        <v>4618</v>
      </c>
    </row>
    <row r="47" spans="1:10">
      <c r="A47" s="700" t="s">
        <v>7127</v>
      </c>
      <c r="B47" s="701">
        <v>80800</v>
      </c>
      <c r="I47" s="707" t="s">
        <v>3323</v>
      </c>
      <c r="J47" s="728" t="s">
        <v>4619</v>
      </c>
    </row>
    <row r="48" spans="1:10">
      <c r="A48" s="700" t="s">
        <v>7128</v>
      </c>
      <c r="B48" s="701">
        <v>80600</v>
      </c>
      <c r="I48" s="707" t="s">
        <v>1389</v>
      </c>
      <c r="J48" s="728" t="s">
        <v>4133</v>
      </c>
    </row>
    <row r="49" spans="1:10">
      <c r="A49" s="700" t="s">
        <v>7129</v>
      </c>
      <c r="B49" s="701">
        <v>80000</v>
      </c>
      <c r="I49" s="707" t="s">
        <v>1154</v>
      </c>
      <c r="J49" s="728" t="s">
        <v>4134</v>
      </c>
    </row>
    <row r="50" spans="1:10">
      <c r="A50" s="700" t="s">
        <v>7130</v>
      </c>
      <c r="B50" s="701">
        <v>81600</v>
      </c>
      <c r="I50" s="707" t="s">
        <v>6845</v>
      </c>
      <c r="J50" s="728" t="s">
        <v>6967</v>
      </c>
    </row>
    <row r="51" spans="1:10">
      <c r="A51" s="700" t="s">
        <v>7131</v>
      </c>
      <c r="B51" s="701">
        <v>81200</v>
      </c>
      <c r="I51" s="707" t="s">
        <v>1141</v>
      </c>
      <c r="J51" s="728" t="s">
        <v>4135</v>
      </c>
    </row>
    <row r="52" spans="1:10">
      <c r="A52" s="700" t="s">
        <v>7132</v>
      </c>
      <c r="B52" s="701">
        <v>79800</v>
      </c>
      <c r="I52" s="707" t="s">
        <v>6846</v>
      </c>
      <c r="J52" s="728" t="s">
        <v>6968</v>
      </c>
    </row>
    <row r="53" spans="1:10">
      <c r="A53" s="700" t="s">
        <v>7133</v>
      </c>
      <c r="B53" s="701">
        <v>78100</v>
      </c>
      <c r="I53" s="707" t="s">
        <v>6847</v>
      </c>
      <c r="J53" s="728" t="s">
        <v>6969</v>
      </c>
    </row>
    <row r="54" spans="1:10">
      <c r="A54" s="700" t="s">
        <v>7134</v>
      </c>
      <c r="B54" s="701">
        <v>79600</v>
      </c>
      <c r="I54" s="707" t="s">
        <v>2151</v>
      </c>
      <c r="J54" s="728" t="s">
        <v>4626</v>
      </c>
    </row>
    <row r="55" spans="1:10">
      <c r="A55" s="700" t="s">
        <v>7135</v>
      </c>
      <c r="B55" s="701">
        <v>78600</v>
      </c>
      <c r="I55" s="707" t="s">
        <v>1325</v>
      </c>
      <c r="J55" s="728" t="s">
        <v>4625</v>
      </c>
    </row>
    <row r="56" spans="1:10">
      <c r="A56" s="700" t="s">
        <v>7136</v>
      </c>
      <c r="B56" s="701">
        <v>76500</v>
      </c>
      <c r="I56" s="707" t="s">
        <v>2451</v>
      </c>
      <c r="J56" s="728" t="s">
        <v>4609</v>
      </c>
    </row>
    <row r="57" spans="1:10">
      <c r="A57" s="700" t="s">
        <v>7137</v>
      </c>
      <c r="B57" s="701">
        <v>75200</v>
      </c>
      <c r="I57" s="707" t="s">
        <v>2147</v>
      </c>
      <c r="J57" s="728" t="s">
        <v>4616</v>
      </c>
    </row>
    <row r="58" spans="1:10">
      <c r="A58" s="700" t="s">
        <v>7138</v>
      </c>
      <c r="B58" s="701">
        <v>75700</v>
      </c>
      <c r="I58" s="707" t="s">
        <v>2468</v>
      </c>
      <c r="J58" s="728" t="s">
        <v>4136</v>
      </c>
    </row>
    <row r="59" spans="1:10">
      <c r="A59" s="700" t="s">
        <v>7139</v>
      </c>
      <c r="B59" s="701">
        <v>77300</v>
      </c>
      <c r="I59" s="707" t="s">
        <v>2686</v>
      </c>
      <c r="J59" s="728" t="s">
        <v>4137</v>
      </c>
    </row>
    <row r="60" spans="1:10">
      <c r="A60" s="700" t="s">
        <v>7140</v>
      </c>
      <c r="B60" s="701">
        <v>77400</v>
      </c>
      <c r="I60" s="707" t="s">
        <v>3636</v>
      </c>
      <c r="J60" s="728" t="s">
        <v>4138</v>
      </c>
    </row>
    <row r="61" spans="1:10">
      <c r="A61" s="700" t="s">
        <v>7141</v>
      </c>
      <c r="B61" s="701">
        <v>75300</v>
      </c>
      <c r="I61" s="707" t="s">
        <v>3281</v>
      </c>
      <c r="J61" s="728" t="s">
        <v>4622</v>
      </c>
    </row>
    <row r="62" spans="1:10">
      <c r="A62" s="700" t="s">
        <v>7142</v>
      </c>
      <c r="B62" s="701">
        <v>75700</v>
      </c>
      <c r="I62" s="707" t="s">
        <v>1541</v>
      </c>
      <c r="J62" s="728" t="s">
        <v>4139</v>
      </c>
    </row>
    <row r="63" spans="1:10">
      <c r="A63" s="700" t="s">
        <v>7143</v>
      </c>
      <c r="B63" s="701">
        <v>73500</v>
      </c>
      <c r="I63" s="707" t="s">
        <v>1677</v>
      </c>
      <c r="J63" s="728" t="s">
        <v>5920</v>
      </c>
    </row>
    <row r="64" spans="1:10">
      <c r="A64" s="700" t="s">
        <v>7144</v>
      </c>
      <c r="B64" s="701">
        <v>73500</v>
      </c>
      <c r="I64" s="707" t="s">
        <v>2520</v>
      </c>
      <c r="J64" s="728" t="s">
        <v>5923</v>
      </c>
    </row>
    <row r="65" spans="1:10">
      <c r="A65" s="700" t="s">
        <v>7145</v>
      </c>
      <c r="B65" s="701">
        <v>75200</v>
      </c>
      <c r="I65" s="707" t="s">
        <v>3950</v>
      </c>
      <c r="J65" s="728" t="s">
        <v>5912</v>
      </c>
    </row>
    <row r="66" spans="1:10">
      <c r="A66" s="700" t="s">
        <v>7146</v>
      </c>
      <c r="B66" s="701">
        <v>77600</v>
      </c>
      <c r="I66" s="707" t="s">
        <v>3637</v>
      </c>
      <c r="J66" s="728" t="s">
        <v>4140</v>
      </c>
    </row>
    <row r="67" spans="1:10">
      <c r="A67" s="700" t="s">
        <v>7147</v>
      </c>
      <c r="B67" s="701">
        <v>77200</v>
      </c>
      <c r="I67" s="707" t="s">
        <v>2796</v>
      </c>
      <c r="J67" s="728" t="s">
        <v>4141</v>
      </c>
    </row>
    <row r="68" spans="1:10">
      <c r="A68" s="700" t="s">
        <v>7148</v>
      </c>
      <c r="B68" s="701">
        <v>75900</v>
      </c>
      <c r="I68" s="707" t="s">
        <v>1046</v>
      </c>
      <c r="J68" s="728" t="s">
        <v>4142</v>
      </c>
    </row>
    <row r="69" spans="1:10">
      <c r="A69" s="700" t="s">
        <v>7149</v>
      </c>
      <c r="B69" s="701">
        <v>78300</v>
      </c>
      <c r="I69" s="707" t="s">
        <v>1272</v>
      </c>
      <c r="J69" s="728" t="s">
        <v>4143</v>
      </c>
    </row>
    <row r="70" spans="1:10">
      <c r="A70" s="700" t="s">
        <v>7150</v>
      </c>
      <c r="B70" s="701">
        <v>77700</v>
      </c>
      <c r="I70" s="707" t="s">
        <v>2150</v>
      </c>
      <c r="J70" s="728" t="s">
        <v>5562</v>
      </c>
    </row>
    <row r="71" spans="1:10">
      <c r="A71" s="700" t="s">
        <v>7151</v>
      </c>
      <c r="B71" s="701">
        <v>78400</v>
      </c>
      <c r="I71" s="707" t="s">
        <v>2786</v>
      </c>
      <c r="J71" s="728" t="s">
        <v>6106</v>
      </c>
    </row>
    <row r="72" spans="1:10">
      <c r="A72" s="700" t="s">
        <v>7152</v>
      </c>
      <c r="B72" s="701">
        <v>78900</v>
      </c>
      <c r="I72" s="707" t="s">
        <v>1236</v>
      </c>
      <c r="J72" s="728" t="s">
        <v>4299</v>
      </c>
    </row>
    <row r="73" spans="1:10">
      <c r="A73" s="700" t="s">
        <v>7153</v>
      </c>
      <c r="B73" s="701">
        <v>77400</v>
      </c>
      <c r="I73" s="707" t="s">
        <v>2477</v>
      </c>
      <c r="J73" s="728" t="s">
        <v>4300</v>
      </c>
    </row>
    <row r="74" spans="1:10">
      <c r="A74" s="700" t="s">
        <v>7154</v>
      </c>
      <c r="B74" s="701">
        <v>78200</v>
      </c>
      <c r="I74" s="707" t="s">
        <v>1061</v>
      </c>
      <c r="J74" s="728" t="s">
        <v>4145</v>
      </c>
    </row>
    <row r="75" spans="1:10">
      <c r="A75" s="700" t="s">
        <v>7155</v>
      </c>
      <c r="B75" s="701">
        <v>78300</v>
      </c>
      <c r="I75" s="707" t="s">
        <v>1806</v>
      </c>
      <c r="J75" s="728" t="s">
        <v>4308</v>
      </c>
    </row>
    <row r="76" spans="1:10">
      <c r="A76" s="700" t="s">
        <v>7156</v>
      </c>
      <c r="B76" s="701">
        <v>78400</v>
      </c>
      <c r="I76" s="707" t="s">
        <v>1087</v>
      </c>
      <c r="J76" s="728" t="s">
        <v>4144</v>
      </c>
    </row>
    <row r="77" spans="1:10">
      <c r="A77" s="700" t="s">
        <v>7157</v>
      </c>
      <c r="B77" s="701">
        <v>79200</v>
      </c>
      <c r="I77" s="707" t="s">
        <v>1625</v>
      </c>
      <c r="J77" s="728" t="s">
        <v>6103</v>
      </c>
    </row>
    <row r="78" spans="1:10">
      <c r="A78" s="700" t="s">
        <v>7158</v>
      </c>
      <c r="B78" s="701">
        <v>79700</v>
      </c>
      <c r="I78" s="707" t="s">
        <v>1086</v>
      </c>
      <c r="J78" s="728" t="s">
        <v>6104</v>
      </c>
    </row>
    <row r="79" spans="1:10">
      <c r="A79" s="700" t="s">
        <v>7159</v>
      </c>
      <c r="B79" s="701">
        <v>81300</v>
      </c>
      <c r="I79" s="707" t="s">
        <v>6848</v>
      </c>
      <c r="J79" s="728" t="s">
        <v>6970</v>
      </c>
    </row>
    <row r="80" spans="1:10">
      <c r="A80" s="700" t="s">
        <v>7160</v>
      </c>
      <c r="B80" s="701">
        <v>81300</v>
      </c>
      <c r="I80" s="707" t="s">
        <v>1746</v>
      </c>
      <c r="J80" s="728" t="s">
        <v>5505</v>
      </c>
    </row>
    <row r="81" spans="1:10">
      <c r="A81" s="700" t="s">
        <v>7161</v>
      </c>
      <c r="B81" s="701">
        <v>77600</v>
      </c>
      <c r="I81" s="707" t="s">
        <v>3870</v>
      </c>
      <c r="J81" s="728" t="s">
        <v>5506</v>
      </c>
    </row>
    <row r="82" spans="1:10">
      <c r="A82" s="700" t="s">
        <v>7162</v>
      </c>
      <c r="B82" s="701">
        <v>78000</v>
      </c>
      <c r="I82" s="707" t="s">
        <v>1993</v>
      </c>
      <c r="J82" s="728" t="s">
        <v>5507</v>
      </c>
    </row>
    <row r="83" spans="1:10">
      <c r="A83" s="700" t="s">
        <v>7163</v>
      </c>
      <c r="B83" s="701">
        <v>77500</v>
      </c>
      <c r="I83" s="707" t="s">
        <v>1420</v>
      </c>
      <c r="J83" s="728" t="s">
        <v>4146</v>
      </c>
    </row>
    <row r="84" spans="1:10">
      <c r="A84" s="700" t="s">
        <v>7164</v>
      </c>
      <c r="B84" s="701">
        <v>76700</v>
      </c>
      <c r="I84" s="707" t="s">
        <v>1747</v>
      </c>
      <c r="J84" s="728" t="s">
        <v>5493</v>
      </c>
    </row>
    <row r="85" spans="1:10">
      <c r="A85" s="700" t="s">
        <v>7165</v>
      </c>
      <c r="B85" s="701">
        <v>76700</v>
      </c>
      <c r="I85" s="707" t="s">
        <v>2146</v>
      </c>
      <c r="J85" s="728" t="s">
        <v>5494</v>
      </c>
    </row>
    <row r="86" spans="1:10">
      <c r="A86" s="700" t="s">
        <v>7166</v>
      </c>
      <c r="B86" s="701">
        <v>76300</v>
      </c>
      <c r="I86" s="707" t="s">
        <v>1266</v>
      </c>
      <c r="J86" s="728" t="s">
        <v>4147</v>
      </c>
    </row>
    <row r="87" spans="1:10">
      <c r="A87" s="700" t="s">
        <v>7167</v>
      </c>
      <c r="B87" s="701">
        <v>78600</v>
      </c>
      <c r="I87" s="707" t="s">
        <v>3861</v>
      </c>
      <c r="J87" s="728" t="s">
        <v>5495</v>
      </c>
    </row>
    <row r="88" spans="1:10">
      <c r="A88" s="700" t="s">
        <v>7168</v>
      </c>
      <c r="B88" s="701">
        <v>75500</v>
      </c>
      <c r="I88" s="707" t="s">
        <v>1049</v>
      </c>
      <c r="J88" s="728" t="s">
        <v>5499</v>
      </c>
    </row>
    <row r="89" spans="1:10">
      <c r="A89" s="700" t="s">
        <v>7169</v>
      </c>
      <c r="B89" s="701">
        <v>76100</v>
      </c>
      <c r="I89" s="707" t="s">
        <v>3862</v>
      </c>
      <c r="J89" s="728" t="s">
        <v>5496</v>
      </c>
    </row>
    <row r="90" spans="1:10">
      <c r="A90" s="700" t="s">
        <v>7170</v>
      </c>
      <c r="B90" s="701">
        <v>77600</v>
      </c>
      <c r="I90" s="707" t="s">
        <v>3863</v>
      </c>
      <c r="J90" s="728" t="s">
        <v>5497</v>
      </c>
    </row>
    <row r="91" spans="1:10">
      <c r="A91" s="700" t="s">
        <v>7171</v>
      </c>
      <c r="B91" s="701">
        <v>79600</v>
      </c>
      <c r="I91" s="707" t="s">
        <v>6849</v>
      </c>
      <c r="J91" s="728" t="s">
        <v>4228</v>
      </c>
    </row>
    <row r="92" spans="1:10">
      <c r="A92" s="700" t="s">
        <v>7172</v>
      </c>
      <c r="B92" s="701">
        <v>78900</v>
      </c>
      <c r="I92" s="707" t="s">
        <v>3864</v>
      </c>
      <c r="J92" s="728" t="s">
        <v>5498</v>
      </c>
    </row>
    <row r="93" spans="1:10">
      <c r="A93" s="700" t="s">
        <v>7173</v>
      </c>
      <c r="B93" s="701">
        <v>80000</v>
      </c>
      <c r="I93" s="707" t="s">
        <v>3865</v>
      </c>
      <c r="J93" s="728" t="s">
        <v>5500</v>
      </c>
    </row>
    <row r="94" spans="1:10">
      <c r="A94" s="700" t="s">
        <v>7174</v>
      </c>
      <c r="B94" s="701">
        <v>82200</v>
      </c>
      <c r="I94" s="707" t="s">
        <v>3866</v>
      </c>
      <c r="J94" s="728" t="s">
        <v>5501</v>
      </c>
    </row>
    <row r="95" spans="1:10">
      <c r="A95" s="700" t="s">
        <v>7175</v>
      </c>
      <c r="B95" s="701">
        <v>83700</v>
      </c>
      <c r="I95" s="707" t="s">
        <v>3867</v>
      </c>
      <c r="J95" s="728" t="s">
        <v>5502</v>
      </c>
    </row>
    <row r="96" spans="1:10">
      <c r="A96" s="700" t="s">
        <v>7176</v>
      </c>
      <c r="B96" s="701">
        <v>84100</v>
      </c>
      <c r="I96" s="707" t="s">
        <v>3868</v>
      </c>
      <c r="J96" s="728" t="s">
        <v>5503</v>
      </c>
    </row>
    <row r="97" spans="1:10">
      <c r="A97" s="700" t="s">
        <v>7177</v>
      </c>
      <c r="B97" s="701">
        <v>83600</v>
      </c>
      <c r="I97" s="707" t="s">
        <v>1308</v>
      </c>
      <c r="J97" s="728" t="s">
        <v>4148</v>
      </c>
    </row>
    <row r="98" spans="1:10">
      <c r="A98" s="700" t="s">
        <v>7178</v>
      </c>
      <c r="B98" s="701">
        <v>84500</v>
      </c>
      <c r="I98" s="707" t="s">
        <v>1164</v>
      </c>
      <c r="J98" s="728" t="s">
        <v>5527</v>
      </c>
    </row>
    <row r="99" spans="1:10">
      <c r="A99" s="700" t="s">
        <v>7179</v>
      </c>
      <c r="B99" s="701">
        <v>84500</v>
      </c>
      <c r="I99" s="707" t="s">
        <v>3317</v>
      </c>
      <c r="J99" s="728" t="s">
        <v>4149</v>
      </c>
    </row>
    <row r="100" spans="1:10">
      <c r="A100" s="700" t="s">
        <v>7180</v>
      </c>
      <c r="B100" s="701">
        <v>85300</v>
      </c>
      <c r="I100" s="707" t="s">
        <v>1068</v>
      </c>
      <c r="J100" s="728" t="s">
        <v>5513</v>
      </c>
    </row>
    <row r="101" spans="1:10">
      <c r="B101" s="731"/>
      <c r="I101" s="707" t="s">
        <v>1504</v>
      </c>
      <c r="J101" s="728" t="s">
        <v>5514</v>
      </c>
    </row>
    <row r="102" spans="1:10">
      <c r="B102" s="731"/>
      <c r="I102" s="707" t="s">
        <v>3873</v>
      </c>
      <c r="J102" s="728" t="s">
        <v>5515</v>
      </c>
    </row>
    <row r="103" spans="1:10">
      <c r="B103" s="731"/>
      <c r="I103" s="707" t="s">
        <v>3874</v>
      </c>
      <c r="J103" s="728" t="s">
        <v>5516</v>
      </c>
    </row>
    <row r="104" spans="1:10">
      <c r="B104" s="731"/>
      <c r="I104" s="707" t="s">
        <v>1182</v>
      </c>
      <c r="J104" s="728" t="s">
        <v>5517</v>
      </c>
    </row>
    <row r="105" spans="1:10">
      <c r="B105" s="731"/>
      <c r="I105" s="707" t="s">
        <v>3304</v>
      </c>
      <c r="J105" s="728" t="s">
        <v>4150</v>
      </c>
    </row>
    <row r="106" spans="1:10">
      <c r="B106" s="731"/>
      <c r="I106" s="707" t="s">
        <v>1465</v>
      </c>
      <c r="J106" s="728" t="s">
        <v>5518</v>
      </c>
    </row>
    <row r="107" spans="1:10">
      <c r="B107" s="731"/>
      <c r="I107" s="707" t="s">
        <v>1434</v>
      </c>
      <c r="J107" s="728" t="s">
        <v>5519</v>
      </c>
    </row>
    <row r="108" spans="1:10">
      <c r="B108" s="731"/>
      <c r="I108" s="707" t="s">
        <v>3875</v>
      </c>
      <c r="J108" s="728" t="s">
        <v>5520</v>
      </c>
    </row>
    <row r="109" spans="1:10">
      <c r="B109" s="731"/>
      <c r="I109" s="707" t="s">
        <v>3241</v>
      </c>
      <c r="J109" s="728" t="s">
        <v>4151</v>
      </c>
    </row>
    <row r="110" spans="1:10">
      <c r="B110" s="731"/>
      <c r="I110" s="707" t="s">
        <v>3265</v>
      </c>
      <c r="J110" s="728" t="s">
        <v>4152</v>
      </c>
    </row>
    <row r="111" spans="1:10">
      <c r="B111" s="731"/>
      <c r="I111" s="707" t="s">
        <v>1010</v>
      </c>
      <c r="J111" s="728" t="s">
        <v>5524</v>
      </c>
    </row>
    <row r="112" spans="1:10">
      <c r="B112" s="731"/>
      <c r="I112" s="707" t="s">
        <v>3245</v>
      </c>
      <c r="J112" s="728" t="s">
        <v>5528</v>
      </c>
    </row>
    <row r="113" spans="2:10">
      <c r="B113" s="731"/>
      <c r="I113" s="707" t="s">
        <v>2433</v>
      </c>
      <c r="J113" s="728" t="s">
        <v>5509</v>
      </c>
    </row>
    <row r="114" spans="2:10">
      <c r="B114" s="731"/>
      <c r="I114" s="707" t="s">
        <v>3638</v>
      </c>
      <c r="J114" s="728" t="s">
        <v>4153</v>
      </c>
    </row>
    <row r="115" spans="2:10">
      <c r="B115" s="731"/>
      <c r="I115" s="707" t="s">
        <v>3871</v>
      </c>
      <c r="J115" s="728" t="s">
        <v>5510</v>
      </c>
    </row>
    <row r="116" spans="2:10">
      <c r="B116" s="731"/>
      <c r="I116" s="707" t="s">
        <v>6850</v>
      </c>
      <c r="J116" s="728" t="s">
        <v>5511</v>
      </c>
    </row>
    <row r="117" spans="2:10">
      <c r="B117" s="731"/>
      <c r="I117" s="707" t="s">
        <v>3373</v>
      </c>
      <c r="J117" s="728" t="s">
        <v>5297</v>
      </c>
    </row>
    <row r="118" spans="2:10">
      <c r="B118" s="731"/>
      <c r="I118" s="707" t="s">
        <v>3374</v>
      </c>
      <c r="J118" s="728" t="s">
        <v>5298</v>
      </c>
    </row>
    <row r="119" spans="2:10">
      <c r="B119" s="731"/>
      <c r="I119" s="707" t="s">
        <v>3817</v>
      </c>
      <c r="J119" s="728" t="s">
        <v>5299</v>
      </c>
    </row>
    <row r="120" spans="2:10">
      <c r="B120" s="731"/>
      <c r="I120" s="707" t="s">
        <v>3818</v>
      </c>
      <c r="J120" s="728" t="s">
        <v>5300</v>
      </c>
    </row>
    <row r="121" spans="2:10">
      <c r="B121" s="731"/>
      <c r="I121" s="707" t="s">
        <v>3819</v>
      </c>
      <c r="J121" s="728" t="s">
        <v>5301</v>
      </c>
    </row>
    <row r="122" spans="2:10">
      <c r="B122" s="731"/>
      <c r="I122" s="707" t="s">
        <v>2222</v>
      </c>
      <c r="J122" s="728" t="s">
        <v>4154</v>
      </c>
    </row>
    <row r="123" spans="2:10">
      <c r="B123" s="731"/>
      <c r="I123" s="707" t="s">
        <v>2600</v>
      </c>
      <c r="J123" s="728" t="s">
        <v>5317</v>
      </c>
    </row>
    <row r="124" spans="2:10">
      <c r="B124" s="731"/>
      <c r="I124" s="707" t="s">
        <v>1317</v>
      </c>
      <c r="J124" s="728" t="s">
        <v>5311</v>
      </c>
    </row>
    <row r="125" spans="2:10">
      <c r="B125" s="731"/>
      <c r="I125" s="707" t="s">
        <v>1146</v>
      </c>
      <c r="J125" s="728" t="s">
        <v>4155</v>
      </c>
    </row>
    <row r="126" spans="2:10">
      <c r="B126" s="731"/>
      <c r="I126" s="707" t="s">
        <v>2302</v>
      </c>
      <c r="J126" s="728" t="s">
        <v>6041</v>
      </c>
    </row>
    <row r="127" spans="2:10">
      <c r="B127" s="731"/>
      <c r="I127" s="707" t="s">
        <v>1789</v>
      </c>
      <c r="J127" s="728" t="s">
        <v>4156</v>
      </c>
    </row>
    <row r="128" spans="2:10">
      <c r="B128" s="731"/>
      <c r="I128" s="707" t="s">
        <v>1866</v>
      </c>
      <c r="J128" s="728" t="s">
        <v>6018</v>
      </c>
    </row>
    <row r="129" spans="2:10">
      <c r="B129" s="731"/>
      <c r="I129" s="707" t="s">
        <v>1354</v>
      </c>
      <c r="J129" s="728" t="s">
        <v>4157</v>
      </c>
    </row>
    <row r="130" spans="2:10">
      <c r="B130" s="731"/>
      <c r="I130" s="707" t="s">
        <v>6851</v>
      </c>
      <c r="J130" s="728" t="s">
        <v>6971</v>
      </c>
    </row>
    <row r="131" spans="2:10">
      <c r="B131" s="731"/>
      <c r="I131" s="707" t="s">
        <v>6852</v>
      </c>
      <c r="J131" s="728" t="s">
        <v>6972</v>
      </c>
    </row>
    <row r="132" spans="2:10">
      <c r="B132" s="731"/>
      <c r="I132" s="707" t="s">
        <v>1692</v>
      </c>
      <c r="J132" s="728" t="s">
        <v>4158</v>
      </c>
    </row>
    <row r="133" spans="2:10">
      <c r="B133" s="731"/>
      <c r="I133" s="707" t="s">
        <v>1125</v>
      </c>
      <c r="J133" s="728" t="s">
        <v>6037</v>
      </c>
    </row>
    <row r="134" spans="2:10">
      <c r="B134" s="731"/>
      <c r="I134" s="707" t="s">
        <v>2880</v>
      </c>
      <c r="J134" s="728" t="s">
        <v>6182</v>
      </c>
    </row>
    <row r="135" spans="2:10">
      <c r="B135" s="731"/>
      <c r="I135" s="707" t="s">
        <v>2785</v>
      </c>
      <c r="J135" s="728" t="s">
        <v>6175</v>
      </c>
    </row>
    <row r="136" spans="2:10">
      <c r="B136" s="731"/>
      <c r="I136" s="707" t="s">
        <v>999</v>
      </c>
      <c r="J136" s="728" t="s">
        <v>4159</v>
      </c>
    </row>
    <row r="137" spans="2:10">
      <c r="B137" s="731"/>
      <c r="I137" s="707" t="s">
        <v>3639</v>
      </c>
      <c r="J137" s="728" t="s">
        <v>4160</v>
      </c>
    </row>
    <row r="138" spans="2:10">
      <c r="B138" s="731"/>
      <c r="I138" s="707" t="s">
        <v>2712</v>
      </c>
      <c r="J138" s="728" t="s">
        <v>4161</v>
      </c>
    </row>
    <row r="139" spans="2:10">
      <c r="B139" s="731"/>
      <c r="I139" s="707" t="s">
        <v>3986</v>
      </c>
      <c r="J139" s="728" t="s">
        <v>6177</v>
      </c>
    </row>
    <row r="140" spans="2:10">
      <c r="B140" s="731"/>
      <c r="I140" s="707" t="s">
        <v>3987</v>
      </c>
      <c r="J140" s="728" t="s">
        <v>6178</v>
      </c>
    </row>
    <row r="141" spans="2:10">
      <c r="B141" s="731"/>
      <c r="I141" s="707" t="s">
        <v>3988</v>
      </c>
      <c r="J141" s="728" t="s">
        <v>6179</v>
      </c>
    </row>
    <row r="142" spans="2:10">
      <c r="B142" s="731"/>
      <c r="I142" s="707" t="s">
        <v>3989</v>
      </c>
      <c r="J142" s="728" t="s">
        <v>6180</v>
      </c>
    </row>
    <row r="143" spans="2:10">
      <c r="B143" s="731"/>
      <c r="I143" s="707" t="s">
        <v>3990</v>
      </c>
      <c r="J143" s="728" t="s">
        <v>6181</v>
      </c>
    </row>
    <row r="144" spans="2:10">
      <c r="B144" s="731"/>
      <c r="I144" s="707" t="s">
        <v>1092</v>
      </c>
      <c r="J144" s="728" t="s">
        <v>6081</v>
      </c>
    </row>
    <row r="145" spans="2:10">
      <c r="B145" s="731"/>
      <c r="I145" s="707" t="s">
        <v>2011</v>
      </c>
      <c r="J145" s="728" t="s">
        <v>6187</v>
      </c>
    </row>
    <row r="146" spans="2:10">
      <c r="B146" s="731"/>
      <c r="I146" s="707" t="s">
        <v>1252</v>
      </c>
      <c r="J146" s="728" t="s">
        <v>6188</v>
      </c>
    </row>
    <row r="147" spans="2:10">
      <c r="B147" s="731"/>
      <c r="I147" s="707" t="s">
        <v>2401</v>
      </c>
      <c r="J147" s="728" t="s">
        <v>6189</v>
      </c>
    </row>
    <row r="148" spans="2:10">
      <c r="B148" s="731"/>
      <c r="I148" s="707" t="s">
        <v>2070</v>
      </c>
      <c r="J148" s="728" t="s">
        <v>4162</v>
      </c>
    </row>
    <row r="149" spans="2:10">
      <c r="B149" s="731"/>
      <c r="I149" s="707" t="s">
        <v>2241</v>
      </c>
      <c r="J149" s="728" t="s">
        <v>6184</v>
      </c>
    </row>
    <row r="150" spans="2:10">
      <c r="B150" s="731"/>
      <c r="I150" s="707" t="s">
        <v>3991</v>
      </c>
      <c r="J150" s="728" t="s">
        <v>6186</v>
      </c>
    </row>
    <row r="151" spans="2:10">
      <c r="B151" s="731"/>
      <c r="I151" s="707" t="s">
        <v>2617</v>
      </c>
      <c r="J151" s="728" t="s">
        <v>6191</v>
      </c>
    </row>
    <row r="152" spans="2:10">
      <c r="B152" s="731"/>
      <c r="I152" s="707" t="s">
        <v>3050</v>
      </c>
      <c r="J152" s="728" t="s">
        <v>4163</v>
      </c>
    </row>
    <row r="153" spans="2:10">
      <c r="B153" s="731"/>
      <c r="I153" s="707" t="s">
        <v>1432</v>
      </c>
      <c r="J153" s="728" t="s">
        <v>6218</v>
      </c>
    </row>
    <row r="154" spans="2:10">
      <c r="B154" s="731"/>
      <c r="I154" s="707" t="s">
        <v>1597</v>
      </c>
      <c r="J154" s="728" t="s">
        <v>6219</v>
      </c>
    </row>
    <row r="155" spans="2:10">
      <c r="B155" s="731"/>
      <c r="I155" s="707" t="s">
        <v>3243</v>
      </c>
      <c r="J155" s="728" t="s">
        <v>4164</v>
      </c>
    </row>
    <row r="156" spans="2:10">
      <c r="B156" s="731"/>
      <c r="I156" s="707" t="s">
        <v>1137</v>
      </c>
      <c r="J156" s="728" t="s">
        <v>4165</v>
      </c>
    </row>
    <row r="157" spans="2:10">
      <c r="B157" s="731"/>
      <c r="I157" s="707" t="s">
        <v>4000</v>
      </c>
      <c r="J157" s="728" t="s">
        <v>6220</v>
      </c>
    </row>
    <row r="158" spans="2:10">
      <c r="B158" s="731"/>
      <c r="I158" s="707" t="s">
        <v>1447</v>
      </c>
      <c r="J158" s="728" t="s">
        <v>6221</v>
      </c>
    </row>
    <row r="159" spans="2:10">
      <c r="B159" s="731"/>
      <c r="I159" s="707" t="s">
        <v>1415</v>
      </c>
      <c r="J159" s="728" t="s">
        <v>4166</v>
      </c>
    </row>
    <row r="160" spans="2:10">
      <c r="B160" s="731"/>
      <c r="I160" s="707" t="s">
        <v>2219</v>
      </c>
      <c r="J160" s="728" t="s">
        <v>6201</v>
      </c>
    </row>
    <row r="161" spans="2:10">
      <c r="B161" s="731"/>
      <c r="I161" s="707" t="s">
        <v>3995</v>
      </c>
      <c r="J161" s="728" t="s">
        <v>6202</v>
      </c>
    </row>
    <row r="162" spans="2:10">
      <c r="B162" s="731"/>
      <c r="I162" s="707" t="s">
        <v>1696</v>
      </c>
      <c r="J162" s="728" t="s">
        <v>4167</v>
      </c>
    </row>
    <row r="163" spans="2:10">
      <c r="B163" s="731"/>
      <c r="I163" s="707" t="s">
        <v>1378</v>
      </c>
      <c r="J163" s="728" t="s">
        <v>6203</v>
      </c>
    </row>
    <row r="164" spans="2:10">
      <c r="B164" s="731"/>
      <c r="I164" s="707" t="s">
        <v>3992</v>
      </c>
      <c r="J164" s="728" t="s">
        <v>6195</v>
      </c>
    </row>
    <row r="165" spans="2:10">
      <c r="B165" s="731"/>
      <c r="I165" s="707" t="s">
        <v>1739</v>
      </c>
      <c r="J165" s="728" t="s">
        <v>4168</v>
      </c>
    </row>
    <row r="166" spans="2:10">
      <c r="B166" s="731"/>
      <c r="I166" s="707" t="s">
        <v>2066</v>
      </c>
      <c r="J166" s="728" t="s">
        <v>6210</v>
      </c>
    </row>
    <row r="167" spans="2:10">
      <c r="B167" s="731"/>
      <c r="I167" s="707" t="s">
        <v>1682</v>
      </c>
      <c r="J167" s="728" t="s">
        <v>4169</v>
      </c>
    </row>
    <row r="168" spans="2:10">
      <c r="B168" s="731"/>
      <c r="I168" s="707" t="s">
        <v>1643</v>
      </c>
      <c r="J168" s="728" t="s">
        <v>4170</v>
      </c>
    </row>
    <row r="169" spans="2:10">
      <c r="B169" s="731"/>
      <c r="I169" s="707" t="s">
        <v>2725</v>
      </c>
      <c r="J169" s="728" t="s">
        <v>4171</v>
      </c>
    </row>
    <row r="170" spans="2:10">
      <c r="B170" s="731"/>
      <c r="I170" s="707" t="s">
        <v>1699</v>
      </c>
      <c r="J170" s="728" t="s">
        <v>6198</v>
      </c>
    </row>
    <row r="171" spans="2:10">
      <c r="B171" s="731"/>
      <c r="I171" s="707" t="s">
        <v>3994</v>
      </c>
      <c r="J171" s="728" t="s">
        <v>6199</v>
      </c>
    </row>
    <row r="172" spans="2:10">
      <c r="B172" s="731"/>
      <c r="I172" s="707" t="s">
        <v>1022</v>
      </c>
      <c r="J172" s="728" t="s">
        <v>6224</v>
      </c>
    </row>
    <row r="173" spans="2:10">
      <c r="B173" s="731"/>
      <c r="I173" s="707" t="s">
        <v>1015</v>
      </c>
      <c r="J173" s="728" t="s">
        <v>6229</v>
      </c>
    </row>
    <row r="174" spans="2:10">
      <c r="B174" s="731"/>
      <c r="I174" s="707" t="s">
        <v>2523</v>
      </c>
      <c r="J174" s="728" t="s">
        <v>6226</v>
      </c>
    </row>
    <row r="175" spans="2:10">
      <c r="B175" s="731"/>
      <c r="I175" s="707" t="s">
        <v>2530</v>
      </c>
      <c r="J175" s="728" t="s">
        <v>6227</v>
      </c>
    </row>
    <row r="176" spans="2:10">
      <c r="B176" s="731"/>
      <c r="I176" s="707" t="s">
        <v>1518</v>
      </c>
      <c r="J176" s="728" t="s">
        <v>6204</v>
      </c>
    </row>
    <row r="177" spans="2:10">
      <c r="B177" s="731"/>
      <c r="I177" s="707" t="s">
        <v>2650</v>
      </c>
      <c r="J177" s="728" t="s">
        <v>6205</v>
      </c>
    </row>
    <row r="178" spans="2:10">
      <c r="B178" s="731"/>
      <c r="I178" s="707" t="s">
        <v>3290</v>
      </c>
      <c r="J178" s="728" t="s">
        <v>5617</v>
      </c>
    </row>
    <row r="179" spans="2:10">
      <c r="B179" s="731"/>
      <c r="I179" s="707" t="s">
        <v>3269</v>
      </c>
      <c r="J179" s="728" t="s">
        <v>5618</v>
      </c>
    </row>
    <row r="180" spans="2:10">
      <c r="B180" s="731"/>
      <c r="I180" s="707" t="s">
        <v>3903</v>
      </c>
      <c r="J180" s="728" t="s">
        <v>5619</v>
      </c>
    </row>
    <row r="181" spans="2:10">
      <c r="B181" s="731"/>
      <c r="I181" s="707" t="s">
        <v>1369</v>
      </c>
      <c r="J181" s="728" t="s">
        <v>4172</v>
      </c>
    </row>
    <row r="182" spans="2:10">
      <c r="B182" s="731"/>
      <c r="I182" s="707" t="s">
        <v>1011</v>
      </c>
      <c r="J182" s="728" t="s">
        <v>4174</v>
      </c>
    </row>
    <row r="183" spans="2:10">
      <c r="B183" s="731"/>
      <c r="I183" s="707" t="s">
        <v>1044</v>
      </c>
      <c r="J183" s="728" t="s">
        <v>4173</v>
      </c>
    </row>
    <row r="184" spans="2:10">
      <c r="B184" s="731"/>
      <c r="I184" s="707" t="s">
        <v>1020</v>
      </c>
      <c r="J184" s="728" t="s">
        <v>4175</v>
      </c>
    </row>
    <row r="185" spans="2:10">
      <c r="B185" s="731"/>
      <c r="I185" s="707" t="s">
        <v>6853</v>
      </c>
      <c r="J185" s="728" t="s">
        <v>6973</v>
      </c>
    </row>
    <row r="186" spans="2:10">
      <c r="B186" s="731"/>
      <c r="I186" s="707" t="s">
        <v>987</v>
      </c>
      <c r="J186" s="728" t="s">
        <v>4176</v>
      </c>
    </row>
    <row r="187" spans="2:10">
      <c r="B187" s="731"/>
      <c r="I187" s="707" t="s">
        <v>6854</v>
      </c>
      <c r="J187" s="728" t="s">
        <v>6974</v>
      </c>
    </row>
    <row r="188" spans="2:10">
      <c r="B188" s="731"/>
      <c r="I188" s="707" t="s">
        <v>1038</v>
      </c>
      <c r="J188" s="728" t="s">
        <v>4177</v>
      </c>
    </row>
    <row r="189" spans="2:10">
      <c r="B189" s="731"/>
      <c r="I189" s="707" t="s">
        <v>1028</v>
      </c>
      <c r="J189" s="728" t="s">
        <v>4178</v>
      </c>
    </row>
    <row r="190" spans="2:10">
      <c r="B190" s="731"/>
      <c r="I190" s="707" t="s">
        <v>1005</v>
      </c>
      <c r="J190" s="728" t="s">
        <v>4179</v>
      </c>
    </row>
    <row r="191" spans="2:10">
      <c r="B191" s="731"/>
      <c r="I191" s="707" t="s">
        <v>6855</v>
      </c>
      <c r="J191" s="728" t="s">
        <v>6975</v>
      </c>
    </row>
    <row r="192" spans="2:10">
      <c r="B192" s="731"/>
      <c r="I192" s="707" t="s">
        <v>1435</v>
      </c>
      <c r="J192" s="728" t="s">
        <v>5631</v>
      </c>
    </row>
    <row r="193" spans="2:10">
      <c r="B193" s="731"/>
      <c r="I193" s="707" t="s">
        <v>990</v>
      </c>
      <c r="J193" s="728" t="s">
        <v>4180</v>
      </c>
    </row>
    <row r="194" spans="2:10">
      <c r="B194" s="731"/>
      <c r="I194" s="707" t="s">
        <v>6856</v>
      </c>
      <c r="J194" s="728" t="s">
        <v>6976</v>
      </c>
    </row>
    <row r="195" spans="2:10">
      <c r="B195" s="731"/>
      <c r="I195" s="707" t="s">
        <v>1142</v>
      </c>
      <c r="J195" s="728" t="s">
        <v>4181</v>
      </c>
    </row>
    <row r="196" spans="2:10">
      <c r="B196" s="731"/>
      <c r="I196" s="707" t="s">
        <v>3908</v>
      </c>
      <c r="J196" s="728" t="s">
        <v>5633</v>
      </c>
    </row>
    <row r="197" spans="2:10">
      <c r="B197" s="731"/>
      <c r="I197" s="707" t="s">
        <v>1112</v>
      </c>
      <c r="J197" s="728" t="s">
        <v>4184</v>
      </c>
    </row>
    <row r="198" spans="2:10">
      <c r="B198" s="731"/>
      <c r="I198" s="707" t="s">
        <v>1139</v>
      </c>
      <c r="J198" s="728" t="s">
        <v>4182</v>
      </c>
    </row>
    <row r="199" spans="2:10">
      <c r="B199" s="731"/>
      <c r="I199" s="707" t="s">
        <v>1776</v>
      </c>
      <c r="J199" s="728" t="s">
        <v>4183</v>
      </c>
    </row>
    <row r="200" spans="2:10">
      <c r="B200" s="731"/>
      <c r="I200" s="707" t="s">
        <v>3904</v>
      </c>
      <c r="J200" s="728" t="s">
        <v>5623</v>
      </c>
    </row>
    <row r="201" spans="2:10">
      <c r="B201" s="731"/>
      <c r="I201" s="707" t="s">
        <v>3905</v>
      </c>
      <c r="J201" s="728" t="s">
        <v>5624</v>
      </c>
    </row>
    <row r="202" spans="2:10">
      <c r="B202" s="731"/>
      <c r="I202" s="707" t="s">
        <v>3640</v>
      </c>
      <c r="J202" s="728" t="s">
        <v>4185</v>
      </c>
    </row>
    <row r="203" spans="2:10">
      <c r="B203" s="731"/>
      <c r="I203" s="707" t="s">
        <v>3906</v>
      </c>
      <c r="J203" s="728" t="s">
        <v>5625</v>
      </c>
    </row>
    <row r="204" spans="2:10">
      <c r="B204" s="731"/>
      <c r="I204" s="707" t="s">
        <v>1133</v>
      </c>
      <c r="J204" s="728" t="s">
        <v>4186</v>
      </c>
    </row>
    <row r="205" spans="2:10">
      <c r="B205" s="731"/>
      <c r="I205" s="707" t="s">
        <v>1159</v>
      </c>
      <c r="J205" s="728" t="s">
        <v>4187</v>
      </c>
    </row>
    <row r="206" spans="2:10">
      <c r="B206" s="731"/>
      <c r="I206" s="707" t="s">
        <v>1450</v>
      </c>
      <c r="J206" s="728" t="s">
        <v>5627</v>
      </c>
    </row>
    <row r="207" spans="2:10">
      <c r="B207" s="731"/>
      <c r="I207" s="707" t="s">
        <v>6857</v>
      </c>
      <c r="J207" s="728" t="s">
        <v>6977</v>
      </c>
    </row>
    <row r="208" spans="2:10">
      <c r="B208" s="731"/>
      <c r="I208" s="707" t="s">
        <v>1277</v>
      </c>
      <c r="J208" s="728" t="s">
        <v>5628</v>
      </c>
    </row>
    <row r="209" spans="2:10">
      <c r="B209" s="731"/>
      <c r="I209" s="707" t="s">
        <v>6858</v>
      </c>
      <c r="J209" s="728" t="s">
        <v>6978</v>
      </c>
    </row>
    <row r="210" spans="2:10">
      <c r="B210" s="731"/>
      <c r="I210" s="707" t="s">
        <v>6859</v>
      </c>
      <c r="J210" s="728" t="s">
        <v>6979</v>
      </c>
    </row>
    <row r="211" spans="2:10">
      <c r="B211" s="731"/>
      <c r="I211" s="707" t="s">
        <v>3278</v>
      </c>
      <c r="J211" s="728" t="s">
        <v>4188</v>
      </c>
    </row>
    <row r="212" spans="2:10">
      <c r="B212" s="731"/>
      <c r="I212" s="707" t="s">
        <v>2751</v>
      </c>
      <c r="J212" s="728" t="s">
        <v>4189</v>
      </c>
    </row>
    <row r="213" spans="2:10">
      <c r="B213" s="731"/>
      <c r="I213" s="707" t="s">
        <v>3350</v>
      </c>
      <c r="J213" s="728" t="s">
        <v>4773</v>
      </c>
    </row>
    <row r="214" spans="2:10">
      <c r="B214" s="731"/>
      <c r="I214" s="707" t="s">
        <v>991</v>
      </c>
      <c r="J214" s="728" t="s">
        <v>4190</v>
      </c>
    </row>
    <row r="215" spans="2:10">
      <c r="B215" s="731"/>
      <c r="I215" s="707" t="s">
        <v>1879</v>
      </c>
      <c r="J215" s="728" t="s">
        <v>4382</v>
      </c>
    </row>
    <row r="216" spans="2:10">
      <c r="B216" s="731"/>
      <c r="I216" s="707" t="s">
        <v>2457</v>
      </c>
      <c r="J216" s="728" t="s">
        <v>5598</v>
      </c>
    </row>
    <row r="217" spans="2:10">
      <c r="B217" s="731"/>
      <c r="I217" s="707" t="s">
        <v>1184</v>
      </c>
      <c r="J217" s="728" t="s">
        <v>4191</v>
      </c>
    </row>
    <row r="218" spans="2:10">
      <c r="B218" s="731"/>
      <c r="I218" s="707" t="s">
        <v>3897</v>
      </c>
      <c r="J218" s="728" t="s">
        <v>5594</v>
      </c>
    </row>
    <row r="219" spans="2:10">
      <c r="B219" s="731"/>
      <c r="I219" s="707" t="s">
        <v>2120</v>
      </c>
      <c r="J219" s="728" t="s">
        <v>5593</v>
      </c>
    </row>
    <row r="220" spans="2:10">
      <c r="B220" s="731"/>
      <c r="I220" s="707" t="s">
        <v>3898</v>
      </c>
      <c r="J220" s="728" t="s">
        <v>5595</v>
      </c>
    </row>
    <row r="221" spans="2:10">
      <c r="B221" s="731"/>
      <c r="I221" s="707" t="s">
        <v>1072</v>
      </c>
      <c r="J221" s="728" t="s">
        <v>5596</v>
      </c>
    </row>
    <row r="222" spans="2:10">
      <c r="B222" s="731"/>
      <c r="I222" s="707" t="s">
        <v>6860</v>
      </c>
      <c r="J222" s="728" t="s">
        <v>6980</v>
      </c>
    </row>
    <row r="223" spans="2:10">
      <c r="B223" s="731"/>
      <c r="I223" s="707" t="s">
        <v>3641</v>
      </c>
      <c r="J223" s="728" t="s">
        <v>4192</v>
      </c>
    </row>
    <row r="224" spans="2:10">
      <c r="B224" s="731"/>
      <c r="I224" s="707" t="s">
        <v>1347</v>
      </c>
      <c r="J224" s="728" t="s">
        <v>4193</v>
      </c>
    </row>
    <row r="225" spans="2:10">
      <c r="B225" s="731"/>
      <c r="I225" s="707" t="s">
        <v>1225</v>
      </c>
      <c r="J225" s="728" t="s">
        <v>4353</v>
      </c>
    </row>
    <row r="226" spans="2:10">
      <c r="B226" s="731"/>
      <c r="I226" s="707" t="s">
        <v>2035</v>
      </c>
      <c r="J226" s="728" t="s">
        <v>4194</v>
      </c>
    </row>
    <row r="227" spans="2:10">
      <c r="B227" s="731"/>
      <c r="I227" s="707" t="s">
        <v>1451</v>
      </c>
      <c r="J227" s="728" t="s">
        <v>4195</v>
      </c>
    </row>
    <row r="228" spans="2:10">
      <c r="B228" s="731"/>
      <c r="I228" s="707" t="s">
        <v>6861</v>
      </c>
      <c r="J228" s="728" t="s">
        <v>6981</v>
      </c>
    </row>
    <row r="229" spans="2:10">
      <c r="B229" s="731"/>
      <c r="I229" s="707" t="s">
        <v>3901</v>
      </c>
      <c r="J229" s="728" t="s">
        <v>5612</v>
      </c>
    </row>
    <row r="230" spans="2:10">
      <c r="B230" s="731"/>
      <c r="I230" s="707" t="s">
        <v>1076</v>
      </c>
      <c r="J230" s="728" t="s">
        <v>4196</v>
      </c>
    </row>
    <row r="231" spans="2:10">
      <c r="B231" s="731"/>
      <c r="I231" s="707" t="s">
        <v>3913</v>
      </c>
      <c r="J231" s="728" t="s">
        <v>5688</v>
      </c>
    </row>
    <row r="232" spans="2:10">
      <c r="B232" s="731"/>
      <c r="I232" s="707" t="s">
        <v>1194</v>
      </c>
      <c r="J232" s="728" t="s">
        <v>6526</v>
      </c>
    </row>
    <row r="233" spans="2:10">
      <c r="B233" s="731"/>
      <c r="I233" s="707" t="s">
        <v>2872</v>
      </c>
      <c r="J233" s="728" t="s">
        <v>6537</v>
      </c>
    </row>
    <row r="234" spans="2:10">
      <c r="B234" s="731"/>
      <c r="I234" s="707" t="s">
        <v>997</v>
      </c>
      <c r="J234" s="728" t="s">
        <v>6476</v>
      </c>
    </row>
    <row r="235" spans="2:10">
      <c r="B235" s="731"/>
      <c r="I235" s="707" t="s">
        <v>1309</v>
      </c>
      <c r="J235" s="728" t="s">
        <v>5360</v>
      </c>
    </row>
    <row r="236" spans="2:10">
      <c r="B236" s="731"/>
      <c r="I236" s="707" t="s">
        <v>2478</v>
      </c>
      <c r="J236" s="728" t="s">
        <v>5358</v>
      </c>
    </row>
    <row r="237" spans="2:10">
      <c r="B237" s="731"/>
      <c r="I237" s="707" t="s">
        <v>2869</v>
      </c>
      <c r="J237" s="728" t="s">
        <v>5424</v>
      </c>
    </row>
    <row r="238" spans="2:10">
      <c r="B238" s="731"/>
      <c r="I238" s="707" t="s">
        <v>3275</v>
      </c>
      <c r="J238" s="728" t="s">
        <v>5417</v>
      </c>
    </row>
    <row r="239" spans="2:10">
      <c r="B239" s="731"/>
      <c r="I239" s="707" t="s">
        <v>1565</v>
      </c>
      <c r="J239" s="728" t="s">
        <v>5404</v>
      </c>
    </row>
    <row r="240" spans="2:10">
      <c r="B240" s="731"/>
      <c r="I240" s="707" t="s">
        <v>2322</v>
      </c>
      <c r="J240" s="728" t="s">
        <v>4198</v>
      </c>
    </row>
    <row r="241" spans="2:10">
      <c r="B241" s="731"/>
      <c r="I241" s="707" t="s">
        <v>1240</v>
      </c>
      <c r="J241" s="728" t="s">
        <v>5405</v>
      </c>
    </row>
    <row r="242" spans="2:10">
      <c r="B242" s="731"/>
      <c r="I242" s="707" t="s">
        <v>2428</v>
      </c>
      <c r="J242" s="728" t="s">
        <v>5407</v>
      </c>
    </row>
    <row r="243" spans="2:10">
      <c r="B243" s="731"/>
      <c r="I243" s="707" t="s">
        <v>3837</v>
      </c>
      <c r="J243" s="728" t="s">
        <v>5408</v>
      </c>
    </row>
    <row r="244" spans="2:10">
      <c r="B244" s="731"/>
      <c r="I244" s="707" t="s">
        <v>1964</v>
      </c>
      <c r="J244" s="728" t="s">
        <v>5399</v>
      </c>
    </row>
    <row r="245" spans="2:10">
      <c r="B245" s="731"/>
      <c r="I245" s="707" t="s">
        <v>1230</v>
      </c>
      <c r="J245" s="728" t="s">
        <v>5422</v>
      </c>
    </row>
    <row r="246" spans="2:10">
      <c r="B246" s="731"/>
      <c r="I246" s="707" t="s">
        <v>2619</v>
      </c>
      <c r="J246" s="728" t="s">
        <v>5447</v>
      </c>
    </row>
    <row r="247" spans="2:10">
      <c r="B247" s="731"/>
      <c r="I247" s="707" t="s">
        <v>2671</v>
      </c>
      <c r="J247" s="728" t="s">
        <v>5446</v>
      </c>
    </row>
    <row r="248" spans="2:10">
      <c r="B248" s="731"/>
      <c r="I248" s="707" t="s">
        <v>2859</v>
      </c>
      <c r="J248" s="728" t="s">
        <v>5444</v>
      </c>
    </row>
    <row r="249" spans="2:10">
      <c r="B249" s="731"/>
      <c r="I249" s="707" t="s">
        <v>2986</v>
      </c>
      <c r="J249" s="728" t="s">
        <v>5445</v>
      </c>
    </row>
    <row r="250" spans="2:10">
      <c r="B250" s="731"/>
      <c r="I250" s="707" t="s">
        <v>3847</v>
      </c>
      <c r="J250" s="728" t="s">
        <v>5443</v>
      </c>
    </row>
    <row r="251" spans="2:10">
      <c r="B251" s="731"/>
      <c r="I251" s="707" t="s">
        <v>1356</v>
      </c>
      <c r="J251" s="728" t="s">
        <v>4199</v>
      </c>
    </row>
    <row r="252" spans="2:10">
      <c r="B252" s="731"/>
      <c r="I252" s="707" t="s">
        <v>2770</v>
      </c>
      <c r="J252" s="728" t="s">
        <v>4200</v>
      </c>
    </row>
    <row r="253" spans="2:10">
      <c r="B253" s="731"/>
      <c r="I253" s="707" t="s">
        <v>2210</v>
      </c>
      <c r="J253" s="728" t="s">
        <v>5442</v>
      </c>
    </row>
    <row r="254" spans="2:10">
      <c r="B254" s="731"/>
      <c r="I254" s="707" t="s">
        <v>2994</v>
      </c>
      <c r="J254" s="728" t="s">
        <v>4201</v>
      </c>
    </row>
    <row r="255" spans="2:10">
      <c r="B255" s="731"/>
      <c r="I255" s="707" t="s">
        <v>2197</v>
      </c>
      <c r="J255" s="728" t="s">
        <v>4202</v>
      </c>
    </row>
    <row r="256" spans="2:10">
      <c r="B256" s="731"/>
      <c r="I256" s="707" t="s">
        <v>1414</v>
      </c>
      <c r="J256" s="728" t="s">
        <v>4203</v>
      </c>
    </row>
    <row r="257" spans="2:10">
      <c r="B257" s="731"/>
      <c r="I257" s="707" t="s">
        <v>2807</v>
      </c>
      <c r="J257" s="728" t="s">
        <v>4204</v>
      </c>
    </row>
    <row r="258" spans="2:10">
      <c r="B258" s="731"/>
      <c r="I258" s="707" t="s">
        <v>2864</v>
      </c>
      <c r="J258" s="728" t="s">
        <v>4205</v>
      </c>
    </row>
    <row r="259" spans="2:10">
      <c r="B259" s="731"/>
      <c r="I259" s="707" t="s">
        <v>1004</v>
      </c>
      <c r="J259" s="728" t="s">
        <v>4211</v>
      </c>
    </row>
    <row r="260" spans="2:10">
      <c r="B260" s="731"/>
      <c r="I260" s="707" t="s">
        <v>1037</v>
      </c>
      <c r="J260" s="728" t="s">
        <v>4206</v>
      </c>
    </row>
    <row r="261" spans="2:10">
      <c r="B261" s="731"/>
      <c r="I261" s="707" t="s">
        <v>1185</v>
      </c>
      <c r="J261" s="728" t="s">
        <v>4207</v>
      </c>
    </row>
    <row r="262" spans="2:10">
      <c r="B262" s="731"/>
      <c r="I262" s="707" t="s">
        <v>1190</v>
      </c>
      <c r="J262" s="728" t="s">
        <v>4208</v>
      </c>
    </row>
    <row r="263" spans="2:10">
      <c r="B263" s="731"/>
      <c r="I263" s="707" t="s">
        <v>1284</v>
      </c>
      <c r="J263" s="728" t="s">
        <v>5448</v>
      </c>
    </row>
    <row r="264" spans="2:10">
      <c r="B264" s="731"/>
      <c r="I264" s="707" t="s">
        <v>6862</v>
      </c>
      <c r="J264" s="728" t="s">
        <v>6982</v>
      </c>
    </row>
    <row r="265" spans="2:10">
      <c r="B265" s="731"/>
      <c r="I265" s="707" t="s">
        <v>1322</v>
      </c>
      <c r="J265" s="728" t="s">
        <v>4209</v>
      </c>
    </row>
    <row r="266" spans="2:10">
      <c r="B266" s="731"/>
      <c r="I266" s="707" t="s">
        <v>3642</v>
      </c>
      <c r="J266" s="728" t="s">
        <v>4210</v>
      </c>
    </row>
    <row r="267" spans="2:10">
      <c r="B267" s="731"/>
      <c r="I267" s="707" t="s">
        <v>1029</v>
      </c>
      <c r="J267" s="728" t="s">
        <v>5449</v>
      </c>
    </row>
    <row r="268" spans="2:10">
      <c r="B268" s="731"/>
      <c r="I268" s="707" t="s">
        <v>1043</v>
      </c>
      <c r="J268" s="728" t="s">
        <v>5450</v>
      </c>
    </row>
    <row r="269" spans="2:10">
      <c r="B269" s="731"/>
      <c r="I269" s="707" t="s">
        <v>1040</v>
      </c>
      <c r="J269" s="728" t="s">
        <v>4212</v>
      </c>
    </row>
    <row r="270" spans="2:10">
      <c r="B270" s="731"/>
      <c r="I270" s="707" t="s">
        <v>3643</v>
      </c>
      <c r="J270" s="728" t="s">
        <v>4213</v>
      </c>
    </row>
    <row r="271" spans="2:10">
      <c r="B271" s="731"/>
      <c r="I271" s="707" t="s">
        <v>1030</v>
      </c>
      <c r="J271" s="728" t="s">
        <v>4214</v>
      </c>
    </row>
    <row r="272" spans="2:10">
      <c r="B272" s="731"/>
      <c r="I272" s="707" t="s">
        <v>3246</v>
      </c>
      <c r="J272" s="728" t="s">
        <v>4215</v>
      </c>
    </row>
    <row r="273" spans="2:10">
      <c r="B273" s="731"/>
      <c r="I273" s="707" t="s">
        <v>6863</v>
      </c>
      <c r="J273" s="728" t="s">
        <v>6983</v>
      </c>
    </row>
    <row r="274" spans="2:10">
      <c r="B274" s="731"/>
      <c r="I274" s="707" t="s">
        <v>1001</v>
      </c>
      <c r="J274" s="728" t="s">
        <v>4216</v>
      </c>
    </row>
    <row r="275" spans="2:10">
      <c r="B275" s="731"/>
      <c r="I275" s="707" t="s">
        <v>6864</v>
      </c>
      <c r="J275" s="728" t="s">
        <v>6984</v>
      </c>
    </row>
    <row r="276" spans="2:10">
      <c r="B276" s="731"/>
      <c r="I276" s="707" t="s">
        <v>3848</v>
      </c>
      <c r="J276" s="728" t="s">
        <v>5451</v>
      </c>
    </row>
    <row r="277" spans="2:10">
      <c r="B277" s="731"/>
      <c r="I277" s="707" t="s">
        <v>1491</v>
      </c>
      <c r="J277" s="728" t="s">
        <v>4217</v>
      </c>
    </row>
    <row r="278" spans="2:10">
      <c r="B278" s="731"/>
      <c r="I278" s="707" t="s">
        <v>6865</v>
      </c>
      <c r="J278" s="728" t="s">
        <v>6985</v>
      </c>
    </row>
    <row r="279" spans="2:10">
      <c r="B279" s="731"/>
      <c r="I279" s="707" t="s">
        <v>1135</v>
      </c>
      <c r="J279" s="728" t="s">
        <v>4218</v>
      </c>
    </row>
    <row r="280" spans="2:10">
      <c r="B280" s="731"/>
      <c r="I280" s="707" t="s">
        <v>6866</v>
      </c>
      <c r="J280" s="728" t="s">
        <v>6986</v>
      </c>
    </row>
    <row r="281" spans="2:10">
      <c r="B281" s="731"/>
      <c r="I281" s="707" t="s">
        <v>1014</v>
      </c>
      <c r="J281" s="728" t="s">
        <v>4219</v>
      </c>
    </row>
    <row r="282" spans="2:10">
      <c r="B282" s="731"/>
      <c r="I282" s="707" t="s">
        <v>988</v>
      </c>
      <c r="J282" s="728" t="s">
        <v>5458</v>
      </c>
    </row>
    <row r="283" spans="2:10">
      <c r="B283" s="731"/>
      <c r="I283" s="707" t="s">
        <v>1524</v>
      </c>
      <c r="J283" s="728" t="s">
        <v>5432</v>
      </c>
    </row>
    <row r="284" spans="2:10">
      <c r="B284" s="731"/>
      <c r="I284" s="707" t="s">
        <v>2372</v>
      </c>
      <c r="J284" s="728" t="s">
        <v>5429</v>
      </c>
    </row>
    <row r="285" spans="2:10">
      <c r="B285" s="731"/>
      <c r="I285" s="707" t="s">
        <v>3270</v>
      </c>
      <c r="J285" s="728" t="s">
        <v>4220</v>
      </c>
    </row>
    <row r="286" spans="2:10">
      <c r="B286" s="731"/>
      <c r="I286" s="707" t="s">
        <v>1297</v>
      </c>
      <c r="J286" s="728" t="s">
        <v>4221</v>
      </c>
    </row>
    <row r="287" spans="2:10">
      <c r="B287" s="731"/>
      <c r="I287" s="707" t="s">
        <v>2194</v>
      </c>
      <c r="J287" s="728" t="s">
        <v>4222</v>
      </c>
    </row>
    <row r="288" spans="2:10">
      <c r="B288" s="731"/>
      <c r="I288" s="707" t="s">
        <v>1639</v>
      </c>
      <c r="J288" s="728" t="s">
        <v>4223</v>
      </c>
    </row>
    <row r="289" spans="2:10">
      <c r="B289" s="731"/>
      <c r="I289" s="707" t="s">
        <v>1013</v>
      </c>
      <c r="J289" s="728" t="s">
        <v>4197</v>
      </c>
    </row>
    <row r="290" spans="2:10">
      <c r="B290" s="731"/>
      <c r="I290" s="707" t="s">
        <v>6867</v>
      </c>
      <c r="J290" s="728" t="s">
        <v>6987</v>
      </c>
    </row>
    <row r="291" spans="2:10">
      <c r="B291" s="731"/>
      <c r="I291" s="707" t="s">
        <v>3781</v>
      </c>
      <c r="J291" s="728" t="s">
        <v>5128</v>
      </c>
    </row>
    <row r="292" spans="2:10">
      <c r="B292" s="731"/>
      <c r="I292" s="707" t="s">
        <v>1301</v>
      </c>
      <c r="J292" s="728" t="s">
        <v>4224</v>
      </c>
    </row>
    <row r="293" spans="2:10">
      <c r="B293" s="731"/>
      <c r="I293" s="707" t="s">
        <v>2353</v>
      </c>
      <c r="J293" s="728" t="s">
        <v>4226</v>
      </c>
    </row>
    <row r="294" spans="2:10">
      <c r="B294" s="731"/>
      <c r="I294" s="707" t="s">
        <v>3644</v>
      </c>
      <c r="J294" s="728" t="s">
        <v>4225</v>
      </c>
    </row>
    <row r="295" spans="2:10">
      <c r="B295" s="731"/>
      <c r="I295" s="707" t="s">
        <v>1551</v>
      </c>
      <c r="J295" s="728" t="s">
        <v>4227</v>
      </c>
    </row>
    <row r="296" spans="2:10">
      <c r="B296" s="731"/>
      <c r="I296" s="707" t="s">
        <v>2753</v>
      </c>
      <c r="J296" s="728" t="s">
        <v>5047</v>
      </c>
    </row>
    <row r="297" spans="2:10">
      <c r="B297" s="731"/>
      <c r="I297" s="707" t="s">
        <v>1987</v>
      </c>
      <c r="J297" s="728" t="s">
        <v>5402</v>
      </c>
    </row>
    <row r="298" spans="2:10">
      <c r="B298" s="731"/>
      <c r="I298" s="707" t="s">
        <v>2995</v>
      </c>
      <c r="J298" s="728" t="s">
        <v>4229</v>
      </c>
    </row>
    <row r="299" spans="2:10">
      <c r="B299" s="731"/>
      <c r="I299" s="707" t="s">
        <v>1563</v>
      </c>
      <c r="J299" s="728" t="s">
        <v>4230</v>
      </c>
    </row>
    <row r="300" spans="2:10">
      <c r="B300" s="731"/>
      <c r="I300" s="707" t="s">
        <v>2454</v>
      </c>
      <c r="J300" s="728" t="s">
        <v>4516</v>
      </c>
    </row>
    <row r="301" spans="2:10">
      <c r="B301" s="731"/>
      <c r="I301" s="707" t="s">
        <v>2581</v>
      </c>
      <c r="J301" s="728" t="s">
        <v>6410</v>
      </c>
    </row>
    <row r="302" spans="2:10">
      <c r="B302" s="731"/>
      <c r="I302" s="707" t="s">
        <v>2488</v>
      </c>
      <c r="J302" s="728" t="s">
        <v>6411</v>
      </c>
    </row>
    <row r="303" spans="2:10">
      <c r="B303" s="731"/>
      <c r="I303" s="707" t="s">
        <v>1247</v>
      </c>
      <c r="J303" s="728" t="s">
        <v>6412</v>
      </c>
    </row>
    <row r="304" spans="2:10">
      <c r="B304" s="731"/>
      <c r="I304" s="707" t="s">
        <v>4039</v>
      </c>
      <c r="J304" s="728" t="s">
        <v>6415</v>
      </c>
    </row>
    <row r="305" spans="2:10">
      <c r="B305" s="731"/>
      <c r="I305" s="707" t="s">
        <v>2595</v>
      </c>
      <c r="J305" s="728" t="s">
        <v>6417</v>
      </c>
    </row>
    <row r="306" spans="2:10">
      <c r="B306" s="731"/>
      <c r="I306" s="707" t="s">
        <v>2338</v>
      </c>
      <c r="J306" s="728" t="s">
        <v>6395</v>
      </c>
    </row>
    <row r="307" spans="2:10">
      <c r="B307" s="731"/>
      <c r="I307" s="707" t="s">
        <v>2542</v>
      </c>
      <c r="J307" s="728" t="s">
        <v>6396</v>
      </c>
    </row>
    <row r="308" spans="2:10">
      <c r="B308" s="731"/>
      <c r="I308" s="707" t="s">
        <v>1425</v>
      </c>
      <c r="J308" s="728" t="s">
        <v>6403</v>
      </c>
    </row>
    <row r="309" spans="2:10">
      <c r="B309" s="731"/>
      <c r="I309" s="707" t="s">
        <v>2871</v>
      </c>
      <c r="J309" s="728" t="s">
        <v>4231</v>
      </c>
    </row>
    <row r="310" spans="2:10">
      <c r="B310" s="731"/>
      <c r="I310" s="707" t="s">
        <v>2717</v>
      </c>
      <c r="J310" s="728" t="s">
        <v>5709</v>
      </c>
    </row>
    <row r="311" spans="2:10">
      <c r="B311" s="731"/>
      <c r="I311" s="707" t="s">
        <v>1555</v>
      </c>
      <c r="J311" s="728" t="s">
        <v>5723</v>
      </c>
    </row>
    <row r="312" spans="2:10">
      <c r="B312" s="731"/>
      <c r="I312" s="707" t="s">
        <v>1988</v>
      </c>
      <c r="J312" s="728" t="s">
        <v>5725</v>
      </c>
    </row>
    <row r="313" spans="2:10">
      <c r="B313" s="731"/>
      <c r="I313" s="707" t="s">
        <v>2960</v>
      </c>
      <c r="J313" s="728" t="s">
        <v>5706</v>
      </c>
    </row>
    <row r="314" spans="2:10">
      <c r="B314" s="731"/>
      <c r="I314" s="707" t="s">
        <v>1984</v>
      </c>
      <c r="J314" s="728" t="s">
        <v>4232</v>
      </c>
    </row>
    <row r="315" spans="2:10">
      <c r="B315" s="731"/>
      <c r="I315" s="707" t="s">
        <v>3645</v>
      </c>
      <c r="J315" s="728" t="s">
        <v>4233</v>
      </c>
    </row>
    <row r="316" spans="2:10">
      <c r="B316" s="731"/>
      <c r="I316" s="707" t="s">
        <v>2295</v>
      </c>
      <c r="J316" s="728" t="s">
        <v>4234</v>
      </c>
    </row>
    <row r="317" spans="2:10">
      <c r="B317" s="731"/>
      <c r="I317" s="707" t="s">
        <v>1514</v>
      </c>
      <c r="J317" s="728" t="s">
        <v>4235</v>
      </c>
    </row>
    <row r="318" spans="2:10">
      <c r="B318" s="731"/>
      <c r="I318" s="707" t="s">
        <v>3646</v>
      </c>
      <c r="J318" s="728" t="s">
        <v>4236</v>
      </c>
    </row>
    <row r="319" spans="2:10">
      <c r="B319" s="731"/>
      <c r="I319" s="707" t="s">
        <v>2202</v>
      </c>
      <c r="J319" s="728" t="s">
        <v>4237</v>
      </c>
    </row>
    <row r="320" spans="2:10">
      <c r="B320" s="731"/>
      <c r="I320" s="707" t="s">
        <v>2055</v>
      </c>
      <c r="J320" s="728" t="s">
        <v>4238</v>
      </c>
    </row>
    <row r="321" spans="2:10">
      <c r="B321" s="731"/>
      <c r="I321" s="707" t="s">
        <v>3647</v>
      </c>
      <c r="J321" s="728" t="s">
        <v>4239</v>
      </c>
    </row>
    <row r="322" spans="2:10">
      <c r="B322" s="731"/>
      <c r="I322" s="707" t="s">
        <v>2226</v>
      </c>
      <c r="J322" s="728" t="s">
        <v>4240</v>
      </c>
    </row>
    <row r="323" spans="2:10">
      <c r="B323" s="731"/>
      <c r="I323" s="707" t="s">
        <v>1041</v>
      </c>
      <c r="J323" s="728" t="s">
        <v>4241</v>
      </c>
    </row>
    <row r="324" spans="2:10">
      <c r="B324" s="731"/>
      <c r="I324" s="707" t="s">
        <v>1976</v>
      </c>
      <c r="J324" s="728" t="s">
        <v>4242</v>
      </c>
    </row>
    <row r="325" spans="2:10">
      <c r="B325" s="731"/>
      <c r="I325" s="707" t="s">
        <v>1732</v>
      </c>
      <c r="J325" s="728" t="s">
        <v>4243</v>
      </c>
    </row>
    <row r="326" spans="2:10">
      <c r="B326" s="731"/>
      <c r="I326" s="707" t="s">
        <v>2922</v>
      </c>
      <c r="J326" s="728" t="s">
        <v>4244</v>
      </c>
    </row>
    <row r="327" spans="2:10">
      <c r="B327" s="731"/>
      <c r="I327" s="707" t="s">
        <v>2449</v>
      </c>
      <c r="J327" s="728" t="s">
        <v>4245</v>
      </c>
    </row>
    <row r="328" spans="2:10">
      <c r="B328" s="731"/>
      <c r="I328" s="707" t="s">
        <v>2548</v>
      </c>
      <c r="J328" s="728" t="s">
        <v>4246</v>
      </c>
    </row>
    <row r="329" spans="2:10">
      <c r="B329" s="731"/>
      <c r="I329" s="707" t="s">
        <v>1678</v>
      </c>
      <c r="J329" s="728" t="s">
        <v>4247</v>
      </c>
    </row>
    <row r="330" spans="2:10">
      <c r="B330" s="731"/>
      <c r="I330" s="707" t="s">
        <v>1315</v>
      </c>
      <c r="J330" s="728" t="s">
        <v>4248</v>
      </c>
    </row>
    <row r="331" spans="2:10">
      <c r="B331" s="731"/>
      <c r="I331" s="707" t="s">
        <v>2105</v>
      </c>
      <c r="J331" s="728" t="s">
        <v>4249</v>
      </c>
    </row>
    <row r="332" spans="2:10">
      <c r="B332" s="731"/>
      <c r="I332" s="707" t="s">
        <v>2479</v>
      </c>
      <c r="J332" s="728" t="s">
        <v>4250</v>
      </c>
    </row>
    <row r="333" spans="2:10">
      <c r="B333" s="731"/>
      <c r="I333" s="707" t="s">
        <v>1621</v>
      </c>
      <c r="J333" s="728" t="s">
        <v>4251</v>
      </c>
    </row>
    <row r="334" spans="2:10">
      <c r="B334" s="731"/>
      <c r="I334" s="707" t="s">
        <v>1502</v>
      </c>
      <c r="J334" s="728" t="s">
        <v>4252</v>
      </c>
    </row>
    <row r="335" spans="2:10">
      <c r="B335" s="731"/>
      <c r="I335" s="707" t="s">
        <v>1927</v>
      </c>
      <c r="J335" s="728" t="s">
        <v>4253</v>
      </c>
    </row>
    <row r="336" spans="2:10">
      <c r="B336" s="731"/>
      <c r="I336" s="707" t="s">
        <v>1701</v>
      </c>
      <c r="J336" s="728" t="s">
        <v>4254</v>
      </c>
    </row>
    <row r="337" spans="2:10">
      <c r="B337" s="731"/>
      <c r="I337" s="707" t="s">
        <v>2984</v>
      </c>
      <c r="J337" s="728" t="s">
        <v>4255</v>
      </c>
    </row>
    <row r="338" spans="2:10">
      <c r="B338" s="731"/>
      <c r="I338" s="707" t="s">
        <v>2445</v>
      </c>
      <c r="J338" s="728" t="s">
        <v>4256</v>
      </c>
    </row>
    <row r="339" spans="2:10">
      <c r="B339" s="731"/>
      <c r="I339" s="707" t="s">
        <v>1729</v>
      </c>
      <c r="J339" s="728" t="s">
        <v>4257</v>
      </c>
    </row>
    <row r="340" spans="2:10">
      <c r="B340" s="731"/>
      <c r="I340" s="707" t="s">
        <v>2171</v>
      </c>
      <c r="J340" s="728" t="s">
        <v>4258</v>
      </c>
    </row>
    <row r="341" spans="2:10">
      <c r="B341" s="731"/>
      <c r="I341" s="707" t="s">
        <v>6868</v>
      </c>
      <c r="J341" s="728" t="s">
        <v>6988</v>
      </c>
    </row>
    <row r="342" spans="2:10">
      <c r="B342" s="731"/>
      <c r="I342" s="707" t="s">
        <v>1749</v>
      </c>
      <c r="J342" s="728" t="s">
        <v>4259</v>
      </c>
    </row>
    <row r="343" spans="2:10">
      <c r="B343" s="731"/>
      <c r="I343" s="707" t="s">
        <v>2028</v>
      </c>
      <c r="J343" s="728" t="s">
        <v>4260</v>
      </c>
    </row>
    <row r="344" spans="2:10">
      <c r="B344" s="731"/>
      <c r="I344" s="707" t="s">
        <v>1019</v>
      </c>
      <c r="J344" s="728" t="s">
        <v>4261</v>
      </c>
    </row>
    <row r="345" spans="2:10">
      <c r="B345" s="731"/>
      <c r="I345" s="707" t="s">
        <v>1353</v>
      </c>
      <c r="J345" s="728" t="s">
        <v>4262</v>
      </c>
    </row>
    <row r="346" spans="2:10">
      <c r="B346" s="731"/>
      <c r="I346" s="707" t="s">
        <v>2515</v>
      </c>
      <c r="J346" s="728" t="s">
        <v>4263</v>
      </c>
    </row>
    <row r="347" spans="2:10">
      <c r="B347" s="731"/>
      <c r="I347" s="707" t="s">
        <v>1794</v>
      </c>
      <c r="J347" s="728" t="s">
        <v>4264</v>
      </c>
    </row>
    <row r="348" spans="2:10">
      <c r="B348" s="731"/>
      <c r="I348" s="707" t="s">
        <v>3648</v>
      </c>
      <c r="J348" s="728" t="s">
        <v>4265</v>
      </c>
    </row>
    <row r="349" spans="2:10">
      <c r="B349" s="731"/>
      <c r="I349" s="707" t="s">
        <v>1220</v>
      </c>
      <c r="J349" s="728" t="s">
        <v>4266</v>
      </c>
    </row>
    <row r="350" spans="2:10">
      <c r="B350" s="731"/>
      <c r="I350" s="707" t="s">
        <v>2696</v>
      </c>
      <c r="J350" s="728" t="s">
        <v>4267</v>
      </c>
    </row>
    <row r="351" spans="2:10">
      <c r="B351" s="731"/>
      <c r="I351" s="707" t="s">
        <v>2747</v>
      </c>
      <c r="J351" s="728" t="s">
        <v>6172</v>
      </c>
    </row>
    <row r="352" spans="2:10">
      <c r="B352" s="731"/>
      <c r="I352" s="707" t="s">
        <v>1217</v>
      </c>
      <c r="J352" s="728" t="s">
        <v>4268</v>
      </c>
    </row>
    <row r="353" spans="2:10">
      <c r="B353" s="731"/>
      <c r="I353" s="707" t="s">
        <v>1508</v>
      </c>
      <c r="J353" s="728" t="s">
        <v>4269</v>
      </c>
    </row>
    <row r="354" spans="2:10">
      <c r="B354" s="731"/>
      <c r="I354" s="707" t="s">
        <v>1714</v>
      </c>
      <c r="J354" s="728" t="s">
        <v>4270</v>
      </c>
    </row>
    <row r="355" spans="2:10">
      <c r="B355" s="731"/>
      <c r="I355" s="707" t="s">
        <v>3649</v>
      </c>
      <c r="J355" s="728" t="s">
        <v>4271</v>
      </c>
    </row>
    <row r="356" spans="2:10">
      <c r="B356" s="731"/>
      <c r="I356" s="707" t="s">
        <v>1517</v>
      </c>
      <c r="J356" s="728" t="s">
        <v>4272</v>
      </c>
    </row>
    <row r="357" spans="2:10">
      <c r="B357" s="731"/>
      <c r="I357" s="707" t="s">
        <v>3650</v>
      </c>
      <c r="J357" s="728" t="s">
        <v>4273</v>
      </c>
    </row>
    <row r="358" spans="2:10">
      <c r="B358" s="731"/>
      <c r="I358" s="707" t="s">
        <v>1891</v>
      </c>
      <c r="J358" s="728" t="s">
        <v>4274</v>
      </c>
    </row>
    <row r="359" spans="2:10">
      <c r="B359" s="731"/>
      <c r="I359" s="707" t="s">
        <v>2096</v>
      </c>
      <c r="J359" s="728" t="s">
        <v>4275</v>
      </c>
    </row>
    <row r="360" spans="2:10">
      <c r="B360" s="731"/>
      <c r="I360" s="707" t="s">
        <v>2540</v>
      </c>
      <c r="J360" s="728" t="s">
        <v>4276</v>
      </c>
    </row>
    <row r="361" spans="2:10">
      <c r="B361" s="731"/>
      <c r="I361" s="707" t="s">
        <v>2093</v>
      </c>
      <c r="J361" s="728" t="s">
        <v>4277</v>
      </c>
    </row>
    <row r="362" spans="2:10">
      <c r="B362" s="731"/>
      <c r="I362" s="707" t="s">
        <v>1604</v>
      </c>
      <c r="J362" s="728" t="s">
        <v>4278</v>
      </c>
    </row>
    <row r="363" spans="2:10">
      <c r="B363" s="731"/>
      <c r="I363" s="707" t="s">
        <v>3019</v>
      </c>
      <c r="J363" s="728" t="s">
        <v>4279</v>
      </c>
    </row>
    <row r="364" spans="2:10">
      <c r="B364" s="731"/>
      <c r="I364" s="707" t="s">
        <v>3365</v>
      </c>
      <c r="J364" s="728" t="s">
        <v>4280</v>
      </c>
    </row>
    <row r="365" spans="2:10">
      <c r="B365" s="731"/>
      <c r="I365" s="707" t="s">
        <v>3377</v>
      </c>
      <c r="J365" s="728" t="s">
        <v>4281</v>
      </c>
    </row>
    <row r="366" spans="2:10">
      <c r="B366" s="731"/>
      <c r="I366" s="707" t="s">
        <v>3651</v>
      </c>
      <c r="J366" s="728" t="s">
        <v>4282</v>
      </c>
    </row>
    <row r="367" spans="2:10">
      <c r="B367" s="731"/>
      <c r="I367" s="707" t="s">
        <v>3652</v>
      </c>
      <c r="J367" s="728" t="s">
        <v>4283</v>
      </c>
    </row>
    <row r="368" spans="2:10">
      <c r="B368" s="731"/>
      <c r="I368" s="707" t="s">
        <v>6869</v>
      </c>
      <c r="J368" s="728" t="s">
        <v>6989</v>
      </c>
    </row>
    <row r="369" spans="2:10">
      <c r="B369" s="731"/>
      <c r="I369" s="707" t="s">
        <v>1402</v>
      </c>
      <c r="J369" s="728" t="s">
        <v>4284</v>
      </c>
    </row>
    <row r="370" spans="2:10">
      <c r="B370" s="731"/>
      <c r="I370" s="707" t="s">
        <v>1571</v>
      </c>
      <c r="J370" s="728" t="s">
        <v>4285</v>
      </c>
    </row>
    <row r="371" spans="2:10">
      <c r="B371" s="731"/>
      <c r="I371" s="707" t="s">
        <v>2459</v>
      </c>
      <c r="J371" s="728" t="s">
        <v>4286</v>
      </c>
    </row>
    <row r="372" spans="2:10">
      <c r="B372" s="731"/>
      <c r="I372" s="707" t="s">
        <v>1371</v>
      </c>
      <c r="J372" s="728" t="s">
        <v>4287</v>
      </c>
    </row>
    <row r="373" spans="2:10">
      <c r="B373" s="731"/>
      <c r="I373" s="707" t="s">
        <v>2410</v>
      </c>
      <c r="J373" s="728" t="s">
        <v>4288</v>
      </c>
    </row>
    <row r="374" spans="2:10">
      <c r="B374" s="731"/>
      <c r="I374" s="707" t="s">
        <v>2366</v>
      </c>
      <c r="J374" s="728" t="s">
        <v>4290</v>
      </c>
    </row>
    <row r="375" spans="2:10">
      <c r="B375" s="731"/>
      <c r="I375" s="707" t="s">
        <v>2186</v>
      </c>
      <c r="J375" s="728" t="s">
        <v>4289</v>
      </c>
    </row>
    <row r="376" spans="2:10">
      <c r="B376" s="731"/>
      <c r="I376" s="707" t="s">
        <v>1945</v>
      </c>
      <c r="J376" s="728" t="s">
        <v>4291</v>
      </c>
    </row>
    <row r="377" spans="2:10">
      <c r="B377" s="731"/>
      <c r="I377" s="707" t="s">
        <v>2852</v>
      </c>
      <c r="J377" s="728" t="s">
        <v>4292</v>
      </c>
    </row>
    <row r="378" spans="2:10">
      <c r="B378" s="731"/>
      <c r="I378" s="707" t="s">
        <v>3017</v>
      </c>
      <c r="J378" s="728" t="s">
        <v>4293</v>
      </c>
    </row>
    <row r="379" spans="2:10">
      <c r="B379" s="731"/>
      <c r="I379" s="707" t="s">
        <v>1493</v>
      </c>
      <c r="J379" s="728" t="s">
        <v>4294</v>
      </c>
    </row>
    <row r="380" spans="2:10">
      <c r="B380" s="731"/>
      <c r="I380" s="707" t="s">
        <v>1497</v>
      </c>
      <c r="J380" s="728" t="s">
        <v>4295</v>
      </c>
    </row>
    <row r="381" spans="2:10">
      <c r="B381" s="731"/>
      <c r="I381" s="707" t="s">
        <v>2355</v>
      </c>
      <c r="J381" s="728" t="s">
        <v>4296</v>
      </c>
    </row>
    <row r="382" spans="2:10">
      <c r="B382" s="731"/>
      <c r="I382" s="707" t="s">
        <v>3653</v>
      </c>
      <c r="J382" s="728" t="s">
        <v>4297</v>
      </c>
    </row>
    <row r="383" spans="2:10">
      <c r="B383" s="731"/>
      <c r="I383" s="707" t="s">
        <v>1601</v>
      </c>
      <c r="J383" s="728" t="s">
        <v>4298</v>
      </c>
    </row>
    <row r="384" spans="2:10">
      <c r="B384" s="731"/>
      <c r="I384" s="707" t="s">
        <v>3654</v>
      </c>
      <c r="J384" s="728" t="s">
        <v>4301</v>
      </c>
    </row>
    <row r="385" spans="2:10">
      <c r="B385" s="731"/>
      <c r="I385" s="707" t="s">
        <v>2794</v>
      </c>
      <c r="J385" s="728" t="s">
        <v>4302</v>
      </c>
    </row>
    <row r="386" spans="2:10">
      <c r="B386" s="731"/>
      <c r="I386" s="707" t="s">
        <v>3655</v>
      </c>
      <c r="J386" s="728" t="s">
        <v>4303</v>
      </c>
    </row>
    <row r="387" spans="2:10">
      <c r="B387" s="731"/>
      <c r="I387" s="707" t="s">
        <v>3656</v>
      </c>
      <c r="J387" s="728" t="s">
        <v>4304</v>
      </c>
    </row>
    <row r="388" spans="2:10">
      <c r="B388" s="731"/>
      <c r="I388" s="707" t="s">
        <v>1923</v>
      </c>
      <c r="J388" s="728" t="s">
        <v>4305</v>
      </c>
    </row>
    <row r="389" spans="2:10">
      <c r="B389" s="731"/>
      <c r="I389" s="707" t="s">
        <v>1996</v>
      </c>
      <c r="J389" s="728" t="s">
        <v>4306</v>
      </c>
    </row>
    <row r="390" spans="2:10">
      <c r="B390" s="731"/>
      <c r="I390" s="707" t="s">
        <v>2135</v>
      </c>
      <c r="J390" s="728" t="s">
        <v>4307</v>
      </c>
    </row>
    <row r="391" spans="2:10">
      <c r="B391" s="731"/>
      <c r="I391" s="707" t="s">
        <v>2915</v>
      </c>
      <c r="J391" s="728" t="s">
        <v>4309</v>
      </c>
    </row>
    <row r="392" spans="2:10">
      <c r="B392" s="731"/>
      <c r="I392" s="707" t="s">
        <v>2110</v>
      </c>
      <c r="J392" s="728" t="s">
        <v>4310</v>
      </c>
    </row>
    <row r="393" spans="2:10">
      <c r="B393" s="731"/>
      <c r="I393" s="707" t="s">
        <v>2378</v>
      </c>
      <c r="J393" s="728" t="s">
        <v>4311</v>
      </c>
    </row>
    <row r="394" spans="2:10">
      <c r="B394" s="731"/>
      <c r="I394" s="707" t="s">
        <v>1783</v>
      </c>
      <c r="J394" s="728" t="s">
        <v>4312</v>
      </c>
    </row>
    <row r="395" spans="2:10">
      <c r="B395" s="731"/>
      <c r="I395" s="707" t="s">
        <v>6870</v>
      </c>
      <c r="J395" s="728" t="s">
        <v>6990</v>
      </c>
    </row>
    <row r="396" spans="2:10">
      <c r="B396" s="731"/>
      <c r="I396" s="707" t="s">
        <v>2072</v>
      </c>
      <c r="J396" s="728" t="s">
        <v>4313</v>
      </c>
    </row>
    <row r="397" spans="2:10">
      <c r="B397" s="731"/>
      <c r="I397" s="707" t="s">
        <v>2628</v>
      </c>
      <c r="J397" s="728" t="s">
        <v>4314</v>
      </c>
    </row>
    <row r="398" spans="2:10">
      <c r="B398" s="731"/>
      <c r="I398" s="707" t="s">
        <v>1647</v>
      </c>
      <c r="J398" s="728" t="s">
        <v>4316</v>
      </c>
    </row>
    <row r="399" spans="2:10">
      <c r="B399" s="731"/>
      <c r="I399" s="707" t="s">
        <v>3267</v>
      </c>
      <c r="J399" s="728" t="s">
        <v>4315</v>
      </c>
    </row>
    <row r="400" spans="2:10">
      <c r="B400" s="731"/>
      <c r="I400" s="707" t="s">
        <v>1553</v>
      </c>
      <c r="J400" s="728" t="s">
        <v>4317</v>
      </c>
    </row>
    <row r="401" spans="2:10">
      <c r="B401" s="731"/>
      <c r="I401" s="707" t="s">
        <v>6871</v>
      </c>
      <c r="J401" s="728" t="s">
        <v>6991</v>
      </c>
    </row>
    <row r="402" spans="2:10">
      <c r="B402" s="731"/>
      <c r="I402" s="707" t="s">
        <v>1053</v>
      </c>
      <c r="J402" s="728" t="s">
        <v>4318</v>
      </c>
    </row>
    <row r="403" spans="2:10">
      <c r="B403" s="731"/>
      <c r="I403" s="707" t="s">
        <v>6872</v>
      </c>
      <c r="J403" s="728" t="s">
        <v>6992</v>
      </c>
    </row>
    <row r="404" spans="2:10">
      <c r="B404" s="731"/>
      <c r="I404" s="707" t="s">
        <v>1767</v>
      </c>
      <c r="J404" s="728" t="s">
        <v>4319</v>
      </c>
    </row>
    <row r="405" spans="2:10">
      <c r="B405" s="731"/>
      <c r="I405" s="707" t="s">
        <v>2989</v>
      </c>
      <c r="J405" s="728" t="s">
        <v>4320</v>
      </c>
    </row>
    <row r="406" spans="2:10">
      <c r="B406" s="731"/>
      <c r="I406" s="707" t="s">
        <v>1193</v>
      </c>
      <c r="J406" s="728" t="s">
        <v>4321</v>
      </c>
    </row>
    <row r="407" spans="2:10">
      <c r="B407" s="731"/>
      <c r="I407" s="707" t="s">
        <v>1885</v>
      </c>
      <c r="J407" s="728" t="s">
        <v>4322</v>
      </c>
    </row>
    <row r="408" spans="2:10">
      <c r="B408" s="731"/>
      <c r="I408" s="707" t="s">
        <v>2099</v>
      </c>
      <c r="J408" s="728" t="s">
        <v>4323</v>
      </c>
    </row>
    <row r="409" spans="2:10">
      <c r="B409" s="731"/>
      <c r="I409" s="707" t="s">
        <v>3657</v>
      </c>
      <c r="J409" s="728" t="s">
        <v>4324</v>
      </c>
    </row>
    <row r="410" spans="2:10">
      <c r="B410" s="731"/>
      <c r="I410" s="707" t="s">
        <v>2321</v>
      </c>
      <c r="J410" s="728" t="s">
        <v>4325</v>
      </c>
    </row>
    <row r="411" spans="2:10">
      <c r="B411" s="731"/>
      <c r="I411" s="707" t="s">
        <v>2311</v>
      </c>
      <c r="J411" s="728" t="s">
        <v>4326</v>
      </c>
    </row>
    <row r="412" spans="2:10">
      <c r="B412" s="731"/>
      <c r="I412" s="707" t="s">
        <v>994</v>
      </c>
      <c r="J412" s="728" t="s">
        <v>4327</v>
      </c>
    </row>
    <row r="413" spans="2:10">
      <c r="B413" s="731"/>
      <c r="I413" s="707" t="s">
        <v>1031</v>
      </c>
      <c r="J413" s="728" t="s">
        <v>6083</v>
      </c>
    </row>
    <row r="414" spans="2:10">
      <c r="B414" s="731"/>
      <c r="I414" s="707" t="s">
        <v>3658</v>
      </c>
      <c r="J414" s="728" t="s">
        <v>4328</v>
      </c>
    </row>
    <row r="415" spans="2:10">
      <c r="B415" s="731"/>
      <c r="I415" s="707" t="s">
        <v>2514</v>
      </c>
      <c r="J415" s="728" t="s">
        <v>4329</v>
      </c>
    </row>
    <row r="416" spans="2:10">
      <c r="B416" s="731"/>
      <c r="I416" s="707" t="s">
        <v>2946</v>
      </c>
      <c r="J416" s="728" t="s">
        <v>4330</v>
      </c>
    </row>
    <row r="417" spans="2:10">
      <c r="B417" s="731"/>
      <c r="I417" s="707" t="s">
        <v>2125</v>
      </c>
      <c r="J417" s="728" t="s">
        <v>4331</v>
      </c>
    </row>
    <row r="418" spans="2:10">
      <c r="B418" s="731"/>
      <c r="I418" s="707" t="s">
        <v>6873</v>
      </c>
      <c r="J418" s="728" t="s">
        <v>6993</v>
      </c>
    </row>
    <row r="419" spans="2:10">
      <c r="B419" s="731"/>
      <c r="I419" s="707" t="s">
        <v>3285</v>
      </c>
      <c r="J419" s="728" t="s">
        <v>4332</v>
      </c>
    </row>
    <row r="420" spans="2:10">
      <c r="B420" s="731"/>
      <c r="I420" s="707" t="s">
        <v>3036</v>
      </c>
      <c r="J420" s="728" t="s">
        <v>4333</v>
      </c>
    </row>
    <row r="421" spans="2:10">
      <c r="B421" s="731"/>
      <c r="I421" s="707" t="s">
        <v>2958</v>
      </c>
      <c r="J421" s="728" t="s">
        <v>4334</v>
      </c>
    </row>
    <row r="422" spans="2:10">
      <c r="B422" s="731"/>
      <c r="I422" s="707" t="s">
        <v>1239</v>
      </c>
      <c r="J422" s="728" t="s">
        <v>4335</v>
      </c>
    </row>
    <row r="423" spans="2:10">
      <c r="B423" s="731"/>
      <c r="I423" s="707" t="s">
        <v>2432</v>
      </c>
      <c r="J423" s="728" t="s">
        <v>4336</v>
      </c>
    </row>
    <row r="424" spans="2:10">
      <c r="B424" s="731"/>
      <c r="I424" s="707" t="s">
        <v>2106</v>
      </c>
      <c r="J424" s="728" t="s">
        <v>4337</v>
      </c>
    </row>
    <row r="425" spans="2:10">
      <c r="B425" s="731"/>
      <c r="I425" s="707" t="s">
        <v>2907</v>
      </c>
      <c r="J425" s="728" t="s">
        <v>4338</v>
      </c>
    </row>
    <row r="426" spans="2:10">
      <c r="B426" s="731"/>
      <c r="I426" s="707" t="s">
        <v>3256</v>
      </c>
      <c r="J426" s="728" t="s">
        <v>4339</v>
      </c>
    </row>
    <row r="427" spans="2:10">
      <c r="B427" s="731"/>
      <c r="I427" s="707" t="s">
        <v>3659</v>
      </c>
      <c r="J427" s="728" t="s">
        <v>4340</v>
      </c>
    </row>
    <row r="428" spans="2:10">
      <c r="B428" s="731"/>
      <c r="I428" s="707" t="s">
        <v>3660</v>
      </c>
      <c r="J428" s="728" t="s">
        <v>4341</v>
      </c>
    </row>
    <row r="429" spans="2:10">
      <c r="B429" s="731"/>
      <c r="I429" s="707" t="s">
        <v>3661</v>
      </c>
      <c r="J429" s="728" t="s">
        <v>4342</v>
      </c>
    </row>
    <row r="430" spans="2:10">
      <c r="B430" s="731"/>
      <c r="I430" s="707" t="s">
        <v>2362</v>
      </c>
      <c r="J430" s="728" t="s">
        <v>4343</v>
      </c>
    </row>
    <row r="431" spans="2:10">
      <c r="B431" s="731"/>
      <c r="I431" s="707" t="s">
        <v>2234</v>
      </c>
      <c r="J431" s="728" t="s">
        <v>4344</v>
      </c>
    </row>
    <row r="432" spans="2:10">
      <c r="B432" s="731"/>
      <c r="I432" s="707" t="s">
        <v>1974</v>
      </c>
      <c r="J432" s="728" t="s">
        <v>4345</v>
      </c>
    </row>
    <row r="433" spans="2:10">
      <c r="B433" s="731"/>
      <c r="I433" s="707" t="s">
        <v>2757</v>
      </c>
      <c r="J433" s="728" t="s">
        <v>4346</v>
      </c>
    </row>
    <row r="434" spans="2:10">
      <c r="B434" s="731"/>
      <c r="I434" s="707" t="s">
        <v>1679</v>
      </c>
      <c r="J434" s="728" t="s">
        <v>4347</v>
      </c>
    </row>
    <row r="435" spans="2:10">
      <c r="B435" s="731"/>
      <c r="I435" s="707" t="s">
        <v>2492</v>
      </c>
      <c r="J435" s="728" t="s">
        <v>4348</v>
      </c>
    </row>
    <row r="436" spans="2:10">
      <c r="B436" s="731"/>
      <c r="I436" s="707" t="s">
        <v>3662</v>
      </c>
      <c r="J436" s="728" t="s">
        <v>4349</v>
      </c>
    </row>
    <row r="437" spans="2:10">
      <c r="B437" s="731"/>
      <c r="I437" s="707" t="s">
        <v>1734</v>
      </c>
      <c r="J437" s="728" t="s">
        <v>4350</v>
      </c>
    </row>
    <row r="438" spans="2:10">
      <c r="B438" s="731"/>
      <c r="I438" s="707" t="s">
        <v>2132</v>
      </c>
      <c r="J438" s="728" t="s">
        <v>4351</v>
      </c>
    </row>
    <row r="439" spans="2:10">
      <c r="B439" s="731"/>
      <c r="I439" s="707" t="s">
        <v>1675</v>
      </c>
      <c r="J439" s="728" t="s">
        <v>4352</v>
      </c>
    </row>
    <row r="440" spans="2:10">
      <c r="B440" s="731"/>
      <c r="I440" s="707" t="s">
        <v>1932</v>
      </c>
      <c r="J440" s="728" t="s">
        <v>4354</v>
      </c>
    </row>
    <row r="441" spans="2:10">
      <c r="B441" s="731"/>
      <c r="I441" s="707" t="s">
        <v>2441</v>
      </c>
      <c r="J441" s="728" t="s">
        <v>4355</v>
      </c>
    </row>
    <row r="442" spans="2:10">
      <c r="B442" s="731"/>
      <c r="I442" s="707" t="s">
        <v>1703</v>
      </c>
      <c r="J442" s="728" t="s">
        <v>4356</v>
      </c>
    </row>
    <row r="443" spans="2:10">
      <c r="B443" s="731"/>
      <c r="I443" s="707" t="s">
        <v>6874</v>
      </c>
      <c r="J443" s="728" t="s">
        <v>6994</v>
      </c>
    </row>
    <row r="444" spans="2:10">
      <c r="B444" s="731"/>
      <c r="I444" s="707" t="s">
        <v>2497</v>
      </c>
      <c r="J444" s="728" t="s">
        <v>4357</v>
      </c>
    </row>
    <row r="445" spans="2:10">
      <c r="B445" s="731"/>
      <c r="I445" s="707" t="s">
        <v>1590</v>
      </c>
      <c r="J445" s="728" t="s">
        <v>4358</v>
      </c>
    </row>
    <row r="446" spans="2:10">
      <c r="B446" s="731"/>
      <c r="I446" s="707" t="s">
        <v>6875</v>
      </c>
      <c r="J446" s="728" t="s">
        <v>6995</v>
      </c>
    </row>
    <row r="447" spans="2:10">
      <c r="B447" s="731"/>
      <c r="I447" s="707" t="s">
        <v>1319</v>
      </c>
      <c r="J447" s="728" t="s">
        <v>4359</v>
      </c>
    </row>
    <row r="448" spans="2:10">
      <c r="B448" s="731"/>
      <c r="I448" s="707" t="s">
        <v>1954</v>
      </c>
      <c r="J448" s="728" t="s">
        <v>4360</v>
      </c>
    </row>
    <row r="449" spans="2:10">
      <c r="B449" s="731"/>
      <c r="I449" s="707" t="s">
        <v>2525</v>
      </c>
      <c r="J449" s="728" t="s">
        <v>4361</v>
      </c>
    </row>
    <row r="450" spans="2:10">
      <c r="B450" s="731"/>
      <c r="I450" s="707" t="s">
        <v>2040</v>
      </c>
      <c r="J450" s="728" t="s">
        <v>4362</v>
      </c>
    </row>
    <row r="451" spans="2:10">
      <c r="B451" s="731"/>
      <c r="I451" s="707" t="s">
        <v>2493</v>
      </c>
      <c r="J451" s="728" t="s">
        <v>4363</v>
      </c>
    </row>
    <row r="452" spans="2:10">
      <c r="B452" s="731"/>
      <c r="I452" s="707" t="s">
        <v>2149</v>
      </c>
      <c r="J452" s="728" t="s">
        <v>4364</v>
      </c>
    </row>
    <row r="453" spans="2:10">
      <c r="B453" s="731"/>
      <c r="I453" s="707" t="s">
        <v>2879</v>
      </c>
      <c r="J453" s="728" t="s">
        <v>4365</v>
      </c>
    </row>
    <row r="454" spans="2:10">
      <c r="B454" s="731"/>
      <c r="I454" s="707" t="s">
        <v>1318</v>
      </c>
      <c r="J454" s="728" t="s">
        <v>4366</v>
      </c>
    </row>
    <row r="455" spans="2:10">
      <c r="B455" s="731"/>
      <c r="I455" s="707" t="s">
        <v>1646</v>
      </c>
      <c r="J455" s="728" t="s">
        <v>4367</v>
      </c>
    </row>
    <row r="456" spans="2:10">
      <c r="B456" s="731"/>
      <c r="I456" s="707" t="s">
        <v>1446</v>
      </c>
      <c r="J456" s="728" t="s">
        <v>4368</v>
      </c>
    </row>
    <row r="457" spans="2:10">
      <c r="B457" s="731"/>
      <c r="I457" s="707" t="s">
        <v>2440</v>
      </c>
      <c r="J457" s="728" t="s">
        <v>4369</v>
      </c>
    </row>
    <row r="458" spans="2:10">
      <c r="B458" s="731"/>
      <c r="I458" s="707" t="s">
        <v>2625</v>
      </c>
      <c r="J458" s="728" t="s">
        <v>4370</v>
      </c>
    </row>
    <row r="459" spans="2:10">
      <c r="B459" s="731"/>
      <c r="I459" s="707" t="s">
        <v>1919</v>
      </c>
      <c r="J459" s="728" t="s">
        <v>4371</v>
      </c>
    </row>
    <row r="460" spans="2:10">
      <c r="B460" s="731"/>
      <c r="I460" s="707" t="s">
        <v>2973</v>
      </c>
      <c r="J460" s="728" t="s">
        <v>4372</v>
      </c>
    </row>
    <row r="461" spans="2:10">
      <c r="B461" s="731"/>
      <c r="I461" s="707" t="s">
        <v>1859</v>
      </c>
      <c r="J461" s="728" t="s">
        <v>4373</v>
      </c>
    </row>
    <row r="462" spans="2:10">
      <c r="B462" s="731"/>
      <c r="I462" s="707" t="s">
        <v>2913</v>
      </c>
      <c r="J462" s="728" t="s">
        <v>4374</v>
      </c>
    </row>
    <row r="463" spans="2:10">
      <c r="B463" s="731"/>
      <c r="I463" s="707" t="s">
        <v>1178</v>
      </c>
      <c r="J463" s="728" t="s">
        <v>4375</v>
      </c>
    </row>
    <row r="464" spans="2:10">
      <c r="B464" s="731"/>
      <c r="I464" s="707" t="s">
        <v>1368</v>
      </c>
      <c r="J464" s="728" t="s">
        <v>4376</v>
      </c>
    </row>
    <row r="465" spans="2:10">
      <c r="B465" s="731"/>
      <c r="I465" s="707" t="s">
        <v>1472</v>
      </c>
      <c r="J465" s="728" t="s">
        <v>4377</v>
      </c>
    </row>
    <row r="466" spans="2:10">
      <c r="B466" s="731"/>
      <c r="I466" s="707" t="s">
        <v>1840</v>
      </c>
      <c r="J466" s="728" t="s">
        <v>4378</v>
      </c>
    </row>
    <row r="467" spans="2:10">
      <c r="B467" s="731"/>
      <c r="I467" s="707" t="s">
        <v>6876</v>
      </c>
      <c r="J467" s="728" t="s">
        <v>6996</v>
      </c>
    </row>
    <row r="468" spans="2:10">
      <c r="B468" s="731"/>
      <c r="I468" s="707" t="s">
        <v>1328</v>
      </c>
      <c r="J468" s="728" t="s">
        <v>4379</v>
      </c>
    </row>
    <row r="469" spans="2:10">
      <c r="B469" s="731"/>
      <c r="I469" s="707" t="s">
        <v>6877</v>
      </c>
      <c r="J469" s="728" t="s">
        <v>6997</v>
      </c>
    </row>
    <row r="470" spans="2:10">
      <c r="B470" s="731"/>
      <c r="I470" s="707" t="s">
        <v>2435</v>
      </c>
      <c r="J470" s="728" t="s">
        <v>4380</v>
      </c>
    </row>
    <row r="471" spans="2:10">
      <c r="B471" s="731"/>
      <c r="I471" s="707" t="s">
        <v>6878</v>
      </c>
      <c r="J471" s="728" t="s">
        <v>6998</v>
      </c>
    </row>
    <row r="472" spans="2:10">
      <c r="B472" s="731"/>
      <c r="I472" s="707" t="s">
        <v>2799</v>
      </c>
      <c r="J472" s="728" t="s">
        <v>4381</v>
      </c>
    </row>
    <row r="473" spans="2:10">
      <c r="B473" s="731"/>
      <c r="I473" s="707" t="s">
        <v>3288</v>
      </c>
      <c r="J473" s="728" t="s">
        <v>4383</v>
      </c>
    </row>
    <row r="474" spans="2:10">
      <c r="B474" s="731"/>
      <c r="I474" s="707" t="s">
        <v>1345</v>
      </c>
      <c r="J474" s="728" t="s">
        <v>4384</v>
      </c>
    </row>
    <row r="475" spans="2:10">
      <c r="B475" s="731"/>
      <c r="I475" s="707" t="s">
        <v>3663</v>
      </c>
      <c r="J475" s="728" t="s">
        <v>4385</v>
      </c>
    </row>
    <row r="476" spans="2:10">
      <c r="B476" s="731"/>
      <c r="I476" s="707" t="s">
        <v>1203</v>
      </c>
      <c r="J476" s="728" t="s">
        <v>4386</v>
      </c>
    </row>
    <row r="477" spans="2:10">
      <c r="B477" s="731"/>
      <c r="I477" s="707" t="s">
        <v>1449</v>
      </c>
      <c r="J477" s="728" t="s">
        <v>4387</v>
      </c>
    </row>
    <row r="478" spans="2:10">
      <c r="B478" s="731"/>
      <c r="I478" s="707" t="s">
        <v>1036</v>
      </c>
      <c r="J478" s="728" t="s">
        <v>4388</v>
      </c>
    </row>
    <row r="479" spans="2:10">
      <c r="B479" s="731"/>
      <c r="I479" s="707" t="s">
        <v>3664</v>
      </c>
      <c r="J479" s="728" t="s">
        <v>4389</v>
      </c>
    </row>
    <row r="480" spans="2:10">
      <c r="B480" s="731"/>
      <c r="I480" s="707" t="s">
        <v>2013</v>
      </c>
      <c r="J480" s="728" t="s">
        <v>4390</v>
      </c>
    </row>
    <row r="481" spans="2:10">
      <c r="B481" s="731"/>
      <c r="I481" s="707" t="s">
        <v>1916</v>
      </c>
      <c r="J481" s="728" t="s">
        <v>4391</v>
      </c>
    </row>
    <row r="482" spans="2:10">
      <c r="B482" s="731"/>
      <c r="I482" s="707" t="s">
        <v>6879</v>
      </c>
      <c r="J482" s="728" t="s">
        <v>6999</v>
      </c>
    </row>
    <row r="483" spans="2:10">
      <c r="B483" s="731"/>
      <c r="I483" s="707" t="s">
        <v>2042</v>
      </c>
      <c r="J483" s="728" t="s">
        <v>4392</v>
      </c>
    </row>
    <row r="484" spans="2:10">
      <c r="B484" s="731"/>
      <c r="I484" s="707" t="s">
        <v>6880</v>
      </c>
      <c r="J484" s="728" t="s">
        <v>7000</v>
      </c>
    </row>
    <row r="485" spans="2:10">
      <c r="B485" s="731"/>
      <c r="I485" s="707" t="s">
        <v>1616</v>
      </c>
      <c r="J485" s="728" t="s">
        <v>4393</v>
      </c>
    </row>
    <row r="486" spans="2:10">
      <c r="B486" s="731"/>
      <c r="I486" s="707" t="s">
        <v>1505</v>
      </c>
      <c r="J486" s="728" t="s">
        <v>4394</v>
      </c>
    </row>
    <row r="487" spans="2:10">
      <c r="B487" s="731"/>
      <c r="I487" s="707" t="s">
        <v>3665</v>
      </c>
      <c r="J487" s="728" t="s">
        <v>4395</v>
      </c>
    </row>
    <row r="488" spans="2:10">
      <c r="B488" s="731"/>
      <c r="I488" s="707" t="s">
        <v>3666</v>
      </c>
      <c r="J488" s="728" t="s">
        <v>4396</v>
      </c>
    </row>
    <row r="489" spans="2:10">
      <c r="B489" s="731"/>
      <c r="I489" s="707" t="s">
        <v>3667</v>
      </c>
      <c r="J489" s="728" t="s">
        <v>4397</v>
      </c>
    </row>
    <row r="490" spans="2:10">
      <c r="B490" s="731"/>
      <c r="I490" s="707" t="s">
        <v>2637</v>
      </c>
      <c r="J490" s="728" t="s">
        <v>4398</v>
      </c>
    </row>
    <row r="491" spans="2:10">
      <c r="B491" s="731"/>
      <c r="I491" s="707" t="s">
        <v>2218</v>
      </c>
      <c r="J491" s="728" t="s">
        <v>4399</v>
      </c>
    </row>
    <row r="492" spans="2:10">
      <c r="B492" s="731"/>
      <c r="I492" s="707" t="s">
        <v>1116</v>
      </c>
      <c r="J492" s="728" t="s">
        <v>4400</v>
      </c>
    </row>
    <row r="493" spans="2:10">
      <c r="B493" s="731"/>
      <c r="I493" s="707" t="s">
        <v>1617</v>
      </c>
      <c r="J493" s="728" t="s">
        <v>4401</v>
      </c>
    </row>
    <row r="494" spans="2:10">
      <c r="B494" s="731"/>
      <c r="I494" s="707" t="s">
        <v>2083</v>
      </c>
      <c r="J494" s="728" t="s">
        <v>4402</v>
      </c>
    </row>
    <row r="495" spans="2:10">
      <c r="B495" s="731"/>
      <c r="I495" s="707" t="s">
        <v>1215</v>
      </c>
      <c r="J495" s="728" t="s">
        <v>4403</v>
      </c>
    </row>
    <row r="496" spans="2:10">
      <c r="B496" s="731"/>
      <c r="I496" s="707" t="s">
        <v>6881</v>
      </c>
      <c r="J496" s="728" t="s">
        <v>7001</v>
      </c>
    </row>
    <row r="497" spans="2:10">
      <c r="B497" s="731"/>
      <c r="I497" s="707" t="s">
        <v>1136</v>
      </c>
      <c r="J497" s="728" t="s">
        <v>4404</v>
      </c>
    </row>
    <row r="498" spans="2:10">
      <c r="B498" s="731"/>
      <c r="I498" s="707" t="s">
        <v>1519</v>
      </c>
      <c r="J498" s="728" t="s">
        <v>4405</v>
      </c>
    </row>
    <row r="499" spans="2:10">
      <c r="B499" s="731"/>
      <c r="I499" s="707" t="s">
        <v>1930</v>
      </c>
      <c r="J499" s="728" t="s">
        <v>4408</v>
      </c>
    </row>
    <row r="500" spans="2:10">
      <c r="B500" s="731"/>
      <c r="I500" s="707" t="s">
        <v>2967</v>
      </c>
      <c r="J500" s="728" t="s">
        <v>4409</v>
      </c>
    </row>
    <row r="501" spans="2:10">
      <c r="B501" s="731"/>
      <c r="I501" s="707" t="s">
        <v>2585</v>
      </c>
      <c r="J501" s="728" t="s">
        <v>4410</v>
      </c>
    </row>
    <row r="502" spans="2:10">
      <c r="B502" s="731"/>
      <c r="I502" s="707" t="s">
        <v>2203</v>
      </c>
      <c r="J502" s="728" t="s">
        <v>4411</v>
      </c>
    </row>
    <row r="503" spans="2:10">
      <c r="B503" s="731"/>
      <c r="I503" s="707" t="s">
        <v>3268</v>
      </c>
      <c r="J503" s="728" t="s">
        <v>4412</v>
      </c>
    </row>
    <row r="504" spans="2:10">
      <c r="B504" s="731"/>
      <c r="I504" s="707" t="s">
        <v>3005</v>
      </c>
      <c r="J504" s="728" t="s">
        <v>4413</v>
      </c>
    </row>
    <row r="505" spans="2:10">
      <c r="B505" s="731"/>
      <c r="I505" s="707" t="s">
        <v>3669</v>
      </c>
      <c r="J505" s="728" t="s">
        <v>4414</v>
      </c>
    </row>
    <row r="506" spans="2:10">
      <c r="B506" s="731"/>
      <c r="I506" s="707" t="s">
        <v>2415</v>
      </c>
      <c r="J506" s="728" t="s">
        <v>4415</v>
      </c>
    </row>
    <row r="507" spans="2:10">
      <c r="B507" s="731"/>
      <c r="I507" s="707" t="s">
        <v>1552</v>
      </c>
      <c r="J507" s="728" t="s">
        <v>4416</v>
      </c>
    </row>
    <row r="508" spans="2:10">
      <c r="B508" s="731"/>
      <c r="I508" s="707" t="s">
        <v>2174</v>
      </c>
      <c r="J508" s="728" t="s">
        <v>4417</v>
      </c>
    </row>
    <row r="509" spans="2:10">
      <c r="B509" s="731"/>
      <c r="I509" s="707" t="s">
        <v>1906</v>
      </c>
      <c r="J509" s="728" t="s">
        <v>4418</v>
      </c>
    </row>
    <row r="510" spans="2:10">
      <c r="B510" s="731"/>
      <c r="I510" s="707" t="s">
        <v>2201</v>
      </c>
      <c r="J510" s="728" t="s">
        <v>4419</v>
      </c>
    </row>
    <row r="511" spans="2:10">
      <c r="B511" s="731"/>
      <c r="I511" s="707" t="s">
        <v>1349</v>
      </c>
      <c r="J511" s="728" t="s">
        <v>4420</v>
      </c>
    </row>
    <row r="512" spans="2:10">
      <c r="B512" s="731"/>
      <c r="I512" s="707" t="s">
        <v>2829</v>
      </c>
      <c r="J512" s="728" t="s">
        <v>4421</v>
      </c>
    </row>
    <row r="513" spans="2:10">
      <c r="B513" s="731"/>
      <c r="I513" s="707" t="s">
        <v>1799</v>
      </c>
      <c r="J513" s="728" t="s">
        <v>4422</v>
      </c>
    </row>
    <row r="514" spans="2:10">
      <c r="B514" s="731"/>
      <c r="I514" s="707" t="s">
        <v>3670</v>
      </c>
      <c r="J514" s="728" t="s">
        <v>4423</v>
      </c>
    </row>
    <row r="515" spans="2:10">
      <c r="B515" s="731"/>
      <c r="I515" s="707" t="s">
        <v>2292</v>
      </c>
      <c r="J515" s="728" t="s">
        <v>4424</v>
      </c>
    </row>
    <row r="516" spans="2:10">
      <c r="B516" s="731"/>
      <c r="I516" s="707" t="s">
        <v>1622</v>
      </c>
      <c r="J516" s="728" t="s">
        <v>4425</v>
      </c>
    </row>
    <row r="517" spans="2:10">
      <c r="B517" s="731"/>
      <c r="I517" s="707" t="s">
        <v>1256</v>
      </c>
      <c r="J517" s="728" t="s">
        <v>4426</v>
      </c>
    </row>
    <row r="518" spans="2:10">
      <c r="B518" s="731"/>
      <c r="I518" s="707" t="s">
        <v>1431</v>
      </c>
      <c r="J518" s="728" t="s">
        <v>4427</v>
      </c>
    </row>
    <row r="519" spans="2:10">
      <c r="B519" s="731"/>
      <c r="I519" s="707" t="s">
        <v>3671</v>
      </c>
      <c r="J519" s="728" t="s">
        <v>4428</v>
      </c>
    </row>
    <row r="520" spans="2:10">
      <c r="B520" s="731"/>
      <c r="I520" s="707" t="s">
        <v>1235</v>
      </c>
      <c r="J520" s="728" t="s">
        <v>4429</v>
      </c>
    </row>
    <row r="521" spans="2:10">
      <c r="B521" s="731"/>
      <c r="I521" s="707" t="s">
        <v>3054</v>
      </c>
      <c r="J521" s="728" t="s">
        <v>4430</v>
      </c>
    </row>
    <row r="522" spans="2:10">
      <c r="B522" s="731"/>
      <c r="I522" s="707" t="s">
        <v>1676</v>
      </c>
      <c r="J522" s="728" t="s">
        <v>4431</v>
      </c>
    </row>
    <row r="523" spans="2:10">
      <c r="B523" s="731"/>
      <c r="I523" s="707" t="s">
        <v>6882</v>
      </c>
      <c r="J523" s="728" t="s">
        <v>7002</v>
      </c>
    </row>
    <row r="524" spans="2:10">
      <c r="B524" s="731"/>
      <c r="I524" s="707" t="s">
        <v>2165</v>
      </c>
      <c r="J524" s="728" t="s">
        <v>4432</v>
      </c>
    </row>
    <row r="525" spans="2:10">
      <c r="B525" s="731"/>
      <c r="I525" s="707" t="s">
        <v>1753</v>
      </c>
      <c r="J525" s="728" t="s">
        <v>4433</v>
      </c>
    </row>
    <row r="526" spans="2:10">
      <c r="B526" s="731"/>
      <c r="I526" s="707" t="s">
        <v>6883</v>
      </c>
      <c r="J526" s="728" t="s">
        <v>7003</v>
      </c>
    </row>
    <row r="527" spans="2:10">
      <c r="B527" s="731"/>
      <c r="I527" s="707" t="s">
        <v>1166</v>
      </c>
      <c r="J527" s="728" t="s">
        <v>4434</v>
      </c>
    </row>
    <row r="528" spans="2:10">
      <c r="B528" s="731"/>
      <c r="I528" s="707" t="s">
        <v>6884</v>
      </c>
      <c r="J528" s="728" t="s">
        <v>7004</v>
      </c>
    </row>
    <row r="529" spans="2:10">
      <c r="B529" s="731"/>
      <c r="I529" s="707" t="s">
        <v>1567</v>
      </c>
      <c r="J529" s="728" t="s">
        <v>4438</v>
      </c>
    </row>
    <row r="530" spans="2:10">
      <c r="B530" s="731"/>
      <c r="I530" s="707" t="s">
        <v>3672</v>
      </c>
      <c r="J530" s="728" t="s">
        <v>4435</v>
      </c>
    </row>
    <row r="531" spans="2:10">
      <c r="B531" s="731"/>
      <c r="I531" s="707" t="s">
        <v>3034</v>
      </c>
      <c r="J531" s="728" t="s">
        <v>4436</v>
      </c>
    </row>
    <row r="532" spans="2:10">
      <c r="B532" s="731"/>
      <c r="I532" s="707" t="s">
        <v>2666</v>
      </c>
      <c r="J532" s="728" t="s">
        <v>4437</v>
      </c>
    </row>
    <row r="533" spans="2:10">
      <c r="B533" s="731"/>
      <c r="I533" s="707" t="s">
        <v>2886</v>
      </c>
      <c r="J533" s="728" t="s">
        <v>4439</v>
      </c>
    </row>
    <row r="534" spans="2:10">
      <c r="B534" s="731"/>
      <c r="I534" s="707" t="s">
        <v>2657</v>
      </c>
      <c r="J534" s="728" t="s">
        <v>4440</v>
      </c>
    </row>
    <row r="535" spans="2:10">
      <c r="B535" s="731"/>
      <c r="I535" s="707" t="s">
        <v>2620</v>
      </c>
      <c r="J535" s="728" t="s">
        <v>4441</v>
      </c>
    </row>
    <row r="536" spans="2:10">
      <c r="B536" s="731"/>
      <c r="I536" s="707" t="s">
        <v>2524</v>
      </c>
      <c r="J536" s="728" t="s">
        <v>4442</v>
      </c>
    </row>
    <row r="537" spans="2:10">
      <c r="B537" s="731"/>
      <c r="I537" s="707" t="s">
        <v>2586</v>
      </c>
      <c r="J537" s="728" t="s">
        <v>4443</v>
      </c>
    </row>
    <row r="538" spans="2:10">
      <c r="B538" s="731"/>
      <c r="I538" s="707" t="s">
        <v>2766</v>
      </c>
      <c r="J538" s="728" t="s">
        <v>4444</v>
      </c>
    </row>
    <row r="539" spans="2:10">
      <c r="B539" s="731"/>
      <c r="I539" s="707" t="s">
        <v>2397</v>
      </c>
      <c r="J539" s="728" t="s">
        <v>4445</v>
      </c>
    </row>
    <row r="540" spans="2:10">
      <c r="B540" s="731"/>
      <c r="I540" s="707" t="s">
        <v>1583</v>
      </c>
      <c r="J540" s="728" t="s">
        <v>4446</v>
      </c>
    </row>
    <row r="541" spans="2:10">
      <c r="B541" s="731"/>
      <c r="I541" s="707" t="s">
        <v>2359</v>
      </c>
      <c r="J541" s="728" t="s">
        <v>4447</v>
      </c>
    </row>
    <row r="542" spans="2:10">
      <c r="B542" s="731"/>
      <c r="I542" s="707" t="s">
        <v>1474</v>
      </c>
      <c r="J542" s="728" t="s">
        <v>4448</v>
      </c>
    </row>
    <row r="543" spans="2:10">
      <c r="B543" s="731"/>
      <c r="I543" s="707" t="s">
        <v>2507</v>
      </c>
      <c r="J543" s="728" t="s">
        <v>4449</v>
      </c>
    </row>
    <row r="544" spans="2:10">
      <c r="B544" s="731"/>
      <c r="I544" s="707" t="s">
        <v>3673</v>
      </c>
      <c r="J544" s="728" t="s">
        <v>4450</v>
      </c>
    </row>
    <row r="545" spans="2:10">
      <c r="B545" s="731"/>
      <c r="I545" s="707" t="s">
        <v>1274</v>
      </c>
      <c r="J545" s="728" t="s">
        <v>4451</v>
      </c>
    </row>
    <row r="546" spans="2:10">
      <c r="B546" s="731"/>
      <c r="I546" s="707" t="s">
        <v>6885</v>
      </c>
      <c r="J546" s="728" t="s">
        <v>7005</v>
      </c>
    </row>
    <row r="547" spans="2:10">
      <c r="B547" s="731"/>
      <c r="I547" s="707" t="s">
        <v>1580</v>
      </c>
      <c r="J547" s="728" t="s">
        <v>4452</v>
      </c>
    </row>
    <row r="548" spans="2:10">
      <c r="B548" s="731"/>
      <c r="I548" s="707" t="s">
        <v>6886</v>
      </c>
      <c r="J548" s="728" t="s">
        <v>7006</v>
      </c>
    </row>
    <row r="549" spans="2:10">
      <c r="B549" s="731"/>
      <c r="I549" s="707" t="s">
        <v>2950</v>
      </c>
      <c r="J549" s="728" t="s">
        <v>4453</v>
      </c>
    </row>
    <row r="550" spans="2:10">
      <c r="B550" s="731"/>
      <c r="I550" s="707" t="s">
        <v>1626</v>
      </c>
      <c r="J550" s="728" t="s">
        <v>4454</v>
      </c>
    </row>
    <row r="551" spans="2:10">
      <c r="B551" s="731"/>
      <c r="I551" s="707" t="s">
        <v>1499</v>
      </c>
      <c r="J551" s="728" t="s">
        <v>4455</v>
      </c>
    </row>
    <row r="552" spans="2:10">
      <c r="B552" s="731"/>
      <c r="I552" s="707" t="s">
        <v>2224</v>
      </c>
      <c r="J552" s="728" t="s">
        <v>4456</v>
      </c>
    </row>
    <row r="553" spans="2:10">
      <c r="B553" s="731"/>
      <c r="I553" s="707" t="s">
        <v>2865</v>
      </c>
      <c r="J553" s="728" t="s">
        <v>4457</v>
      </c>
    </row>
    <row r="554" spans="2:10">
      <c r="B554" s="731"/>
      <c r="I554" s="707" t="s">
        <v>3307</v>
      </c>
      <c r="J554" s="728" t="s">
        <v>4458</v>
      </c>
    </row>
    <row r="555" spans="2:10">
      <c r="B555" s="731"/>
      <c r="I555" s="707" t="s">
        <v>1180</v>
      </c>
      <c r="J555" s="728" t="s">
        <v>4459</v>
      </c>
    </row>
    <row r="556" spans="2:10">
      <c r="B556" s="731"/>
      <c r="I556" s="707" t="s">
        <v>3364</v>
      </c>
      <c r="J556" s="728" t="s">
        <v>4460</v>
      </c>
    </row>
    <row r="557" spans="2:10">
      <c r="B557" s="731"/>
      <c r="I557" s="707" t="s">
        <v>3360</v>
      </c>
      <c r="J557" s="728" t="s">
        <v>4461</v>
      </c>
    </row>
    <row r="558" spans="2:10">
      <c r="B558" s="731"/>
      <c r="I558" s="707" t="s">
        <v>3674</v>
      </c>
      <c r="J558" s="728" t="s">
        <v>4462</v>
      </c>
    </row>
    <row r="559" spans="2:10">
      <c r="B559" s="731"/>
      <c r="I559" s="707" t="s">
        <v>3675</v>
      </c>
      <c r="J559" s="728" t="s">
        <v>4463</v>
      </c>
    </row>
    <row r="560" spans="2:10">
      <c r="B560" s="731"/>
      <c r="I560" s="707" t="s">
        <v>3676</v>
      </c>
      <c r="J560" s="728" t="s">
        <v>4464</v>
      </c>
    </row>
    <row r="561" spans="2:10">
      <c r="B561" s="731"/>
      <c r="I561" s="707" t="s">
        <v>6887</v>
      </c>
      <c r="J561" s="728" t="s">
        <v>7007</v>
      </c>
    </row>
    <row r="562" spans="2:10">
      <c r="B562" s="731"/>
      <c r="I562" s="707" t="s">
        <v>2954</v>
      </c>
      <c r="J562" s="728" t="s">
        <v>4465</v>
      </c>
    </row>
    <row r="563" spans="2:10">
      <c r="B563" s="731"/>
      <c r="I563" s="707" t="s">
        <v>1261</v>
      </c>
      <c r="J563" s="728" t="s">
        <v>4466</v>
      </c>
    </row>
    <row r="564" spans="2:10">
      <c r="B564" s="731"/>
      <c r="I564" s="707" t="s">
        <v>6888</v>
      </c>
      <c r="J564" s="728" t="s">
        <v>7008</v>
      </c>
    </row>
    <row r="565" spans="2:10">
      <c r="B565" s="731"/>
      <c r="I565" s="707" t="s">
        <v>6889</v>
      </c>
      <c r="J565" s="728" t="s">
        <v>7009</v>
      </c>
    </row>
    <row r="566" spans="2:10">
      <c r="B566" s="731"/>
      <c r="I566" s="707" t="s">
        <v>1730</v>
      </c>
      <c r="J566" s="728" t="s">
        <v>4467</v>
      </c>
    </row>
    <row r="567" spans="2:10">
      <c r="B567" s="731"/>
      <c r="I567" s="707" t="s">
        <v>2155</v>
      </c>
      <c r="J567" s="728" t="s">
        <v>4468</v>
      </c>
    </row>
    <row r="568" spans="2:10">
      <c r="B568" s="731"/>
      <c r="I568" s="707" t="s">
        <v>2189</v>
      </c>
      <c r="J568" s="728" t="s">
        <v>4469</v>
      </c>
    </row>
    <row r="569" spans="2:10">
      <c r="B569" s="731"/>
      <c r="I569" s="707" t="s">
        <v>1889</v>
      </c>
      <c r="J569" s="728" t="s">
        <v>4470</v>
      </c>
    </row>
    <row r="570" spans="2:10">
      <c r="B570" s="731"/>
      <c r="I570" s="707" t="s">
        <v>1105</v>
      </c>
      <c r="J570" s="728" t="s">
        <v>4471</v>
      </c>
    </row>
    <row r="571" spans="2:10">
      <c r="B571" s="731"/>
      <c r="I571" s="707" t="s">
        <v>2442</v>
      </c>
      <c r="J571" s="728" t="s">
        <v>4472</v>
      </c>
    </row>
    <row r="572" spans="2:10">
      <c r="B572" s="731"/>
      <c r="I572" s="707" t="s">
        <v>1150</v>
      </c>
      <c r="J572" s="728" t="s">
        <v>4473</v>
      </c>
    </row>
    <row r="573" spans="2:10">
      <c r="B573" s="731"/>
      <c r="I573" s="707" t="s">
        <v>1124</v>
      </c>
      <c r="J573" s="728" t="s">
        <v>4474</v>
      </c>
    </row>
    <row r="574" spans="2:10">
      <c r="B574" s="731"/>
      <c r="I574" s="707" t="s">
        <v>2154</v>
      </c>
      <c r="J574" s="728" t="s">
        <v>4475</v>
      </c>
    </row>
    <row r="575" spans="2:10">
      <c r="B575" s="731"/>
      <c r="I575" s="707" t="s">
        <v>1865</v>
      </c>
      <c r="J575" s="728" t="s">
        <v>4476</v>
      </c>
    </row>
    <row r="576" spans="2:10">
      <c r="B576" s="731"/>
      <c r="I576" s="707" t="s">
        <v>2010</v>
      </c>
      <c r="J576" s="728" t="s">
        <v>4477</v>
      </c>
    </row>
    <row r="577" spans="2:10">
      <c r="B577" s="731"/>
      <c r="I577" s="707" t="s">
        <v>2289</v>
      </c>
      <c r="J577" s="728" t="s">
        <v>4478</v>
      </c>
    </row>
    <row r="578" spans="2:10">
      <c r="B578" s="731"/>
      <c r="I578" s="707" t="s">
        <v>2258</v>
      </c>
      <c r="J578" s="728" t="s">
        <v>4479</v>
      </c>
    </row>
    <row r="579" spans="2:10">
      <c r="B579" s="731"/>
      <c r="I579" s="707" t="s">
        <v>6890</v>
      </c>
      <c r="J579" s="728" t="s">
        <v>7010</v>
      </c>
    </row>
    <row r="580" spans="2:10">
      <c r="B580" s="731"/>
      <c r="I580" s="707" t="s">
        <v>1478</v>
      </c>
      <c r="J580" s="728" t="s">
        <v>4480</v>
      </c>
    </row>
    <row r="581" spans="2:10">
      <c r="B581" s="731"/>
      <c r="I581" s="707" t="s">
        <v>2256</v>
      </c>
      <c r="J581" s="728" t="s">
        <v>4481</v>
      </c>
    </row>
    <row r="582" spans="2:10">
      <c r="B582" s="731"/>
      <c r="I582" s="707" t="s">
        <v>2116</v>
      </c>
      <c r="J582" s="728" t="s">
        <v>4482</v>
      </c>
    </row>
    <row r="583" spans="2:10">
      <c r="B583" s="731"/>
      <c r="I583" s="707" t="s">
        <v>2331</v>
      </c>
      <c r="J583" s="728" t="s">
        <v>4483</v>
      </c>
    </row>
    <row r="584" spans="2:10">
      <c r="B584" s="731"/>
      <c r="I584" s="707" t="s">
        <v>2286</v>
      </c>
      <c r="J584" s="728" t="s">
        <v>4484</v>
      </c>
    </row>
    <row r="585" spans="2:10">
      <c r="B585" s="731"/>
      <c r="I585" s="707" t="s">
        <v>2178</v>
      </c>
      <c r="J585" s="728" t="s">
        <v>4485</v>
      </c>
    </row>
    <row r="586" spans="2:10">
      <c r="B586" s="731"/>
      <c r="I586" s="707" t="s">
        <v>2051</v>
      </c>
      <c r="J586" s="728" t="s">
        <v>4486</v>
      </c>
    </row>
    <row r="587" spans="2:10">
      <c r="B587" s="731"/>
      <c r="I587" s="707" t="s">
        <v>3677</v>
      </c>
      <c r="J587" s="728" t="s">
        <v>4487</v>
      </c>
    </row>
    <row r="588" spans="2:10">
      <c r="B588" s="731"/>
      <c r="I588" s="707" t="s">
        <v>1177</v>
      </c>
      <c r="J588" s="728" t="s">
        <v>4488</v>
      </c>
    </row>
    <row r="589" spans="2:10">
      <c r="B589" s="731"/>
      <c r="I589" s="707" t="s">
        <v>2113</v>
      </c>
      <c r="J589" s="728" t="s">
        <v>4490</v>
      </c>
    </row>
    <row r="590" spans="2:10">
      <c r="B590" s="731"/>
      <c r="I590" s="707" t="s">
        <v>1981</v>
      </c>
      <c r="J590" s="728" t="s">
        <v>4489</v>
      </c>
    </row>
    <row r="591" spans="2:10">
      <c r="B591" s="731"/>
      <c r="I591" s="707" t="s">
        <v>2693</v>
      </c>
      <c r="J591" s="728" t="s">
        <v>4491</v>
      </c>
    </row>
    <row r="592" spans="2:10">
      <c r="B592" s="731"/>
      <c r="I592" s="707" t="s">
        <v>2713</v>
      </c>
      <c r="J592" s="728" t="s">
        <v>4492</v>
      </c>
    </row>
    <row r="593" spans="2:10">
      <c r="B593" s="731"/>
      <c r="I593" s="707" t="s">
        <v>2870</v>
      </c>
      <c r="J593" s="728" t="s">
        <v>4493</v>
      </c>
    </row>
    <row r="594" spans="2:10">
      <c r="B594" s="731"/>
      <c r="I594" s="707" t="s">
        <v>1918</v>
      </c>
      <c r="J594" s="728" t="s">
        <v>4494</v>
      </c>
    </row>
    <row r="595" spans="2:10">
      <c r="B595" s="731"/>
      <c r="I595" s="707" t="s">
        <v>2005</v>
      </c>
      <c r="J595" s="728" t="s">
        <v>4495</v>
      </c>
    </row>
    <row r="596" spans="2:10">
      <c r="B596" s="731"/>
      <c r="I596" s="707" t="s">
        <v>1628</v>
      </c>
      <c r="J596" s="728" t="s">
        <v>4496</v>
      </c>
    </row>
    <row r="597" spans="2:10">
      <c r="B597" s="731"/>
      <c r="I597" s="707" t="s">
        <v>1977</v>
      </c>
      <c r="J597" s="728" t="s">
        <v>4497</v>
      </c>
    </row>
    <row r="598" spans="2:10">
      <c r="B598" s="731"/>
      <c r="I598" s="707" t="s">
        <v>1226</v>
      </c>
      <c r="J598" s="728" t="s">
        <v>4498</v>
      </c>
    </row>
    <row r="599" spans="2:10">
      <c r="B599" s="731"/>
      <c r="I599" s="707" t="s">
        <v>1103</v>
      </c>
      <c r="J599" s="728" t="s">
        <v>4499</v>
      </c>
    </row>
    <row r="600" spans="2:10">
      <c r="B600" s="731"/>
      <c r="I600" s="707" t="s">
        <v>1453</v>
      </c>
      <c r="J600" s="728" t="s">
        <v>4500</v>
      </c>
    </row>
    <row r="601" spans="2:10">
      <c r="B601" s="731"/>
      <c r="I601" s="707" t="s">
        <v>1535</v>
      </c>
      <c r="J601" s="728" t="s">
        <v>4501</v>
      </c>
    </row>
    <row r="602" spans="2:10">
      <c r="B602" s="731"/>
      <c r="I602" s="707" t="s">
        <v>6891</v>
      </c>
      <c r="J602" s="728" t="s">
        <v>7011</v>
      </c>
    </row>
    <row r="603" spans="2:10">
      <c r="B603" s="731"/>
      <c r="I603" s="707" t="s">
        <v>1683</v>
      </c>
      <c r="J603" s="728" t="s">
        <v>4502</v>
      </c>
    </row>
    <row r="604" spans="2:10">
      <c r="B604" s="731"/>
      <c r="I604" s="707" t="s">
        <v>1026</v>
      </c>
      <c r="J604" s="728" t="s">
        <v>4503</v>
      </c>
    </row>
    <row r="605" spans="2:10">
      <c r="B605" s="731"/>
      <c r="I605" s="707" t="s">
        <v>6892</v>
      </c>
      <c r="J605" s="728" t="s">
        <v>7012</v>
      </c>
    </row>
    <row r="606" spans="2:10">
      <c r="B606" s="731"/>
      <c r="I606" s="707" t="s">
        <v>1231</v>
      </c>
      <c r="J606" s="728" t="s">
        <v>4504</v>
      </c>
    </row>
    <row r="607" spans="2:10">
      <c r="B607" s="731"/>
      <c r="I607" s="707" t="s">
        <v>1979</v>
      </c>
      <c r="J607" s="728" t="s">
        <v>4505</v>
      </c>
    </row>
    <row r="608" spans="2:10">
      <c r="B608" s="731"/>
      <c r="I608" s="707" t="s">
        <v>2408</v>
      </c>
      <c r="J608" s="728" t="s">
        <v>4506</v>
      </c>
    </row>
    <row r="609" spans="2:10">
      <c r="B609" s="731"/>
      <c r="I609" s="707" t="s">
        <v>2057</v>
      </c>
      <c r="J609" s="728" t="s">
        <v>4507</v>
      </c>
    </row>
    <row r="610" spans="2:10">
      <c r="B610" s="731"/>
      <c r="I610" s="707" t="s">
        <v>2877</v>
      </c>
      <c r="J610" s="728" t="s">
        <v>4508</v>
      </c>
    </row>
    <row r="611" spans="2:10">
      <c r="B611" s="731"/>
      <c r="I611" s="707" t="s">
        <v>6893</v>
      </c>
      <c r="J611" s="728" t="s">
        <v>7013</v>
      </c>
    </row>
    <row r="612" spans="2:10">
      <c r="B612" s="731"/>
      <c r="I612" s="707" t="s">
        <v>2162</v>
      </c>
      <c r="J612" s="728" t="s">
        <v>4509</v>
      </c>
    </row>
    <row r="613" spans="2:10">
      <c r="B613" s="731"/>
      <c r="I613" s="707" t="s">
        <v>1418</v>
      </c>
      <c r="J613" s="728" t="s">
        <v>4511</v>
      </c>
    </row>
    <row r="614" spans="2:10">
      <c r="B614" s="731"/>
      <c r="I614" s="707" t="s">
        <v>3679</v>
      </c>
      <c r="J614" s="728" t="s">
        <v>4512</v>
      </c>
    </row>
    <row r="615" spans="2:10">
      <c r="B615" s="731"/>
      <c r="I615" s="707" t="s">
        <v>1280</v>
      </c>
      <c r="J615" s="728" t="s">
        <v>4513</v>
      </c>
    </row>
    <row r="616" spans="2:10">
      <c r="B616" s="731"/>
      <c r="I616" s="707" t="s">
        <v>3244</v>
      </c>
      <c r="J616" s="728" t="s">
        <v>4514</v>
      </c>
    </row>
    <row r="617" spans="2:10">
      <c r="B617" s="731"/>
      <c r="I617" s="707" t="s">
        <v>2773</v>
      </c>
      <c r="J617" s="728" t="s">
        <v>4515</v>
      </c>
    </row>
    <row r="618" spans="2:10">
      <c r="B618" s="731"/>
      <c r="I618" s="707" t="s">
        <v>1187</v>
      </c>
      <c r="J618" s="728" t="s">
        <v>4517</v>
      </c>
    </row>
    <row r="619" spans="2:10">
      <c r="B619" s="731"/>
      <c r="I619" s="707" t="s">
        <v>3353</v>
      </c>
      <c r="J619" s="728" t="s">
        <v>4518</v>
      </c>
    </row>
    <row r="620" spans="2:10">
      <c r="B620" s="731"/>
      <c r="I620" s="707" t="s">
        <v>3680</v>
      </c>
      <c r="J620" s="728" t="s">
        <v>4519</v>
      </c>
    </row>
    <row r="621" spans="2:10">
      <c r="B621" s="731"/>
      <c r="I621" s="707" t="s">
        <v>3678</v>
      </c>
      <c r="J621" s="728" t="s">
        <v>4510</v>
      </c>
    </row>
    <row r="622" spans="2:10">
      <c r="B622" s="731"/>
      <c r="I622" s="707" t="s">
        <v>1255</v>
      </c>
      <c r="J622" s="728" t="s">
        <v>4520</v>
      </c>
    </row>
    <row r="623" spans="2:10">
      <c r="B623" s="731"/>
      <c r="I623" s="707" t="s">
        <v>1595</v>
      </c>
      <c r="J623" s="728" t="s">
        <v>4521</v>
      </c>
    </row>
    <row r="624" spans="2:10">
      <c r="B624" s="731"/>
      <c r="I624" s="707" t="s">
        <v>1538</v>
      </c>
      <c r="J624" s="728" t="s">
        <v>4522</v>
      </c>
    </row>
    <row r="625" spans="2:10">
      <c r="B625" s="731"/>
      <c r="I625" s="707" t="s">
        <v>2340</v>
      </c>
      <c r="J625" s="728" t="s">
        <v>4523</v>
      </c>
    </row>
    <row r="626" spans="2:10">
      <c r="B626" s="731"/>
      <c r="I626" s="707" t="s">
        <v>6894</v>
      </c>
      <c r="J626" s="728" t="s">
        <v>7014</v>
      </c>
    </row>
    <row r="627" spans="2:10">
      <c r="B627" s="731"/>
      <c r="I627" s="707" t="s">
        <v>3681</v>
      </c>
      <c r="J627" s="728" t="s">
        <v>4524</v>
      </c>
    </row>
    <row r="628" spans="2:10">
      <c r="B628" s="731"/>
      <c r="I628" s="707" t="s">
        <v>2556</v>
      </c>
      <c r="J628" s="728" t="s">
        <v>4525</v>
      </c>
    </row>
    <row r="629" spans="2:10">
      <c r="B629" s="731"/>
      <c r="I629" s="707" t="s">
        <v>2370</v>
      </c>
      <c r="J629" s="728" t="s">
        <v>4526</v>
      </c>
    </row>
    <row r="630" spans="2:10">
      <c r="B630" s="731"/>
      <c r="I630" s="707" t="s">
        <v>1342</v>
      </c>
      <c r="J630" s="728" t="s">
        <v>4527</v>
      </c>
    </row>
    <row r="631" spans="2:10">
      <c r="B631" s="731"/>
      <c r="I631" s="707" t="s">
        <v>2563</v>
      </c>
      <c r="J631" s="728" t="s">
        <v>4528</v>
      </c>
    </row>
    <row r="632" spans="2:10">
      <c r="B632" s="731"/>
      <c r="I632" s="707" t="s">
        <v>3682</v>
      </c>
      <c r="J632" s="728" t="s">
        <v>4529</v>
      </c>
    </row>
    <row r="633" spans="2:10">
      <c r="B633" s="731"/>
      <c r="I633" s="707" t="s">
        <v>1528</v>
      </c>
      <c r="J633" s="728" t="s">
        <v>4530</v>
      </c>
    </row>
    <row r="634" spans="2:10">
      <c r="B634" s="731"/>
      <c r="I634" s="707" t="s">
        <v>2190</v>
      </c>
      <c r="J634" s="728" t="s">
        <v>4531</v>
      </c>
    </row>
    <row r="635" spans="2:10">
      <c r="B635" s="731"/>
      <c r="I635" s="707" t="s">
        <v>1223</v>
      </c>
      <c r="J635" s="728" t="s">
        <v>4532</v>
      </c>
    </row>
    <row r="636" spans="2:10">
      <c r="B636" s="731"/>
      <c r="I636" s="707" t="s">
        <v>3683</v>
      </c>
      <c r="J636" s="728" t="s">
        <v>4533</v>
      </c>
    </row>
    <row r="637" spans="2:10">
      <c r="B637" s="731"/>
      <c r="I637" s="707" t="s">
        <v>1596</v>
      </c>
      <c r="J637" s="728" t="s">
        <v>4534</v>
      </c>
    </row>
    <row r="638" spans="2:10">
      <c r="B638" s="731"/>
      <c r="I638" s="707" t="s">
        <v>1529</v>
      </c>
      <c r="J638" s="728" t="s">
        <v>4535</v>
      </c>
    </row>
    <row r="639" spans="2:10">
      <c r="B639" s="731"/>
      <c r="I639" s="707" t="s">
        <v>1801</v>
      </c>
      <c r="J639" s="728" t="s">
        <v>4536</v>
      </c>
    </row>
    <row r="640" spans="2:10">
      <c r="B640" s="731"/>
      <c r="I640" s="707" t="s">
        <v>1543</v>
      </c>
      <c r="J640" s="728" t="s">
        <v>4540</v>
      </c>
    </row>
    <row r="641" spans="2:10">
      <c r="B641" s="731"/>
      <c r="I641" s="707" t="s">
        <v>1963</v>
      </c>
      <c r="J641" s="728" t="s">
        <v>4537</v>
      </c>
    </row>
    <row r="642" spans="2:10">
      <c r="B642" s="731"/>
      <c r="I642" s="707" t="s">
        <v>3684</v>
      </c>
      <c r="J642" s="728" t="s">
        <v>4538</v>
      </c>
    </row>
    <row r="643" spans="2:10">
      <c r="B643" s="731"/>
      <c r="I643" s="707" t="s">
        <v>2679</v>
      </c>
      <c r="J643" s="728" t="s">
        <v>4539</v>
      </c>
    </row>
    <row r="644" spans="2:10">
      <c r="B644" s="731"/>
      <c r="I644" s="707" t="s">
        <v>1162</v>
      </c>
      <c r="J644" s="728" t="s">
        <v>4541</v>
      </c>
    </row>
    <row r="645" spans="2:10">
      <c r="B645" s="731"/>
      <c r="I645" s="707" t="s">
        <v>1245</v>
      </c>
      <c r="J645" s="728" t="s">
        <v>4542</v>
      </c>
    </row>
    <row r="646" spans="2:10">
      <c r="B646" s="731"/>
      <c r="I646" s="707" t="s">
        <v>3685</v>
      </c>
      <c r="J646" s="728" t="s">
        <v>4543</v>
      </c>
    </row>
    <row r="647" spans="2:10">
      <c r="B647" s="731"/>
      <c r="I647" s="707" t="s">
        <v>1778</v>
      </c>
      <c r="J647" s="728" t="s">
        <v>6080</v>
      </c>
    </row>
    <row r="648" spans="2:10">
      <c r="B648" s="731"/>
      <c r="I648" s="707" t="s">
        <v>2085</v>
      </c>
      <c r="J648" s="728" t="s">
        <v>4544</v>
      </c>
    </row>
    <row r="649" spans="2:10">
      <c r="B649" s="731"/>
      <c r="I649" s="707" t="s">
        <v>2963</v>
      </c>
      <c r="J649" s="728" t="s">
        <v>4545</v>
      </c>
    </row>
    <row r="650" spans="2:10">
      <c r="B650" s="731"/>
      <c r="I650" s="707" t="s">
        <v>2304</v>
      </c>
      <c r="J650" s="728" t="s">
        <v>4546</v>
      </c>
    </row>
    <row r="651" spans="2:10">
      <c r="B651" s="731"/>
      <c r="I651" s="707" t="s">
        <v>1648</v>
      </c>
      <c r="J651" s="728" t="s">
        <v>4547</v>
      </c>
    </row>
    <row r="652" spans="2:10">
      <c r="B652" s="731"/>
      <c r="I652" s="707" t="s">
        <v>6895</v>
      </c>
      <c r="J652" s="728" t="s">
        <v>7015</v>
      </c>
    </row>
    <row r="653" spans="2:10">
      <c r="B653" s="731"/>
      <c r="I653" s="707" t="s">
        <v>1091</v>
      </c>
      <c r="J653" s="728" t="s">
        <v>4548</v>
      </c>
    </row>
    <row r="654" spans="2:10">
      <c r="B654" s="731"/>
      <c r="I654" s="707" t="s">
        <v>1790</v>
      </c>
      <c r="J654" s="728" t="s">
        <v>4549</v>
      </c>
    </row>
    <row r="655" spans="2:10">
      <c r="B655" s="731"/>
      <c r="I655" s="707" t="s">
        <v>1792</v>
      </c>
      <c r="J655" s="728" t="s">
        <v>4550</v>
      </c>
    </row>
    <row r="656" spans="2:10">
      <c r="B656" s="731"/>
      <c r="I656" s="707" t="s">
        <v>1485</v>
      </c>
      <c r="J656" s="728" t="s">
        <v>4551</v>
      </c>
    </row>
    <row r="657" spans="2:10">
      <c r="B657" s="731"/>
      <c r="I657" s="707" t="s">
        <v>2030</v>
      </c>
      <c r="J657" s="728" t="s">
        <v>4552</v>
      </c>
    </row>
    <row r="658" spans="2:10">
      <c r="B658" s="731"/>
      <c r="I658" s="707" t="s">
        <v>1294</v>
      </c>
      <c r="J658" s="728" t="s">
        <v>4553</v>
      </c>
    </row>
    <row r="659" spans="2:10">
      <c r="B659" s="731"/>
      <c r="I659" s="707" t="s">
        <v>1358</v>
      </c>
      <c r="J659" s="728" t="s">
        <v>4554</v>
      </c>
    </row>
    <row r="660" spans="2:10">
      <c r="B660" s="731"/>
      <c r="I660" s="707" t="s">
        <v>2607</v>
      </c>
      <c r="J660" s="728" t="s">
        <v>4555</v>
      </c>
    </row>
    <row r="661" spans="2:10">
      <c r="B661" s="731"/>
      <c r="I661" s="707" t="s">
        <v>1738</v>
      </c>
      <c r="J661" s="728" t="s">
        <v>4556</v>
      </c>
    </row>
    <row r="662" spans="2:10">
      <c r="B662" s="731"/>
      <c r="I662" s="707" t="s">
        <v>1909</v>
      </c>
      <c r="J662" s="728" t="s">
        <v>4557</v>
      </c>
    </row>
    <row r="663" spans="2:10">
      <c r="B663" s="731"/>
      <c r="I663" s="707" t="s">
        <v>2100</v>
      </c>
      <c r="J663" s="728" t="s">
        <v>4558</v>
      </c>
    </row>
    <row r="664" spans="2:10">
      <c r="B664" s="731"/>
      <c r="I664" s="707" t="s">
        <v>1615</v>
      </c>
      <c r="J664" s="728" t="s">
        <v>4560</v>
      </c>
    </row>
    <row r="665" spans="2:10">
      <c r="B665" s="731"/>
      <c r="I665" s="707" t="s">
        <v>6896</v>
      </c>
      <c r="J665" s="728" t="s">
        <v>7016</v>
      </c>
    </row>
    <row r="666" spans="2:10">
      <c r="B666" s="731"/>
      <c r="I666" s="707" t="s">
        <v>2939</v>
      </c>
      <c r="J666" s="728" t="s">
        <v>4559</v>
      </c>
    </row>
    <row r="667" spans="2:10">
      <c r="B667" s="731"/>
      <c r="I667" s="707" t="s">
        <v>1211</v>
      </c>
      <c r="J667" s="728" t="s">
        <v>4561</v>
      </c>
    </row>
    <row r="668" spans="2:10">
      <c r="B668" s="731"/>
      <c r="I668" s="707" t="s">
        <v>2896</v>
      </c>
      <c r="J668" s="728" t="s">
        <v>4562</v>
      </c>
    </row>
    <row r="669" spans="2:10">
      <c r="B669" s="731"/>
      <c r="I669" s="707" t="s">
        <v>6897</v>
      </c>
      <c r="J669" s="728" t="s">
        <v>7017</v>
      </c>
    </row>
    <row r="670" spans="2:10">
      <c r="B670" s="731"/>
      <c r="I670" s="707" t="s">
        <v>2266</v>
      </c>
      <c r="J670" s="728" t="s">
        <v>4563</v>
      </c>
    </row>
    <row r="671" spans="2:10">
      <c r="B671" s="731"/>
      <c r="I671" s="707" t="s">
        <v>2158</v>
      </c>
      <c r="J671" s="728" t="s">
        <v>4564</v>
      </c>
    </row>
    <row r="672" spans="2:10">
      <c r="B672" s="731"/>
      <c r="I672" s="707" t="s">
        <v>2575</v>
      </c>
      <c r="J672" s="728" t="s">
        <v>4565</v>
      </c>
    </row>
    <row r="673" spans="2:10">
      <c r="B673" s="731"/>
      <c r="I673" s="707" t="s">
        <v>2735</v>
      </c>
      <c r="J673" s="728" t="s">
        <v>4566</v>
      </c>
    </row>
    <row r="674" spans="2:10">
      <c r="B674" s="731"/>
      <c r="I674" s="707" t="s">
        <v>2593</v>
      </c>
      <c r="J674" s="728" t="s">
        <v>4567</v>
      </c>
    </row>
    <row r="675" spans="2:10">
      <c r="B675" s="731"/>
      <c r="I675" s="707" t="s">
        <v>2124</v>
      </c>
      <c r="J675" s="728" t="s">
        <v>4568</v>
      </c>
    </row>
    <row r="676" spans="2:10">
      <c r="B676" s="731"/>
      <c r="I676" s="707" t="s">
        <v>1320</v>
      </c>
      <c r="J676" s="728" t="s">
        <v>4569</v>
      </c>
    </row>
    <row r="677" spans="2:10">
      <c r="B677" s="731"/>
      <c r="I677" s="707" t="s">
        <v>1454</v>
      </c>
      <c r="J677" s="728" t="s">
        <v>4570</v>
      </c>
    </row>
    <row r="678" spans="2:10">
      <c r="B678" s="731"/>
      <c r="I678" s="707" t="s">
        <v>2985</v>
      </c>
      <c r="J678" s="728" t="s">
        <v>4571</v>
      </c>
    </row>
    <row r="679" spans="2:10">
      <c r="B679" s="731"/>
      <c r="I679" s="707" t="s">
        <v>1241</v>
      </c>
      <c r="J679" s="728" t="s">
        <v>4572</v>
      </c>
    </row>
    <row r="680" spans="2:10">
      <c r="B680" s="731"/>
      <c r="I680" s="707" t="s">
        <v>2940</v>
      </c>
      <c r="J680" s="728" t="s">
        <v>4573</v>
      </c>
    </row>
    <row r="681" spans="2:10">
      <c r="B681" s="731"/>
      <c r="I681" s="707" t="s">
        <v>1149</v>
      </c>
      <c r="J681" s="728" t="s">
        <v>4574</v>
      </c>
    </row>
    <row r="682" spans="2:10">
      <c r="B682" s="731"/>
      <c r="I682" s="707" t="s">
        <v>6898</v>
      </c>
      <c r="J682" s="728" t="s">
        <v>7018</v>
      </c>
    </row>
    <row r="683" spans="2:10">
      <c r="B683" s="731"/>
      <c r="I683" s="707" t="s">
        <v>3686</v>
      </c>
      <c r="J683" s="728" t="s">
        <v>4575</v>
      </c>
    </row>
    <row r="684" spans="2:10">
      <c r="B684" s="731"/>
      <c r="I684" s="707" t="s">
        <v>2388</v>
      </c>
      <c r="J684" s="728" t="s">
        <v>4576</v>
      </c>
    </row>
    <row r="685" spans="2:10">
      <c r="B685" s="731"/>
      <c r="I685" s="707" t="s">
        <v>2006</v>
      </c>
      <c r="J685" s="728" t="s">
        <v>4577</v>
      </c>
    </row>
    <row r="686" spans="2:10">
      <c r="B686" s="731"/>
      <c r="I686" s="707" t="s">
        <v>2983</v>
      </c>
      <c r="J686" s="728" t="s">
        <v>4578</v>
      </c>
    </row>
    <row r="687" spans="2:10">
      <c r="B687" s="731"/>
      <c r="I687" s="707" t="s">
        <v>1429</v>
      </c>
      <c r="J687" s="728" t="s">
        <v>4579</v>
      </c>
    </row>
    <row r="688" spans="2:10">
      <c r="B688" s="731"/>
      <c r="I688" s="707" t="s">
        <v>2692</v>
      </c>
      <c r="J688" s="728" t="s">
        <v>4580</v>
      </c>
    </row>
    <row r="689" spans="2:10">
      <c r="B689" s="731"/>
      <c r="I689" s="707" t="s">
        <v>2979</v>
      </c>
      <c r="J689" s="728" t="s">
        <v>4581</v>
      </c>
    </row>
    <row r="690" spans="2:10">
      <c r="B690" s="731"/>
      <c r="I690" s="707" t="s">
        <v>1127</v>
      </c>
      <c r="J690" s="728" t="s">
        <v>4582</v>
      </c>
    </row>
    <row r="691" spans="2:10">
      <c r="B691" s="731"/>
      <c r="I691" s="707" t="s">
        <v>1155</v>
      </c>
      <c r="J691" s="728" t="s">
        <v>4583</v>
      </c>
    </row>
    <row r="692" spans="2:10">
      <c r="B692" s="731"/>
      <c r="I692" s="707" t="s">
        <v>1606</v>
      </c>
      <c r="J692" s="728" t="s">
        <v>4584</v>
      </c>
    </row>
    <row r="693" spans="2:10">
      <c r="B693" s="731"/>
      <c r="I693" s="707" t="s">
        <v>1186</v>
      </c>
      <c r="J693" s="728" t="s">
        <v>4587</v>
      </c>
    </row>
    <row r="694" spans="2:10">
      <c r="B694" s="731"/>
      <c r="I694" s="707" t="s">
        <v>6899</v>
      </c>
      <c r="J694" s="728" t="s">
        <v>7019</v>
      </c>
    </row>
    <row r="695" spans="2:10">
      <c r="B695" s="731"/>
      <c r="I695" s="707" t="s">
        <v>3687</v>
      </c>
      <c r="J695" s="728" t="s">
        <v>4585</v>
      </c>
    </row>
    <row r="696" spans="2:10">
      <c r="B696" s="731"/>
      <c r="I696" s="707" t="s">
        <v>1077</v>
      </c>
      <c r="J696" s="728" t="s">
        <v>4586</v>
      </c>
    </row>
    <row r="697" spans="2:10">
      <c r="B697" s="731"/>
      <c r="I697" s="707" t="s">
        <v>1016</v>
      </c>
      <c r="J697" s="728" t="s">
        <v>4588</v>
      </c>
    </row>
    <row r="698" spans="2:10">
      <c r="B698" s="731"/>
      <c r="I698" s="707" t="s">
        <v>6900</v>
      </c>
      <c r="J698" s="728" t="s">
        <v>7020</v>
      </c>
    </row>
    <row r="699" spans="2:10">
      <c r="B699" s="731"/>
      <c r="I699" s="707" t="s">
        <v>1384</v>
      </c>
      <c r="J699" s="728" t="s">
        <v>4589</v>
      </c>
    </row>
    <row r="700" spans="2:10">
      <c r="B700" s="731"/>
      <c r="I700" s="707" t="s">
        <v>1114</v>
      </c>
      <c r="J700" s="728" t="s">
        <v>4590</v>
      </c>
    </row>
    <row r="701" spans="2:10">
      <c r="B701" s="731"/>
      <c r="I701" s="707" t="s">
        <v>6901</v>
      </c>
      <c r="J701" s="728" t="s">
        <v>7021</v>
      </c>
    </row>
    <row r="702" spans="2:10">
      <c r="B702" s="731"/>
      <c r="I702" s="707" t="s">
        <v>6902</v>
      </c>
      <c r="J702" s="728" t="s">
        <v>7022</v>
      </c>
    </row>
    <row r="703" spans="2:10">
      <c r="B703" s="731"/>
      <c r="I703" s="707" t="s">
        <v>2405</v>
      </c>
      <c r="J703" s="728" t="s">
        <v>4591</v>
      </c>
    </row>
    <row r="704" spans="2:10">
      <c r="B704" s="731"/>
      <c r="I704" s="707" t="s">
        <v>3041</v>
      </c>
      <c r="J704" s="728" t="s">
        <v>4592</v>
      </c>
    </row>
    <row r="705" spans="2:10">
      <c r="B705" s="731"/>
      <c r="I705" s="707" t="s">
        <v>3688</v>
      </c>
      <c r="J705" s="728" t="s">
        <v>4593</v>
      </c>
    </row>
    <row r="706" spans="2:10">
      <c r="B706" s="731"/>
      <c r="I706" s="707" t="s">
        <v>2662</v>
      </c>
      <c r="J706" s="728" t="s">
        <v>4594</v>
      </c>
    </row>
    <row r="707" spans="2:10">
      <c r="B707" s="731"/>
      <c r="I707" s="707" t="s">
        <v>1931</v>
      </c>
      <c r="J707" s="728" t="s">
        <v>4595</v>
      </c>
    </row>
    <row r="708" spans="2:10">
      <c r="B708" s="731"/>
      <c r="I708" s="707" t="s">
        <v>2571</v>
      </c>
      <c r="J708" s="728" t="s">
        <v>4596</v>
      </c>
    </row>
    <row r="709" spans="2:10">
      <c r="B709" s="731"/>
      <c r="I709" s="707" t="s">
        <v>1844</v>
      </c>
      <c r="J709" s="728" t="s">
        <v>4597</v>
      </c>
    </row>
    <row r="710" spans="2:10">
      <c r="B710" s="731"/>
      <c r="I710" s="707" t="s">
        <v>3689</v>
      </c>
      <c r="J710" s="728" t="s">
        <v>4598</v>
      </c>
    </row>
    <row r="711" spans="2:10">
      <c r="B711" s="731"/>
      <c r="I711" s="707" t="s">
        <v>1285</v>
      </c>
      <c r="J711" s="728" t="s">
        <v>4599</v>
      </c>
    </row>
    <row r="712" spans="2:10">
      <c r="B712" s="731"/>
      <c r="I712" s="707" t="s">
        <v>3352</v>
      </c>
      <c r="J712" s="728" t="s">
        <v>4600</v>
      </c>
    </row>
    <row r="713" spans="2:10">
      <c r="B713" s="731"/>
      <c r="I713" s="707" t="s">
        <v>2298</v>
      </c>
      <c r="J713" s="728" t="s">
        <v>4601</v>
      </c>
    </row>
    <row r="714" spans="2:10">
      <c r="B714" s="731"/>
      <c r="I714" s="707" t="s">
        <v>2206</v>
      </c>
      <c r="J714" s="728" t="s">
        <v>4602</v>
      </c>
    </row>
    <row r="715" spans="2:10">
      <c r="B715" s="731"/>
      <c r="I715" s="707" t="s">
        <v>1584</v>
      </c>
      <c r="J715" s="728" t="s">
        <v>4605</v>
      </c>
    </row>
    <row r="716" spans="2:10">
      <c r="B716" s="731"/>
      <c r="I716" s="707" t="s">
        <v>1812</v>
      </c>
      <c r="J716" s="728" t="s">
        <v>4606</v>
      </c>
    </row>
    <row r="717" spans="2:10">
      <c r="B717" s="731"/>
      <c r="I717" s="707" t="s">
        <v>1962</v>
      </c>
      <c r="J717" s="728" t="s">
        <v>4607</v>
      </c>
    </row>
    <row r="718" spans="2:10">
      <c r="B718" s="731"/>
      <c r="I718" s="707" t="s">
        <v>2159</v>
      </c>
      <c r="J718" s="728" t="s">
        <v>4608</v>
      </c>
    </row>
    <row r="719" spans="2:10">
      <c r="B719" s="731"/>
      <c r="I719" s="707" t="s">
        <v>2398</v>
      </c>
      <c r="J719" s="728" t="s">
        <v>4610</v>
      </c>
    </row>
    <row r="720" spans="2:10">
      <c r="B720" s="731"/>
      <c r="I720" s="707" t="s">
        <v>2475</v>
      </c>
      <c r="J720" s="728" t="s">
        <v>4611</v>
      </c>
    </row>
    <row r="721" spans="2:10">
      <c r="B721" s="731"/>
      <c r="I721" s="707" t="s">
        <v>3692</v>
      </c>
      <c r="J721" s="728" t="s">
        <v>4612</v>
      </c>
    </row>
    <row r="722" spans="2:10">
      <c r="B722" s="731"/>
      <c r="I722" s="707" t="s">
        <v>3693</v>
      </c>
      <c r="J722" s="728" t="s">
        <v>4613</v>
      </c>
    </row>
    <row r="723" spans="2:10">
      <c r="B723" s="731"/>
      <c r="I723" s="707" t="s">
        <v>1668</v>
      </c>
      <c r="J723" s="728" t="s">
        <v>4614</v>
      </c>
    </row>
    <row r="724" spans="2:10">
      <c r="B724" s="731"/>
      <c r="I724" s="707" t="s">
        <v>1260</v>
      </c>
      <c r="J724" s="728" t="s">
        <v>4615</v>
      </c>
    </row>
    <row r="725" spans="2:10">
      <c r="B725" s="731"/>
      <c r="I725" s="707" t="s">
        <v>2048</v>
      </c>
      <c r="J725" s="728" t="s">
        <v>4617</v>
      </c>
    </row>
    <row r="726" spans="2:10">
      <c r="B726" s="731"/>
      <c r="I726" s="707" t="s">
        <v>2212</v>
      </c>
      <c r="J726" s="728" t="s">
        <v>4620</v>
      </c>
    </row>
    <row r="727" spans="2:10">
      <c r="B727" s="731"/>
      <c r="I727" s="707" t="s">
        <v>2572</v>
      </c>
      <c r="J727" s="728" t="s">
        <v>4621</v>
      </c>
    </row>
    <row r="728" spans="2:10">
      <c r="B728" s="731"/>
      <c r="I728" s="707" t="s">
        <v>2648</v>
      </c>
      <c r="J728" s="728" t="s">
        <v>4623</v>
      </c>
    </row>
    <row r="729" spans="2:10">
      <c r="B729" s="731"/>
      <c r="I729" s="707" t="s">
        <v>1934</v>
      </c>
      <c r="J729" s="728" t="s">
        <v>4624</v>
      </c>
    </row>
    <row r="730" spans="2:10">
      <c r="B730" s="731"/>
      <c r="I730" s="707" t="s">
        <v>1404</v>
      </c>
      <c r="J730" s="728" t="s">
        <v>4627</v>
      </c>
    </row>
    <row r="731" spans="2:10">
      <c r="B731" s="731"/>
      <c r="I731" s="707" t="s">
        <v>1867</v>
      </c>
      <c r="J731" s="728" t="s">
        <v>4629</v>
      </c>
    </row>
    <row r="732" spans="2:10">
      <c r="B732" s="731"/>
      <c r="I732" s="707" t="s">
        <v>2123</v>
      </c>
      <c r="J732" s="728" t="s">
        <v>4628</v>
      </c>
    </row>
    <row r="733" spans="2:10">
      <c r="B733" s="731"/>
      <c r="I733" s="707" t="s">
        <v>3027</v>
      </c>
      <c r="J733" s="728" t="s">
        <v>4630</v>
      </c>
    </row>
    <row r="734" spans="2:10">
      <c r="B734" s="731"/>
      <c r="I734" s="707" t="s">
        <v>2076</v>
      </c>
      <c r="J734" s="728" t="s">
        <v>4631</v>
      </c>
    </row>
    <row r="735" spans="2:10">
      <c r="B735" s="731"/>
      <c r="I735" s="707" t="s">
        <v>1423</v>
      </c>
      <c r="J735" s="728" t="s">
        <v>4632</v>
      </c>
    </row>
    <row r="736" spans="2:10">
      <c r="B736" s="731"/>
      <c r="I736" s="707" t="s">
        <v>2217</v>
      </c>
      <c r="J736" s="728" t="s">
        <v>4633</v>
      </c>
    </row>
    <row r="737" spans="2:10">
      <c r="B737" s="731"/>
      <c r="I737" s="707" t="s">
        <v>2996</v>
      </c>
      <c r="J737" s="728" t="s">
        <v>4634</v>
      </c>
    </row>
    <row r="738" spans="2:10">
      <c r="B738" s="731"/>
      <c r="I738" s="707" t="s">
        <v>3010</v>
      </c>
      <c r="J738" s="728" t="s">
        <v>4635</v>
      </c>
    </row>
    <row r="739" spans="2:10">
      <c r="B739" s="731"/>
      <c r="I739" s="707" t="s">
        <v>2897</v>
      </c>
      <c r="J739" s="728" t="s">
        <v>4636</v>
      </c>
    </row>
    <row r="740" spans="2:10">
      <c r="B740" s="731"/>
      <c r="I740" s="707" t="s">
        <v>1744</v>
      </c>
      <c r="J740" s="728" t="s">
        <v>4637</v>
      </c>
    </row>
    <row r="741" spans="2:10">
      <c r="B741" s="731"/>
      <c r="I741" s="707" t="s">
        <v>2546</v>
      </c>
      <c r="J741" s="728" t="s">
        <v>4638</v>
      </c>
    </row>
    <row r="742" spans="2:10">
      <c r="B742" s="731"/>
      <c r="I742" s="707" t="s">
        <v>2574</v>
      </c>
      <c r="J742" s="728" t="s">
        <v>4640</v>
      </c>
    </row>
    <row r="743" spans="2:10">
      <c r="B743" s="731"/>
      <c r="I743" s="707" t="s">
        <v>2908</v>
      </c>
      <c r="J743" s="728" t="s">
        <v>4641</v>
      </c>
    </row>
    <row r="744" spans="2:10">
      <c r="B744" s="731"/>
      <c r="I744" s="707" t="s">
        <v>1913</v>
      </c>
      <c r="J744" s="728" t="s">
        <v>4642</v>
      </c>
    </row>
    <row r="745" spans="2:10">
      <c r="B745" s="731"/>
      <c r="I745" s="707" t="s">
        <v>3696</v>
      </c>
      <c r="J745" s="728" t="s">
        <v>4643</v>
      </c>
    </row>
    <row r="746" spans="2:10">
      <c r="B746" s="731"/>
      <c r="I746" s="707" t="s">
        <v>2815</v>
      </c>
      <c r="J746" s="728" t="s">
        <v>4644</v>
      </c>
    </row>
    <row r="747" spans="2:10">
      <c r="B747" s="731"/>
      <c r="I747" s="707" t="s">
        <v>3333</v>
      </c>
      <c r="J747" s="728" t="s">
        <v>4645</v>
      </c>
    </row>
    <row r="748" spans="2:10">
      <c r="B748" s="731"/>
      <c r="I748" s="707" t="s">
        <v>2900</v>
      </c>
      <c r="J748" s="728" t="s">
        <v>4646</v>
      </c>
    </row>
    <row r="749" spans="2:10">
      <c r="B749" s="731"/>
      <c r="I749" s="707" t="s">
        <v>2606</v>
      </c>
      <c r="J749" s="728" t="s">
        <v>4647</v>
      </c>
    </row>
    <row r="750" spans="2:10">
      <c r="B750" s="731"/>
      <c r="I750" s="707" t="s">
        <v>3697</v>
      </c>
      <c r="J750" s="728" t="s">
        <v>4648</v>
      </c>
    </row>
    <row r="751" spans="2:10">
      <c r="B751" s="731"/>
      <c r="I751" s="707" t="s">
        <v>2728</v>
      </c>
      <c r="J751" s="728" t="s">
        <v>4649</v>
      </c>
    </row>
    <row r="752" spans="2:10">
      <c r="B752" s="731"/>
      <c r="I752" s="707" t="s">
        <v>3698</v>
      </c>
      <c r="J752" s="728" t="s">
        <v>4650</v>
      </c>
    </row>
    <row r="753" spans="2:10">
      <c r="B753" s="731"/>
      <c r="I753" s="707" t="s">
        <v>2328</v>
      </c>
      <c r="J753" s="728" t="s">
        <v>4651</v>
      </c>
    </row>
    <row r="754" spans="2:10">
      <c r="B754" s="731"/>
      <c r="I754" s="707" t="s">
        <v>1949</v>
      </c>
      <c r="J754" s="728" t="s">
        <v>4652</v>
      </c>
    </row>
    <row r="755" spans="2:10">
      <c r="B755" s="731"/>
      <c r="I755" s="707" t="s">
        <v>3293</v>
      </c>
      <c r="J755" s="728" t="s">
        <v>4653</v>
      </c>
    </row>
    <row r="756" spans="2:10">
      <c r="B756" s="731"/>
      <c r="I756" s="707" t="s">
        <v>2041</v>
      </c>
      <c r="J756" s="728" t="s">
        <v>4654</v>
      </c>
    </row>
    <row r="757" spans="2:10">
      <c r="B757" s="731"/>
      <c r="I757" s="707" t="s">
        <v>2027</v>
      </c>
      <c r="J757" s="728" t="s">
        <v>4655</v>
      </c>
    </row>
    <row r="758" spans="2:10">
      <c r="B758" s="731"/>
      <c r="I758" s="707" t="s">
        <v>3339</v>
      </c>
      <c r="J758" s="728" t="s">
        <v>4656</v>
      </c>
    </row>
    <row r="759" spans="2:10">
      <c r="B759" s="731"/>
      <c r="I759" s="707" t="s">
        <v>2808</v>
      </c>
      <c r="J759" s="728" t="s">
        <v>4657</v>
      </c>
    </row>
    <row r="760" spans="2:10">
      <c r="B760" s="731"/>
      <c r="I760" s="707" t="s">
        <v>1530</v>
      </c>
      <c r="J760" s="728" t="s">
        <v>4658</v>
      </c>
    </row>
    <row r="761" spans="2:10">
      <c r="B761" s="731"/>
      <c r="I761" s="707" t="s">
        <v>3699</v>
      </c>
      <c r="J761" s="728" t="s">
        <v>4659</v>
      </c>
    </row>
    <row r="762" spans="2:10">
      <c r="B762" s="731"/>
      <c r="I762" s="707" t="s">
        <v>1413</v>
      </c>
      <c r="J762" s="728" t="s">
        <v>4660</v>
      </c>
    </row>
    <row r="763" spans="2:10">
      <c r="B763" s="731"/>
      <c r="I763" s="707" t="s">
        <v>2395</v>
      </c>
      <c r="J763" s="728" t="s">
        <v>4661</v>
      </c>
    </row>
    <row r="764" spans="2:10">
      <c r="B764" s="731"/>
      <c r="I764" s="707" t="s">
        <v>2427</v>
      </c>
      <c r="J764" s="728" t="s">
        <v>4662</v>
      </c>
    </row>
    <row r="765" spans="2:10">
      <c r="B765" s="731"/>
      <c r="I765" s="707" t="s">
        <v>1821</v>
      </c>
      <c r="J765" s="728" t="s">
        <v>4663</v>
      </c>
    </row>
    <row r="766" spans="2:10">
      <c r="B766" s="731"/>
      <c r="I766" s="707" t="s">
        <v>2287</v>
      </c>
      <c r="J766" s="728" t="s">
        <v>4664</v>
      </c>
    </row>
    <row r="767" spans="2:10">
      <c r="B767" s="731"/>
      <c r="I767" s="707" t="s">
        <v>3700</v>
      </c>
      <c r="J767" s="728" t="s">
        <v>4665</v>
      </c>
    </row>
    <row r="768" spans="2:10">
      <c r="B768" s="731"/>
      <c r="I768" s="707" t="s">
        <v>1965</v>
      </c>
      <c r="J768" s="728" t="s">
        <v>4666</v>
      </c>
    </row>
    <row r="769" spans="2:10">
      <c r="B769" s="731"/>
      <c r="I769" s="707" t="s">
        <v>1681</v>
      </c>
      <c r="J769" s="728" t="s">
        <v>4667</v>
      </c>
    </row>
    <row r="770" spans="2:10">
      <c r="B770" s="731"/>
      <c r="I770" s="707" t="s">
        <v>3701</v>
      </c>
      <c r="J770" s="728" t="s">
        <v>4668</v>
      </c>
    </row>
    <row r="771" spans="2:10">
      <c r="B771" s="731"/>
      <c r="I771" s="707" t="s">
        <v>1787</v>
      </c>
      <c r="J771" s="728" t="s">
        <v>4669</v>
      </c>
    </row>
    <row r="772" spans="2:10">
      <c r="B772" s="731"/>
      <c r="I772" s="707" t="s">
        <v>1956</v>
      </c>
      <c r="J772" s="728" t="s">
        <v>4670</v>
      </c>
    </row>
    <row r="773" spans="2:10">
      <c r="B773" s="731"/>
      <c r="I773" s="707" t="s">
        <v>3332</v>
      </c>
      <c r="J773" s="728" t="s">
        <v>4671</v>
      </c>
    </row>
    <row r="774" spans="2:10">
      <c r="B774" s="731"/>
      <c r="I774" s="707" t="s">
        <v>3702</v>
      </c>
      <c r="J774" s="728" t="s">
        <v>4672</v>
      </c>
    </row>
    <row r="775" spans="2:10">
      <c r="B775" s="731"/>
      <c r="I775" s="707" t="s">
        <v>1558</v>
      </c>
      <c r="J775" s="728" t="s">
        <v>4673</v>
      </c>
    </row>
    <row r="776" spans="2:10">
      <c r="B776" s="731"/>
      <c r="I776" s="707" t="s">
        <v>1459</v>
      </c>
      <c r="J776" s="728" t="s">
        <v>4674</v>
      </c>
    </row>
    <row r="777" spans="2:10">
      <c r="B777" s="731"/>
      <c r="I777" s="707" t="s">
        <v>2025</v>
      </c>
      <c r="J777" s="728" t="s">
        <v>4675</v>
      </c>
    </row>
    <row r="778" spans="2:10">
      <c r="B778" s="731"/>
      <c r="I778" s="707" t="s">
        <v>1853</v>
      </c>
      <c r="J778" s="728" t="s">
        <v>4676</v>
      </c>
    </row>
    <row r="779" spans="2:10">
      <c r="B779" s="731"/>
      <c r="I779" s="707" t="s">
        <v>3703</v>
      </c>
      <c r="J779" s="728" t="s">
        <v>4677</v>
      </c>
    </row>
    <row r="780" spans="2:10">
      <c r="B780" s="731"/>
      <c r="I780" s="707" t="s">
        <v>1735</v>
      </c>
      <c r="J780" s="728" t="s">
        <v>4678</v>
      </c>
    </row>
    <row r="781" spans="2:10">
      <c r="B781" s="731"/>
      <c r="I781" s="707" t="s">
        <v>2767</v>
      </c>
      <c r="J781" s="728" t="s">
        <v>4679</v>
      </c>
    </row>
    <row r="782" spans="2:10">
      <c r="B782" s="731"/>
      <c r="I782" s="707" t="s">
        <v>3704</v>
      </c>
      <c r="J782" s="728" t="s">
        <v>4680</v>
      </c>
    </row>
    <row r="783" spans="2:10">
      <c r="B783" s="731"/>
      <c r="I783" s="707" t="s">
        <v>2887</v>
      </c>
      <c r="J783" s="728" t="s">
        <v>4681</v>
      </c>
    </row>
    <row r="784" spans="2:10">
      <c r="B784" s="731"/>
      <c r="I784" s="707" t="s">
        <v>2381</v>
      </c>
      <c r="J784" s="728" t="s">
        <v>4682</v>
      </c>
    </row>
    <row r="785" spans="2:10">
      <c r="B785" s="731"/>
      <c r="I785" s="707" t="s">
        <v>1233</v>
      </c>
      <c r="J785" s="728" t="s">
        <v>4683</v>
      </c>
    </row>
    <row r="786" spans="2:10">
      <c r="B786" s="731"/>
      <c r="I786" s="707" t="s">
        <v>1157</v>
      </c>
      <c r="J786" s="728" t="s">
        <v>4684</v>
      </c>
    </row>
    <row r="787" spans="2:10">
      <c r="B787" s="731"/>
      <c r="I787" s="707" t="s">
        <v>3705</v>
      </c>
      <c r="J787" s="728" t="s">
        <v>4685</v>
      </c>
    </row>
    <row r="788" spans="2:10">
      <c r="B788" s="731"/>
      <c r="I788" s="707" t="s">
        <v>1348</v>
      </c>
      <c r="J788" s="728" t="s">
        <v>4686</v>
      </c>
    </row>
    <row r="789" spans="2:10">
      <c r="B789" s="731"/>
      <c r="I789" s="707" t="s">
        <v>1080</v>
      </c>
      <c r="J789" s="728" t="s">
        <v>4687</v>
      </c>
    </row>
    <row r="790" spans="2:10">
      <c r="B790" s="731"/>
      <c r="I790" s="707" t="s">
        <v>3240</v>
      </c>
      <c r="J790" s="728" t="s">
        <v>4688</v>
      </c>
    </row>
    <row r="791" spans="2:10">
      <c r="B791" s="731"/>
      <c r="I791" s="707" t="s">
        <v>3706</v>
      </c>
      <c r="J791" s="728" t="s">
        <v>4689</v>
      </c>
    </row>
    <row r="792" spans="2:10">
      <c r="B792" s="731"/>
      <c r="I792" s="707" t="s">
        <v>3707</v>
      </c>
      <c r="J792" s="728" t="s">
        <v>4690</v>
      </c>
    </row>
    <row r="793" spans="2:10">
      <c r="B793" s="731"/>
      <c r="I793" s="707" t="s">
        <v>1118</v>
      </c>
      <c r="J793" s="728" t="s">
        <v>4691</v>
      </c>
    </row>
    <row r="794" spans="2:10">
      <c r="B794" s="731"/>
      <c r="I794" s="707" t="s">
        <v>1062</v>
      </c>
      <c r="J794" s="728" t="s">
        <v>4692</v>
      </c>
    </row>
    <row r="795" spans="2:10">
      <c r="B795" s="731"/>
      <c r="I795" s="707" t="s">
        <v>6903</v>
      </c>
      <c r="J795" s="728" t="s">
        <v>7023</v>
      </c>
    </row>
    <row r="796" spans="2:10">
      <c r="B796" s="731"/>
      <c r="I796" s="707" t="s">
        <v>1132</v>
      </c>
      <c r="J796" s="728" t="s">
        <v>4693</v>
      </c>
    </row>
    <row r="797" spans="2:10">
      <c r="B797" s="731"/>
      <c r="I797" s="707" t="s">
        <v>6904</v>
      </c>
      <c r="J797" s="728" t="s">
        <v>7024</v>
      </c>
    </row>
    <row r="798" spans="2:10">
      <c r="B798" s="731"/>
      <c r="I798" s="707" t="s">
        <v>1035</v>
      </c>
      <c r="J798" s="728" t="s">
        <v>4694</v>
      </c>
    </row>
    <row r="799" spans="2:10">
      <c r="B799" s="731"/>
      <c r="I799" s="707" t="s">
        <v>1412</v>
      </c>
      <c r="J799" s="728" t="s">
        <v>4695</v>
      </c>
    </row>
    <row r="800" spans="2:10">
      <c r="B800" s="731"/>
      <c r="I800" s="707" t="s">
        <v>3257</v>
      </c>
      <c r="J800" s="728" t="s">
        <v>4696</v>
      </c>
    </row>
    <row r="801" spans="2:10">
      <c r="B801" s="731"/>
      <c r="I801" s="707" t="s">
        <v>2802</v>
      </c>
      <c r="J801" s="728" t="s">
        <v>4697</v>
      </c>
    </row>
    <row r="802" spans="2:10">
      <c r="B802" s="731"/>
      <c r="I802" s="707" t="s">
        <v>3708</v>
      </c>
      <c r="J802" s="728" t="s">
        <v>4698</v>
      </c>
    </row>
    <row r="803" spans="2:10">
      <c r="B803" s="731"/>
      <c r="I803" s="707" t="s">
        <v>3709</v>
      </c>
      <c r="J803" s="728" t="s">
        <v>4699</v>
      </c>
    </row>
    <row r="804" spans="2:10">
      <c r="B804" s="731"/>
      <c r="I804" s="707" t="s">
        <v>3710</v>
      </c>
      <c r="J804" s="728" t="s">
        <v>4700</v>
      </c>
    </row>
    <row r="805" spans="2:10">
      <c r="B805" s="731"/>
      <c r="I805" s="707" t="s">
        <v>1111</v>
      </c>
      <c r="J805" s="728" t="s">
        <v>4701</v>
      </c>
    </row>
    <row r="806" spans="2:10">
      <c r="B806" s="731"/>
      <c r="I806" s="707" t="s">
        <v>2902</v>
      </c>
      <c r="J806" s="728" t="s">
        <v>4702</v>
      </c>
    </row>
    <row r="807" spans="2:10">
      <c r="B807" s="731"/>
      <c r="I807" s="707" t="s">
        <v>1704</v>
      </c>
      <c r="J807" s="728" t="s">
        <v>4703</v>
      </c>
    </row>
    <row r="808" spans="2:10">
      <c r="B808" s="731"/>
      <c r="I808" s="707" t="s">
        <v>2521</v>
      </c>
      <c r="J808" s="728" t="s">
        <v>4704</v>
      </c>
    </row>
    <row r="809" spans="2:10">
      <c r="B809" s="731"/>
      <c r="I809" s="707" t="s">
        <v>3711</v>
      </c>
      <c r="J809" s="728" t="s">
        <v>4705</v>
      </c>
    </row>
    <row r="810" spans="2:10">
      <c r="B810" s="731"/>
      <c r="I810" s="707" t="s">
        <v>1795</v>
      </c>
      <c r="J810" s="728" t="s">
        <v>4706</v>
      </c>
    </row>
    <row r="811" spans="2:10">
      <c r="B811" s="731"/>
      <c r="I811" s="707" t="s">
        <v>2739</v>
      </c>
      <c r="J811" s="728" t="s">
        <v>4707</v>
      </c>
    </row>
    <row r="812" spans="2:10">
      <c r="B812" s="731"/>
      <c r="I812" s="707" t="s">
        <v>2663</v>
      </c>
      <c r="J812" s="728" t="s">
        <v>4708</v>
      </c>
    </row>
    <row r="813" spans="2:10">
      <c r="B813" s="731"/>
      <c r="I813" s="707" t="s">
        <v>3712</v>
      </c>
      <c r="J813" s="728" t="s">
        <v>4709</v>
      </c>
    </row>
    <row r="814" spans="2:10">
      <c r="B814" s="731"/>
      <c r="I814" s="707" t="s">
        <v>2709</v>
      </c>
      <c r="J814" s="728" t="s">
        <v>4710</v>
      </c>
    </row>
    <row r="815" spans="2:10">
      <c r="B815" s="731"/>
      <c r="I815" s="707" t="s">
        <v>3713</v>
      </c>
      <c r="J815" s="728" t="s">
        <v>4711</v>
      </c>
    </row>
    <row r="816" spans="2:10">
      <c r="B816" s="731"/>
      <c r="I816" s="707" t="s">
        <v>2277</v>
      </c>
      <c r="J816" s="728" t="s">
        <v>4712</v>
      </c>
    </row>
    <row r="817" spans="2:10">
      <c r="B817" s="731"/>
      <c r="I817" s="707" t="s">
        <v>2729</v>
      </c>
      <c r="J817" s="728" t="s">
        <v>4713</v>
      </c>
    </row>
    <row r="818" spans="2:10">
      <c r="B818" s="731"/>
      <c r="I818" s="707" t="s">
        <v>3714</v>
      </c>
      <c r="J818" s="728" t="s">
        <v>4714</v>
      </c>
    </row>
    <row r="819" spans="2:10">
      <c r="B819" s="731"/>
      <c r="I819" s="707" t="s">
        <v>3715</v>
      </c>
      <c r="J819" s="728" t="s">
        <v>4715</v>
      </c>
    </row>
    <row r="820" spans="2:10">
      <c r="B820" s="731"/>
      <c r="I820" s="707" t="s">
        <v>2584</v>
      </c>
      <c r="J820" s="728" t="s">
        <v>4716</v>
      </c>
    </row>
    <row r="821" spans="2:10">
      <c r="B821" s="731"/>
      <c r="I821" s="707" t="s">
        <v>3716</v>
      </c>
      <c r="J821" s="728" t="s">
        <v>4717</v>
      </c>
    </row>
    <row r="822" spans="2:10">
      <c r="B822" s="731"/>
      <c r="I822" s="707" t="s">
        <v>2837</v>
      </c>
      <c r="J822" s="728" t="s">
        <v>4116</v>
      </c>
    </row>
    <row r="823" spans="2:10">
      <c r="B823" s="731"/>
      <c r="I823" s="707" t="s">
        <v>3717</v>
      </c>
      <c r="J823" s="728" t="s">
        <v>4718</v>
      </c>
    </row>
    <row r="824" spans="2:10">
      <c r="B824" s="731"/>
      <c r="I824" s="707" t="s">
        <v>1612</v>
      </c>
      <c r="J824" s="728" t="s">
        <v>4720</v>
      </c>
    </row>
    <row r="825" spans="2:10">
      <c r="B825" s="731"/>
      <c r="I825" s="707" t="s">
        <v>2426</v>
      </c>
      <c r="J825" s="728" t="s">
        <v>4721</v>
      </c>
    </row>
    <row r="826" spans="2:10">
      <c r="B826" s="731"/>
      <c r="I826" s="707" t="s">
        <v>1370</v>
      </c>
      <c r="J826" s="728" t="s">
        <v>4722</v>
      </c>
    </row>
    <row r="827" spans="2:10">
      <c r="B827" s="731"/>
      <c r="I827" s="707" t="s">
        <v>2148</v>
      </c>
      <c r="J827" s="728" t="s">
        <v>4723</v>
      </c>
    </row>
    <row r="828" spans="2:10">
      <c r="B828" s="731"/>
      <c r="I828" s="707" t="s">
        <v>2127</v>
      </c>
      <c r="J828" s="728" t="s">
        <v>4724</v>
      </c>
    </row>
    <row r="829" spans="2:10">
      <c r="B829" s="731"/>
      <c r="I829" s="707" t="s">
        <v>1468</v>
      </c>
      <c r="J829" s="728" t="s">
        <v>4725</v>
      </c>
    </row>
    <row r="830" spans="2:10">
      <c r="B830" s="731"/>
      <c r="I830" s="707" t="s">
        <v>3718</v>
      </c>
      <c r="J830" s="728" t="s">
        <v>4726</v>
      </c>
    </row>
    <row r="831" spans="2:10">
      <c r="B831" s="731"/>
      <c r="I831" s="707" t="s">
        <v>3730</v>
      </c>
      <c r="J831" s="728" t="s">
        <v>4789</v>
      </c>
    </row>
    <row r="832" spans="2:10">
      <c r="B832" s="731"/>
      <c r="I832" s="707" t="s">
        <v>3719</v>
      </c>
      <c r="J832" s="728" t="s">
        <v>4727</v>
      </c>
    </row>
    <row r="833" spans="2:10">
      <c r="B833" s="731"/>
      <c r="I833" s="707" t="s">
        <v>2345</v>
      </c>
      <c r="J833" s="728" t="s">
        <v>4728</v>
      </c>
    </row>
    <row r="834" spans="2:10">
      <c r="B834" s="731"/>
      <c r="I834" s="707" t="s">
        <v>1725</v>
      </c>
      <c r="J834" s="728" t="s">
        <v>4729</v>
      </c>
    </row>
    <row r="835" spans="2:10">
      <c r="B835" s="731"/>
      <c r="I835" s="707" t="s">
        <v>2139</v>
      </c>
      <c r="J835" s="728" t="s">
        <v>4730</v>
      </c>
    </row>
    <row r="836" spans="2:10">
      <c r="B836" s="731"/>
      <c r="I836" s="707" t="s">
        <v>1210</v>
      </c>
      <c r="J836" s="728" t="s">
        <v>4731</v>
      </c>
    </row>
    <row r="837" spans="2:10">
      <c r="B837" s="731"/>
      <c r="I837" s="707" t="s">
        <v>2771</v>
      </c>
      <c r="J837" s="728" t="s">
        <v>4732</v>
      </c>
    </row>
    <row r="838" spans="2:10">
      <c r="B838" s="731"/>
      <c r="I838" s="707" t="s">
        <v>3720</v>
      </c>
      <c r="J838" s="728" t="s">
        <v>4733</v>
      </c>
    </row>
    <row r="839" spans="2:10">
      <c r="B839" s="731"/>
      <c r="I839" s="707" t="s">
        <v>1377</v>
      </c>
      <c r="J839" s="728" t="s">
        <v>4734</v>
      </c>
    </row>
    <row r="840" spans="2:10">
      <c r="B840" s="731"/>
      <c r="I840" s="707" t="s">
        <v>3721</v>
      </c>
      <c r="J840" s="728" t="s">
        <v>4735</v>
      </c>
    </row>
    <row r="841" spans="2:10">
      <c r="B841" s="731"/>
      <c r="I841" s="707" t="s">
        <v>2665</v>
      </c>
      <c r="J841" s="728" t="s">
        <v>4736</v>
      </c>
    </row>
    <row r="842" spans="2:10">
      <c r="B842" s="731"/>
      <c r="I842" s="707" t="s">
        <v>3722</v>
      </c>
      <c r="J842" s="728" t="s">
        <v>4737</v>
      </c>
    </row>
    <row r="843" spans="2:10">
      <c r="B843" s="731"/>
      <c r="I843" s="707" t="s">
        <v>2881</v>
      </c>
      <c r="J843" s="728" t="s">
        <v>4738</v>
      </c>
    </row>
    <row r="844" spans="2:10">
      <c r="B844" s="731"/>
      <c r="I844" s="707" t="s">
        <v>3723</v>
      </c>
      <c r="J844" s="728" t="s">
        <v>4739</v>
      </c>
    </row>
    <row r="845" spans="2:10">
      <c r="B845" s="731"/>
      <c r="I845" s="707" t="s">
        <v>2791</v>
      </c>
      <c r="J845" s="728" t="s">
        <v>4740</v>
      </c>
    </row>
    <row r="846" spans="2:10">
      <c r="B846" s="731"/>
      <c r="I846" s="707" t="s">
        <v>1259</v>
      </c>
      <c r="J846" s="728" t="s">
        <v>4741</v>
      </c>
    </row>
    <row r="847" spans="2:10">
      <c r="B847" s="731"/>
      <c r="I847" s="707" t="s">
        <v>1477</v>
      </c>
      <c r="J847" s="728" t="s">
        <v>4742</v>
      </c>
    </row>
    <row r="848" spans="2:10">
      <c r="B848" s="731"/>
      <c r="I848" s="707" t="s">
        <v>1069</v>
      </c>
      <c r="J848" s="728" t="s">
        <v>4743</v>
      </c>
    </row>
    <row r="849" spans="2:10">
      <c r="B849" s="731"/>
      <c r="I849" s="707" t="s">
        <v>3308</v>
      </c>
      <c r="J849" s="728" t="s">
        <v>4744</v>
      </c>
    </row>
    <row r="850" spans="2:10">
      <c r="B850" s="731"/>
      <c r="I850" s="707" t="s">
        <v>2320</v>
      </c>
      <c r="J850" s="728" t="s">
        <v>4745</v>
      </c>
    </row>
    <row r="851" spans="2:10">
      <c r="B851" s="731"/>
      <c r="I851" s="707" t="s">
        <v>1391</v>
      </c>
      <c r="J851" s="728" t="s">
        <v>4746</v>
      </c>
    </row>
    <row r="852" spans="2:10">
      <c r="B852" s="731"/>
      <c r="I852" s="707" t="s">
        <v>2273</v>
      </c>
      <c r="J852" s="728" t="s">
        <v>4747</v>
      </c>
    </row>
    <row r="853" spans="2:10">
      <c r="B853" s="731"/>
      <c r="I853" s="707" t="s">
        <v>2835</v>
      </c>
      <c r="J853" s="728" t="s">
        <v>4748</v>
      </c>
    </row>
    <row r="854" spans="2:10">
      <c r="B854" s="731"/>
      <c r="I854" s="707" t="s">
        <v>2826</v>
      </c>
      <c r="J854" s="728" t="s">
        <v>4749</v>
      </c>
    </row>
    <row r="855" spans="2:10">
      <c r="B855" s="731"/>
      <c r="I855" s="707" t="s">
        <v>6905</v>
      </c>
      <c r="J855" s="728" t="s">
        <v>5400</v>
      </c>
    </row>
    <row r="856" spans="2:10">
      <c r="B856" s="731"/>
      <c r="I856" s="707" t="s">
        <v>2576</v>
      </c>
      <c r="J856" s="728" t="s">
        <v>4750</v>
      </c>
    </row>
    <row r="857" spans="2:10">
      <c r="B857" s="731"/>
      <c r="I857" s="707" t="s">
        <v>2244</v>
      </c>
      <c r="J857" s="728" t="s">
        <v>4751</v>
      </c>
    </row>
    <row r="858" spans="2:10">
      <c r="B858" s="731"/>
      <c r="I858" s="707" t="s">
        <v>1228</v>
      </c>
      <c r="J858" s="728" t="s">
        <v>4752</v>
      </c>
    </row>
    <row r="859" spans="2:10">
      <c r="B859" s="731"/>
      <c r="I859" s="707" t="s">
        <v>2182</v>
      </c>
      <c r="J859" s="728" t="s">
        <v>4753</v>
      </c>
    </row>
    <row r="860" spans="2:10">
      <c r="B860" s="731"/>
      <c r="I860" s="707" t="s">
        <v>2726</v>
      </c>
      <c r="J860" s="728" t="s">
        <v>4754</v>
      </c>
    </row>
    <row r="861" spans="2:10">
      <c r="B861" s="731"/>
      <c r="I861" s="707" t="s">
        <v>3724</v>
      </c>
      <c r="J861" s="728" t="s">
        <v>4755</v>
      </c>
    </row>
    <row r="862" spans="2:10">
      <c r="B862" s="731"/>
      <c r="I862" s="707" t="s">
        <v>3725</v>
      </c>
      <c r="J862" s="728" t="s">
        <v>4756</v>
      </c>
    </row>
    <row r="863" spans="2:10">
      <c r="B863" s="731"/>
      <c r="I863" s="707" t="s">
        <v>1527</v>
      </c>
      <c r="J863" s="728" t="s">
        <v>4757</v>
      </c>
    </row>
    <row r="864" spans="2:10">
      <c r="B864" s="731"/>
      <c r="I864" s="707" t="s">
        <v>3294</v>
      </c>
      <c r="J864" s="728" t="s">
        <v>4758</v>
      </c>
    </row>
    <row r="865" spans="2:10">
      <c r="B865" s="731"/>
      <c r="I865" s="707" t="s">
        <v>1547</v>
      </c>
      <c r="J865" s="728" t="s">
        <v>4759</v>
      </c>
    </row>
    <row r="866" spans="2:10">
      <c r="B866" s="731"/>
      <c r="I866" s="707" t="s">
        <v>2313</v>
      </c>
      <c r="J866" s="728" t="s">
        <v>4760</v>
      </c>
    </row>
    <row r="867" spans="2:10">
      <c r="B867" s="731"/>
      <c r="I867" s="707" t="s">
        <v>2640</v>
      </c>
      <c r="J867" s="728" t="s">
        <v>4761</v>
      </c>
    </row>
    <row r="868" spans="2:10">
      <c r="B868" s="731"/>
      <c r="I868" s="707" t="s">
        <v>2281</v>
      </c>
      <c r="J868" s="728" t="s">
        <v>4762</v>
      </c>
    </row>
    <row r="869" spans="2:10">
      <c r="B869" s="731"/>
      <c r="I869" s="707" t="s">
        <v>1568</v>
      </c>
      <c r="J869" s="728" t="s">
        <v>4763</v>
      </c>
    </row>
    <row r="870" spans="2:10">
      <c r="B870" s="731"/>
      <c r="I870" s="707" t="s">
        <v>2231</v>
      </c>
      <c r="J870" s="728" t="s">
        <v>4764</v>
      </c>
    </row>
    <row r="871" spans="2:10">
      <c r="B871" s="731"/>
      <c r="I871" s="707" t="s">
        <v>2805</v>
      </c>
      <c r="J871" s="728" t="s">
        <v>4765</v>
      </c>
    </row>
    <row r="872" spans="2:10">
      <c r="B872" s="731"/>
      <c r="I872" s="707" t="s">
        <v>2774</v>
      </c>
      <c r="J872" s="728" t="s">
        <v>4766</v>
      </c>
    </row>
    <row r="873" spans="2:10">
      <c r="B873" s="731"/>
      <c r="I873" s="707" t="s">
        <v>3726</v>
      </c>
      <c r="J873" s="728" t="s">
        <v>4767</v>
      </c>
    </row>
    <row r="874" spans="2:10">
      <c r="B874" s="731"/>
      <c r="I874" s="707" t="s">
        <v>2579</v>
      </c>
      <c r="J874" s="728" t="s">
        <v>4768</v>
      </c>
    </row>
    <row r="875" spans="2:10">
      <c r="B875" s="731"/>
      <c r="I875" s="707" t="s">
        <v>3346</v>
      </c>
      <c r="J875" s="728" t="s">
        <v>4769</v>
      </c>
    </row>
    <row r="876" spans="2:10">
      <c r="B876" s="731"/>
      <c r="I876" s="707" t="s">
        <v>1642</v>
      </c>
      <c r="J876" s="728" t="s">
        <v>4770</v>
      </c>
    </row>
    <row r="877" spans="2:10">
      <c r="B877" s="731"/>
      <c r="I877" s="707" t="s">
        <v>1516</v>
      </c>
      <c r="J877" s="728" t="s">
        <v>4771</v>
      </c>
    </row>
    <row r="878" spans="2:10">
      <c r="B878" s="731"/>
      <c r="I878" s="707" t="s">
        <v>2948</v>
      </c>
      <c r="J878" s="728" t="s">
        <v>4772</v>
      </c>
    </row>
    <row r="879" spans="2:10">
      <c r="B879" s="731"/>
      <c r="I879" s="707" t="s">
        <v>1667</v>
      </c>
      <c r="J879" s="728" t="s">
        <v>4776</v>
      </c>
    </row>
    <row r="880" spans="2:10">
      <c r="B880" s="731"/>
      <c r="I880" s="707" t="s">
        <v>2750</v>
      </c>
      <c r="J880" s="728" t="s">
        <v>4774</v>
      </c>
    </row>
    <row r="881" spans="2:10">
      <c r="B881" s="731"/>
      <c r="I881" s="707" t="s">
        <v>2243</v>
      </c>
      <c r="J881" s="728" t="s">
        <v>4775</v>
      </c>
    </row>
    <row r="882" spans="2:10">
      <c r="B882" s="731"/>
      <c r="I882" s="707" t="s">
        <v>3727</v>
      </c>
      <c r="J882" s="728" t="s">
        <v>4777</v>
      </c>
    </row>
    <row r="883" spans="2:10">
      <c r="B883" s="731"/>
      <c r="I883" s="707" t="s">
        <v>1852</v>
      </c>
      <c r="J883" s="728" t="s">
        <v>4778</v>
      </c>
    </row>
    <row r="884" spans="2:10">
      <c r="B884" s="731"/>
      <c r="I884" s="707" t="s">
        <v>2603</v>
      </c>
      <c r="J884" s="728" t="s">
        <v>4779</v>
      </c>
    </row>
    <row r="885" spans="2:10">
      <c r="B885" s="731"/>
      <c r="I885" s="707" t="s">
        <v>2858</v>
      </c>
      <c r="J885" s="728" t="s">
        <v>4780</v>
      </c>
    </row>
    <row r="886" spans="2:10">
      <c r="B886" s="731"/>
      <c r="I886" s="707" t="s">
        <v>1798</v>
      </c>
      <c r="J886" s="728" t="s">
        <v>4781</v>
      </c>
    </row>
    <row r="887" spans="2:10">
      <c r="B887" s="731"/>
      <c r="I887" s="707" t="s">
        <v>3276</v>
      </c>
      <c r="J887" s="728" t="s">
        <v>4782</v>
      </c>
    </row>
    <row r="888" spans="2:10">
      <c r="B888" s="731"/>
      <c r="I888" s="707" t="s">
        <v>2919</v>
      </c>
      <c r="J888" s="728" t="s">
        <v>4783</v>
      </c>
    </row>
    <row r="889" spans="2:10">
      <c r="B889" s="731"/>
      <c r="I889" s="707" t="s">
        <v>1863</v>
      </c>
      <c r="J889" s="728" t="s">
        <v>4784</v>
      </c>
    </row>
    <row r="890" spans="2:10">
      <c r="B890" s="731"/>
      <c r="I890" s="707" t="s">
        <v>2945</v>
      </c>
      <c r="J890" s="728" t="s">
        <v>4785</v>
      </c>
    </row>
    <row r="891" spans="2:10">
      <c r="B891" s="731"/>
      <c r="I891" s="707" t="s">
        <v>3728</v>
      </c>
      <c r="J891" s="728" t="s">
        <v>4786</v>
      </c>
    </row>
    <row r="892" spans="2:10">
      <c r="B892" s="731"/>
      <c r="I892" s="707" t="s">
        <v>3331</v>
      </c>
      <c r="J892" s="728" t="s">
        <v>4787</v>
      </c>
    </row>
    <row r="893" spans="2:10">
      <c r="B893" s="731"/>
      <c r="I893" s="707" t="s">
        <v>3729</v>
      </c>
      <c r="J893" s="728" t="s">
        <v>4788</v>
      </c>
    </row>
    <row r="894" spans="2:10">
      <c r="B894" s="731"/>
      <c r="I894" s="707" t="s">
        <v>1624</v>
      </c>
      <c r="J894" s="728" t="s">
        <v>4790</v>
      </c>
    </row>
    <row r="895" spans="2:10">
      <c r="B895" s="731"/>
      <c r="I895" s="707" t="s">
        <v>3061</v>
      </c>
      <c r="J895" s="728" t="s">
        <v>4791</v>
      </c>
    </row>
    <row r="896" spans="2:10">
      <c r="B896" s="731"/>
      <c r="I896" s="707" t="s">
        <v>3372</v>
      </c>
      <c r="J896" s="728" t="s">
        <v>4792</v>
      </c>
    </row>
    <row r="897" spans="2:10">
      <c r="B897" s="731"/>
      <c r="I897" s="707" t="s">
        <v>3731</v>
      </c>
      <c r="J897" s="728" t="s">
        <v>4793</v>
      </c>
    </row>
    <row r="898" spans="2:10">
      <c r="B898" s="731"/>
      <c r="I898" s="707" t="s">
        <v>3732</v>
      </c>
      <c r="J898" s="728" t="s">
        <v>4794</v>
      </c>
    </row>
    <row r="899" spans="2:10">
      <c r="B899" s="731"/>
      <c r="I899" s="707" t="s">
        <v>3733</v>
      </c>
      <c r="J899" s="728" t="s">
        <v>4795</v>
      </c>
    </row>
    <row r="900" spans="2:10">
      <c r="B900" s="731"/>
      <c r="I900" s="707" t="s">
        <v>3734</v>
      </c>
      <c r="J900" s="728" t="s">
        <v>4796</v>
      </c>
    </row>
    <row r="901" spans="2:10">
      <c r="B901" s="731"/>
      <c r="I901" s="707" t="s">
        <v>1310</v>
      </c>
      <c r="J901" s="728" t="s">
        <v>4797</v>
      </c>
    </row>
    <row r="902" spans="2:10">
      <c r="B902" s="731"/>
      <c r="I902" s="707" t="s">
        <v>1058</v>
      </c>
      <c r="J902" s="728" t="s">
        <v>4798</v>
      </c>
    </row>
    <row r="903" spans="2:10">
      <c r="B903" s="731"/>
      <c r="I903" s="707" t="s">
        <v>6906</v>
      </c>
      <c r="J903" s="728" t="s">
        <v>7025</v>
      </c>
    </row>
    <row r="904" spans="2:10">
      <c r="B904" s="731"/>
      <c r="I904" s="707" t="s">
        <v>6907</v>
      </c>
      <c r="J904" s="728" t="s">
        <v>7026</v>
      </c>
    </row>
    <row r="905" spans="2:10">
      <c r="B905" s="731"/>
      <c r="I905" s="707" t="s">
        <v>3735</v>
      </c>
      <c r="J905" s="728" t="s">
        <v>4799</v>
      </c>
    </row>
    <row r="906" spans="2:10">
      <c r="B906" s="731"/>
      <c r="I906" s="707" t="s">
        <v>1904</v>
      </c>
      <c r="J906" s="728" t="s">
        <v>4800</v>
      </c>
    </row>
    <row r="907" spans="2:10">
      <c r="B907" s="731"/>
      <c r="I907" s="707" t="s">
        <v>2038</v>
      </c>
      <c r="J907" s="728" t="s">
        <v>4801</v>
      </c>
    </row>
    <row r="908" spans="2:10">
      <c r="B908" s="731"/>
      <c r="I908" s="707" t="s">
        <v>1221</v>
      </c>
      <c r="J908" s="728" t="s">
        <v>4802</v>
      </c>
    </row>
    <row r="909" spans="2:10">
      <c r="B909" s="731"/>
      <c r="I909" s="707" t="s">
        <v>1195</v>
      </c>
      <c r="J909" s="728" t="s">
        <v>4803</v>
      </c>
    </row>
    <row r="910" spans="2:10">
      <c r="B910" s="731"/>
      <c r="I910" s="707" t="s">
        <v>1513</v>
      </c>
      <c r="J910" s="728" t="s">
        <v>4804</v>
      </c>
    </row>
    <row r="911" spans="2:10">
      <c r="B911" s="731"/>
      <c r="I911" s="707" t="s">
        <v>1992</v>
      </c>
      <c r="J911" s="728" t="s">
        <v>4805</v>
      </c>
    </row>
    <row r="912" spans="2:10">
      <c r="B912" s="731"/>
      <c r="I912" s="707" t="s">
        <v>3736</v>
      </c>
      <c r="J912" s="728" t="s">
        <v>4806</v>
      </c>
    </row>
    <row r="913" spans="2:10">
      <c r="B913" s="731"/>
      <c r="I913" s="707" t="s">
        <v>2009</v>
      </c>
      <c r="J913" s="728" t="s">
        <v>4807</v>
      </c>
    </row>
    <row r="914" spans="2:10">
      <c r="B914" s="731"/>
      <c r="I914" s="707" t="s">
        <v>1549</v>
      </c>
      <c r="J914" s="728" t="s">
        <v>4808</v>
      </c>
    </row>
    <row r="915" spans="2:10">
      <c r="B915" s="731"/>
      <c r="I915" s="707" t="s">
        <v>1480</v>
      </c>
      <c r="J915" s="728" t="s">
        <v>4809</v>
      </c>
    </row>
    <row r="916" spans="2:10">
      <c r="B916" s="731"/>
      <c r="I916" s="707" t="s">
        <v>2067</v>
      </c>
      <c r="J916" s="728" t="s">
        <v>4810</v>
      </c>
    </row>
    <row r="917" spans="2:10">
      <c r="B917" s="731"/>
      <c r="I917" s="707" t="s">
        <v>3737</v>
      </c>
      <c r="J917" s="728" t="s">
        <v>4811</v>
      </c>
    </row>
    <row r="918" spans="2:10">
      <c r="B918" s="731"/>
      <c r="I918" s="707" t="s">
        <v>3738</v>
      </c>
      <c r="J918" s="728" t="s">
        <v>4812</v>
      </c>
    </row>
    <row r="919" spans="2:10">
      <c r="B919" s="731"/>
      <c r="I919" s="707" t="s">
        <v>1653</v>
      </c>
      <c r="J919" s="728" t="s">
        <v>4813</v>
      </c>
    </row>
    <row r="920" spans="2:10">
      <c r="B920" s="731"/>
      <c r="I920" s="707" t="s">
        <v>2406</v>
      </c>
      <c r="J920" s="728" t="s">
        <v>4814</v>
      </c>
    </row>
    <row r="921" spans="2:10">
      <c r="B921" s="731"/>
      <c r="I921" s="707" t="s">
        <v>2509</v>
      </c>
      <c r="J921" s="728" t="s">
        <v>4815</v>
      </c>
    </row>
    <row r="922" spans="2:10">
      <c r="B922" s="731"/>
      <c r="I922" s="707" t="s">
        <v>3739</v>
      </c>
      <c r="J922" s="728" t="s">
        <v>4816</v>
      </c>
    </row>
    <row r="923" spans="2:10">
      <c r="B923" s="731"/>
      <c r="I923" s="707" t="s">
        <v>1439</v>
      </c>
      <c r="J923" s="728" t="s">
        <v>4817</v>
      </c>
    </row>
    <row r="924" spans="2:10">
      <c r="B924" s="731"/>
      <c r="I924" s="707" t="s">
        <v>1985</v>
      </c>
      <c r="J924" s="728" t="s">
        <v>4818</v>
      </c>
    </row>
    <row r="925" spans="2:10">
      <c r="B925" s="731"/>
      <c r="I925" s="707" t="s">
        <v>3250</v>
      </c>
      <c r="J925" s="728" t="s">
        <v>4819</v>
      </c>
    </row>
    <row r="926" spans="2:10">
      <c r="B926" s="731"/>
      <c r="I926" s="707" t="s">
        <v>1296</v>
      </c>
      <c r="J926" s="728" t="s">
        <v>4820</v>
      </c>
    </row>
    <row r="927" spans="2:10">
      <c r="B927" s="731"/>
      <c r="I927" s="707" t="s">
        <v>1959</v>
      </c>
      <c r="J927" s="728" t="s">
        <v>4821</v>
      </c>
    </row>
    <row r="928" spans="2:10">
      <c r="B928" s="731"/>
      <c r="I928" s="707" t="s">
        <v>2849</v>
      </c>
      <c r="J928" s="728" t="s">
        <v>4822</v>
      </c>
    </row>
    <row r="929" spans="2:10">
      <c r="B929" s="731"/>
      <c r="I929" s="707" t="s">
        <v>2399</v>
      </c>
      <c r="J929" s="728" t="s">
        <v>4823</v>
      </c>
    </row>
    <row r="930" spans="2:10">
      <c r="B930" s="731"/>
      <c r="I930" s="707" t="s">
        <v>2594</v>
      </c>
      <c r="J930" s="728" t="s">
        <v>4824</v>
      </c>
    </row>
    <row r="931" spans="2:10">
      <c r="B931" s="731"/>
      <c r="I931" s="707" t="s">
        <v>1781</v>
      </c>
      <c r="J931" s="728" t="s">
        <v>4825</v>
      </c>
    </row>
    <row r="932" spans="2:10">
      <c r="B932" s="731"/>
      <c r="I932" s="707" t="s">
        <v>3305</v>
      </c>
      <c r="J932" s="728" t="s">
        <v>4826</v>
      </c>
    </row>
    <row r="933" spans="2:10">
      <c r="B933" s="731"/>
      <c r="I933" s="707" t="s">
        <v>3740</v>
      </c>
      <c r="J933" s="728" t="s">
        <v>4827</v>
      </c>
    </row>
    <row r="934" spans="2:10">
      <c r="B934" s="731"/>
      <c r="I934" s="707" t="s">
        <v>3741</v>
      </c>
      <c r="J934" s="728" t="s">
        <v>4828</v>
      </c>
    </row>
    <row r="935" spans="2:10">
      <c r="B935" s="731"/>
      <c r="I935" s="707" t="s">
        <v>2247</v>
      </c>
      <c r="J935" s="728" t="s">
        <v>4829</v>
      </c>
    </row>
    <row r="936" spans="2:10">
      <c r="B936" s="731"/>
      <c r="I936" s="707" t="s">
        <v>3742</v>
      </c>
      <c r="J936" s="728" t="s">
        <v>4830</v>
      </c>
    </row>
    <row r="937" spans="2:10">
      <c r="B937" s="731"/>
      <c r="I937" s="707" t="s">
        <v>1444</v>
      </c>
      <c r="J937" s="728" t="s">
        <v>4831</v>
      </c>
    </row>
    <row r="938" spans="2:10">
      <c r="B938" s="731"/>
      <c r="I938" s="707" t="s">
        <v>2924</v>
      </c>
      <c r="J938" s="728" t="s">
        <v>4832</v>
      </c>
    </row>
    <row r="939" spans="2:10">
      <c r="B939" s="731"/>
      <c r="I939" s="707" t="s">
        <v>1728</v>
      </c>
      <c r="J939" s="728" t="s">
        <v>4833</v>
      </c>
    </row>
    <row r="940" spans="2:10">
      <c r="B940" s="731"/>
      <c r="I940" s="707" t="s">
        <v>1361</v>
      </c>
      <c r="J940" s="728" t="s">
        <v>4834</v>
      </c>
    </row>
    <row r="941" spans="2:10">
      <c r="B941" s="731"/>
      <c r="I941" s="707" t="s">
        <v>1302</v>
      </c>
      <c r="J941" s="728" t="s">
        <v>4835</v>
      </c>
    </row>
    <row r="942" spans="2:10">
      <c r="B942" s="731"/>
      <c r="I942" s="707" t="s">
        <v>2141</v>
      </c>
      <c r="J942" s="728" t="s">
        <v>4836</v>
      </c>
    </row>
    <row r="943" spans="2:10">
      <c r="B943" s="731"/>
      <c r="I943" s="707" t="s">
        <v>2763</v>
      </c>
      <c r="J943" s="728" t="s">
        <v>4837</v>
      </c>
    </row>
    <row r="944" spans="2:10">
      <c r="B944" s="731"/>
      <c r="I944" s="707" t="s">
        <v>1831</v>
      </c>
      <c r="J944" s="728" t="s">
        <v>4838</v>
      </c>
    </row>
    <row r="945" spans="2:10">
      <c r="B945" s="731"/>
      <c r="I945" s="707" t="s">
        <v>2933</v>
      </c>
      <c r="J945" s="728" t="s">
        <v>4839</v>
      </c>
    </row>
    <row r="946" spans="2:10">
      <c r="B946" s="731"/>
      <c r="I946" s="707" t="s">
        <v>1771</v>
      </c>
      <c r="J946" s="728" t="s">
        <v>4840</v>
      </c>
    </row>
    <row r="947" spans="2:10">
      <c r="B947" s="731"/>
      <c r="I947" s="707" t="s">
        <v>3336</v>
      </c>
      <c r="J947" s="728" t="s">
        <v>4841</v>
      </c>
    </row>
    <row r="948" spans="2:10">
      <c r="B948" s="731"/>
      <c r="I948" s="707" t="s">
        <v>6908</v>
      </c>
      <c r="J948" s="728" t="s">
        <v>7027</v>
      </c>
    </row>
    <row r="949" spans="2:10">
      <c r="B949" s="731"/>
      <c r="I949" s="707" t="s">
        <v>3743</v>
      </c>
      <c r="J949" s="728" t="s">
        <v>4842</v>
      </c>
    </row>
    <row r="950" spans="2:10">
      <c r="B950" s="731"/>
      <c r="I950" s="707" t="s">
        <v>2045</v>
      </c>
      <c r="J950" s="728" t="s">
        <v>4843</v>
      </c>
    </row>
    <row r="951" spans="2:10">
      <c r="B951" s="731"/>
      <c r="I951" s="707" t="s">
        <v>2417</v>
      </c>
      <c r="J951" s="728" t="s">
        <v>4844</v>
      </c>
    </row>
    <row r="952" spans="2:10">
      <c r="B952" s="731"/>
      <c r="I952" s="707" t="s">
        <v>1562</v>
      </c>
      <c r="J952" s="728" t="s">
        <v>4845</v>
      </c>
    </row>
    <row r="953" spans="2:10">
      <c r="B953" s="731"/>
      <c r="I953" s="707" t="s">
        <v>3744</v>
      </c>
      <c r="J953" s="728" t="s">
        <v>4846</v>
      </c>
    </row>
    <row r="954" spans="2:10">
      <c r="B954" s="731"/>
      <c r="I954" s="707" t="s">
        <v>2317</v>
      </c>
      <c r="J954" s="728" t="s">
        <v>4847</v>
      </c>
    </row>
    <row r="955" spans="2:10">
      <c r="B955" s="731"/>
      <c r="I955" s="707" t="s">
        <v>2358</v>
      </c>
      <c r="J955" s="728" t="s">
        <v>4848</v>
      </c>
    </row>
    <row r="956" spans="2:10">
      <c r="B956" s="731"/>
      <c r="I956" s="707" t="s">
        <v>3745</v>
      </c>
      <c r="J956" s="728" t="s">
        <v>4849</v>
      </c>
    </row>
    <row r="957" spans="2:10">
      <c r="B957" s="731"/>
      <c r="I957" s="707" t="s">
        <v>1850</v>
      </c>
      <c r="J957" s="728" t="s">
        <v>4850</v>
      </c>
    </row>
    <row r="958" spans="2:10">
      <c r="B958" s="731"/>
      <c r="I958" s="707" t="s">
        <v>1804</v>
      </c>
      <c r="J958" s="728" t="s">
        <v>4851</v>
      </c>
    </row>
    <row r="959" spans="2:10">
      <c r="B959" s="731"/>
      <c r="I959" s="707" t="s">
        <v>2560</v>
      </c>
      <c r="J959" s="728" t="s">
        <v>4852</v>
      </c>
    </row>
    <row r="960" spans="2:10">
      <c r="B960" s="731"/>
      <c r="I960" s="707" t="s">
        <v>2261</v>
      </c>
      <c r="J960" s="728" t="s">
        <v>4853</v>
      </c>
    </row>
    <row r="961" spans="2:10">
      <c r="B961" s="731"/>
      <c r="I961" s="707" t="s">
        <v>1279</v>
      </c>
      <c r="J961" s="728" t="s">
        <v>4854</v>
      </c>
    </row>
    <row r="962" spans="2:10">
      <c r="B962" s="731"/>
      <c r="I962" s="707" t="s">
        <v>3263</v>
      </c>
      <c r="J962" s="728" t="s">
        <v>4855</v>
      </c>
    </row>
    <row r="963" spans="2:10">
      <c r="B963" s="731"/>
      <c r="I963" s="707" t="s">
        <v>1655</v>
      </c>
      <c r="J963" s="728" t="s">
        <v>4856</v>
      </c>
    </row>
    <row r="964" spans="2:10">
      <c r="B964" s="731"/>
      <c r="I964" s="707" t="s">
        <v>2308</v>
      </c>
      <c r="J964" s="728" t="s">
        <v>4857</v>
      </c>
    </row>
    <row r="965" spans="2:10">
      <c r="B965" s="731"/>
      <c r="I965" s="707" t="s">
        <v>2825</v>
      </c>
      <c r="J965" s="728" t="s">
        <v>4858</v>
      </c>
    </row>
    <row r="966" spans="2:10">
      <c r="B966" s="731"/>
      <c r="I966" s="707" t="s">
        <v>3746</v>
      </c>
      <c r="J966" s="728" t="s">
        <v>4859</v>
      </c>
    </row>
    <row r="967" spans="2:10">
      <c r="B967" s="731"/>
      <c r="I967" s="707" t="s">
        <v>1307</v>
      </c>
      <c r="J967" s="728" t="s">
        <v>4861</v>
      </c>
    </row>
    <row r="968" spans="2:10">
      <c r="B968" s="731"/>
      <c r="I968" s="707" t="s">
        <v>1700</v>
      </c>
      <c r="J968" s="728" t="s">
        <v>4862</v>
      </c>
    </row>
    <row r="969" spans="2:10">
      <c r="B969" s="731"/>
      <c r="I969" s="707" t="s">
        <v>6909</v>
      </c>
      <c r="J969" s="728" t="s">
        <v>7028</v>
      </c>
    </row>
    <row r="970" spans="2:10">
      <c r="B970" s="731"/>
      <c r="I970" s="707" t="s">
        <v>2604</v>
      </c>
      <c r="J970" s="728" t="s">
        <v>4863</v>
      </c>
    </row>
    <row r="971" spans="2:10">
      <c r="B971" s="731"/>
      <c r="I971" s="707" t="s">
        <v>2017</v>
      </c>
      <c r="J971" s="728" t="s">
        <v>4864</v>
      </c>
    </row>
    <row r="972" spans="2:10">
      <c r="B972" s="731"/>
      <c r="I972" s="707" t="s">
        <v>2512</v>
      </c>
      <c r="J972" s="728" t="s">
        <v>4865</v>
      </c>
    </row>
    <row r="973" spans="2:10">
      <c r="B973" s="731"/>
      <c r="I973" s="707" t="s">
        <v>2777</v>
      </c>
      <c r="J973" s="728" t="s">
        <v>4866</v>
      </c>
    </row>
    <row r="974" spans="2:10">
      <c r="B974" s="731"/>
      <c r="I974" s="707" t="s">
        <v>2952</v>
      </c>
      <c r="J974" s="728" t="s">
        <v>4860</v>
      </c>
    </row>
    <row r="975" spans="2:10">
      <c r="B975" s="731"/>
      <c r="I975" s="707" t="s">
        <v>2469</v>
      </c>
      <c r="J975" s="728" t="s">
        <v>4867</v>
      </c>
    </row>
    <row r="976" spans="2:10">
      <c r="B976" s="731"/>
      <c r="I976" s="707" t="s">
        <v>1457</v>
      </c>
      <c r="J976" s="728" t="s">
        <v>4868</v>
      </c>
    </row>
    <row r="977" spans="2:10">
      <c r="B977" s="731"/>
      <c r="I977" s="707" t="s">
        <v>3747</v>
      </c>
      <c r="J977" s="728" t="s">
        <v>4869</v>
      </c>
    </row>
    <row r="978" spans="2:10">
      <c r="B978" s="731"/>
      <c r="I978" s="707" t="s">
        <v>1726</v>
      </c>
      <c r="J978" s="728" t="s">
        <v>4870</v>
      </c>
    </row>
    <row r="979" spans="2:10">
      <c r="B979" s="731"/>
      <c r="I979" s="707" t="s">
        <v>2677</v>
      </c>
      <c r="J979" s="728" t="s">
        <v>4871</v>
      </c>
    </row>
    <row r="980" spans="2:10">
      <c r="B980" s="731"/>
      <c r="I980" s="707" t="s">
        <v>2779</v>
      </c>
      <c r="J980" s="728" t="s">
        <v>4872</v>
      </c>
    </row>
    <row r="981" spans="2:10">
      <c r="B981" s="731"/>
      <c r="I981" s="707" t="s">
        <v>1846</v>
      </c>
      <c r="J981" s="728" t="s">
        <v>4873</v>
      </c>
    </row>
    <row r="982" spans="2:10">
      <c r="B982" s="731"/>
      <c r="I982" s="707" t="s">
        <v>2473</v>
      </c>
      <c r="J982" s="728" t="s">
        <v>4874</v>
      </c>
    </row>
    <row r="983" spans="2:10">
      <c r="B983" s="731"/>
      <c r="I983" s="707" t="s">
        <v>3748</v>
      </c>
      <c r="J983" s="728" t="s">
        <v>4875</v>
      </c>
    </row>
    <row r="984" spans="2:10">
      <c r="B984" s="731"/>
      <c r="I984" s="707" t="s">
        <v>2235</v>
      </c>
      <c r="J984" s="728" t="s">
        <v>4876</v>
      </c>
    </row>
    <row r="985" spans="2:10">
      <c r="B985" s="731"/>
      <c r="I985" s="707" t="s">
        <v>3749</v>
      </c>
      <c r="J985" s="728" t="s">
        <v>4877</v>
      </c>
    </row>
    <row r="986" spans="2:10">
      <c r="B986" s="731"/>
      <c r="I986" s="707" t="s">
        <v>3750</v>
      </c>
      <c r="J986" s="728" t="s">
        <v>4878</v>
      </c>
    </row>
    <row r="987" spans="2:10">
      <c r="B987" s="731"/>
      <c r="I987" s="707" t="s">
        <v>1877</v>
      </c>
      <c r="J987" s="728" t="s">
        <v>4879</v>
      </c>
    </row>
    <row r="988" spans="2:10">
      <c r="B988" s="731"/>
      <c r="I988" s="707" t="s">
        <v>3751</v>
      </c>
      <c r="J988" s="728" t="s">
        <v>4880</v>
      </c>
    </row>
    <row r="989" spans="2:10">
      <c r="B989" s="731"/>
      <c r="I989" s="707" t="s">
        <v>3752</v>
      </c>
      <c r="J989" s="728" t="s">
        <v>4881</v>
      </c>
    </row>
    <row r="990" spans="2:10">
      <c r="B990" s="731"/>
      <c r="I990" s="707" t="s">
        <v>1689</v>
      </c>
      <c r="J990" s="728" t="s">
        <v>4882</v>
      </c>
    </row>
    <row r="991" spans="2:10">
      <c r="B991" s="731"/>
      <c r="I991" s="707" t="s">
        <v>1386</v>
      </c>
      <c r="J991" s="728" t="s">
        <v>4883</v>
      </c>
    </row>
    <row r="992" spans="2:10">
      <c r="B992" s="731"/>
      <c r="I992" s="707" t="s">
        <v>3273</v>
      </c>
      <c r="J992" s="728" t="s">
        <v>4884</v>
      </c>
    </row>
    <row r="993" spans="2:10">
      <c r="B993" s="731"/>
      <c r="I993" s="707" t="s">
        <v>2761</v>
      </c>
      <c r="J993" s="728" t="s">
        <v>4885</v>
      </c>
    </row>
    <row r="994" spans="2:10">
      <c r="B994" s="731"/>
      <c r="I994" s="707" t="s">
        <v>2801</v>
      </c>
      <c r="J994" s="728" t="s">
        <v>4886</v>
      </c>
    </row>
    <row r="995" spans="2:10">
      <c r="B995" s="731"/>
      <c r="I995" s="707" t="s">
        <v>2553</v>
      </c>
      <c r="J995" s="728" t="s">
        <v>4887</v>
      </c>
    </row>
    <row r="996" spans="2:10">
      <c r="B996" s="731"/>
      <c r="I996" s="707" t="s">
        <v>3338</v>
      </c>
      <c r="J996" s="728" t="s">
        <v>4888</v>
      </c>
    </row>
    <row r="997" spans="2:10">
      <c r="B997" s="731"/>
      <c r="I997" s="707" t="s">
        <v>1855</v>
      </c>
      <c r="J997" s="728" t="s">
        <v>4889</v>
      </c>
    </row>
    <row r="998" spans="2:10">
      <c r="B998" s="731"/>
      <c r="I998" s="707" t="s">
        <v>2430</v>
      </c>
      <c r="J998" s="728" t="s">
        <v>4890</v>
      </c>
    </row>
    <row r="999" spans="2:10">
      <c r="B999" s="731"/>
      <c r="I999" s="707" t="s">
        <v>3753</v>
      </c>
      <c r="J999" s="728" t="s">
        <v>4891</v>
      </c>
    </row>
    <row r="1000" spans="2:10">
      <c r="B1000" s="731"/>
      <c r="I1000" s="707" t="s">
        <v>2260</v>
      </c>
      <c r="J1000" s="728" t="s">
        <v>4892</v>
      </c>
    </row>
    <row r="1001" spans="2:10">
      <c r="I1001" s="707" t="s">
        <v>1250</v>
      </c>
      <c r="J1001" s="728" t="s">
        <v>4893</v>
      </c>
    </row>
    <row r="1002" spans="2:10">
      <c r="I1002" s="707" t="s">
        <v>2061</v>
      </c>
      <c r="J1002" s="728" t="s">
        <v>4894</v>
      </c>
    </row>
    <row r="1003" spans="2:10">
      <c r="I1003" s="707" t="s">
        <v>3375</v>
      </c>
      <c r="J1003" s="728" t="s">
        <v>4896</v>
      </c>
    </row>
    <row r="1004" spans="2:10">
      <c r="I1004" s="707" t="s">
        <v>3755</v>
      </c>
      <c r="J1004" s="728" t="s">
        <v>4897</v>
      </c>
    </row>
    <row r="1005" spans="2:10">
      <c r="I1005" s="707" t="s">
        <v>2494</v>
      </c>
      <c r="J1005" s="728" t="s">
        <v>4898</v>
      </c>
    </row>
    <row r="1006" spans="2:10">
      <c r="I1006" s="707" t="s">
        <v>2396</v>
      </c>
      <c r="J1006" s="728" t="s">
        <v>4899</v>
      </c>
    </row>
    <row r="1007" spans="2:10">
      <c r="I1007" s="707" t="s">
        <v>2228</v>
      </c>
      <c r="J1007" s="728" t="s">
        <v>4900</v>
      </c>
    </row>
    <row r="1008" spans="2:10">
      <c r="I1008" s="707" t="s">
        <v>3756</v>
      </c>
      <c r="J1008" s="728" t="s">
        <v>4901</v>
      </c>
    </row>
    <row r="1009" spans="9:10">
      <c r="I1009" s="707" t="s">
        <v>1901</v>
      </c>
      <c r="J1009" s="728" t="s">
        <v>4902</v>
      </c>
    </row>
    <row r="1010" spans="9:10">
      <c r="I1010" s="707" t="s">
        <v>1663</v>
      </c>
      <c r="J1010" s="728" t="s">
        <v>4904</v>
      </c>
    </row>
    <row r="1011" spans="9:10">
      <c r="I1011" s="707" t="s">
        <v>2007</v>
      </c>
      <c r="J1011" s="728" t="s">
        <v>4905</v>
      </c>
    </row>
    <row r="1012" spans="9:10">
      <c r="I1012" s="707" t="s">
        <v>1836</v>
      </c>
      <c r="J1012" s="728" t="s">
        <v>4906</v>
      </c>
    </row>
    <row r="1013" spans="9:10">
      <c r="I1013" s="707" t="s">
        <v>2932</v>
      </c>
      <c r="J1013" s="728" t="s">
        <v>4907</v>
      </c>
    </row>
    <row r="1014" spans="9:10">
      <c r="I1014" s="707" t="s">
        <v>3757</v>
      </c>
      <c r="J1014" s="728" t="s">
        <v>4908</v>
      </c>
    </row>
    <row r="1015" spans="9:10">
      <c r="I1015" s="707" t="s">
        <v>2781</v>
      </c>
      <c r="J1015" s="728" t="s">
        <v>4909</v>
      </c>
    </row>
    <row r="1016" spans="9:10">
      <c r="I1016" s="707" t="s">
        <v>2233</v>
      </c>
      <c r="J1016" s="728" t="s">
        <v>4910</v>
      </c>
    </row>
    <row r="1017" spans="9:10">
      <c r="I1017" s="707" t="s">
        <v>2279</v>
      </c>
      <c r="J1017" s="728" t="s">
        <v>4911</v>
      </c>
    </row>
    <row r="1018" spans="9:10">
      <c r="I1018" s="707" t="s">
        <v>2733</v>
      </c>
      <c r="J1018" s="728" t="s">
        <v>4912</v>
      </c>
    </row>
    <row r="1019" spans="9:10">
      <c r="I1019" s="707" t="s">
        <v>2166</v>
      </c>
      <c r="J1019" s="728" t="s">
        <v>4913</v>
      </c>
    </row>
    <row r="1020" spans="9:10">
      <c r="I1020" s="707" t="s">
        <v>1997</v>
      </c>
      <c r="J1020" s="728" t="s">
        <v>4914</v>
      </c>
    </row>
    <row r="1021" spans="9:10">
      <c r="I1021" s="707" t="s">
        <v>3758</v>
      </c>
      <c r="J1021" s="728" t="s">
        <v>4915</v>
      </c>
    </row>
    <row r="1022" spans="9:10">
      <c r="I1022" s="707" t="s">
        <v>3759</v>
      </c>
      <c r="J1022" s="728" t="s">
        <v>4916</v>
      </c>
    </row>
    <row r="1023" spans="9:10">
      <c r="I1023" s="707" t="s">
        <v>1382</v>
      </c>
      <c r="J1023" s="728" t="s">
        <v>4917</v>
      </c>
    </row>
    <row r="1024" spans="9:10">
      <c r="I1024" s="707" t="s">
        <v>3760</v>
      </c>
      <c r="J1024" s="728" t="s">
        <v>4918</v>
      </c>
    </row>
    <row r="1025" spans="9:10">
      <c r="I1025" s="707" t="s">
        <v>2974</v>
      </c>
      <c r="J1025" s="728" t="s">
        <v>4919</v>
      </c>
    </row>
    <row r="1026" spans="9:10">
      <c r="I1026" s="707" t="s">
        <v>3761</v>
      </c>
      <c r="J1026" s="728" t="s">
        <v>4920</v>
      </c>
    </row>
    <row r="1027" spans="9:10">
      <c r="I1027" s="707" t="s">
        <v>3762</v>
      </c>
      <c r="J1027" s="728" t="s">
        <v>4921</v>
      </c>
    </row>
    <row r="1028" spans="9:10">
      <c r="I1028" s="707" t="s">
        <v>3763</v>
      </c>
      <c r="J1028" s="728" t="s">
        <v>4922</v>
      </c>
    </row>
    <row r="1029" spans="9:10">
      <c r="I1029" s="707" t="s">
        <v>1715</v>
      </c>
      <c r="J1029" s="728" t="s">
        <v>4923</v>
      </c>
    </row>
    <row r="1030" spans="9:10">
      <c r="I1030" s="707" t="s">
        <v>1650</v>
      </c>
      <c r="J1030" s="728" t="s">
        <v>4924</v>
      </c>
    </row>
    <row r="1031" spans="9:10">
      <c r="I1031" s="707" t="s">
        <v>1731</v>
      </c>
      <c r="J1031" s="728" t="s">
        <v>4925</v>
      </c>
    </row>
    <row r="1032" spans="9:10">
      <c r="I1032" s="707" t="s">
        <v>2452</v>
      </c>
      <c r="J1032" s="728" t="s">
        <v>4926</v>
      </c>
    </row>
    <row r="1033" spans="9:10">
      <c r="I1033" s="707" t="s">
        <v>2476</v>
      </c>
      <c r="J1033" s="728" t="s">
        <v>4927</v>
      </c>
    </row>
    <row r="1034" spans="9:10">
      <c r="I1034" s="707" t="s">
        <v>3764</v>
      </c>
      <c r="J1034" s="728" t="s">
        <v>4928</v>
      </c>
    </row>
    <row r="1035" spans="9:10">
      <c r="I1035" s="707" t="s">
        <v>3315</v>
      </c>
      <c r="J1035" s="728" t="s">
        <v>4929</v>
      </c>
    </row>
    <row r="1036" spans="9:10">
      <c r="I1036" s="707" t="s">
        <v>3765</v>
      </c>
      <c r="J1036" s="728" t="s">
        <v>4930</v>
      </c>
    </row>
    <row r="1037" spans="9:10">
      <c r="I1037" s="707" t="s">
        <v>2169</v>
      </c>
      <c r="J1037" s="728" t="s">
        <v>4931</v>
      </c>
    </row>
    <row r="1038" spans="9:10">
      <c r="I1038" s="707" t="s">
        <v>3272</v>
      </c>
      <c r="J1038" s="728" t="s">
        <v>4932</v>
      </c>
    </row>
    <row r="1039" spans="9:10">
      <c r="I1039" s="707" t="s">
        <v>2496</v>
      </c>
      <c r="J1039" s="728" t="s">
        <v>4933</v>
      </c>
    </row>
    <row r="1040" spans="9:10">
      <c r="I1040" s="707" t="s">
        <v>1592</v>
      </c>
      <c r="J1040" s="728" t="s">
        <v>4934</v>
      </c>
    </row>
    <row r="1041" spans="9:10">
      <c r="I1041" s="707" t="s">
        <v>3766</v>
      </c>
      <c r="J1041" s="728" t="s">
        <v>4935</v>
      </c>
    </row>
    <row r="1042" spans="9:10">
      <c r="I1042" s="707" t="s">
        <v>2592</v>
      </c>
      <c r="J1042" s="728" t="s">
        <v>4936</v>
      </c>
    </row>
    <row r="1043" spans="9:10">
      <c r="I1043" s="707" t="s">
        <v>2862</v>
      </c>
      <c r="J1043" s="728" t="s">
        <v>4937</v>
      </c>
    </row>
    <row r="1044" spans="9:10">
      <c r="I1044" s="707" t="s">
        <v>1966</v>
      </c>
      <c r="J1044" s="728" t="s">
        <v>4938</v>
      </c>
    </row>
    <row r="1045" spans="9:10">
      <c r="I1045" s="707" t="s">
        <v>1509</v>
      </c>
      <c r="J1045" s="728" t="s">
        <v>4939</v>
      </c>
    </row>
    <row r="1046" spans="9:10">
      <c r="I1046" s="707" t="s">
        <v>3767</v>
      </c>
      <c r="J1046" s="728" t="s">
        <v>4940</v>
      </c>
    </row>
    <row r="1047" spans="9:10">
      <c r="I1047" s="707" t="s">
        <v>3768</v>
      </c>
      <c r="J1047" s="728" t="s">
        <v>4941</v>
      </c>
    </row>
    <row r="1048" spans="9:10">
      <c r="I1048" s="707" t="s">
        <v>992</v>
      </c>
      <c r="J1048" s="728" t="s">
        <v>4942</v>
      </c>
    </row>
    <row r="1049" spans="9:10">
      <c r="I1049" s="707" t="s">
        <v>6910</v>
      </c>
      <c r="J1049" s="728" t="s">
        <v>7029</v>
      </c>
    </row>
    <row r="1050" spans="9:10">
      <c r="I1050" s="707" t="s">
        <v>2502</v>
      </c>
      <c r="J1050" s="728" t="s">
        <v>4943</v>
      </c>
    </row>
    <row r="1051" spans="9:10">
      <c r="I1051" s="707" t="s">
        <v>998</v>
      </c>
      <c r="J1051" s="728" t="s">
        <v>4948</v>
      </c>
    </row>
    <row r="1052" spans="9:10">
      <c r="I1052" s="707" t="s">
        <v>6911</v>
      </c>
      <c r="J1052" s="728" t="s">
        <v>7030</v>
      </c>
    </row>
    <row r="1053" spans="9:10">
      <c r="I1053" s="707" t="s">
        <v>989</v>
      </c>
      <c r="J1053" s="728" t="s">
        <v>4949</v>
      </c>
    </row>
    <row r="1054" spans="9:10">
      <c r="I1054" s="707" t="s">
        <v>1007</v>
      </c>
      <c r="J1054" s="728" t="s">
        <v>4950</v>
      </c>
    </row>
    <row r="1055" spans="9:10">
      <c r="I1055" s="707" t="s">
        <v>3355</v>
      </c>
      <c r="J1055" s="728" t="s">
        <v>4944</v>
      </c>
    </row>
    <row r="1056" spans="9:10">
      <c r="I1056" s="707" t="s">
        <v>3348</v>
      </c>
      <c r="J1056" s="728" t="s">
        <v>4945</v>
      </c>
    </row>
    <row r="1057" spans="9:10">
      <c r="I1057" s="707" t="s">
        <v>3341</v>
      </c>
      <c r="J1057" s="728" t="s">
        <v>4946</v>
      </c>
    </row>
    <row r="1058" spans="9:10">
      <c r="I1058" s="707" t="s">
        <v>3769</v>
      </c>
      <c r="J1058" s="728" t="s">
        <v>4947</v>
      </c>
    </row>
    <row r="1059" spans="9:10">
      <c r="I1059" s="707" t="s">
        <v>1017</v>
      </c>
      <c r="J1059" s="728" t="s">
        <v>4951</v>
      </c>
    </row>
    <row r="1060" spans="9:10">
      <c r="I1060" s="707" t="s">
        <v>1018</v>
      </c>
      <c r="J1060" s="728" t="s">
        <v>4952</v>
      </c>
    </row>
    <row r="1061" spans="9:10">
      <c r="I1061" s="707" t="s">
        <v>6912</v>
      </c>
      <c r="J1061" s="728" t="s">
        <v>7031</v>
      </c>
    </row>
    <row r="1062" spans="9:10">
      <c r="I1062" s="707" t="s">
        <v>986</v>
      </c>
      <c r="J1062" s="728" t="s">
        <v>4953</v>
      </c>
    </row>
    <row r="1063" spans="9:10">
      <c r="I1063" s="707" t="s">
        <v>6913</v>
      </c>
      <c r="J1063" s="728" t="s">
        <v>7032</v>
      </c>
    </row>
    <row r="1064" spans="9:10">
      <c r="I1064" s="707" t="s">
        <v>1742</v>
      </c>
      <c r="J1064" s="728" t="s">
        <v>4954</v>
      </c>
    </row>
    <row r="1065" spans="9:10">
      <c r="I1065" s="707" t="s">
        <v>1045</v>
      </c>
      <c r="J1065" s="728" t="s">
        <v>4955</v>
      </c>
    </row>
    <row r="1066" spans="9:10">
      <c r="I1066" s="707" t="s">
        <v>1073</v>
      </c>
      <c r="J1066" s="728" t="s">
        <v>4956</v>
      </c>
    </row>
    <row r="1067" spans="9:10">
      <c r="I1067" s="707" t="s">
        <v>1656</v>
      </c>
      <c r="J1067" s="728" t="s">
        <v>4957</v>
      </c>
    </row>
    <row r="1068" spans="9:10">
      <c r="I1068" s="707" t="s">
        <v>1066</v>
      </c>
      <c r="J1068" s="728" t="s">
        <v>4958</v>
      </c>
    </row>
    <row r="1069" spans="9:10">
      <c r="I1069" s="707" t="s">
        <v>1021</v>
      </c>
      <c r="J1069" s="728" t="s">
        <v>4959</v>
      </c>
    </row>
    <row r="1070" spans="9:10">
      <c r="I1070" s="707" t="s">
        <v>6914</v>
      </c>
      <c r="J1070" s="728" t="s">
        <v>7033</v>
      </c>
    </row>
    <row r="1071" spans="9:10">
      <c r="I1071" s="707" t="s">
        <v>1842</v>
      </c>
      <c r="J1071" s="728" t="s">
        <v>4960</v>
      </c>
    </row>
    <row r="1072" spans="9:10">
      <c r="I1072" s="707" t="s">
        <v>2352</v>
      </c>
      <c r="J1072" s="728" t="s">
        <v>4961</v>
      </c>
    </row>
    <row r="1073" spans="9:10">
      <c r="I1073" s="707" t="s">
        <v>1393</v>
      </c>
      <c r="J1073" s="728" t="s">
        <v>4962</v>
      </c>
    </row>
    <row r="1074" spans="9:10">
      <c r="I1074" s="707" t="s">
        <v>6915</v>
      </c>
      <c r="J1074" s="728" t="s">
        <v>7034</v>
      </c>
    </row>
    <row r="1075" spans="9:10">
      <c r="I1075" s="707" t="s">
        <v>1264</v>
      </c>
      <c r="J1075" s="728" t="s">
        <v>4963</v>
      </c>
    </row>
    <row r="1076" spans="9:10">
      <c r="I1076" s="707" t="s">
        <v>1972</v>
      </c>
      <c r="J1076" s="728" t="s">
        <v>4964</v>
      </c>
    </row>
    <row r="1077" spans="9:10">
      <c r="I1077" s="707" t="s">
        <v>1602</v>
      </c>
      <c r="J1077" s="728" t="s">
        <v>4965</v>
      </c>
    </row>
    <row r="1078" spans="9:10">
      <c r="I1078" s="707" t="s">
        <v>1298</v>
      </c>
      <c r="J1078" s="728" t="s">
        <v>4966</v>
      </c>
    </row>
    <row r="1079" spans="9:10">
      <c r="I1079" s="707" t="s">
        <v>6916</v>
      </c>
      <c r="J1079" s="728" t="s">
        <v>7035</v>
      </c>
    </row>
    <row r="1080" spans="9:10">
      <c r="I1080" s="707" t="s">
        <v>3770</v>
      </c>
      <c r="J1080" s="728" t="s">
        <v>4969</v>
      </c>
    </row>
    <row r="1081" spans="9:10">
      <c r="I1081" s="707" t="s">
        <v>1664</v>
      </c>
      <c r="J1081" s="728" t="s">
        <v>4968</v>
      </c>
    </row>
    <row r="1082" spans="9:10">
      <c r="I1082" s="707" t="s">
        <v>2976</v>
      </c>
      <c r="J1082" s="728" t="s">
        <v>4970</v>
      </c>
    </row>
    <row r="1083" spans="9:10">
      <c r="I1083" s="707" t="s">
        <v>2820</v>
      </c>
      <c r="J1083" s="728" t="s">
        <v>4971</v>
      </c>
    </row>
    <row r="1084" spans="9:10">
      <c r="I1084" s="707" t="s">
        <v>2823</v>
      </c>
      <c r="J1084" s="728" t="s">
        <v>4972</v>
      </c>
    </row>
    <row r="1085" spans="9:10">
      <c r="I1085" s="707" t="s">
        <v>1772</v>
      </c>
      <c r="J1085" s="728" t="s">
        <v>4973</v>
      </c>
    </row>
    <row r="1086" spans="9:10">
      <c r="I1086" s="707" t="s">
        <v>2274</v>
      </c>
      <c r="J1086" s="728" t="s">
        <v>4974</v>
      </c>
    </row>
    <row r="1087" spans="9:10">
      <c r="I1087" s="707" t="s">
        <v>1636</v>
      </c>
      <c r="J1087" s="728" t="s">
        <v>4975</v>
      </c>
    </row>
    <row r="1088" spans="9:10">
      <c r="I1088" s="707" t="s">
        <v>2117</v>
      </c>
      <c r="J1088" s="728" t="s">
        <v>4976</v>
      </c>
    </row>
    <row r="1089" spans="9:10">
      <c r="I1089" s="707" t="s">
        <v>3008</v>
      </c>
      <c r="J1089" s="728" t="s">
        <v>4977</v>
      </c>
    </row>
    <row r="1090" spans="9:10">
      <c r="I1090" s="707" t="s">
        <v>2931</v>
      </c>
      <c r="J1090" s="728" t="s">
        <v>4978</v>
      </c>
    </row>
    <row r="1091" spans="9:10">
      <c r="I1091" s="707" t="s">
        <v>2339</v>
      </c>
      <c r="J1091" s="728" t="s">
        <v>4979</v>
      </c>
    </row>
    <row r="1092" spans="9:10">
      <c r="I1092" s="707" t="s">
        <v>2297</v>
      </c>
      <c r="J1092" s="728" t="s">
        <v>4980</v>
      </c>
    </row>
    <row r="1093" spans="9:10">
      <c r="I1093" s="707" t="s">
        <v>2670</v>
      </c>
      <c r="J1093" s="728" t="s">
        <v>4981</v>
      </c>
    </row>
    <row r="1094" spans="9:10">
      <c r="I1094" s="707" t="s">
        <v>1948</v>
      </c>
      <c r="J1094" s="728" t="s">
        <v>4982</v>
      </c>
    </row>
    <row r="1095" spans="9:10">
      <c r="I1095" s="707" t="s">
        <v>2894</v>
      </c>
      <c r="J1095" s="728" t="s">
        <v>4983</v>
      </c>
    </row>
    <row r="1096" spans="9:10">
      <c r="I1096" s="707" t="s">
        <v>2456</v>
      </c>
      <c r="J1096" s="728" t="s">
        <v>4984</v>
      </c>
    </row>
    <row r="1097" spans="9:10">
      <c r="I1097" s="707" t="s">
        <v>1481</v>
      </c>
      <c r="J1097" s="728" t="s">
        <v>4985</v>
      </c>
    </row>
    <row r="1098" spans="9:10">
      <c r="I1098" s="707" t="s">
        <v>1249</v>
      </c>
      <c r="J1098" s="728" t="s">
        <v>4986</v>
      </c>
    </row>
    <row r="1099" spans="9:10">
      <c r="I1099" s="707" t="s">
        <v>1293</v>
      </c>
      <c r="J1099" s="728" t="s">
        <v>4987</v>
      </c>
    </row>
    <row r="1100" spans="9:10">
      <c r="I1100" s="707" t="s">
        <v>2303</v>
      </c>
      <c r="J1100" s="728" t="s">
        <v>4988</v>
      </c>
    </row>
    <row r="1101" spans="9:10">
      <c r="I1101" s="707" t="s">
        <v>1417</v>
      </c>
      <c r="J1101" s="728" t="s">
        <v>4989</v>
      </c>
    </row>
    <row r="1102" spans="9:10">
      <c r="I1102" s="707" t="s">
        <v>3771</v>
      </c>
      <c r="J1102" s="728" t="s">
        <v>4990</v>
      </c>
    </row>
    <row r="1103" spans="9:10">
      <c r="I1103" s="707" t="s">
        <v>2471</v>
      </c>
      <c r="J1103" s="728" t="s">
        <v>4991</v>
      </c>
    </row>
    <row r="1104" spans="9:10">
      <c r="I1104" s="707" t="s">
        <v>2346</v>
      </c>
      <c r="J1104" s="728" t="s">
        <v>4992</v>
      </c>
    </row>
    <row r="1105" spans="9:10">
      <c r="I1105" s="707" t="s">
        <v>2068</v>
      </c>
      <c r="J1105" s="728" t="s">
        <v>4993</v>
      </c>
    </row>
    <row r="1106" spans="9:10">
      <c r="I1106" s="707" t="s">
        <v>2465</v>
      </c>
      <c r="J1106" s="728" t="s">
        <v>4994</v>
      </c>
    </row>
    <row r="1107" spans="9:10">
      <c r="I1107" s="707" t="s">
        <v>2183</v>
      </c>
      <c r="J1107" s="728" t="s">
        <v>4995</v>
      </c>
    </row>
    <row r="1108" spans="9:10">
      <c r="I1108" s="707" t="s">
        <v>3021</v>
      </c>
      <c r="J1108" s="728" t="s">
        <v>4996</v>
      </c>
    </row>
    <row r="1109" spans="9:10">
      <c r="I1109" s="707" t="s">
        <v>1411</v>
      </c>
      <c r="J1109" s="728" t="s">
        <v>4997</v>
      </c>
    </row>
    <row r="1110" spans="9:10">
      <c r="I1110" s="707" t="s">
        <v>1870</v>
      </c>
      <c r="J1110" s="728" t="s">
        <v>4998</v>
      </c>
    </row>
    <row r="1111" spans="9:10">
      <c r="I1111" s="707" t="s">
        <v>2419</v>
      </c>
      <c r="J1111" s="728" t="s">
        <v>4999</v>
      </c>
    </row>
    <row r="1112" spans="9:10">
      <c r="I1112" s="707" t="s">
        <v>1346</v>
      </c>
      <c r="J1112" s="728" t="s">
        <v>5000</v>
      </c>
    </row>
    <row r="1113" spans="9:10">
      <c r="I1113" s="707" t="s">
        <v>3064</v>
      </c>
      <c r="J1113" s="728" t="s">
        <v>5001</v>
      </c>
    </row>
    <row r="1114" spans="9:10">
      <c r="I1114" s="707" t="s">
        <v>3772</v>
      </c>
      <c r="J1114" s="728" t="s">
        <v>5002</v>
      </c>
    </row>
    <row r="1115" spans="9:10">
      <c r="I1115" s="707" t="s">
        <v>2262</v>
      </c>
      <c r="J1115" s="728" t="s">
        <v>5003</v>
      </c>
    </row>
    <row r="1116" spans="9:10">
      <c r="I1116" s="707" t="s">
        <v>2676</v>
      </c>
      <c r="J1116" s="728" t="s">
        <v>5004</v>
      </c>
    </row>
    <row r="1117" spans="9:10">
      <c r="I1117" s="707" t="s">
        <v>1791</v>
      </c>
      <c r="J1117" s="728" t="s">
        <v>5005</v>
      </c>
    </row>
    <row r="1118" spans="9:10">
      <c r="I1118" s="707" t="s">
        <v>2891</v>
      </c>
      <c r="J1118" s="728" t="s">
        <v>5006</v>
      </c>
    </row>
    <row r="1119" spans="9:10">
      <c r="I1119" s="707" t="s">
        <v>1362</v>
      </c>
      <c r="J1119" s="728" t="s">
        <v>5007</v>
      </c>
    </row>
    <row r="1120" spans="9:10">
      <c r="I1120" s="707" t="s">
        <v>3773</v>
      </c>
      <c r="J1120" s="728" t="s">
        <v>5008</v>
      </c>
    </row>
    <row r="1121" spans="9:10">
      <c r="I1121" s="707" t="s">
        <v>1609</v>
      </c>
      <c r="J1121" s="728" t="s">
        <v>5009</v>
      </c>
    </row>
    <row r="1122" spans="9:10">
      <c r="I1122" s="707" t="s">
        <v>2382</v>
      </c>
      <c r="J1122" s="728" t="s">
        <v>5010</v>
      </c>
    </row>
    <row r="1123" spans="9:10">
      <c r="I1123" s="707" t="s">
        <v>3255</v>
      </c>
      <c r="J1123" s="728" t="s">
        <v>5011</v>
      </c>
    </row>
    <row r="1124" spans="9:10">
      <c r="I1124" s="707" t="s">
        <v>3274</v>
      </c>
      <c r="J1124" s="728" t="s">
        <v>5012</v>
      </c>
    </row>
    <row r="1125" spans="9:10">
      <c r="I1125" s="707" t="s">
        <v>1761</v>
      </c>
      <c r="J1125" s="728" t="s">
        <v>5013</v>
      </c>
    </row>
    <row r="1126" spans="9:10">
      <c r="I1126" s="707" t="s">
        <v>1819</v>
      </c>
      <c r="J1126" s="728" t="s">
        <v>5014</v>
      </c>
    </row>
    <row r="1127" spans="9:10">
      <c r="I1127" s="707" t="s">
        <v>1896</v>
      </c>
      <c r="J1127" s="728" t="s">
        <v>5015</v>
      </c>
    </row>
    <row r="1128" spans="9:10">
      <c r="I1128" s="707" t="s">
        <v>3296</v>
      </c>
      <c r="J1128" s="728" t="s">
        <v>5016</v>
      </c>
    </row>
    <row r="1129" spans="9:10">
      <c r="I1129" s="707" t="s">
        <v>2784</v>
      </c>
      <c r="J1129" s="728" t="s">
        <v>5017</v>
      </c>
    </row>
    <row r="1130" spans="9:10">
      <c r="I1130" s="707" t="s">
        <v>2230</v>
      </c>
      <c r="J1130" s="728" t="s">
        <v>5018</v>
      </c>
    </row>
    <row r="1131" spans="9:10">
      <c r="I1131" s="707" t="s">
        <v>1363</v>
      </c>
      <c r="J1131" s="728" t="s">
        <v>5019</v>
      </c>
    </row>
    <row r="1132" spans="9:10">
      <c r="I1132" s="707" t="s">
        <v>2981</v>
      </c>
      <c r="J1132" s="728" t="s">
        <v>5020</v>
      </c>
    </row>
    <row r="1133" spans="9:10">
      <c r="I1133" s="707" t="s">
        <v>2090</v>
      </c>
      <c r="J1133" s="728" t="s">
        <v>5021</v>
      </c>
    </row>
    <row r="1134" spans="9:10">
      <c r="I1134" s="707" t="s">
        <v>1910</v>
      </c>
      <c r="J1134" s="728" t="s">
        <v>5022</v>
      </c>
    </row>
    <row r="1135" spans="9:10">
      <c r="I1135" s="707" t="s">
        <v>1782</v>
      </c>
      <c r="J1135" s="728" t="s">
        <v>5023</v>
      </c>
    </row>
    <row r="1136" spans="9:10">
      <c r="I1136" s="707" t="s">
        <v>2466</v>
      </c>
      <c r="J1136" s="728" t="s">
        <v>5024</v>
      </c>
    </row>
    <row r="1137" spans="9:10">
      <c r="I1137" s="707" t="s">
        <v>1176</v>
      </c>
      <c r="J1137" s="728" t="s">
        <v>5025</v>
      </c>
    </row>
    <row r="1138" spans="9:10">
      <c r="I1138" s="707" t="s">
        <v>2975</v>
      </c>
      <c r="J1138" s="728" t="s">
        <v>5026</v>
      </c>
    </row>
    <row r="1139" spans="9:10">
      <c r="I1139" s="707" t="s">
        <v>1654</v>
      </c>
      <c r="J1139" s="728" t="s">
        <v>5027</v>
      </c>
    </row>
    <row r="1140" spans="9:10">
      <c r="I1140" s="707" t="s">
        <v>1299</v>
      </c>
      <c r="J1140" s="728" t="s">
        <v>5028</v>
      </c>
    </row>
    <row r="1141" spans="9:10">
      <c r="I1141" s="707" t="s">
        <v>2347</v>
      </c>
      <c r="J1141" s="728" t="s">
        <v>5029</v>
      </c>
    </row>
    <row r="1142" spans="9:10">
      <c r="I1142" s="707" t="s">
        <v>6917</v>
      </c>
      <c r="J1142" s="728" t="s">
        <v>7036</v>
      </c>
    </row>
    <row r="1143" spans="9:10">
      <c r="I1143" s="707" t="s">
        <v>1438</v>
      </c>
      <c r="J1143" s="728" t="s">
        <v>5030</v>
      </c>
    </row>
    <row r="1144" spans="9:10">
      <c r="I1144" s="707" t="s">
        <v>2888</v>
      </c>
      <c r="J1144" s="728" t="s">
        <v>5031</v>
      </c>
    </row>
    <row r="1145" spans="9:10">
      <c r="I1145" s="707" t="s">
        <v>2972</v>
      </c>
      <c r="J1145" s="728" t="s">
        <v>5032</v>
      </c>
    </row>
    <row r="1146" spans="9:10">
      <c r="I1146" s="707" t="s">
        <v>2684</v>
      </c>
      <c r="J1146" s="728" t="s">
        <v>5033</v>
      </c>
    </row>
    <row r="1147" spans="9:10">
      <c r="I1147" s="707" t="s">
        <v>2236</v>
      </c>
      <c r="J1147" s="728" t="s">
        <v>5034</v>
      </c>
    </row>
    <row r="1148" spans="9:10">
      <c r="I1148" s="707" t="s">
        <v>2300</v>
      </c>
      <c r="J1148" s="728" t="s">
        <v>5035</v>
      </c>
    </row>
    <row r="1149" spans="9:10">
      <c r="I1149" s="707" t="s">
        <v>1327</v>
      </c>
      <c r="J1149" s="728" t="s">
        <v>5036</v>
      </c>
    </row>
    <row r="1150" spans="9:10">
      <c r="I1150" s="707" t="s">
        <v>2609</v>
      </c>
      <c r="J1150" s="728" t="s">
        <v>5037</v>
      </c>
    </row>
    <row r="1151" spans="9:10">
      <c r="I1151" s="707" t="s">
        <v>2088</v>
      </c>
      <c r="J1151" s="728" t="s">
        <v>5038</v>
      </c>
    </row>
    <row r="1152" spans="9:10">
      <c r="I1152" s="707" t="s">
        <v>2128</v>
      </c>
      <c r="J1152" s="728" t="s">
        <v>5039</v>
      </c>
    </row>
    <row r="1153" spans="9:10">
      <c r="I1153" s="707" t="s">
        <v>2400</v>
      </c>
      <c r="J1153" s="728" t="s">
        <v>5040</v>
      </c>
    </row>
    <row r="1154" spans="9:10">
      <c r="I1154" s="707" t="s">
        <v>1460</v>
      </c>
      <c r="J1154" s="728" t="s">
        <v>5041</v>
      </c>
    </row>
    <row r="1155" spans="9:10">
      <c r="I1155" s="707" t="s">
        <v>1511</v>
      </c>
      <c r="J1155" s="728" t="s">
        <v>5042</v>
      </c>
    </row>
    <row r="1156" spans="9:10">
      <c r="I1156" s="707" t="s">
        <v>2570</v>
      </c>
      <c r="J1156" s="728" t="s">
        <v>5043</v>
      </c>
    </row>
    <row r="1157" spans="9:10">
      <c r="I1157" s="707" t="s">
        <v>1314</v>
      </c>
      <c r="J1157" s="728" t="s">
        <v>5044</v>
      </c>
    </row>
    <row r="1158" spans="9:10">
      <c r="I1158" s="707" t="s">
        <v>2800</v>
      </c>
      <c r="J1158" s="728" t="s">
        <v>5045</v>
      </c>
    </row>
    <row r="1159" spans="9:10">
      <c r="I1159" s="707" t="s">
        <v>3312</v>
      </c>
      <c r="J1159" s="728" t="s">
        <v>5046</v>
      </c>
    </row>
    <row r="1160" spans="9:10">
      <c r="I1160" s="707" t="s">
        <v>1969</v>
      </c>
      <c r="J1160" s="728" t="s">
        <v>5048</v>
      </c>
    </row>
    <row r="1161" spans="9:10">
      <c r="I1161" s="707" t="s">
        <v>1661</v>
      </c>
      <c r="J1161" s="728" t="s">
        <v>5049</v>
      </c>
    </row>
    <row r="1162" spans="9:10">
      <c r="I1162" s="707" t="s">
        <v>2653</v>
      </c>
      <c r="J1162" s="728" t="s">
        <v>5050</v>
      </c>
    </row>
    <row r="1163" spans="9:10">
      <c r="I1163" s="707" t="s">
        <v>1546</v>
      </c>
      <c r="J1163" s="728" t="s">
        <v>5051</v>
      </c>
    </row>
    <row r="1164" spans="9:10">
      <c r="I1164" s="707" t="s">
        <v>2551</v>
      </c>
      <c r="J1164" s="728" t="s">
        <v>5052</v>
      </c>
    </row>
    <row r="1165" spans="9:10">
      <c r="I1165" s="707" t="s">
        <v>3013</v>
      </c>
      <c r="J1165" s="728" t="s">
        <v>5053</v>
      </c>
    </row>
    <row r="1166" spans="9:10">
      <c r="I1166" s="707" t="s">
        <v>6918</v>
      </c>
      <c r="J1166" s="728" t="s">
        <v>7037</v>
      </c>
    </row>
    <row r="1167" spans="9:10">
      <c r="I1167" s="707" t="s">
        <v>2368</v>
      </c>
      <c r="J1167" s="728" t="s">
        <v>5054</v>
      </c>
    </row>
    <row r="1168" spans="9:10">
      <c r="I1168" s="707" t="s">
        <v>1736</v>
      </c>
      <c r="J1168" s="728" t="s">
        <v>5055</v>
      </c>
    </row>
    <row r="1169" spans="9:10">
      <c r="I1169" s="707" t="s">
        <v>6919</v>
      </c>
      <c r="J1169" s="728" t="s">
        <v>7038</v>
      </c>
    </row>
    <row r="1170" spans="9:10">
      <c r="I1170" s="707" t="s">
        <v>3774</v>
      </c>
      <c r="J1170" s="728" t="s">
        <v>5056</v>
      </c>
    </row>
    <row r="1171" spans="9:10">
      <c r="I1171" s="707" t="s">
        <v>2929</v>
      </c>
      <c r="J1171" s="728" t="s">
        <v>5057</v>
      </c>
    </row>
    <row r="1172" spans="9:10">
      <c r="I1172" s="707" t="s">
        <v>2895</v>
      </c>
      <c r="J1172" s="728" t="s">
        <v>5058</v>
      </c>
    </row>
    <row r="1173" spans="9:10">
      <c r="I1173" s="707" t="s">
        <v>1470</v>
      </c>
      <c r="J1173" s="728" t="s">
        <v>5059</v>
      </c>
    </row>
    <row r="1174" spans="9:10">
      <c r="I1174" s="707" t="s">
        <v>3242</v>
      </c>
      <c r="J1174" s="728" t="s">
        <v>5060</v>
      </c>
    </row>
    <row r="1175" spans="9:10">
      <c r="I1175" s="707" t="s">
        <v>2052</v>
      </c>
      <c r="J1175" s="728" t="s">
        <v>5061</v>
      </c>
    </row>
    <row r="1176" spans="9:10">
      <c r="I1176" s="707" t="s">
        <v>2844</v>
      </c>
      <c r="J1176" s="728" t="s">
        <v>5062</v>
      </c>
    </row>
    <row r="1177" spans="9:10">
      <c r="I1177" s="707" t="s">
        <v>2569</v>
      </c>
      <c r="J1177" s="728" t="s">
        <v>5063</v>
      </c>
    </row>
    <row r="1178" spans="9:10">
      <c r="I1178" s="707" t="s">
        <v>1816</v>
      </c>
      <c r="J1178" s="728" t="s">
        <v>5064</v>
      </c>
    </row>
    <row r="1179" spans="9:10">
      <c r="I1179" s="707" t="s">
        <v>2861</v>
      </c>
      <c r="J1179" s="728" t="s">
        <v>5065</v>
      </c>
    </row>
    <row r="1180" spans="9:10">
      <c r="I1180" s="707" t="s">
        <v>3775</v>
      </c>
      <c r="J1180" s="728" t="s">
        <v>5066</v>
      </c>
    </row>
    <row r="1181" spans="9:10">
      <c r="I1181" s="707" t="s">
        <v>3049</v>
      </c>
      <c r="J1181" s="728" t="s">
        <v>5067</v>
      </c>
    </row>
    <row r="1182" spans="9:10">
      <c r="I1182" s="707" t="s">
        <v>2470</v>
      </c>
      <c r="J1182" s="728" t="s">
        <v>5068</v>
      </c>
    </row>
    <row r="1183" spans="9:10">
      <c r="I1183" s="707" t="s">
        <v>2764</v>
      </c>
      <c r="J1183" s="728" t="s">
        <v>5069</v>
      </c>
    </row>
    <row r="1184" spans="9:10">
      <c r="I1184" s="707" t="s">
        <v>1808</v>
      </c>
      <c r="J1184" s="728" t="s">
        <v>5070</v>
      </c>
    </row>
    <row r="1185" spans="9:10">
      <c r="I1185" s="707" t="s">
        <v>6920</v>
      </c>
      <c r="J1185" s="728" t="s">
        <v>7039</v>
      </c>
    </row>
    <row r="1186" spans="9:10">
      <c r="I1186" s="707" t="s">
        <v>1270</v>
      </c>
      <c r="J1186" s="728" t="s">
        <v>5071</v>
      </c>
    </row>
    <row r="1187" spans="9:10">
      <c r="I1187" s="707" t="s">
        <v>2527</v>
      </c>
      <c r="J1187" s="728" t="s">
        <v>5072</v>
      </c>
    </row>
    <row r="1188" spans="9:10">
      <c r="I1188" s="707" t="s">
        <v>3776</v>
      </c>
      <c r="J1188" s="728" t="s">
        <v>5073</v>
      </c>
    </row>
    <row r="1189" spans="9:10">
      <c r="I1189" s="707" t="s">
        <v>1786</v>
      </c>
      <c r="J1189" s="728" t="s">
        <v>5074</v>
      </c>
    </row>
    <row r="1190" spans="9:10">
      <c r="I1190" s="707" t="s">
        <v>1333</v>
      </c>
      <c r="J1190" s="728" t="s">
        <v>5075</v>
      </c>
    </row>
    <row r="1191" spans="9:10">
      <c r="I1191" s="707" t="s">
        <v>1421</v>
      </c>
      <c r="J1191" s="728" t="s">
        <v>5076</v>
      </c>
    </row>
    <row r="1192" spans="9:10">
      <c r="I1192" s="707" t="s">
        <v>1326</v>
      </c>
      <c r="J1192" s="728" t="s">
        <v>5077</v>
      </c>
    </row>
    <row r="1193" spans="9:10">
      <c r="I1193" s="707" t="s">
        <v>2153</v>
      </c>
      <c r="J1193" s="728" t="s">
        <v>5078</v>
      </c>
    </row>
    <row r="1194" spans="9:10">
      <c r="I1194" s="707" t="s">
        <v>1440</v>
      </c>
      <c r="J1194" s="728" t="s">
        <v>5079</v>
      </c>
    </row>
    <row r="1195" spans="9:10">
      <c r="I1195" s="707" t="s">
        <v>2928</v>
      </c>
      <c r="J1195" s="728" t="s">
        <v>5080</v>
      </c>
    </row>
    <row r="1196" spans="9:10">
      <c r="I1196" s="707" t="s">
        <v>2036</v>
      </c>
      <c r="J1196" s="728" t="s">
        <v>5081</v>
      </c>
    </row>
    <row r="1197" spans="9:10">
      <c r="I1197" s="707" t="s">
        <v>2818</v>
      </c>
      <c r="J1197" s="728" t="s">
        <v>5082</v>
      </c>
    </row>
    <row r="1198" spans="9:10">
      <c r="I1198" s="707" t="s">
        <v>2363</v>
      </c>
      <c r="J1198" s="728" t="s">
        <v>5083</v>
      </c>
    </row>
    <row r="1199" spans="9:10">
      <c r="I1199" s="707" t="s">
        <v>2506</v>
      </c>
      <c r="J1199" s="728" t="s">
        <v>5084</v>
      </c>
    </row>
    <row r="1200" spans="9:10">
      <c r="I1200" s="707" t="s">
        <v>2181</v>
      </c>
      <c r="J1200" s="728" t="s">
        <v>5085</v>
      </c>
    </row>
    <row r="1201" spans="9:10">
      <c r="I1201" s="707" t="s">
        <v>2034</v>
      </c>
      <c r="J1201" s="728" t="s">
        <v>5086</v>
      </c>
    </row>
    <row r="1202" spans="9:10">
      <c r="I1202" s="707" t="s">
        <v>1765</v>
      </c>
      <c r="J1202" s="728" t="s">
        <v>5087</v>
      </c>
    </row>
    <row r="1203" spans="9:10">
      <c r="I1203" s="707" t="s">
        <v>2867</v>
      </c>
      <c r="J1203" s="728" t="s">
        <v>5088</v>
      </c>
    </row>
    <row r="1204" spans="9:10">
      <c r="I1204" s="707" t="s">
        <v>1479</v>
      </c>
      <c r="J1204" s="728" t="s">
        <v>5089</v>
      </c>
    </row>
    <row r="1205" spans="9:10">
      <c r="I1205" s="707" t="s">
        <v>3029</v>
      </c>
      <c r="J1205" s="728" t="s">
        <v>5090</v>
      </c>
    </row>
    <row r="1206" spans="9:10">
      <c r="I1206" s="707" t="s">
        <v>2205</v>
      </c>
      <c r="J1206" s="728" t="s">
        <v>5091</v>
      </c>
    </row>
    <row r="1207" spans="9:10">
      <c r="I1207" s="707" t="s">
        <v>3313</v>
      </c>
      <c r="J1207" s="728" t="s">
        <v>5092</v>
      </c>
    </row>
    <row r="1208" spans="9:10">
      <c r="I1208" s="707" t="s">
        <v>2833</v>
      </c>
      <c r="J1208" s="728" t="s">
        <v>5093</v>
      </c>
    </row>
    <row r="1209" spans="9:10">
      <c r="I1209" s="707" t="s">
        <v>3777</v>
      </c>
      <c r="J1209" s="728" t="s">
        <v>5094</v>
      </c>
    </row>
    <row r="1210" spans="9:10">
      <c r="I1210" s="707" t="s">
        <v>2254</v>
      </c>
      <c r="J1210" s="728" t="s">
        <v>5095</v>
      </c>
    </row>
    <row r="1211" spans="9:10">
      <c r="I1211" s="707" t="s">
        <v>2789</v>
      </c>
      <c r="J1211" s="728" t="s">
        <v>5096</v>
      </c>
    </row>
    <row r="1212" spans="9:10">
      <c r="I1212" s="707" t="s">
        <v>1830</v>
      </c>
      <c r="J1212" s="728" t="s">
        <v>5097</v>
      </c>
    </row>
    <row r="1213" spans="9:10">
      <c r="I1213" s="707" t="s">
        <v>1907</v>
      </c>
      <c r="J1213" s="728" t="s">
        <v>5098</v>
      </c>
    </row>
    <row r="1214" spans="9:10">
      <c r="I1214" s="707" t="s">
        <v>1394</v>
      </c>
      <c r="J1214" s="728" t="s">
        <v>5099</v>
      </c>
    </row>
    <row r="1215" spans="9:10">
      <c r="I1215" s="707" t="s">
        <v>2081</v>
      </c>
      <c r="J1215" s="728" t="s">
        <v>5100</v>
      </c>
    </row>
    <row r="1216" spans="9:10">
      <c r="I1216" s="707" t="s">
        <v>2885</v>
      </c>
      <c r="J1216" s="728" t="s">
        <v>5101</v>
      </c>
    </row>
    <row r="1217" spans="9:10">
      <c r="I1217" s="707" t="s">
        <v>3778</v>
      </c>
      <c r="J1217" s="728" t="s">
        <v>5102</v>
      </c>
    </row>
    <row r="1218" spans="9:10">
      <c r="I1218" s="707" t="s">
        <v>3779</v>
      </c>
      <c r="J1218" s="728" t="s">
        <v>5103</v>
      </c>
    </row>
    <row r="1219" spans="9:10">
      <c r="I1219" s="707" t="s">
        <v>996</v>
      </c>
      <c r="J1219" s="728" t="s">
        <v>5104</v>
      </c>
    </row>
    <row r="1220" spans="9:10">
      <c r="I1220" s="707" t="s">
        <v>1082</v>
      </c>
      <c r="J1220" s="728" t="s">
        <v>5105</v>
      </c>
    </row>
    <row r="1221" spans="9:10">
      <c r="I1221" s="707" t="s">
        <v>3351</v>
      </c>
      <c r="J1221" s="728" t="s">
        <v>5106</v>
      </c>
    </row>
    <row r="1222" spans="9:10">
      <c r="I1222" s="707" t="s">
        <v>2412</v>
      </c>
      <c r="J1222" s="728" t="s">
        <v>5107</v>
      </c>
    </row>
    <row r="1223" spans="9:10">
      <c r="I1223" s="707" t="s">
        <v>2710</v>
      </c>
      <c r="J1223" s="728" t="s">
        <v>5108</v>
      </c>
    </row>
    <row r="1224" spans="9:10">
      <c r="I1224" s="707" t="s">
        <v>2294</v>
      </c>
      <c r="J1224" s="728" t="s">
        <v>5109</v>
      </c>
    </row>
    <row r="1225" spans="9:10">
      <c r="I1225" s="707" t="s">
        <v>2705</v>
      </c>
      <c r="J1225" s="728" t="s">
        <v>5110</v>
      </c>
    </row>
    <row r="1226" spans="9:10">
      <c r="I1226" s="707" t="s">
        <v>6921</v>
      </c>
      <c r="J1226" s="728" t="s">
        <v>7040</v>
      </c>
    </row>
    <row r="1227" spans="9:10">
      <c r="I1227" s="707" t="s">
        <v>2961</v>
      </c>
      <c r="J1227" s="728" t="s">
        <v>5111</v>
      </c>
    </row>
    <row r="1228" spans="9:10">
      <c r="I1228" s="707" t="s">
        <v>2798</v>
      </c>
      <c r="J1228" s="728" t="s">
        <v>5112</v>
      </c>
    </row>
    <row r="1229" spans="9:10">
      <c r="I1229" s="707" t="s">
        <v>1128</v>
      </c>
      <c r="J1229" s="728" t="s">
        <v>5114</v>
      </c>
    </row>
    <row r="1230" spans="9:10">
      <c r="I1230" s="707" t="s">
        <v>6922</v>
      </c>
      <c r="J1230" s="728" t="s">
        <v>7041</v>
      </c>
    </row>
    <row r="1231" spans="9:10">
      <c r="I1231" s="707" t="s">
        <v>6923</v>
      </c>
      <c r="J1231" s="728" t="s">
        <v>7042</v>
      </c>
    </row>
    <row r="1232" spans="9:10">
      <c r="I1232" s="707" t="s">
        <v>1222</v>
      </c>
      <c r="J1232" s="728" t="s">
        <v>5115</v>
      </c>
    </row>
    <row r="1233" spans="9:10">
      <c r="I1233" s="707" t="s">
        <v>2324</v>
      </c>
      <c r="J1233" s="728" t="s">
        <v>5116</v>
      </c>
    </row>
    <row r="1234" spans="9:10">
      <c r="I1234" s="707" t="s">
        <v>1120</v>
      </c>
      <c r="J1234" s="728" t="s">
        <v>5117</v>
      </c>
    </row>
    <row r="1235" spans="9:10">
      <c r="I1235" s="707" t="s">
        <v>1406</v>
      </c>
      <c r="J1235" s="728" t="s">
        <v>5118</v>
      </c>
    </row>
    <row r="1236" spans="9:10">
      <c r="I1236" s="707" t="s">
        <v>2386</v>
      </c>
      <c r="J1236" s="728" t="s">
        <v>5119</v>
      </c>
    </row>
    <row r="1237" spans="9:10">
      <c r="I1237" s="707" t="s">
        <v>3345</v>
      </c>
      <c r="J1237" s="728" t="s">
        <v>5120</v>
      </c>
    </row>
    <row r="1238" spans="9:10">
      <c r="I1238" s="707" t="s">
        <v>1364</v>
      </c>
      <c r="J1238" s="728" t="s">
        <v>5121</v>
      </c>
    </row>
    <row r="1239" spans="9:10">
      <c r="I1239" s="707" t="s">
        <v>1559</v>
      </c>
      <c r="J1239" s="728" t="s">
        <v>5122</v>
      </c>
    </row>
    <row r="1240" spans="9:10">
      <c r="I1240" s="707" t="s">
        <v>2694</v>
      </c>
      <c r="J1240" s="728" t="s">
        <v>5123</v>
      </c>
    </row>
    <row r="1241" spans="9:10">
      <c r="I1241" s="707" t="s">
        <v>3266</v>
      </c>
      <c r="J1241" s="728" t="s">
        <v>5124</v>
      </c>
    </row>
    <row r="1242" spans="9:10">
      <c r="I1242" s="707" t="s">
        <v>1874</v>
      </c>
      <c r="J1242" s="728" t="s">
        <v>5125</v>
      </c>
    </row>
    <row r="1243" spans="9:10">
      <c r="I1243" s="707" t="s">
        <v>3780</v>
      </c>
      <c r="J1243" s="728" t="s">
        <v>5126</v>
      </c>
    </row>
    <row r="1244" spans="9:10">
      <c r="I1244" s="707" t="s">
        <v>1939</v>
      </c>
      <c r="J1244" s="728" t="s">
        <v>5127</v>
      </c>
    </row>
    <row r="1245" spans="9:10">
      <c r="I1245" s="707" t="s">
        <v>3967</v>
      </c>
      <c r="J1245" s="728" t="s">
        <v>6073</v>
      </c>
    </row>
    <row r="1246" spans="9:10">
      <c r="I1246" s="707" t="s">
        <v>3782</v>
      </c>
      <c r="J1246" s="728" t="s">
        <v>5129</v>
      </c>
    </row>
    <row r="1247" spans="9:10">
      <c r="I1247" s="707" t="s">
        <v>1990</v>
      </c>
      <c r="J1247" s="728" t="s">
        <v>5130</v>
      </c>
    </row>
    <row r="1248" spans="9:10">
      <c r="I1248" s="707" t="s">
        <v>2734</v>
      </c>
      <c r="J1248" s="728" t="s">
        <v>5131</v>
      </c>
    </row>
    <row r="1249" spans="9:10">
      <c r="I1249" s="707" t="s">
        <v>1748</v>
      </c>
      <c r="J1249" s="728" t="s">
        <v>5132</v>
      </c>
    </row>
    <row r="1250" spans="9:10">
      <c r="I1250" s="707" t="s">
        <v>3783</v>
      </c>
      <c r="J1250" s="728" t="s">
        <v>5133</v>
      </c>
    </row>
    <row r="1251" spans="9:10">
      <c r="I1251" s="707" t="s">
        <v>2323</v>
      </c>
      <c r="J1251" s="728" t="s">
        <v>5134</v>
      </c>
    </row>
    <row r="1252" spans="9:10">
      <c r="I1252" s="707" t="s">
        <v>1408</v>
      </c>
      <c r="J1252" s="728" t="s">
        <v>6225</v>
      </c>
    </row>
    <row r="1253" spans="9:10">
      <c r="I1253" s="707" t="s">
        <v>3060</v>
      </c>
      <c r="J1253" s="728" t="s">
        <v>5135</v>
      </c>
    </row>
    <row r="1254" spans="9:10">
      <c r="I1254" s="707" t="s">
        <v>1947</v>
      </c>
      <c r="J1254" s="728" t="s">
        <v>5136</v>
      </c>
    </row>
    <row r="1255" spans="9:10">
      <c r="I1255" s="707" t="s">
        <v>2424</v>
      </c>
      <c r="J1255" s="728" t="s">
        <v>5137</v>
      </c>
    </row>
    <row r="1256" spans="9:10">
      <c r="I1256" s="707" t="s">
        <v>3784</v>
      </c>
      <c r="J1256" s="728" t="s">
        <v>5138</v>
      </c>
    </row>
    <row r="1257" spans="9:10">
      <c r="I1257" s="707" t="s">
        <v>3785</v>
      </c>
      <c r="J1257" s="728" t="s">
        <v>5139</v>
      </c>
    </row>
    <row r="1258" spans="9:10">
      <c r="I1258" s="707" t="s">
        <v>2999</v>
      </c>
      <c r="J1258" s="728" t="s">
        <v>5140</v>
      </c>
    </row>
    <row r="1259" spans="9:10">
      <c r="I1259" s="707" t="s">
        <v>2225</v>
      </c>
      <c r="J1259" s="728" t="s">
        <v>5141</v>
      </c>
    </row>
    <row r="1260" spans="9:10">
      <c r="I1260" s="707" t="s">
        <v>3786</v>
      </c>
      <c r="J1260" s="728" t="s">
        <v>5142</v>
      </c>
    </row>
    <row r="1261" spans="9:10">
      <c r="I1261" s="707" t="s">
        <v>1115</v>
      </c>
      <c r="J1261" s="728" t="s">
        <v>5144</v>
      </c>
    </row>
    <row r="1262" spans="9:10">
      <c r="I1262" s="707" t="s">
        <v>3287</v>
      </c>
      <c r="J1262" s="728" t="s">
        <v>5145</v>
      </c>
    </row>
    <row r="1263" spans="9:10">
      <c r="I1263" s="707" t="s">
        <v>2622</v>
      </c>
      <c r="J1263" s="728" t="s">
        <v>5143</v>
      </c>
    </row>
    <row r="1264" spans="9:10">
      <c r="I1264" s="707" t="s">
        <v>3787</v>
      </c>
      <c r="J1264" s="728" t="s">
        <v>5146</v>
      </c>
    </row>
    <row r="1265" spans="9:10">
      <c r="I1265" s="707" t="s">
        <v>1573</v>
      </c>
      <c r="J1265" s="728" t="s">
        <v>5147</v>
      </c>
    </row>
    <row r="1266" spans="9:10">
      <c r="I1266" s="707" t="s">
        <v>2486</v>
      </c>
      <c r="J1266" s="728" t="s">
        <v>5148</v>
      </c>
    </row>
    <row r="1267" spans="9:10">
      <c r="I1267" s="707" t="s">
        <v>3788</v>
      </c>
      <c r="J1267" s="728" t="s">
        <v>5149</v>
      </c>
    </row>
    <row r="1268" spans="9:10">
      <c r="I1268" s="707" t="s">
        <v>2731</v>
      </c>
      <c r="J1268" s="728" t="s">
        <v>5150</v>
      </c>
    </row>
    <row r="1269" spans="9:10">
      <c r="I1269" s="707" t="s">
        <v>2316</v>
      </c>
      <c r="J1269" s="728" t="s">
        <v>5151</v>
      </c>
    </row>
    <row r="1270" spans="9:10">
      <c r="I1270" s="707" t="s">
        <v>2064</v>
      </c>
      <c r="J1270" s="728" t="s">
        <v>5152</v>
      </c>
    </row>
    <row r="1271" spans="9:10">
      <c r="I1271" s="707" t="s">
        <v>1537</v>
      </c>
      <c r="J1271" s="728" t="s">
        <v>5153</v>
      </c>
    </row>
    <row r="1272" spans="9:10">
      <c r="I1272" s="707" t="s">
        <v>1641</v>
      </c>
      <c r="J1272" s="728" t="s">
        <v>5154</v>
      </c>
    </row>
    <row r="1273" spans="9:10">
      <c r="I1273" s="707" t="s">
        <v>2411</v>
      </c>
      <c r="J1273" s="728" t="s">
        <v>5155</v>
      </c>
    </row>
    <row r="1274" spans="9:10">
      <c r="I1274" s="707" t="s">
        <v>2332</v>
      </c>
      <c r="J1274" s="728" t="s">
        <v>5156</v>
      </c>
    </row>
    <row r="1275" spans="9:10">
      <c r="I1275" s="707" t="s">
        <v>3790</v>
      </c>
      <c r="J1275" s="728" t="s">
        <v>5158</v>
      </c>
    </row>
    <row r="1276" spans="9:10">
      <c r="I1276" s="707" t="s">
        <v>3791</v>
      </c>
      <c r="J1276" s="728" t="s">
        <v>5159</v>
      </c>
    </row>
    <row r="1277" spans="9:10">
      <c r="I1277" s="707" t="s">
        <v>2921</v>
      </c>
      <c r="J1277" s="728" t="s">
        <v>5160</v>
      </c>
    </row>
    <row r="1278" spans="9:10">
      <c r="I1278" s="707" t="s">
        <v>3792</v>
      </c>
      <c r="J1278" s="728" t="s">
        <v>5161</v>
      </c>
    </row>
    <row r="1279" spans="9:10">
      <c r="I1279" s="707" t="s">
        <v>3793</v>
      </c>
      <c r="J1279" s="728" t="s">
        <v>5162</v>
      </c>
    </row>
    <row r="1280" spans="9:10">
      <c r="I1280" s="707" t="s">
        <v>1464</v>
      </c>
      <c r="J1280" s="728" t="s">
        <v>5163</v>
      </c>
    </row>
    <row r="1281" spans="9:10">
      <c r="I1281" s="707" t="s">
        <v>2528</v>
      </c>
      <c r="J1281" s="728" t="s">
        <v>5164</v>
      </c>
    </row>
    <row r="1282" spans="9:10">
      <c r="I1282" s="707" t="s">
        <v>1521</v>
      </c>
      <c r="J1282" s="728" t="s">
        <v>5165</v>
      </c>
    </row>
    <row r="1283" spans="9:10">
      <c r="I1283" s="707" t="s">
        <v>1915</v>
      </c>
      <c r="J1283" s="728" t="s">
        <v>5166</v>
      </c>
    </row>
    <row r="1284" spans="9:10">
      <c r="I1284" s="707" t="s">
        <v>2944</v>
      </c>
      <c r="J1284" s="728" t="s">
        <v>5167</v>
      </c>
    </row>
    <row r="1285" spans="9:10">
      <c r="I1285" s="707" t="s">
        <v>2970</v>
      </c>
      <c r="J1285" s="728" t="s">
        <v>5168</v>
      </c>
    </row>
    <row r="1286" spans="9:10">
      <c r="I1286" s="707" t="s">
        <v>1165</v>
      </c>
      <c r="J1286" s="728" t="s">
        <v>5169</v>
      </c>
    </row>
    <row r="1287" spans="9:10">
      <c r="I1287" s="707" t="s">
        <v>1614</v>
      </c>
      <c r="J1287" s="728" t="s">
        <v>5170</v>
      </c>
    </row>
    <row r="1288" spans="9:10">
      <c r="I1288" s="707" t="s">
        <v>3794</v>
      </c>
      <c r="J1288" s="728" t="s">
        <v>5171</v>
      </c>
    </row>
    <row r="1289" spans="9:10">
      <c r="I1289" s="707" t="s">
        <v>1410</v>
      </c>
      <c r="J1289" s="728" t="s">
        <v>5172</v>
      </c>
    </row>
    <row r="1290" spans="9:10">
      <c r="I1290" s="707" t="s">
        <v>1396</v>
      </c>
      <c r="J1290" s="728" t="s">
        <v>5173</v>
      </c>
    </row>
    <row r="1291" spans="9:10">
      <c r="I1291" s="707" t="s">
        <v>1108</v>
      </c>
      <c r="J1291" s="728" t="s">
        <v>5175</v>
      </c>
    </row>
    <row r="1292" spans="9:10">
      <c r="I1292" s="707" t="s">
        <v>1743</v>
      </c>
      <c r="J1292" s="728" t="s">
        <v>5176</v>
      </c>
    </row>
    <row r="1293" spans="9:10">
      <c r="I1293" s="707" t="s">
        <v>2318</v>
      </c>
      <c r="J1293" s="728" t="s">
        <v>5174</v>
      </c>
    </row>
    <row r="1294" spans="9:10">
      <c r="I1294" s="707" t="s">
        <v>1179</v>
      </c>
      <c r="J1294" s="728" t="s">
        <v>5177</v>
      </c>
    </row>
    <row r="1295" spans="9:10">
      <c r="I1295" s="707" t="s">
        <v>1745</v>
      </c>
      <c r="J1295" s="728" t="s">
        <v>5178</v>
      </c>
    </row>
    <row r="1296" spans="9:10">
      <c r="I1296" s="707" t="s">
        <v>1878</v>
      </c>
      <c r="J1296" s="728" t="s">
        <v>5179</v>
      </c>
    </row>
    <row r="1297" spans="9:10">
      <c r="I1297" s="707" t="s">
        <v>3286</v>
      </c>
      <c r="J1297" s="728" t="s">
        <v>5180</v>
      </c>
    </row>
    <row r="1298" spans="9:10">
      <c r="I1298" s="707" t="s">
        <v>3795</v>
      </c>
      <c r="J1298" s="728" t="s">
        <v>5181</v>
      </c>
    </row>
    <row r="1299" spans="9:10">
      <c r="I1299" s="707" t="s">
        <v>2618</v>
      </c>
      <c r="J1299" s="728" t="s">
        <v>5182</v>
      </c>
    </row>
    <row r="1300" spans="9:10">
      <c r="I1300" s="707" t="s">
        <v>3796</v>
      </c>
      <c r="J1300" s="728" t="s">
        <v>5185</v>
      </c>
    </row>
    <row r="1301" spans="9:10">
      <c r="I1301" s="707" t="s">
        <v>3362</v>
      </c>
      <c r="J1301" s="728" t="s">
        <v>5186</v>
      </c>
    </row>
    <row r="1302" spans="9:10">
      <c r="I1302" s="707" t="s">
        <v>3369</v>
      </c>
      <c r="J1302" s="728" t="s">
        <v>5187</v>
      </c>
    </row>
    <row r="1303" spans="9:10">
      <c r="I1303" s="707" t="s">
        <v>2325</v>
      </c>
      <c r="J1303" s="728" t="s">
        <v>5183</v>
      </c>
    </row>
    <row r="1304" spans="9:10">
      <c r="I1304" s="707" t="s">
        <v>1338</v>
      </c>
      <c r="J1304" s="728" t="s">
        <v>5184</v>
      </c>
    </row>
    <row r="1305" spans="9:10">
      <c r="I1305" s="707" t="s">
        <v>1958</v>
      </c>
      <c r="J1305" s="728" t="s">
        <v>5188</v>
      </c>
    </row>
    <row r="1306" spans="9:10">
      <c r="I1306" s="707" t="s">
        <v>2557</v>
      </c>
      <c r="J1306" s="728" t="s">
        <v>5189</v>
      </c>
    </row>
    <row r="1307" spans="9:10">
      <c r="I1307" s="707" t="s">
        <v>1961</v>
      </c>
      <c r="J1307" s="728" t="s">
        <v>5190</v>
      </c>
    </row>
    <row r="1308" spans="9:10">
      <c r="I1308" s="707" t="s">
        <v>2383</v>
      </c>
      <c r="J1308" s="728" t="s">
        <v>5191</v>
      </c>
    </row>
    <row r="1309" spans="9:10">
      <c r="I1309" s="707" t="s">
        <v>2732</v>
      </c>
      <c r="J1309" s="728" t="s">
        <v>5192</v>
      </c>
    </row>
    <row r="1310" spans="9:10">
      <c r="I1310" s="707" t="s">
        <v>2080</v>
      </c>
      <c r="J1310" s="728" t="s">
        <v>5193</v>
      </c>
    </row>
    <row r="1311" spans="9:10">
      <c r="I1311" s="707" t="s">
        <v>3347</v>
      </c>
      <c r="J1311" s="728" t="s">
        <v>5194</v>
      </c>
    </row>
    <row r="1312" spans="9:10">
      <c r="I1312" s="707" t="s">
        <v>1171</v>
      </c>
      <c r="J1312" s="728" t="s">
        <v>5195</v>
      </c>
    </row>
    <row r="1313" spans="9:10">
      <c r="I1313" s="707" t="s">
        <v>6924</v>
      </c>
      <c r="J1313" s="728" t="s">
        <v>7043</v>
      </c>
    </row>
    <row r="1314" spans="9:10">
      <c r="I1314" s="707" t="s">
        <v>3797</v>
      </c>
      <c r="J1314" s="728" t="s">
        <v>5196</v>
      </c>
    </row>
    <row r="1315" spans="9:10">
      <c r="I1315" s="707" t="s">
        <v>3798</v>
      </c>
      <c r="J1315" s="728" t="s">
        <v>5198</v>
      </c>
    </row>
    <row r="1316" spans="9:10">
      <c r="I1316" s="707" t="s">
        <v>3799</v>
      </c>
      <c r="J1316" s="728" t="s">
        <v>5199</v>
      </c>
    </row>
    <row r="1317" spans="9:10">
      <c r="I1317" s="707" t="s">
        <v>3379</v>
      </c>
      <c r="J1317" s="728" t="s">
        <v>5200</v>
      </c>
    </row>
    <row r="1318" spans="9:10">
      <c r="I1318" s="707" t="s">
        <v>3800</v>
      </c>
      <c r="J1318" s="728" t="s">
        <v>5201</v>
      </c>
    </row>
    <row r="1319" spans="9:10">
      <c r="I1319" s="707" t="s">
        <v>3801</v>
      </c>
      <c r="J1319" s="728" t="s">
        <v>5202</v>
      </c>
    </row>
    <row r="1320" spans="9:10">
      <c r="I1320" s="707" t="s">
        <v>3802</v>
      </c>
      <c r="J1320" s="728" t="s">
        <v>5203</v>
      </c>
    </row>
    <row r="1321" spans="9:10">
      <c r="I1321" s="707" t="s">
        <v>1000</v>
      </c>
      <c r="J1321" s="728" t="s">
        <v>5197</v>
      </c>
    </row>
    <row r="1322" spans="9:10">
      <c r="I1322" s="707" t="s">
        <v>2462</v>
      </c>
      <c r="J1322" s="728" t="s">
        <v>5204</v>
      </c>
    </row>
    <row r="1323" spans="9:10">
      <c r="I1323" s="707" t="s">
        <v>2723</v>
      </c>
      <c r="J1323" s="728" t="s">
        <v>5205</v>
      </c>
    </row>
    <row r="1324" spans="9:10">
      <c r="I1324" s="707" t="s">
        <v>1957</v>
      </c>
      <c r="J1324" s="728" t="s">
        <v>5206</v>
      </c>
    </row>
    <row r="1325" spans="9:10">
      <c r="I1325" s="707" t="s">
        <v>1395</v>
      </c>
      <c r="J1325" s="728" t="s">
        <v>5207</v>
      </c>
    </row>
    <row r="1326" spans="9:10">
      <c r="I1326" s="707" t="s">
        <v>1886</v>
      </c>
      <c r="J1326" s="728" t="s">
        <v>5208</v>
      </c>
    </row>
    <row r="1327" spans="9:10">
      <c r="I1327" s="707" t="s">
        <v>1175</v>
      </c>
      <c r="J1327" s="728" t="s">
        <v>5209</v>
      </c>
    </row>
    <row r="1328" spans="9:10">
      <c r="I1328" s="707" t="s">
        <v>1971</v>
      </c>
      <c r="J1328" s="728" t="s">
        <v>5210</v>
      </c>
    </row>
    <row r="1329" spans="9:10">
      <c r="I1329" s="707" t="s">
        <v>1994</v>
      </c>
      <c r="J1329" s="728" t="s">
        <v>5211</v>
      </c>
    </row>
    <row r="1330" spans="9:10">
      <c r="I1330" s="707" t="s">
        <v>2953</v>
      </c>
      <c r="J1330" s="728" t="s">
        <v>5212</v>
      </c>
    </row>
    <row r="1331" spans="9:10">
      <c r="I1331" s="707" t="s">
        <v>1469</v>
      </c>
      <c r="J1331" s="728" t="s">
        <v>5213</v>
      </c>
    </row>
    <row r="1332" spans="9:10">
      <c r="I1332" s="707" t="s">
        <v>1832</v>
      </c>
      <c r="J1332" s="728" t="s">
        <v>5214</v>
      </c>
    </row>
    <row r="1333" spans="9:10">
      <c r="I1333" s="707" t="s">
        <v>2704</v>
      </c>
      <c r="J1333" s="728" t="s">
        <v>5215</v>
      </c>
    </row>
    <row r="1334" spans="9:10">
      <c r="I1334" s="707" t="s">
        <v>2437</v>
      </c>
      <c r="J1334" s="728" t="s">
        <v>5216</v>
      </c>
    </row>
    <row r="1335" spans="9:10">
      <c r="I1335" s="707" t="s">
        <v>3803</v>
      </c>
      <c r="J1335" s="728" t="s">
        <v>5217</v>
      </c>
    </row>
    <row r="1336" spans="9:10">
      <c r="I1336" s="707" t="s">
        <v>1960</v>
      </c>
      <c r="J1336" s="728" t="s">
        <v>5218</v>
      </c>
    </row>
    <row r="1337" spans="9:10">
      <c r="I1337" s="707" t="s">
        <v>2467</v>
      </c>
      <c r="J1337" s="728" t="s">
        <v>5219</v>
      </c>
    </row>
    <row r="1338" spans="9:10">
      <c r="I1338" s="707" t="s">
        <v>2787</v>
      </c>
      <c r="J1338" s="728" t="s">
        <v>5220</v>
      </c>
    </row>
    <row r="1339" spans="9:10">
      <c r="I1339" s="707" t="s">
        <v>1525</v>
      </c>
      <c r="J1339" s="728" t="s">
        <v>5221</v>
      </c>
    </row>
    <row r="1340" spans="9:10">
      <c r="I1340" s="707" t="s">
        <v>2179</v>
      </c>
      <c r="J1340" s="728" t="s">
        <v>5222</v>
      </c>
    </row>
    <row r="1341" spans="9:10">
      <c r="I1341" s="707" t="s">
        <v>3804</v>
      </c>
      <c r="J1341" s="728" t="s">
        <v>5223</v>
      </c>
    </row>
    <row r="1342" spans="9:10">
      <c r="I1342" s="707" t="s">
        <v>3253</v>
      </c>
      <c r="J1342" s="728" t="s">
        <v>5224</v>
      </c>
    </row>
    <row r="1343" spans="9:10">
      <c r="I1343" s="707" t="s">
        <v>1557</v>
      </c>
      <c r="J1343" s="728" t="s">
        <v>5225</v>
      </c>
    </row>
    <row r="1344" spans="9:10">
      <c r="I1344" s="707" t="s">
        <v>3805</v>
      </c>
      <c r="J1344" s="728" t="s">
        <v>5227</v>
      </c>
    </row>
    <row r="1345" spans="9:10">
      <c r="I1345" s="707" t="s">
        <v>3025</v>
      </c>
      <c r="J1345" s="728" t="s">
        <v>5228</v>
      </c>
    </row>
    <row r="1346" spans="9:10">
      <c r="I1346" s="707" t="s">
        <v>1188</v>
      </c>
      <c r="J1346" s="728" t="s">
        <v>5229</v>
      </c>
    </row>
    <row r="1347" spans="9:10">
      <c r="I1347" s="707" t="s">
        <v>2843</v>
      </c>
      <c r="J1347" s="728" t="s">
        <v>5230</v>
      </c>
    </row>
    <row r="1348" spans="9:10">
      <c r="I1348" s="707" t="s">
        <v>3806</v>
      </c>
      <c r="J1348" s="728" t="s">
        <v>5231</v>
      </c>
    </row>
    <row r="1349" spans="9:10">
      <c r="I1349" s="707" t="s">
        <v>3807</v>
      </c>
      <c r="J1349" s="728" t="s">
        <v>5232</v>
      </c>
    </row>
    <row r="1350" spans="9:10">
      <c r="I1350" s="707" t="s">
        <v>1837</v>
      </c>
      <c r="J1350" s="728" t="s">
        <v>5233</v>
      </c>
    </row>
    <row r="1351" spans="9:10">
      <c r="I1351" s="707" t="s">
        <v>3808</v>
      </c>
      <c r="J1351" s="728" t="s">
        <v>5234</v>
      </c>
    </row>
    <row r="1352" spans="9:10">
      <c r="I1352" s="707" t="s">
        <v>2319</v>
      </c>
      <c r="J1352" s="728" t="s">
        <v>5236</v>
      </c>
    </row>
    <row r="1353" spans="9:10">
      <c r="I1353" s="707" t="s">
        <v>3303</v>
      </c>
      <c r="J1353" s="728" t="s">
        <v>5237</v>
      </c>
    </row>
    <row r="1354" spans="9:10">
      <c r="I1354" s="707" t="s">
        <v>3809</v>
      </c>
      <c r="J1354" s="728" t="s">
        <v>5239</v>
      </c>
    </row>
    <row r="1355" spans="9:10">
      <c r="I1355" s="707" t="s">
        <v>1662</v>
      </c>
      <c r="J1355" s="728" t="s">
        <v>5241</v>
      </c>
    </row>
    <row r="1356" spans="9:10">
      <c r="I1356" s="707" t="s">
        <v>1104</v>
      </c>
      <c r="J1356" s="728" t="s">
        <v>5243</v>
      </c>
    </row>
    <row r="1357" spans="9:10">
      <c r="I1357" s="707" t="s">
        <v>3810</v>
      </c>
      <c r="J1357" s="728" t="s">
        <v>5244</v>
      </c>
    </row>
    <row r="1358" spans="9:10">
      <c r="I1358" s="707" t="s">
        <v>2351</v>
      </c>
      <c r="J1358" s="728" t="s">
        <v>5245</v>
      </c>
    </row>
    <row r="1359" spans="9:10">
      <c r="I1359" s="707" t="s">
        <v>3811</v>
      </c>
      <c r="J1359" s="728" t="s">
        <v>5246</v>
      </c>
    </row>
    <row r="1360" spans="9:10">
      <c r="I1360" s="707" t="s">
        <v>3009</v>
      </c>
      <c r="J1360" s="728" t="s">
        <v>5247</v>
      </c>
    </row>
    <row r="1361" spans="9:10">
      <c r="I1361" s="707" t="s">
        <v>2884</v>
      </c>
      <c r="J1361" s="728" t="s">
        <v>5248</v>
      </c>
    </row>
    <row r="1362" spans="9:10">
      <c r="I1362" s="707" t="s">
        <v>3812</v>
      </c>
      <c r="J1362" s="728" t="s">
        <v>5249</v>
      </c>
    </row>
    <row r="1363" spans="9:10">
      <c r="I1363" s="707" t="s">
        <v>2501</v>
      </c>
      <c r="J1363" s="728" t="s">
        <v>5250</v>
      </c>
    </row>
    <row r="1364" spans="9:10">
      <c r="I1364" s="707" t="s">
        <v>2500</v>
      </c>
      <c r="J1364" s="728" t="s">
        <v>5251</v>
      </c>
    </row>
    <row r="1365" spans="9:10">
      <c r="I1365" s="707" t="s">
        <v>1119</v>
      </c>
      <c r="J1365" s="728" t="s">
        <v>5258</v>
      </c>
    </row>
    <row r="1366" spans="9:10">
      <c r="I1366" s="707" t="s">
        <v>2639</v>
      </c>
      <c r="J1366" s="728" t="s">
        <v>5260</v>
      </c>
    </row>
    <row r="1367" spans="9:10">
      <c r="I1367" s="707" t="s">
        <v>1818</v>
      </c>
      <c r="J1367" s="728" t="s">
        <v>5261</v>
      </c>
    </row>
    <row r="1368" spans="9:10">
      <c r="I1368" s="707" t="s">
        <v>3814</v>
      </c>
      <c r="J1368" s="728" t="s">
        <v>5262</v>
      </c>
    </row>
    <row r="1369" spans="9:10">
      <c r="I1369" s="707" t="s">
        <v>2062</v>
      </c>
      <c r="J1369" s="728" t="s">
        <v>5263</v>
      </c>
    </row>
    <row r="1370" spans="9:10">
      <c r="I1370" s="707" t="s">
        <v>3815</v>
      </c>
      <c r="J1370" s="728" t="s">
        <v>5264</v>
      </c>
    </row>
    <row r="1371" spans="9:10">
      <c r="I1371" s="707" t="s">
        <v>3816</v>
      </c>
      <c r="J1371" s="728" t="s">
        <v>5265</v>
      </c>
    </row>
    <row r="1372" spans="9:10">
      <c r="I1372" s="707" t="s">
        <v>2394</v>
      </c>
      <c r="J1372" s="728" t="s">
        <v>5266</v>
      </c>
    </row>
    <row r="1373" spans="9:10">
      <c r="I1373" s="707" t="s">
        <v>1632</v>
      </c>
      <c r="J1373" s="728" t="s">
        <v>5267</v>
      </c>
    </row>
    <row r="1374" spans="9:10">
      <c r="I1374" s="707" t="s">
        <v>1316</v>
      </c>
      <c r="J1374" s="728" t="s">
        <v>5268</v>
      </c>
    </row>
    <row r="1375" spans="9:10">
      <c r="I1375" s="707" t="s">
        <v>1784</v>
      </c>
      <c r="J1375" s="728" t="s">
        <v>5269</v>
      </c>
    </row>
    <row r="1376" spans="9:10">
      <c r="I1376" s="707" t="s">
        <v>1811</v>
      </c>
      <c r="J1376" s="728" t="s">
        <v>5270</v>
      </c>
    </row>
    <row r="1377" spans="9:10">
      <c r="I1377" s="707" t="s">
        <v>1074</v>
      </c>
      <c r="J1377" s="728" t="s">
        <v>5271</v>
      </c>
    </row>
    <row r="1378" spans="9:10">
      <c r="I1378" s="707" t="s">
        <v>6925</v>
      </c>
      <c r="J1378" s="728" t="s">
        <v>7044</v>
      </c>
    </row>
    <row r="1379" spans="9:10">
      <c r="I1379" s="707" t="s">
        <v>6926</v>
      </c>
      <c r="J1379" s="728" t="s">
        <v>7045</v>
      </c>
    </row>
    <row r="1380" spans="9:10">
      <c r="I1380" s="707" t="s">
        <v>1032</v>
      </c>
      <c r="J1380" s="728" t="s">
        <v>5272</v>
      </c>
    </row>
    <row r="1381" spans="9:10">
      <c r="I1381" s="707" t="s">
        <v>6927</v>
      </c>
      <c r="J1381" s="728" t="s">
        <v>7046</v>
      </c>
    </row>
    <row r="1382" spans="9:10">
      <c r="I1382" s="707" t="s">
        <v>1998</v>
      </c>
      <c r="J1382" s="728" t="s">
        <v>6074</v>
      </c>
    </row>
    <row r="1383" spans="9:10">
      <c r="I1383" s="707" t="s">
        <v>1757</v>
      </c>
      <c r="J1383" s="728" t="s">
        <v>5273</v>
      </c>
    </row>
    <row r="1384" spans="9:10">
      <c r="I1384" s="707" t="s">
        <v>1694</v>
      </c>
      <c r="J1384" s="728" t="s">
        <v>5274</v>
      </c>
    </row>
    <row r="1385" spans="9:10">
      <c r="I1385" s="707" t="s">
        <v>1373</v>
      </c>
      <c r="J1385" s="728" t="s">
        <v>5275</v>
      </c>
    </row>
    <row r="1386" spans="9:10">
      <c r="I1386" s="707" t="s">
        <v>1903</v>
      </c>
      <c r="J1386" s="728" t="s">
        <v>5276</v>
      </c>
    </row>
    <row r="1387" spans="9:10">
      <c r="I1387" s="707" t="s">
        <v>1640</v>
      </c>
      <c r="J1387" s="728" t="s">
        <v>5277</v>
      </c>
    </row>
    <row r="1388" spans="9:10">
      <c r="I1388" s="707" t="s">
        <v>2092</v>
      </c>
      <c r="J1388" s="728" t="s">
        <v>5278</v>
      </c>
    </row>
    <row r="1389" spans="9:10">
      <c r="I1389" s="707" t="s">
        <v>1623</v>
      </c>
      <c r="J1389" s="728" t="s">
        <v>5279</v>
      </c>
    </row>
    <row r="1390" spans="9:10">
      <c r="I1390" s="707" t="s">
        <v>1458</v>
      </c>
      <c r="J1390" s="728" t="s">
        <v>5280</v>
      </c>
    </row>
    <row r="1391" spans="9:10">
      <c r="I1391" s="707" t="s">
        <v>1536</v>
      </c>
      <c r="J1391" s="728" t="s">
        <v>5281</v>
      </c>
    </row>
    <row r="1392" spans="9:10">
      <c r="I1392" s="707" t="s">
        <v>2685</v>
      </c>
      <c r="J1392" s="728" t="s">
        <v>5282</v>
      </c>
    </row>
    <row r="1393" spans="9:10">
      <c r="I1393" s="707" t="s">
        <v>2379</v>
      </c>
      <c r="J1393" s="728" t="s">
        <v>5283</v>
      </c>
    </row>
    <row r="1394" spans="9:10">
      <c r="I1394" s="707" t="s">
        <v>2126</v>
      </c>
      <c r="J1394" s="728" t="s">
        <v>5284</v>
      </c>
    </row>
    <row r="1395" spans="9:10">
      <c r="I1395" s="707" t="s">
        <v>2856</v>
      </c>
      <c r="J1395" s="728" t="s">
        <v>5285</v>
      </c>
    </row>
    <row r="1396" spans="9:10">
      <c r="I1396" s="707" t="s">
        <v>2069</v>
      </c>
      <c r="J1396" s="728" t="s">
        <v>5286</v>
      </c>
    </row>
    <row r="1397" spans="9:10">
      <c r="I1397" s="707" t="s">
        <v>2389</v>
      </c>
      <c r="J1397" s="728" t="s">
        <v>5287</v>
      </c>
    </row>
    <row r="1398" spans="9:10">
      <c r="I1398" s="707" t="s">
        <v>2638</v>
      </c>
      <c r="J1398" s="728" t="s">
        <v>5288</v>
      </c>
    </row>
    <row r="1399" spans="9:10">
      <c r="I1399" s="707" t="s">
        <v>1941</v>
      </c>
      <c r="J1399" s="728" t="s">
        <v>5289</v>
      </c>
    </row>
    <row r="1400" spans="9:10">
      <c r="I1400" s="707" t="s">
        <v>1172</v>
      </c>
      <c r="J1400" s="728" t="s">
        <v>5290</v>
      </c>
    </row>
    <row r="1401" spans="9:10">
      <c r="I1401" s="707" t="s">
        <v>2854</v>
      </c>
      <c r="J1401" s="728" t="s">
        <v>4406</v>
      </c>
    </row>
    <row r="1402" spans="9:10">
      <c r="I1402" s="707" t="s">
        <v>3038</v>
      </c>
      <c r="J1402" s="728" t="s">
        <v>5291</v>
      </c>
    </row>
    <row r="1403" spans="9:10">
      <c r="I1403" s="707" t="s">
        <v>1659</v>
      </c>
      <c r="J1403" s="728" t="s">
        <v>5292</v>
      </c>
    </row>
    <row r="1404" spans="9:10">
      <c r="I1404" s="707" t="s">
        <v>2121</v>
      </c>
      <c r="J1404" s="728" t="s">
        <v>5293</v>
      </c>
    </row>
    <row r="1405" spans="9:10">
      <c r="I1405" s="707" t="s">
        <v>2863</v>
      </c>
      <c r="J1405" s="728" t="s">
        <v>5294</v>
      </c>
    </row>
    <row r="1406" spans="9:10">
      <c r="I1406" s="707" t="s">
        <v>1473</v>
      </c>
      <c r="J1406" s="728" t="s">
        <v>5295</v>
      </c>
    </row>
    <row r="1407" spans="9:10">
      <c r="I1407" s="707" t="s">
        <v>2403</v>
      </c>
      <c r="J1407" s="728" t="s">
        <v>5296</v>
      </c>
    </row>
    <row r="1408" spans="9:10">
      <c r="I1408" s="707" t="s">
        <v>3820</v>
      </c>
      <c r="J1408" s="728" t="s">
        <v>5302</v>
      </c>
    </row>
    <row r="1409" spans="9:10">
      <c r="I1409" s="707" t="s">
        <v>1433</v>
      </c>
      <c r="J1409" s="728" t="s">
        <v>5303</v>
      </c>
    </row>
    <row r="1410" spans="9:10">
      <c r="I1410" s="707" t="s">
        <v>2797</v>
      </c>
      <c r="J1410" s="728" t="s">
        <v>5304</v>
      </c>
    </row>
    <row r="1411" spans="9:10">
      <c r="I1411" s="707" t="s">
        <v>2136</v>
      </c>
      <c r="J1411" s="728" t="s">
        <v>5305</v>
      </c>
    </row>
    <row r="1412" spans="9:10">
      <c r="I1412" s="707" t="s">
        <v>1914</v>
      </c>
      <c r="J1412" s="728" t="s">
        <v>5306</v>
      </c>
    </row>
    <row r="1413" spans="9:10">
      <c r="I1413" s="707" t="s">
        <v>3302</v>
      </c>
      <c r="J1413" s="728" t="s">
        <v>5307</v>
      </c>
    </row>
    <row r="1414" spans="9:10">
      <c r="I1414" s="707" t="s">
        <v>3821</v>
      </c>
      <c r="J1414" s="728" t="s">
        <v>5308</v>
      </c>
    </row>
    <row r="1415" spans="9:10">
      <c r="I1415" s="707" t="s">
        <v>2875</v>
      </c>
      <c r="J1415" s="728" t="s">
        <v>5309</v>
      </c>
    </row>
    <row r="1416" spans="9:10">
      <c r="I1416" s="707" t="s">
        <v>1170</v>
      </c>
      <c r="J1416" s="728" t="s">
        <v>5310</v>
      </c>
    </row>
    <row r="1417" spans="9:10">
      <c r="I1417" s="707" t="s">
        <v>1803</v>
      </c>
      <c r="J1417" s="728" t="s">
        <v>5312</v>
      </c>
    </row>
    <row r="1418" spans="9:10">
      <c r="I1418" s="707" t="s">
        <v>1758</v>
      </c>
      <c r="J1418" s="728" t="s">
        <v>5313</v>
      </c>
    </row>
    <row r="1419" spans="9:10">
      <c r="I1419" s="707" t="s">
        <v>2373</v>
      </c>
      <c r="J1419" s="728" t="s">
        <v>5314</v>
      </c>
    </row>
    <row r="1420" spans="9:10">
      <c r="I1420" s="707" t="s">
        <v>2956</v>
      </c>
      <c r="J1420" s="728" t="s">
        <v>5315</v>
      </c>
    </row>
    <row r="1421" spans="9:10">
      <c r="I1421" s="707" t="s">
        <v>3822</v>
      </c>
      <c r="J1421" s="728" t="s">
        <v>5316</v>
      </c>
    </row>
    <row r="1422" spans="9:10">
      <c r="I1422" s="707" t="s">
        <v>3823</v>
      </c>
      <c r="J1422" s="728" t="s">
        <v>5318</v>
      </c>
    </row>
    <row r="1423" spans="9:10">
      <c r="I1423" s="707" t="s">
        <v>3824</v>
      </c>
      <c r="J1423" s="728" t="s">
        <v>5319</v>
      </c>
    </row>
    <row r="1424" spans="9:10">
      <c r="I1424" s="707" t="s">
        <v>3825</v>
      </c>
      <c r="J1424" s="728" t="s">
        <v>5320</v>
      </c>
    </row>
    <row r="1425" spans="9:10">
      <c r="I1425" s="707" t="s">
        <v>2636</v>
      </c>
      <c r="J1425" s="728" t="s">
        <v>5321</v>
      </c>
    </row>
    <row r="1426" spans="9:10">
      <c r="I1426" s="707" t="s">
        <v>2614</v>
      </c>
      <c r="J1426" s="728" t="s">
        <v>5322</v>
      </c>
    </row>
    <row r="1427" spans="9:10">
      <c r="I1427" s="707" t="s">
        <v>2425</v>
      </c>
      <c r="J1427" s="728" t="s">
        <v>5323</v>
      </c>
    </row>
    <row r="1428" spans="9:10">
      <c r="I1428" s="707" t="s">
        <v>2883</v>
      </c>
      <c r="J1428" s="728" t="s">
        <v>5324</v>
      </c>
    </row>
    <row r="1429" spans="9:10">
      <c r="I1429" s="707" t="s">
        <v>1872</v>
      </c>
      <c r="J1429" s="728" t="s">
        <v>5325</v>
      </c>
    </row>
    <row r="1430" spans="9:10">
      <c r="I1430" s="707" t="s">
        <v>2941</v>
      </c>
      <c r="J1430" s="728" t="s">
        <v>5326</v>
      </c>
    </row>
    <row r="1431" spans="9:10">
      <c r="I1431" s="707" t="s">
        <v>3826</v>
      </c>
      <c r="J1431" s="728" t="s">
        <v>5327</v>
      </c>
    </row>
    <row r="1432" spans="9:10">
      <c r="I1432" s="707" t="s">
        <v>2598</v>
      </c>
      <c r="J1432" s="728" t="s">
        <v>5328</v>
      </c>
    </row>
    <row r="1433" spans="9:10">
      <c r="I1433" s="707" t="s">
        <v>1760</v>
      </c>
      <c r="J1433" s="728" t="s">
        <v>5329</v>
      </c>
    </row>
    <row r="1434" spans="9:10">
      <c r="I1434" s="707" t="s">
        <v>2772</v>
      </c>
      <c r="J1434" s="728" t="s">
        <v>5330</v>
      </c>
    </row>
    <row r="1435" spans="9:10">
      <c r="I1435" s="707" t="s">
        <v>1922</v>
      </c>
      <c r="J1435" s="728" t="s">
        <v>5331</v>
      </c>
    </row>
    <row r="1436" spans="9:10">
      <c r="I1436" s="707" t="s">
        <v>2947</v>
      </c>
      <c r="J1436" s="728" t="s">
        <v>5332</v>
      </c>
    </row>
    <row r="1437" spans="9:10">
      <c r="I1437" s="707" t="s">
        <v>2531</v>
      </c>
      <c r="J1437" s="728" t="s">
        <v>5333</v>
      </c>
    </row>
    <row r="1438" spans="9:10">
      <c r="I1438" s="707" t="s">
        <v>2816</v>
      </c>
      <c r="J1438" s="728" t="s">
        <v>5334</v>
      </c>
    </row>
    <row r="1439" spans="9:10">
      <c r="I1439" s="707" t="s">
        <v>1263</v>
      </c>
      <c r="J1439" s="728" t="s">
        <v>5336</v>
      </c>
    </row>
    <row r="1440" spans="9:10">
      <c r="I1440" s="707" t="s">
        <v>2192</v>
      </c>
      <c r="J1440" s="728" t="s">
        <v>5337</v>
      </c>
    </row>
    <row r="1441" spans="9:10">
      <c r="I1441" s="707" t="s">
        <v>1520</v>
      </c>
      <c r="J1441" s="728" t="s">
        <v>5339</v>
      </c>
    </row>
    <row r="1442" spans="9:10">
      <c r="I1442" s="707" t="s">
        <v>1572</v>
      </c>
      <c r="J1442" s="728" t="s">
        <v>5338</v>
      </c>
    </row>
    <row r="1443" spans="9:10">
      <c r="I1443" s="707" t="s">
        <v>2890</v>
      </c>
      <c r="J1443" s="728" t="s">
        <v>5340</v>
      </c>
    </row>
    <row r="1444" spans="9:10">
      <c r="I1444" s="707" t="s">
        <v>2269</v>
      </c>
      <c r="J1444" s="728" t="s">
        <v>5341</v>
      </c>
    </row>
    <row r="1445" spans="9:10">
      <c r="I1445" s="707" t="s">
        <v>2371</v>
      </c>
      <c r="J1445" s="728" t="s">
        <v>5342</v>
      </c>
    </row>
    <row r="1446" spans="9:10">
      <c r="I1446" s="707" t="s">
        <v>2204</v>
      </c>
      <c r="J1446" s="728" t="s">
        <v>5343</v>
      </c>
    </row>
    <row r="1447" spans="9:10">
      <c r="I1447" s="707" t="s">
        <v>3827</v>
      </c>
      <c r="J1447" s="728" t="s">
        <v>5344</v>
      </c>
    </row>
    <row r="1448" spans="9:10">
      <c r="I1448" s="707" t="s">
        <v>3828</v>
      </c>
      <c r="J1448" s="728" t="s">
        <v>5345</v>
      </c>
    </row>
    <row r="1449" spans="9:10">
      <c r="I1449" s="707" t="s">
        <v>3829</v>
      </c>
      <c r="J1449" s="728" t="s">
        <v>5346</v>
      </c>
    </row>
    <row r="1450" spans="9:10">
      <c r="I1450" s="707" t="s">
        <v>2267</v>
      </c>
      <c r="J1450" s="728" t="s">
        <v>5347</v>
      </c>
    </row>
    <row r="1451" spans="9:10">
      <c r="I1451" s="707" t="s">
        <v>1224</v>
      </c>
      <c r="J1451" s="728" t="s">
        <v>5348</v>
      </c>
    </row>
    <row r="1452" spans="9:10">
      <c r="I1452" s="707" t="s">
        <v>3830</v>
      </c>
      <c r="J1452" s="728" t="s">
        <v>5349</v>
      </c>
    </row>
    <row r="1453" spans="9:10">
      <c r="I1453" s="707" t="s">
        <v>1763</v>
      </c>
      <c r="J1453" s="728" t="s">
        <v>5350</v>
      </c>
    </row>
    <row r="1454" spans="9:10">
      <c r="I1454" s="707" t="s">
        <v>2755</v>
      </c>
      <c r="J1454" s="728" t="s">
        <v>5351</v>
      </c>
    </row>
    <row r="1455" spans="9:10">
      <c r="I1455" s="707" t="s">
        <v>1611</v>
      </c>
      <c r="J1455" s="728" t="s">
        <v>5352</v>
      </c>
    </row>
    <row r="1456" spans="9:10">
      <c r="I1456" s="707" t="s">
        <v>2414</v>
      </c>
      <c r="J1456" s="728" t="s">
        <v>5353</v>
      </c>
    </row>
    <row r="1457" spans="9:10">
      <c r="I1457" s="707" t="s">
        <v>3831</v>
      </c>
      <c r="J1457" s="728" t="s">
        <v>5354</v>
      </c>
    </row>
    <row r="1458" spans="9:10">
      <c r="I1458" s="707" t="s">
        <v>2264</v>
      </c>
      <c r="J1458" s="728" t="s">
        <v>5355</v>
      </c>
    </row>
    <row r="1459" spans="9:10">
      <c r="I1459" s="707" t="s">
        <v>1717</v>
      </c>
      <c r="J1459" s="728" t="s">
        <v>5356</v>
      </c>
    </row>
    <row r="1460" spans="9:10">
      <c r="I1460" s="707" t="s">
        <v>2118</v>
      </c>
      <c r="J1460" s="728" t="s">
        <v>5357</v>
      </c>
    </row>
    <row r="1461" spans="9:10">
      <c r="I1461" s="707" t="s">
        <v>3015</v>
      </c>
      <c r="J1461" s="728" t="s">
        <v>5359</v>
      </c>
    </row>
    <row r="1462" spans="9:10">
      <c r="I1462" s="707" t="s">
        <v>1905</v>
      </c>
      <c r="J1462" s="728" t="s">
        <v>5361</v>
      </c>
    </row>
    <row r="1463" spans="9:10">
      <c r="I1463" s="707" t="s">
        <v>2711</v>
      </c>
      <c r="J1463" s="728" t="s">
        <v>5362</v>
      </c>
    </row>
    <row r="1464" spans="9:10">
      <c r="I1464" s="707" t="s">
        <v>1835</v>
      </c>
      <c r="J1464" s="728" t="s">
        <v>5363</v>
      </c>
    </row>
    <row r="1465" spans="9:10">
      <c r="I1465" s="707" t="s">
        <v>1088</v>
      </c>
      <c r="J1465" s="728" t="s">
        <v>5364</v>
      </c>
    </row>
    <row r="1466" spans="9:10">
      <c r="I1466" s="707" t="s">
        <v>3832</v>
      </c>
      <c r="J1466" s="728" t="s">
        <v>5365</v>
      </c>
    </row>
    <row r="1467" spans="9:10">
      <c r="I1467" s="707" t="s">
        <v>2882</v>
      </c>
      <c r="J1467" s="728" t="s">
        <v>5366</v>
      </c>
    </row>
    <row r="1468" spans="9:10">
      <c r="I1468" s="707" t="s">
        <v>6928</v>
      </c>
      <c r="J1468" s="728" t="s">
        <v>5113</v>
      </c>
    </row>
    <row r="1469" spans="9:10">
      <c r="I1469" s="707" t="s">
        <v>2669</v>
      </c>
      <c r="J1469" s="728" t="s">
        <v>5367</v>
      </c>
    </row>
    <row r="1470" spans="9:10">
      <c r="I1470" s="707" t="s">
        <v>3306</v>
      </c>
      <c r="J1470" s="728" t="s">
        <v>5368</v>
      </c>
    </row>
    <row r="1471" spans="9:10">
      <c r="I1471" s="707" t="s">
        <v>2290</v>
      </c>
      <c r="J1471" s="728" t="s">
        <v>5369</v>
      </c>
    </row>
    <row r="1472" spans="9:10">
      <c r="I1472" s="707" t="s">
        <v>1483</v>
      </c>
      <c r="J1472" s="728" t="s">
        <v>5370</v>
      </c>
    </row>
    <row r="1473" spans="9:10">
      <c r="I1473" s="707" t="s">
        <v>1437</v>
      </c>
      <c r="J1473" s="728" t="s">
        <v>5371</v>
      </c>
    </row>
    <row r="1474" spans="9:10">
      <c r="I1474" s="707" t="s">
        <v>1400</v>
      </c>
      <c r="J1474" s="728" t="s">
        <v>5372</v>
      </c>
    </row>
    <row r="1475" spans="9:10">
      <c r="I1475" s="707" t="s">
        <v>3833</v>
      </c>
      <c r="J1475" s="728" t="s">
        <v>5373</v>
      </c>
    </row>
    <row r="1476" spans="9:10">
      <c r="I1476" s="707" t="s">
        <v>2842</v>
      </c>
      <c r="J1476" s="728" t="s">
        <v>5374</v>
      </c>
    </row>
    <row r="1477" spans="9:10">
      <c r="I1477" s="707" t="s">
        <v>2455</v>
      </c>
      <c r="J1477" s="728" t="s">
        <v>5375</v>
      </c>
    </row>
    <row r="1478" spans="9:10">
      <c r="I1478" s="707" t="s">
        <v>3834</v>
      </c>
      <c r="J1478" s="728" t="s">
        <v>5376</v>
      </c>
    </row>
    <row r="1479" spans="9:10">
      <c r="I1479" s="707" t="s">
        <v>2795</v>
      </c>
      <c r="J1479" s="728" t="s">
        <v>5377</v>
      </c>
    </row>
    <row r="1480" spans="9:10">
      <c r="I1480" s="707" t="s">
        <v>2199</v>
      </c>
      <c r="J1480" s="728" t="s">
        <v>5378</v>
      </c>
    </row>
    <row r="1481" spans="9:10">
      <c r="I1481" s="707" t="s">
        <v>2109</v>
      </c>
      <c r="J1481" s="728" t="s">
        <v>5379</v>
      </c>
    </row>
    <row r="1482" spans="9:10">
      <c r="I1482" s="707" t="s">
        <v>2344</v>
      </c>
      <c r="J1482" s="728" t="s">
        <v>5380</v>
      </c>
    </row>
    <row r="1483" spans="9:10">
      <c r="I1483" s="707" t="s">
        <v>2611</v>
      </c>
      <c r="J1483" s="728" t="s">
        <v>5381</v>
      </c>
    </row>
    <row r="1484" spans="9:10">
      <c r="I1484" s="707" t="s">
        <v>2000</v>
      </c>
      <c r="J1484" s="728" t="s">
        <v>5382</v>
      </c>
    </row>
    <row r="1485" spans="9:10">
      <c r="I1485" s="707" t="s">
        <v>2265</v>
      </c>
      <c r="J1485" s="728" t="s">
        <v>5383</v>
      </c>
    </row>
    <row r="1486" spans="9:10">
      <c r="I1486" s="707" t="s">
        <v>2177</v>
      </c>
      <c r="J1486" s="728" t="s">
        <v>5384</v>
      </c>
    </row>
    <row r="1487" spans="9:10">
      <c r="I1487" s="707" t="s">
        <v>1839</v>
      </c>
      <c r="J1487" s="728" t="s">
        <v>5385</v>
      </c>
    </row>
    <row r="1488" spans="9:10">
      <c r="I1488" s="707" t="s">
        <v>2185</v>
      </c>
      <c r="J1488" s="728" t="s">
        <v>5386</v>
      </c>
    </row>
    <row r="1489" spans="9:10">
      <c r="I1489" s="707" t="s">
        <v>2157</v>
      </c>
      <c r="J1489" s="728" t="s">
        <v>5387</v>
      </c>
    </row>
    <row r="1490" spans="9:10">
      <c r="I1490" s="707" t="s">
        <v>1893</v>
      </c>
      <c r="J1490" s="728" t="s">
        <v>5388</v>
      </c>
    </row>
    <row r="1491" spans="9:10">
      <c r="I1491" s="707" t="s">
        <v>2720</v>
      </c>
      <c r="J1491" s="728" t="s">
        <v>5389</v>
      </c>
    </row>
    <row r="1492" spans="9:10">
      <c r="I1492" s="707" t="s">
        <v>2730</v>
      </c>
      <c r="J1492" s="728" t="s">
        <v>5390</v>
      </c>
    </row>
    <row r="1493" spans="9:10">
      <c r="I1493" s="707" t="s">
        <v>3835</v>
      </c>
      <c r="J1493" s="728" t="s">
        <v>5391</v>
      </c>
    </row>
    <row r="1494" spans="9:10">
      <c r="I1494" s="707" t="s">
        <v>2288</v>
      </c>
      <c r="J1494" s="728" t="s">
        <v>5392</v>
      </c>
    </row>
    <row r="1495" spans="9:10">
      <c r="I1495" s="707" t="s">
        <v>2510</v>
      </c>
      <c r="J1495" s="728" t="s">
        <v>5393</v>
      </c>
    </row>
    <row r="1496" spans="9:10">
      <c r="I1496" s="707" t="s">
        <v>1908</v>
      </c>
      <c r="J1496" s="728" t="s">
        <v>5394</v>
      </c>
    </row>
    <row r="1497" spans="9:10">
      <c r="I1497" s="707" t="s">
        <v>2461</v>
      </c>
      <c r="J1497" s="728" t="s">
        <v>5395</v>
      </c>
    </row>
    <row r="1498" spans="9:10">
      <c r="I1498" s="707" t="s">
        <v>1063</v>
      </c>
      <c r="J1498" s="728" t="s">
        <v>5396</v>
      </c>
    </row>
    <row r="1499" spans="9:10">
      <c r="I1499" s="707" t="s">
        <v>2969</v>
      </c>
      <c r="J1499" s="728" t="s">
        <v>5397</v>
      </c>
    </row>
    <row r="1500" spans="9:10">
      <c r="I1500" s="707" t="s">
        <v>3066</v>
      </c>
      <c r="J1500" s="728" t="s">
        <v>5398</v>
      </c>
    </row>
    <row r="1501" spans="9:10">
      <c r="I1501" s="707" t="s">
        <v>3836</v>
      </c>
      <c r="J1501" s="728" t="s">
        <v>5401</v>
      </c>
    </row>
    <row r="1502" spans="9:10">
      <c r="I1502" s="707" t="s">
        <v>3261</v>
      </c>
      <c r="J1502" s="728" t="s">
        <v>5403</v>
      </c>
    </row>
    <row r="1503" spans="9:10">
      <c r="I1503" s="707" t="s">
        <v>2245</v>
      </c>
      <c r="J1503" s="728" t="s">
        <v>5406</v>
      </c>
    </row>
    <row r="1504" spans="9:10">
      <c r="I1504" s="707" t="s">
        <v>2143</v>
      </c>
      <c r="J1504" s="728" t="s">
        <v>5409</v>
      </c>
    </row>
    <row r="1505" spans="9:10">
      <c r="I1505" s="707" t="s">
        <v>2828</v>
      </c>
      <c r="J1505" s="728" t="s">
        <v>5410</v>
      </c>
    </row>
    <row r="1506" spans="9:10">
      <c r="I1506" s="707" t="s">
        <v>3838</v>
      </c>
      <c r="J1506" s="728" t="s">
        <v>5411</v>
      </c>
    </row>
    <row r="1507" spans="9:10">
      <c r="I1507" s="707" t="s">
        <v>3058</v>
      </c>
      <c r="J1507" s="728" t="s">
        <v>5412</v>
      </c>
    </row>
    <row r="1508" spans="9:10">
      <c r="I1508" s="707" t="s">
        <v>2616</v>
      </c>
      <c r="J1508" s="728" t="s">
        <v>5413</v>
      </c>
    </row>
    <row r="1509" spans="9:10">
      <c r="I1509" s="707" t="s">
        <v>1399</v>
      </c>
      <c r="J1509" s="728" t="s">
        <v>5414</v>
      </c>
    </row>
    <row r="1510" spans="9:10">
      <c r="I1510" s="707" t="s">
        <v>2384</v>
      </c>
      <c r="J1510" s="728" t="s">
        <v>5415</v>
      </c>
    </row>
    <row r="1511" spans="9:10">
      <c r="I1511" s="707" t="s">
        <v>3044</v>
      </c>
      <c r="J1511" s="728" t="s">
        <v>5416</v>
      </c>
    </row>
    <row r="1512" spans="9:10">
      <c r="I1512" s="707" t="s">
        <v>1455</v>
      </c>
      <c r="J1512" s="728" t="s">
        <v>5418</v>
      </c>
    </row>
    <row r="1513" spans="9:10">
      <c r="I1513" s="707" t="s">
        <v>2642</v>
      </c>
      <c r="J1513" s="728" t="s">
        <v>5419</v>
      </c>
    </row>
    <row r="1514" spans="9:10">
      <c r="I1514" s="707" t="s">
        <v>2498</v>
      </c>
      <c r="J1514" s="728" t="s">
        <v>5420</v>
      </c>
    </row>
    <row r="1515" spans="9:10">
      <c r="I1515" s="707" t="s">
        <v>1152</v>
      </c>
      <c r="J1515" s="728" t="s">
        <v>5421</v>
      </c>
    </row>
    <row r="1516" spans="9:10">
      <c r="I1516" s="707" t="s">
        <v>2285</v>
      </c>
      <c r="J1516" s="728" t="s">
        <v>5423</v>
      </c>
    </row>
    <row r="1517" spans="9:10">
      <c r="I1517" s="707" t="s">
        <v>1160</v>
      </c>
      <c r="J1517" s="728" t="s">
        <v>5425</v>
      </c>
    </row>
    <row r="1518" spans="9:10">
      <c r="I1518" s="707" t="s">
        <v>3839</v>
      </c>
      <c r="J1518" s="728" t="s">
        <v>5426</v>
      </c>
    </row>
    <row r="1519" spans="9:10">
      <c r="I1519" s="707" t="s">
        <v>3840</v>
      </c>
      <c r="J1519" s="728" t="s">
        <v>5427</v>
      </c>
    </row>
    <row r="1520" spans="9:10">
      <c r="I1520" s="707" t="s">
        <v>3841</v>
      </c>
      <c r="J1520" s="728" t="s">
        <v>5428</v>
      </c>
    </row>
    <row r="1521" spans="9:10">
      <c r="I1521" s="707" t="s">
        <v>1143</v>
      </c>
      <c r="J1521" s="728" t="s">
        <v>5431</v>
      </c>
    </row>
    <row r="1522" spans="9:10">
      <c r="I1522" s="707" t="s">
        <v>1888</v>
      </c>
      <c r="J1522" s="728" t="s">
        <v>5430</v>
      </c>
    </row>
    <row r="1523" spans="9:10">
      <c r="I1523" s="707" t="s">
        <v>2102</v>
      </c>
      <c r="J1523" s="728" t="s">
        <v>5433</v>
      </c>
    </row>
    <row r="1524" spans="9:10">
      <c r="I1524" s="707" t="s">
        <v>3842</v>
      </c>
      <c r="J1524" s="728" t="s">
        <v>5434</v>
      </c>
    </row>
    <row r="1525" spans="9:10">
      <c r="I1525" s="707" t="s">
        <v>2037</v>
      </c>
      <c r="J1525" s="728" t="s">
        <v>5435</v>
      </c>
    </row>
    <row r="1526" spans="9:10">
      <c r="I1526" s="707" t="s">
        <v>3843</v>
      </c>
      <c r="J1526" s="728" t="s">
        <v>5436</v>
      </c>
    </row>
    <row r="1527" spans="9:10">
      <c r="I1527" s="707" t="s">
        <v>1096</v>
      </c>
      <c r="J1527" s="728" t="s">
        <v>5437</v>
      </c>
    </row>
    <row r="1528" spans="9:10">
      <c r="I1528" s="707" t="s">
        <v>3844</v>
      </c>
      <c r="J1528" s="728" t="s">
        <v>5438</v>
      </c>
    </row>
    <row r="1529" spans="9:10">
      <c r="I1529" s="707" t="s">
        <v>1751</v>
      </c>
      <c r="J1529" s="728" t="s">
        <v>5439</v>
      </c>
    </row>
    <row r="1530" spans="9:10">
      <c r="I1530" s="707" t="s">
        <v>3845</v>
      </c>
      <c r="J1530" s="728" t="s">
        <v>5440</v>
      </c>
    </row>
    <row r="1531" spans="9:10">
      <c r="I1531" s="707" t="s">
        <v>3846</v>
      </c>
      <c r="J1531" s="728" t="s">
        <v>5441</v>
      </c>
    </row>
    <row r="1532" spans="9:10">
      <c r="I1532" s="707" t="s">
        <v>3849</v>
      </c>
      <c r="J1532" s="728" t="s">
        <v>5452</v>
      </c>
    </row>
    <row r="1533" spans="9:10">
      <c r="I1533" s="707" t="s">
        <v>3850</v>
      </c>
      <c r="J1533" s="728" t="s">
        <v>5453</v>
      </c>
    </row>
    <row r="1534" spans="9:10">
      <c r="I1534" s="707" t="s">
        <v>3851</v>
      </c>
      <c r="J1534" s="728" t="s">
        <v>5454</v>
      </c>
    </row>
    <row r="1535" spans="9:10">
      <c r="I1535" s="707" t="s">
        <v>3852</v>
      </c>
      <c r="J1535" s="728" t="s">
        <v>5455</v>
      </c>
    </row>
    <row r="1536" spans="9:10">
      <c r="I1536" s="707" t="s">
        <v>3378</v>
      </c>
      <c r="J1536" s="728" t="s">
        <v>5456</v>
      </c>
    </row>
    <row r="1537" spans="9:10">
      <c r="I1537" s="707" t="s">
        <v>3853</v>
      </c>
      <c r="J1537" s="728" t="s">
        <v>5457</v>
      </c>
    </row>
    <row r="1538" spans="9:10">
      <c r="I1538" s="707" t="s">
        <v>2659</v>
      </c>
      <c r="J1538" s="728" t="s">
        <v>5459</v>
      </c>
    </row>
    <row r="1539" spans="9:10">
      <c r="I1539" s="707" t="s">
        <v>2601</v>
      </c>
      <c r="J1539" s="728" t="s">
        <v>5460</v>
      </c>
    </row>
    <row r="1540" spans="9:10">
      <c r="I1540" s="707" t="s">
        <v>2314</v>
      </c>
      <c r="J1540" s="728" t="s">
        <v>5461</v>
      </c>
    </row>
    <row r="1541" spans="9:10">
      <c r="I1541" s="707" t="s">
        <v>1651</v>
      </c>
      <c r="J1541" s="728" t="s">
        <v>5462</v>
      </c>
    </row>
    <row r="1542" spans="9:10">
      <c r="I1542" s="707" t="s">
        <v>3031</v>
      </c>
      <c r="J1542" s="728" t="s">
        <v>5463</v>
      </c>
    </row>
    <row r="1543" spans="9:10">
      <c r="I1543" s="707" t="s">
        <v>1754</v>
      </c>
      <c r="J1543" s="728" t="s">
        <v>5464</v>
      </c>
    </row>
    <row r="1544" spans="9:10">
      <c r="I1544" s="707" t="s">
        <v>1129</v>
      </c>
      <c r="J1544" s="728" t="s">
        <v>5465</v>
      </c>
    </row>
    <row r="1545" spans="9:10">
      <c r="I1545" s="707" t="s">
        <v>2824</v>
      </c>
      <c r="J1545" s="728" t="s">
        <v>5466</v>
      </c>
    </row>
    <row r="1546" spans="9:10">
      <c r="I1546" s="707" t="s">
        <v>1938</v>
      </c>
      <c r="J1546" s="728" t="s">
        <v>5467</v>
      </c>
    </row>
    <row r="1547" spans="9:10">
      <c r="I1547" s="707" t="s">
        <v>3854</v>
      </c>
      <c r="J1547" s="728" t="s">
        <v>5468</v>
      </c>
    </row>
    <row r="1548" spans="9:10">
      <c r="I1548" s="707" t="s">
        <v>2529</v>
      </c>
      <c r="J1548" s="728" t="s">
        <v>5469</v>
      </c>
    </row>
    <row r="1549" spans="9:10">
      <c r="I1549" s="707" t="s">
        <v>1495</v>
      </c>
      <c r="J1549" s="728" t="s">
        <v>5470</v>
      </c>
    </row>
    <row r="1550" spans="9:10">
      <c r="I1550" s="707" t="s">
        <v>2448</v>
      </c>
      <c r="J1550" s="728" t="s">
        <v>5471</v>
      </c>
    </row>
    <row r="1551" spans="9:10">
      <c r="I1551" s="707" t="s">
        <v>2573</v>
      </c>
      <c r="J1551" s="728" t="s">
        <v>5472</v>
      </c>
    </row>
    <row r="1552" spans="9:10">
      <c r="I1552" s="707" t="s">
        <v>1585</v>
      </c>
      <c r="J1552" s="728" t="s">
        <v>5473</v>
      </c>
    </row>
    <row r="1553" spans="9:10">
      <c r="I1553" s="707" t="s">
        <v>2703</v>
      </c>
      <c r="J1553" s="728" t="s">
        <v>5474</v>
      </c>
    </row>
    <row r="1554" spans="9:10">
      <c r="I1554" s="707" t="s">
        <v>3051</v>
      </c>
      <c r="J1554" s="728" t="s">
        <v>5475</v>
      </c>
    </row>
    <row r="1555" spans="9:10">
      <c r="I1555" s="707" t="s">
        <v>1815</v>
      </c>
      <c r="J1555" s="728" t="s">
        <v>5476</v>
      </c>
    </row>
    <row r="1556" spans="9:10">
      <c r="I1556" s="707" t="s">
        <v>2655</v>
      </c>
      <c r="J1556" s="728" t="s">
        <v>5477</v>
      </c>
    </row>
    <row r="1557" spans="9:10">
      <c r="I1557" s="707" t="s">
        <v>3859</v>
      </c>
      <c r="J1557" s="728" t="s">
        <v>5491</v>
      </c>
    </row>
    <row r="1558" spans="9:10">
      <c r="I1558" s="707" t="s">
        <v>1989</v>
      </c>
      <c r="J1558" s="728" t="s">
        <v>5478</v>
      </c>
    </row>
    <row r="1559" spans="9:10">
      <c r="I1559" s="707" t="s">
        <v>1174</v>
      </c>
      <c r="J1559" s="728" t="s">
        <v>5479</v>
      </c>
    </row>
    <row r="1560" spans="9:10">
      <c r="I1560" s="707" t="s">
        <v>1943</v>
      </c>
      <c r="J1560" s="728" t="s">
        <v>5480</v>
      </c>
    </row>
    <row r="1561" spans="9:10">
      <c r="I1561" s="707" t="s">
        <v>1684</v>
      </c>
      <c r="J1561" s="728" t="s">
        <v>5481</v>
      </c>
    </row>
    <row r="1562" spans="9:10">
      <c r="I1562" s="707" t="s">
        <v>1379</v>
      </c>
      <c r="J1562" s="728" t="s">
        <v>5482</v>
      </c>
    </row>
    <row r="1563" spans="9:10">
      <c r="I1563" s="707" t="s">
        <v>1503</v>
      </c>
      <c r="J1563" s="728" t="s">
        <v>5483</v>
      </c>
    </row>
    <row r="1564" spans="9:10">
      <c r="I1564" s="707" t="s">
        <v>1898</v>
      </c>
      <c r="J1564" s="728" t="s">
        <v>5484</v>
      </c>
    </row>
    <row r="1565" spans="9:10">
      <c r="I1565" s="707" t="s">
        <v>3855</v>
      </c>
      <c r="J1565" s="728" t="s">
        <v>5485</v>
      </c>
    </row>
    <row r="1566" spans="9:10">
      <c r="I1566" s="707" t="s">
        <v>3856</v>
      </c>
      <c r="J1566" s="728" t="s">
        <v>5486</v>
      </c>
    </row>
    <row r="1567" spans="9:10">
      <c r="I1567" s="707" t="s">
        <v>2613</v>
      </c>
      <c r="J1567" s="728" t="s">
        <v>5487</v>
      </c>
    </row>
    <row r="1568" spans="9:10">
      <c r="I1568" s="707" t="s">
        <v>2621</v>
      </c>
      <c r="J1568" s="728" t="s">
        <v>5488</v>
      </c>
    </row>
    <row r="1569" spans="9:10">
      <c r="I1569" s="707" t="s">
        <v>3857</v>
      </c>
      <c r="J1569" s="728" t="s">
        <v>5489</v>
      </c>
    </row>
    <row r="1570" spans="9:10">
      <c r="I1570" s="707" t="s">
        <v>3858</v>
      </c>
      <c r="J1570" s="728" t="s">
        <v>5490</v>
      </c>
    </row>
    <row r="1571" spans="9:10">
      <c r="I1571" s="707" t="s">
        <v>3860</v>
      </c>
      <c r="J1571" s="728" t="s">
        <v>5492</v>
      </c>
    </row>
    <row r="1572" spans="9:10">
      <c r="I1572" s="707" t="s">
        <v>3869</v>
      </c>
      <c r="J1572" s="728" t="s">
        <v>5504</v>
      </c>
    </row>
    <row r="1573" spans="9:10">
      <c r="I1573" s="707" t="s">
        <v>2564</v>
      </c>
      <c r="J1573" s="728" t="s">
        <v>5508</v>
      </c>
    </row>
    <row r="1574" spans="9:10">
      <c r="I1574" s="707" t="s">
        <v>3872</v>
      </c>
      <c r="J1574" s="728" t="s">
        <v>5512</v>
      </c>
    </row>
    <row r="1575" spans="9:10">
      <c r="I1575" s="707" t="s">
        <v>1809</v>
      </c>
      <c r="J1575" s="728" t="s">
        <v>5521</v>
      </c>
    </row>
    <row r="1576" spans="9:10">
      <c r="I1576" s="707" t="s">
        <v>3876</v>
      </c>
      <c r="J1576" s="728" t="s">
        <v>5522</v>
      </c>
    </row>
    <row r="1577" spans="9:10">
      <c r="I1577" s="707" t="s">
        <v>3877</v>
      </c>
      <c r="J1577" s="728" t="s">
        <v>5523</v>
      </c>
    </row>
    <row r="1578" spans="9:10">
      <c r="I1578" s="707" t="s">
        <v>3316</v>
      </c>
      <c r="J1578" s="728" t="s">
        <v>5525</v>
      </c>
    </row>
    <row r="1579" spans="9:10">
      <c r="I1579" s="707" t="s">
        <v>3000</v>
      </c>
      <c r="J1579" s="728" t="s">
        <v>5526</v>
      </c>
    </row>
    <row r="1580" spans="9:10">
      <c r="I1580" s="707" t="s">
        <v>1822</v>
      </c>
      <c r="J1580" s="728" t="s">
        <v>5529</v>
      </c>
    </row>
    <row r="1581" spans="9:10">
      <c r="I1581" s="707" t="s">
        <v>3878</v>
      </c>
      <c r="J1581" s="728" t="s">
        <v>5530</v>
      </c>
    </row>
    <row r="1582" spans="9:10">
      <c r="I1582" s="707" t="s">
        <v>2089</v>
      </c>
      <c r="J1582" s="728" t="s">
        <v>5531</v>
      </c>
    </row>
    <row r="1583" spans="9:10">
      <c r="I1583" s="707" t="s">
        <v>2387</v>
      </c>
      <c r="J1583" s="728" t="s">
        <v>5532</v>
      </c>
    </row>
    <row r="1584" spans="9:10">
      <c r="I1584" s="707" t="s">
        <v>3879</v>
      </c>
      <c r="J1584" s="728" t="s">
        <v>5533</v>
      </c>
    </row>
    <row r="1585" spans="9:10">
      <c r="I1585" s="707" t="s">
        <v>1983</v>
      </c>
      <c r="J1585" s="728" t="s">
        <v>5534</v>
      </c>
    </row>
    <row r="1586" spans="9:10">
      <c r="I1586" s="707" t="s">
        <v>2866</v>
      </c>
      <c r="J1586" s="728" t="s">
        <v>5535</v>
      </c>
    </row>
    <row r="1587" spans="9:10">
      <c r="I1587" s="707" t="s">
        <v>2505</v>
      </c>
      <c r="J1587" s="728" t="s">
        <v>5536</v>
      </c>
    </row>
    <row r="1588" spans="9:10">
      <c r="I1588" s="707" t="s">
        <v>3880</v>
      </c>
      <c r="J1588" s="728" t="s">
        <v>5537</v>
      </c>
    </row>
    <row r="1589" spans="9:10">
      <c r="I1589" s="707" t="s">
        <v>1912</v>
      </c>
      <c r="J1589" s="728" t="s">
        <v>5538</v>
      </c>
    </row>
    <row r="1590" spans="9:10">
      <c r="I1590" s="707" t="s">
        <v>3262</v>
      </c>
      <c r="J1590" s="728" t="s">
        <v>5540</v>
      </c>
    </row>
    <row r="1591" spans="9:10">
      <c r="I1591" s="707" t="s">
        <v>3284</v>
      </c>
      <c r="J1591" s="728" t="s">
        <v>5539</v>
      </c>
    </row>
    <row r="1592" spans="9:10">
      <c r="I1592" s="707" t="s">
        <v>3283</v>
      </c>
      <c r="J1592" s="728" t="s">
        <v>5541</v>
      </c>
    </row>
    <row r="1593" spans="9:10">
      <c r="I1593" s="707" t="s">
        <v>2163</v>
      </c>
      <c r="J1593" s="728" t="s">
        <v>5542</v>
      </c>
    </row>
    <row r="1594" spans="9:10">
      <c r="I1594" s="707" t="s">
        <v>3881</v>
      </c>
      <c r="J1594" s="728" t="s">
        <v>5544</v>
      </c>
    </row>
    <row r="1595" spans="9:10">
      <c r="I1595" s="707" t="s">
        <v>1489</v>
      </c>
      <c r="J1595" s="728" t="s">
        <v>5548</v>
      </c>
    </row>
    <row r="1596" spans="9:10">
      <c r="I1596" s="707" t="s">
        <v>1388</v>
      </c>
      <c r="J1596" s="728" t="s">
        <v>5549</v>
      </c>
    </row>
    <row r="1597" spans="9:10">
      <c r="I1597" s="707" t="s">
        <v>2590</v>
      </c>
      <c r="J1597" s="728" t="s">
        <v>5550</v>
      </c>
    </row>
    <row r="1598" spans="9:10">
      <c r="I1598" s="707" t="s">
        <v>3884</v>
      </c>
      <c r="J1598" s="728" t="s">
        <v>5551</v>
      </c>
    </row>
    <row r="1599" spans="9:10">
      <c r="I1599" s="707" t="s">
        <v>3885</v>
      </c>
      <c r="J1599" s="728" t="s">
        <v>5552</v>
      </c>
    </row>
    <row r="1600" spans="9:10">
      <c r="I1600" s="707" t="s">
        <v>3260</v>
      </c>
      <c r="J1600" s="728" t="s">
        <v>5553</v>
      </c>
    </row>
    <row r="1601" spans="9:10">
      <c r="I1601" s="707" t="s">
        <v>1880</v>
      </c>
      <c r="J1601" s="728" t="s">
        <v>5554</v>
      </c>
    </row>
    <row r="1602" spans="9:10">
      <c r="I1602" s="707" t="s">
        <v>1121</v>
      </c>
      <c r="J1602" s="728" t="s">
        <v>5555</v>
      </c>
    </row>
    <row r="1603" spans="9:10">
      <c r="I1603" s="707" t="s">
        <v>3886</v>
      </c>
      <c r="J1603" s="728" t="s">
        <v>5556</v>
      </c>
    </row>
    <row r="1604" spans="9:10">
      <c r="I1604" s="707" t="s">
        <v>1008</v>
      </c>
      <c r="J1604" s="728" t="s">
        <v>5557</v>
      </c>
    </row>
    <row r="1605" spans="9:10">
      <c r="I1605" s="707" t="s">
        <v>1313</v>
      </c>
      <c r="J1605" s="728" t="s">
        <v>5558</v>
      </c>
    </row>
    <row r="1606" spans="9:10">
      <c r="I1606" s="707" t="s">
        <v>2429</v>
      </c>
      <c r="J1606" s="728" t="s">
        <v>5559</v>
      </c>
    </row>
    <row r="1607" spans="9:10">
      <c r="I1607" s="707" t="s">
        <v>3003</v>
      </c>
      <c r="J1607" s="728" t="s">
        <v>5560</v>
      </c>
    </row>
    <row r="1608" spans="9:10">
      <c r="I1608" s="707" t="s">
        <v>2504</v>
      </c>
      <c r="J1608" s="728" t="s">
        <v>5561</v>
      </c>
    </row>
    <row r="1609" spans="9:10">
      <c r="I1609" s="707" t="s">
        <v>1533</v>
      </c>
      <c r="J1609" s="728" t="s">
        <v>5563</v>
      </c>
    </row>
    <row r="1610" spans="9:10">
      <c r="I1610" s="707" t="s">
        <v>2460</v>
      </c>
      <c r="J1610" s="728" t="s">
        <v>5564</v>
      </c>
    </row>
    <row r="1611" spans="9:10">
      <c r="I1611" s="707" t="s">
        <v>2582</v>
      </c>
      <c r="J1611" s="728" t="s">
        <v>5565</v>
      </c>
    </row>
    <row r="1612" spans="9:10">
      <c r="I1612" s="707" t="s">
        <v>3887</v>
      </c>
      <c r="J1612" s="728" t="s">
        <v>5566</v>
      </c>
    </row>
    <row r="1613" spans="9:10">
      <c r="I1613" s="707" t="s">
        <v>2991</v>
      </c>
      <c r="J1613" s="728" t="s">
        <v>5567</v>
      </c>
    </row>
    <row r="1614" spans="9:10">
      <c r="I1614" s="707" t="s">
        <v>1352</v>
      </c>
      <c r="J1614" s="728" t="s">
        <v>5568</v>
      </c>
    </row>
    <row r="1615" spans="9:10">
      <c r="I1615" s="707" t="s">
        <v>3888</v>
      </c>
      <c r="J1615" s="728" t="s">
        <v>5569</v>
      </c>
    </row>
    <row r="1616" spans="9:10">
      <c r="I1616" s="707" t="s">
        <v>2111</v>
      </c>
      <c r="J1616" s="728" t="s">
        <v>5570</v>
      </c>
    </row>
    <row r="1617" spans="9:10">
      <c r="I1617" s="707" t="s">
        <v>3311</v>
      </c>
      <c r="J1617" s="728" t="s">
        <v>5571</v>
      </c>
    </row>
    <row r="1618" spans="9:10">
      <c r="I1618" s="707" t="s">
        <v>3057</v>
      </c>
      <c r="J1618" s="728" t="s">
        <v>5572</v>
      </c>
    </row>
    <row r="1619" spans="9:10">
      <c r="I1619" s="707" t="s">
        <v>3889</v>
      </c>
      <c r="J1619" s="728" t="s">
        <v>5573</v>
      </c>
    </row>
    <row r="1620" spans="9:10">
      <c r="I1620" s="707" t="s">
        <v>3890</v>
      </c>
      <c r="J1620" s="728" t="s">
        <v>5574</v>
      </c>
    </row>
    <row r="1621" spans="9:10">
      <c r="I1621" s="707" t="s">
        <v>2283</v>
      </c>
      <c r="J1621" s="728" t="s">
        <v>5575</v>
      </c>
    </row>
    <row r="1622" spans="9:10">
      <c r="I1622" s="707" t="s">
        <v>2443</v>
      </c>
      <c r="J1622" s="728" t="s">
        <v>5576</v>
      </c>
    </row>
    <row r="1623" spans="9:10">
      <c r="I1623" s="707" t="s">
        <v>2255</v>
      </c>
      <c r="J1623" s="728" t="s">
        <v>5577</v>
      </c>
    </row>
    <row r="1624" spans="9:10">
      <c r="I1624" s="707" t="s">
        <v>2184</v>
      </c>
      <c r="J1624" s="728" t="s">
        <v>5578</v>
      </c>
    </row>
    <row r="1625" spans="9:10">
      <c r="I1625" s="707" t="s">
        <v>3891</v>
      </c>
      <c r="J1625" s="728" t="s">
        <v>5579</v>
      </c>
    </row>
    <row r="1626" spans="9:10">
      <c r="I1626" s="707" t="s">
        <v>2058</v>
      </c>
      <c r="J1626" s="728" t="s">
        <v>5580</v>
      </c>
    </row>
    <row r="1627" spans="9:10">
      <c r="I1627" s="707" t="s">
        <v>2982</v>
      </c>
      <c r="J1627" s="728" t="s">
        <v>5581</v>
      </c>
    </row>
    <row r="1628" spans="9:10">
      <c r="I1628" s="707" t="s">
        <v>1025</v>
      </c>
      <c r="J1628" s="728" t="s">
        <v>5582</v>
      </c>
    </row>
    <row r="1629" spans="9:10">
      <c r="I1629" s="707" t="s">
        <v>3892</v>
      </c>
      <c r="J1629" s="728" t="s">
        <v>5583</v>
      </c>
    </row>
    <row r="1630" spans="9:10">
      <c r="I1630" s="707" t="s">
        <v>3893</v>
      </c>
      <c r="J1630" s="728" t="s">
        <v>5584</v>
      </c>
    </row>
    <row r="1631" spans="9:10">
      <c r="I1631" s="707" t="s">
        <v>3361</v>
      </c>
      <c r="J1631" s="728" t="s">
        <v>5585</v>
      </c>
    </row>
    <row r="1632" spans="9:10">
      <c r="I1632" s="707" t="s">
        <v>3371</v>
      </c>
      <c r="J1632" s="728" t="s">
        <v>5586</v>
      </c>
    </row>
    <row r="1633" spans="9:10">
      <c r="I1633" s="707" t="s">
        <v>3381</v>
      </c>
      <c r="J1633" s="728" t="s">
        <v>5587</v>
      </c>
    </row>
    <row r="1634" spans="9:10">
      <c r="I1634" s="707" t="s">
        <v>3356</v>
      </c>
      <c r="J1634" s="728" t="s">
        <v>5588</v>
      </c>
    </row>
    <row r="1635" spans="9:10">
      <c r="I1635" s="707" t="s">
        <v>3358</v>
      </c>
      <c r="J1635" s="728" t="s">
        <v>5589</v>
      </c>
    </row>
    <row r="1636" spans="9:10">
      <c r="I1636" s="707" t="s">
        <v>3894</v>
      </c>
      <c r="J1636" s="728" t="s">
        <v>5590</v>
      </c>
    </row>
    <row r="1637" spans="9:10">
      <c r="I1637" s="707" t="s">
        <v>3895</v>
      </c>
      <c r="J1637" s="728" t="s">
        <v>5591</v>
      </c>
    </row>
    <row r="1638" spans="9:10">
      <c r="I1638" s="707" t="s">
        <v>3896</v>
      </c>
      <c r="J1638" s="728" t="s">
        <v>5592</v>
      </c>
    </row>
    <row r="1639" spans="9:10">
      <c r="I1639" s="707" t="s">
        <v>2463</v>
      </c>
      <c r="J1639" s="728" t="s">
        <v>5597</v>
      </c>
    </row>
    <row r="1640" spans="9:10">
      <c r="I1640" s="707" t="s">
        <v>2416</v>
      </c>
      <c r="J1640" s="728" t="s">
        <v>5599</v>
      </c>
    </row>
    <row r="1641" spans="9:10">
      <c r="I1641" s="707" t="s">
        <v>3899</v>
      </c>
      <c r="J1641" s="728" t="s">
        <v>5600</v>
      </c>
    </row>
    <row r="1642" spans="9:10">
      <c r="I1642" s="707" t="s">
        <v>3295</v>
      </c>
      <c r="J1642" s="728" t="s">
        <v>5601</v>
      </c>
    </row>
    <row r="1643" spans="9:10">
      <c r="I1643" s="707" t="s">
        <v>3900</v>
      </c>
      <c r="J1643" s="728" t="s">
        <v>5602</v>
      </c>
    </row>
    <row r="1644" spans="9:10">
      <c r="I1644" s="707" t="s">
        <v>3046</v>
      </c>
      <c r="J1644" s="728" t="s">
        <v>5603</v>
      </c>
    </row>
    <row r="1645" spans="9:10">
      <c r="I1645" s="707" t="s">
        <v>1705</v>
      </c>
      <c r="J1645" s="728" t="s">
        <v>5604</v>
      </c>
    </row>
    <row r="1646" spans="9:10">
      <c r="I1646" s="707" t="s">
        <v>2629</v>
      </c>
      <c r="J1646" s="728" t="s">
        <v>5605</v>
      </c>
    </row>
    <row r="1647" spans="9:10">
      <c r="I1647" s="707" t="s">
        <v>1312</v>
      </c>
      <c r="J1647" s="728" t="s">
        <v>5606</v>
      </c>
    </row>
    <row r="1648" spans="9:10">
      <c r="I1648" s="707" t="s">
        <v>1232</v>
      </c>
      <c r="J1648" s="728" t="s">
        <v>5607</v>
      </c>
    </row>
    <row r="1649" spans="9:10">
      <c r="I1649" s="707" t="s">
        <v>2775</v>
      </c>
      <c r="J1649" s="728" t="s">
        <v>5608</v>
      </c>
    </row>
    <row r="1650" spans="9:10">
      <c r="I1650" s="707" t="s">
        <v>2031</v>
      </c>
      <c r="J1650" s="728" t="s">
        <v>5609</v>
      </c>
    </row>
    <row r="1651" spans="9:10">
      <c r="I1651" s="707" t="s">
        <v>1598</v>
      </c>
      <c r="J1651" s="728" t="s">
        <v>5610</v>
      </c>
    </row>
    <row r="1652" spans="9:10">
      <c r="I1652" s="707" t="s">
        <v>2855</v>
      </c>
      <c r="J1652" s="728" t="s">
        <v>5611</v>
      </c>
    </row>
    <row r="1653" spans="9:10">
      <c r="I1653" s="707" t="s">
        <v>2990</v>
      </c>
      <c r="J1653" s="728" t="s">
        <v>5613</v>
      </c>
    </row>
    <row r="1654" spans="9:10">
      <c r="I1654" s="707" t="s">
        <v>3052</v>
      </c>
      <c r="J1654" s="728" t="s">
        <v>5614</v>
      </c>
    </row>
    <row r="1655" spans="9:10">
      <c r="I1655" s="707" t="s">
        <v>3902</v>
      </c>
      <c r="J1655" s="728" t="s">
        <v>5615</v>
      </c>
    </row>
    <row r="1656" spans="9:10">
      <c r="I1656" s="707" t="s">
        <v>1550</v>
      </c>
      <c r="J1656" s="728" t="s">
        <v>5616</v>
      </c>
    </row>
    <row r="1657" spans="9:10">
      <c r="I1657" s="707" t="s">
        <v>1267</v>
      </c>
      <c r="J1657" s="728" t="s">
        <v>5620</v>
      </c>
    </row>
    <row r="1658" spans="9:10">
      <c r="I1658" s="707" t="s">
        <v>1027</v>
      </c>
      <c r="J1658" s="728" t="s">
        <v>5621</v>
      </c>
    </row>
    <row r="1659" spans="9:10">
      <c r="I1659" s="707" t="s">
        <v>2056</v>
      </c>
      <c r="J1659" s="728" t="s">
        <v>5622</v>
      </c>
    </row>
    <row r="1660" spans="9:10">
      <c r="I1660" s="707" t="s">
        <v>3907</v>
      </c>
      <c r="J1660" s="728" t="s">
        <v>5626</v>
      </c>
    </row>
    <row r="1661" spans="9:10">
      <c r="I1661" s="707" t="s">
        <v>2674</v>
      </c>
      <c r="J1661" s="728" t="s">
        <v>5629</v>
      </c>
    </row>
    <row r="1662" spans="9:10">
      <c r="I1662" s="707" t="s">
        <v>1814</v>
      </c>
      <c r="J1662" s="728" t="s">
        <v>5630</v>
      </c>
    </row>
    <row r="1663" spans="9:10">
      <c r="I1663" s="707" t="s">
        <v>2369</v>
      </c>
      <c r="J1663" s="728" t="s">
        <v>5632</v>
      </c>
    </row>
    <row r="1664" spans="9:10">
      <c r="I1664" s="707" t="s">
        <v>2612</v>
      </c>
      <c r="J1664" s="728" t="s">
        <v>5634</v>
      </c>
    </row>
    <row r="1665" spans="9:10">
      <c r="I1665" s="707" t="s">
        <v>2047</v>
      </c>
      <c r="J1665" s="728" t="s">
        <v>5635</v>
      </c>
    </row>
    <row r="1666" spans="9:10">
      <c r="I1666" s="707" t="s">
        <v>1851</v>
      </c>
      <c r="J1666" s="728" t="s">
        <v>5636</v>
      </c>
    </row>
    <row r="1667" spans="9:10">
      <c r="I1667" s="707" t="s">
        <v>2341</v>
      </c>
      <c r="J1667" s="728" t="s">
        <v>5637</v>
      </c>
    </row>
    <row r="1668" spans="9:10">
      <c r="I1668" s="707" t="s">
        <v>2602</v>
      </c>
      <c r="J1668" s="728" t="s">
        <v>4719</v>
      </c>
    </row>
    <row r="1669" spans="9:10">
      <c r="I1669" s="707" t="s">
        <v>1323</v>
      </c>
      <c r="J1669" s="728" t="s">
        <v>5638</v>
      </c>
    </row>
    <row r="1670" spans="9:10">
      <c r="I1670" s="707" t="s">
        <v>3909</v>
      </c>
      <c r="J1670" s="728" t="s">
        <v>5639</v>
      </c>
    </row>
    <row r="1671" spans="9:10">
      <c r="I1671" s="707" t="s">
        <v>1498</v>
      </c>
      <c r="J1671" s="728" t="s">
        <v>5640</v>
      </c>
    </row>
    <row r="1672" spans="9:10">
      <c r="I1672" s="707" t="s">
        <v>2305</v>
      </c>
      <c r="J1672" s="728" t="s">
        <v>5641</v>
      </c>
    </row>
    <row r="1673" spans="9:10">
      <c r="I1673" s="707" t="s">
        <v>1805</v>
      </c>
      <c r="J1673" s="728" t="s">
        <v>5642</v>
      </c>
    </row>
    <row r="1674" spans="9:10">
      <c r="I1674" s="707" t="s">
        <v>3042</v>
      </c>
      <c r="J1674" s="728" t="s">
        <v>5643</v>
      </c>
    </row>
    <row r="1675" spans="9:10">
      <c r="I1675" s="707" t="s">
        <v>3309</v>
      </c>
      <c r="J1675" s="728" t="s">
        <v>5644</v>
      </c>
    </row>
    <row r="1676" spans="9:10">
      <c r="I1676" s="707" t="s">
        <v>1712</v>
      </c>
      <c r="J1676" s="728" t="s">
        <v>5645</v>
      </c>
    </row>
    <row r="1677" spans="9:10">
      <c r="I1677" s="707" t="s">
        <v>2059</v>
      </c>
      <c r="J1677" s="728" t="s">
        <v>5646</v>
      </c>
    </row>
    <row r="1678" spans="9:10">
      <c r="I1678" s="707" t="s">
        <v>1691</v>
      </c>
      <c r="J1678" s="728" t="s">
        <v>5647</v>
      </c>
    </row>
    <row r="1679" spans="9:10">
      <c r="I1679" s="707" t="s">
        <v>1829</v>
      </c>
      <c r="J1679" s="728" t="s">
        <v>5648</v>
      </c>
    </row>
    <row r="1680" spans="9:10">
      <c r="I1680" s="707" t="s">
        <v>3910</v>
      </c>
      <c r="J1680" s="728" t="s">
        <v>5649</v>
      </c>
    </row>
    <row r="1681" spans="9:10">
      <c r="I1681" s="707" t="s">
        <v>2719</v>
      </c>
      <c r="J1681" s="728" t="s">
        <v>5650</v>
      </c>
    </row>
    <row r="1682" spans="9:10">
      <c r="I1682" s="707" t="s">
        <v>2608</v>
      </c>
      <c r="J1682" s="728" t="s">
        <v>5651</v>
      </c>
    </row>
    <row r="1683" spans="9:10">
      <c r="I1683" s="707" t="s">
        <v>2644</v>
      </c>
      <c r="J1683" s="728" t="s">
        <v>5652</v>
      </c>
    </row>
    <row r="1684" spans="9:10">
      <c r="I1684" s="707" t="s">
        <v>1122</v>
      </c>
      <c r="J1684" s="728" t="s">
        <v>5653</v>
      </c>
    </row>
    <row r="1685" spans="9:10">
      <c r="I1685" s="707" t="s">
        <v>1295</v>
      </c>
      <c r="J1685" s="728" t="s">
        <v>5654</v>
      </c>
    </row>
    <row r="1686" spans="9:10">
      <c r="I1686" s="707" t="s">
        <v>1288</v>
      </c>
      <c r="J1686" s="728" t="s">
        <v>5655</v>
      </c>
    </row>
    <row r="1687" spans="9:10">
      <c r="I1687" s="707" t="s">
        <v>1199</v>
      </c>
      <c r="J1687" s="728" t="s">
        <v>5656</v>
      </c>
    </row>
    <row r="1688" spans="9:10">
      <c r="I1688" s="707" t="s">
        <v>2071</v>
      </c>
      <c r="J1688" s="728" t="s">
        <v>5657</v>
      </c>
    </row>
    <row r="1689" spans="9:10">
      <c r="I1689" s="707" t="s">
        <v>1950</v>
      </c>
      <c r="J1689" s="728" t="s">
        <v>5658</v>
      </c>
    </row>
    <row r="1690" spans="9:10">
      <c r="I1690" s="707" t="s">
        <v>2793</v>
      </c>
      <c r="J1690" s="728" t="s">
        <v>5659</v>
      </c>
    </row>
    <row r="1691" spans="9:10">
      <c r="I1691" s="707" t="s">
        <v>2103</v>
      </c>
      <c r="J1691" s="728" t="s">
        <v>5660</v>
      </c>
    </row>
    <row r="1692" spans="9:10">
      <c r="I1692" s="707" t="s">
        <v>2589</v>
      </c>
      <c r="J1692" s="728" t="s">
        <v>5661</v>
      </c>
    </row>
    <row r="1693" spans="9:10">
      <c r="I1693" s="707" t="s">
        <v>2935</v>
      </c>
      <c r="J1693" s="728" t="s">
        <v>5662</v>
      </c>
    </row>
    <row r="1694" spans="9:10">
      <c r="I1694" s="707" t="s">
        <v>2927</v>
      </c>
      <c r="J1694" s="728" t="s">
        <v>5663</v>
      </c>
    </row>
    <row r="1695" spans="9:10">
      <c r="I1695" s="707" t="s">
        <v>1968</v>
      </c>
      <c r="J1695" s="728" t="s">
        <v>5664</v>
      </c>
    </row>
    <row r="1696" spans="9:10">
      <c r="I1696" s="707" t="s">
        <v>1762</v>
      </c>
      <c r="J1696" s="728" t="s">
        <v>5665</v>
      </c>
    </row>
    <row r="1697" spans="9:10">
      <c r="I1697" s="707" t="s">
        <v>2227</v>
      </c>
      <c r="J1697" s="728" t="s">
        <v>5666</v>
      </c>
    </row>
    <row r="1698" spans="9:10">
      <c r="I1698" s="707" t="s">
        <v>2903</v>
      </c>
      <c r="J1698" s="728" t="s">
        <v>5667</v>
      </c>
    </row>
    <row r="1699" spans="9:10">
      <c r="I1699" s="707" t="s">
        <v>3911</v>
      </c>
      <c r="J1699" s="728" t="s">
        <v>5668</v>
      </c>
    </row>
    <row r="1700" spans="9:10">
      <c r="I1700" s="707" t="s">
        <v>2736</v>
      </c>
      <c r="J1700" s="728" t="s">
        <v>5669</v>
      </c>
    </row>
    <row r="1701" spans="9:10">
      <c r="I1701" s="707" t="s">
        <v>2656</v>
      </c>
      <c r="J1701" s="728" t="s">
        <v>5670</v>
      </c>
    </row>
    <row r="1702" spans="9:10">
      <c r="I1702" s="707" t="s">
        <v>1140</v>
      </c>
      <c r="J1702" s="728" t="s">
        <v>5671</v>
      </c>
    </row>
    <row r="1703" spans="9:10">
      <c r="I1703" s="707" t="s">
        <v>2489</v>
      </c>
      <c r="J1703" s="728" t="s">
        <v>5672</v>
      </c>
    </row>
    <row r="1704" spans="9:10">
      <c r="I1704" s="707" t="s">
        <v>2079</v>
      </c>
      <c r="J1704" s="728" t="s">
        <v>5673</v>
      </c>
    </row>
    <row r="1705" spans="9:10">
      <c r="I1705" s="707" t="s">
        <v>2095</v>
      </c>
      <c r="J1705" s="728" t="s">
        <v>5674</v>
      </c>
    </row>
    <row r="1706" spans="9:10">
      <c r="I1706" s="707" t="s">
        <v>2129</v>
      </c>
      <c r="J1706" s="728" t="s">
        <v>5675</v>
      </c>
    </row>
    <row r="1707" spans="9:10">
      <c r="I1707" s="707" t="s">
        <v>2487</v>
      </c>
      <c r="J1707" s="728" t="s">
        <v>5676</v>
      </c>
    </row>
    <row r="1708" spans="9:10">
      <c r="I1708" s="707" t="s">
        <v>2836</v>
      </c>
      <c r="J1708" s="728" t="s">
        <v>5677</v>
      </c>
    </row>
    <row r="1709" spans="9:10">
      <c r="I1709" s="707" t="s">
        <v>1056</v>
      </c>
      <c r="J1709" s="728" t="s">
        <v>5678</v>
      </c>
    </row>
    <row r="1710" spans="9:10">
      <c r="I1710" s="707" t="s">
        <v>1214</v>
      </c>
      <c r="J1710" s="728" t="s">
        <v>5679</v>
      </c>
    </row>
    <row r="1711" spans="9:10">
      <c r="I1711" s="707" t="s">
        <v>2721</v>
      </c>
      <c r="J1711" s="728" t="s">
        <v>5680</v>
      </c>
    </row>
    <row r="1712" spans="9:10">
      <c r="I1712" s="707" t="s">
        <v>3291</v>
      </c>
      <c r="J1712" s="728" t="s">
        <v>5681</v>
      </c>
    </row>
    <row r="1713" spans="9:10">
      <c r="I1713" s="707" t="s">
        <v>1995</v>
      </c>
      <c r="J1713" s="728" t="s">
        <v>5682</v>
      </c>
    </row>
    <row r="1714" spans="9:10">
      <c r="I1714" s="707" t="s">
        <v>2360</v>
      </c>
      <c r="J1714" s="728" t="s">
        <v>5683</v>
      </c>
    </row>
    <row r="1715" spans="9:10">
      <c r="I1715" s="707" t="s">
        <v>3912</v>
      </c>
      <c r="J1715" s="728" t="s">
        <v>5684</v>
      </c>
    </row>
    <row r="1716" spans="9:10">
      <c r="I1716" s="707" t="s">
        <v>1952</v>
      </c>
      <c r="J1716" s="728" t="s">
        <v>5685</v>
      </c>
    </row>
    <row r="1717" spans="9:10">
      <c r="I1717" s="707" t="s">
        <v>1265</v>
      </c>
      <c r="J1717" s="728" t="s">
        <v>5686</v>
      </c>
    </row>
    <row r="1718" spans="9:10">
      <c r="I1718" s="707" t="s">
        <v>2857</v>
      </c>
      <c r="J1718" s="728" t="s">
        <v>6075</v>
      </c>
    </row>
    <row r="1719" spans="9:10">
      <c r="I1719" s="707" t="s">
        <v>2876</v>
      </c>
      <c r="J1719" s="728" t="s">
        <v>5687</v>
      </c>
    </row>
    <row r="1720" spans="9:10">
      <c r="I1720" s="707" t="s">
        <v>3334</v>
      </c>
      <c r="J1720" s="728" t="s">
        <v>5689</v>
      </c>
    </row>
    <row r="1721" spans="9:10">
      <c r="I1721" s="707" t="s">
        <v>1649</v>
      </c>
      <c r="J1721" s="728" t="s">
        <v>5690</v>
      </c>
    </row>
    <row r="1722" spans="9:10">
      <c r="I1722" s="707" t="s">
        <v>1466</v>
      </c>
      <c r="J1722" s="728" t="s">
        <v>5691</v>
      </c>
    </row>
    <row r="1723" spans="9:10">
      <c r="I1723" s="707" t="s">
        <v>2221</v>
      </c>
      <c r="J1723" s="728" t="s">
        <v>5692</v>
      </c>
    </row>
    <row r="1724" spans="9:10">
      <c r="I1724" s="707" t="s">
        <v>1991</v>
      </c>
      <c r="J1724" s="728" t="s">
        <v>5693</v>
      </c>
    </row>
    <row r="1725" spans="9:10">
      <c r="I1725" s="707" t="s">
        <v>2536</v>
      </c>
      <c r="J1725" s="728" t="s">
        <v>5694</v>
      </c>
    </row>
    <row r="1726" spans="9:10">
      <c r="I1726" s="707" t="s">
        <v>3968</v>
      </c>
      <c r="J1726" s="728" t="s">
        <v>6076</v>
      </c>
    </row>
    <row r="1727" spans="9:10">
      <c r="I1727" s="707" t="s">
        <v>2495</v>
      </c>
      <c r="J1727" s="728" t="s">
        <v>5695</v>
      </c>
    </row>
    <row r="1728" spans="9:10">
      <c r="I1728" s="707" t="s">
        <v>3258</v>
      </c>
      <c r="J1728" s="728" t="s">
        <v>5696</v>
      </c>
    </row>
    <row r="1729" spans="9:10">
      <c r="I1729" s="707" t="s">
        <v>3914</v>
      </c>
      <c r="J1729" s="728" t="s">
        <v>5697</v>
      </c>
    </row>
    <row r="1730" spans="9:10">
      <c r="I1730" s="707" t="s">
        <v>1940</v>
      </c>
      <c r="J1730" s="728" t="s">
        <v>5698</v>
      </c>
    </row>
    <row r="1731" spans="9:10">
      <c r="I1731" s="707" t="s">
        <v>1461</v>
      </c>
      <c r="J1731" s="728" t="s">
        <v>5699</v>
      </c>
    </row>
    <row r="1732" spans="9:10">
      <c r="I1732" s="707" t="s">
        <v>2248</v>
      </c>
      <c r="J1732" s="728" t="s">
        <v>5700</v>
      </c>
    </row>
    <row r="1733" spans="9:10">
      <c r="I1733" s="707" t="s">
        <v>2343</v>
      </c>
      <c r="J1733" s="728" t="s">
        <v>5701</v>
      </c>
    </row>
    <row r="1734" spans="9:10">
      <c r="I1734" s="707" t="s">
        <v>2063</v>
      </c>
      <c r="J1734" s="728" t="s">
        <v>5702</v>
      </c>
    </row>
    <row r="1735" spans="9:10">
      <c r="I1735" s="707" t="s">
        <v>2706</v>
      </c>
      <c r="J1735" s="728" t="s">
        <v>5703</v>
      </c>
    </row>
    <row r="1736" spans="9:10">
      <c r="I1736" s="707" t="s">
        <v>3337</v>
      </c>
      <c r="J1736" s="728" t="s">
        <v>5704</v>
      </c>
    </row>
    <row r="1737" spans="9:10">
      <c r="I1737" s="707" t="s">
        <v>2122</v>
      </c>
      <c r="J1737" s="728" t="s">
        <v>5705</v>
      </c>
    </row>
    <row r="1738" spans="9:10">
      <c r="I1738" s="707" t="s">
        <v>3915</v>
      </c>
      <c r="J1738" s="728" t="s">
        <v>5707</v>
      </c>
    </row>
    <row r="1739" spans="9:10">
      <c r="I1739" s="707" t="s">
        <v>3916</v>
      </c>
      <c r="J1739" s="728" t="s">
        <v>5708</v>
      </c>
    </row>
    <row r="1740" spans="9:10">
      <c r="I1740" s="707" t="s">
        <v>1674</v>
      </c>
      <c r="J1740" s="728" t="s">
        <v>5710</v>
      </c>
    </row>
    <row r="1741" spans="9:10">
      <c r="I1741" s="707" t="s">
        <v>3917</v>
      </c>
      <c r="J1741" s="728" t="s">
        <v>5711</v>
      </c>
    </row>
    <row r="1742" spans="9:10">
      <c r="I1742" s="707" t="s">
        <v>3918</v>
      </c>
      <c r="J1742" s="728" t="s">
        <v>5712</v>
      </c>
    </row>
    <row r="1743" spans="9:10">
      <c r="I1743" s="707" t="s">
        <v>2015</v>
      </c>
      <c r="J1743" s="728" t="s">
        <v>5713</v>
      </c>
    </row>
    <row r="1744" spans="9:10">
      <c r="I1744" s="707" t="s">
        <v>1929</v>
      </c>
      <c r="J1744" s="728" t="s">
        <v>5714</v>
      </c>
    </row>
    <row r="1745" spans="9:10">
      <c r="I1745" s="707" t="s">
        <v>3919</v>
      </c>
      <c r="J1745" s="728" t="s">
        <v>5715</v>
      </c>
    </row>
    <row r="1746" spans="9:10">
      <c r="I1746" s="707" t="s">
        <v>2198</v>
      </c>
      <c r="J1746" s="728" t="s">
        <v>5716</v>
      </c>
    </row>
    <row r="1747" spans="9:10">
      <c r="I1747" s="707" t="s">
        <v>1935</v>
      </c>
      <c r="J1747" s="728" t="s">
        <v>5717</v>
      </c>
    </row>
    <row r="1748" spans="9:10">
      <c r="I1748" s="707" t="s">
        <v>1652</v>
      </c>
      <c r="J1748" s="728" t="s">
        <v>5718</v>
      </c>
    </row>
    <row r="1749" spans="9:10">
      <c r="I1749" s="707" t="s">
        <v>2998</v>
      </c>
      <c r="J1749" s="728" t="s">
        <v>5719</v>
      </c>
    </row>
    <row r="1750" spans="9:10">
      <c r="I1750" s="707" t="s">
        <v>2699</v>
      </c>
      <c r="J1750" s="728" t="s">
        <v>5720</v>
      </c>
    </row>
    <row r="1751" spans="9:10">
      <c r="I1751" s="707" t="s">
        <v>1244</v>
      </c>
      <c r="J1751" s="728" t="s">
        <v>5722</v>
      </c>
    </row>
    <row r="1752" spans="9:10">
      <c r="I1752" s="707" t="s">
        <v>1796</v>
      </c>
      <c r="J1752" s="728" t="s">
        <v>5721</v>
      </c>
    </row>
    <row r="1753" spans="9:10">
      <c r="I1753" s="707" t="s">
        <v>2271</v>
      </c>
      <c r="J1753" s="728" t="s">
        <v>5724</v>
      </c>
    </row>
    <row r="1754" spans="9:10">
      <c r="I1754" s="707" t="s">
        <v>1924</v>
      </c>
      <c r="J1754" s="728" t="s">
        <v>5726</v>
      </c>
    </row>
    <row r="1755" spans="9:10">
      <c r="I1755" s="707" t="s">
        <v>2962</v>
      </c>
      <c r="J1755" s="728" t="s">
        <v>5727</v>
      </c>
    </row>
    <row r="1756" spans="9:10">
      <c r="I1756" s="707" t="s">
        <v>3668</v>
      </c>
      <c r="J1756" s="728" t="s">
        <v>4407</v>
      </c>
    </row>
    <row r="1757" spans="9:10">
      <c r="I1757" s="707" t="s">
        <v>1023</v>
      </c>
      <c r="J1757" s="728" t="s">
        <v>5728</v>
      </c>
    </row>
    <row r="1758" spans="9:10">
      <c r="I1758" s="707" t="s">
        <v>1574</v>
      </c>
      <c r="J1758" s="728" t="s">
        <v>5729</v>
      </c>
    </row>
    <row r="1759" spans="9:10">
      <c r="I1759" s="707" t="s">
        <v>1383</v>
      </c>
      <c r="J1759" s="728" t="s">
        <v>5730</v>
      </c>
    </row>
    <row r="1760" spans="9:10">
      <c r="I1760" s="707" t="s">
        <v>2516</v>
      </c>
      <c r="J1760" s="728" t="s">
        <v>5731</v>
      </c>
    </row>
    <row r="1761" spans="9:10">
      <c r="I1761" s="707" t="s">
        <v>2892</v>
      </c>
      <c r="J1761" s="728" t="s">
        <v>5732</v>
      </c>
    </row>
    <row r="1762" spans="9:10">
      <c r="I1762" s="707" t="s">
        <v>1967</v>
      </c>
      <c r="J1762" s="728" t="s">
        <v>5733</v>
      </c>
    </row>
    <row r="1763" spans="9:10">
      <c r="I1763" s="707" t="s">
        <v>2196</v>
      </c>
      <c r="J1763" s="728" t="s">
        <v>5734</v>
      </c>
    </row>
    <row r="1764" spans="9:10">
      <c r="I1764" s="707" t="s">
        <v>2724</v>
      </c>
      <c r="J1764" s="728" t="s">
        <v>5735</v>
      </c>
    </row>
    <row r="1765" spans="9:10">
      <c r="I1765" s="707" t="s">
        <v>2008</v>
      </c>
      <c r="J1765" s="728" t="s">
        <v>5736</v>
      </c>
    </row>
    <row r="1766" spans="9:10">
      <c r="I1766" s="707" t="s">
        <v>2754</v>
      </c>
      <c r="J1766" s="728" t="s">
        <v>5737</v>
      </c>
    </row>
    <row r="1767" spans="9:10">
      <c r="I1767" s="707" t="s">
        <v>2737</v>
      </c>
      <c r="J1767" s="728" t="s">
        <v>5738</v>
      </c>
    </row>
    <row r="1768" spans="9:10">
      <c r="I1768" s="707" t="s">
        <v>2060</v>
      </c>
      <c r="J1768" s="728" t="s">
        <v>5739</v>
      </c>
    </row>
    <row r="1769" spans="9:10">
      <c r="I1769" s="707" t="s">
        <v>2518</v>
      </c>
      <c r="J1769" s="728" t="s">
        <v>5740</v>
      </c>
    </row>
    <row r="1770" spans="9:10">
      <c r="I1770" s="707" t="s">
        <v>2046</v>
      </c>
      <c r="J1770" s="728" t="s">
        <v>5741</v>
      </c>
    </row>
    <row r="1771" spans="9:10">
      <c r="I1771" s="707" t="s">
        <v>2943</v>
      </c>
      <c r="J1771" s="728" t="s">
        <v>5742</v>
      </c>
    </row>
    <row r="1772" spans="9:10">
      <c r="I1772" s="707" t="s">
        <v>2806</v>
      </c>
      <c r="J1772" s="728" t="s">
        <v>5743</v>
      </c>
    </row>
    <row r="1773" spans="9:10">
      <c r="I1773" s="707" t="s">
        <v>2682</v>
      </c>
      <c r="J1773" s="728" t="s">
        <v>5744</v>
      </c>
    </row>
    <row r="1774" spans="9:10">
      <c r="I1774" s="707" t="s">
        <v>2654</v>
      </c>
      <c r="J1774" s="728" t="s">
        <v>5745</v>
      </c>
    </row>
    <row r="1775" spans="9:10">
      <c r="I1775" s="707" t="s">
        <v>1693</v>
      </c>
      <c r="J1775" s="728" t="s">
        <v>5746</v>
      </c>
    </row>
    <row r="1776" spans="9:10">
      <c r="I1776" s="707" t="s">
        <v>1711</v>
      </c>
      <c r="J1776" s="728" t="s">
        <v>5747</v>
      </c>
    </row>
    <row r="1777" spans="9:10">
      <c r="I1777" s="707" t="s">
        <v>2745</v>
      </c>
      <c r="J1777" s="728" t="s">
        <v>5748</v>
      </c>
    </row>
    <row r="1778" spans="9:10">
      <c r="I1778" s="707" t="s">
        <v>2918</v>
      </c>
      <c r="J1778" s="728" t="s">
        <v>5749</v>
      </c>
    </row>
    <row r="1779" spans="9:10">
      <c r="I1779" s="707" t="s">
        <v>3920</v>
      </c>
      <c r="J1779" s="728" t="s">
        <v>5750</v>
      </c>
    </row>
    <row r="1780" spans="9:10">
      <c r="I1780" s="707" t="s">
        <v>2645</v>
      </c>
      <c r="J1780" s="728" t="s">
        <v>5751</v>
      </c>
    </row>
    <row r="1781" spans="9:10">
      <c r="I1781" s="707" t="s">
        <v>2156</v>
      </c>
      <c r="J1781" s="728" t="s">
        <v>5752</v>
      </c>
    </row>
    <row r="1782" spans="9:10">
      <c r="I1782" s="707" t="s">
        <v>1603</v>
      </c>
      <c r="J1782" s="728" t="s">
        <v>5753</v>
      </c>
    </row>
    <row r="1783" spans="9:10">
      <c r="I1783" s="707" t="s">
        <v>3921</v>
      </c>
      <c r="J1783" s="728" t="s">
        <v>5754</v>
      </c>
    </row>
    <row r="1784" spans="9:10">
      <c r="I1784" s="707" t="s">
        <v>2822</v>
      </c>
      <c r="J1784" s="728" t="s">
        <v>5755</v>
      </c>
    </row>
    <row r="1785" spans="9:10">
      <c r="I1785" s="707" t="s">
        <v>2758</v>
      </c>
      <c r="J1785" s="728" t="s">
        <v>5756</v>
      </c>
    </row>
    <row r="1786" spans="9:10">
      <c r="I1786" s="707" t="s">
        <v>2695</v>
      </c>
      <c r="J1786" s="728" t="s">
        <v>5757</v>
      </c>
    </row>
    <row r="1787" spans="9:10">
      <c r="I1787" s="707" t="s">
        <v>1145</v>
      </c>
      <c r="J1787" s="728" t="s">
        <v>5759</v>
      </c>
    </row>
    <row r="1788" spans="9:10">
      <c r="I1788" s="707" t="s">
        <v>1289</v>
      </c>
      <c r="J1788" s="728" t="s">
        <v>5761</v>
      </c>
    </row>
    <row r="1789" spans="9:10">
      <c r="I1789" s="707" t="s">
        <v>1392</v>
      </c>
      <c r="J1789" s="728" t="s">
        <v>5758</v>
      </c>
    </row>
    <row r="1790" spans="9:10">
      <c r="I1790" s="707" t="s">
        <v>2439</v>
      </c>
      <c r="J1790" s="728" t="s">
        <v>5760</v>
      </c>
    </row>
    <row r="1791" spans="9:10">
      <c r="I1791" s="707" t="s">
        <v>1482</v>
      </c>
      <c r="J1791" s="728" t="s">
        <v>5762</v>
      </c>
    </row>
    <row r="1792" spans="9:10">
      <c r="I1792" s="707" t="s">
        <v>1548</v>
      </c>
      <c r="J1792" s="728" t="s">
        <v>5763</v>
      </c>
    </row>
    <row r="1793" spans="9:10">
      <c r="I1793" s="707" t="s">
        <v>2925</v>
      </c>
      <c r="J1793" s="728" t="s">
        <v>5764</v>
      </c>
    </row>
    <row r="1794" spans="9:10">
      <c r="I1794" s="707" t="s">
        <v>1278</v>
      </c>
      <c r="J1794" s="728" t="s">
        <v>5765</v>
      </c>
    </row>
    <row r="1795" spans="9:10">
      <c r="I1795" s="707" t="s">
        <v>3056</v>
      </c>
      <c r="J1795" s="728" t="s">
        <v>5766</v>
      </c>
    </row>
    <row r="1796" spans="9:10">
      <c r="I1796" s="707" t="s">
        <v>1810</v>
      </c>
      <c r="J1796" s="728" t="s">
        <v>5767</v>
      </c>
    </row>
    <row r="1797" spans="9:10">
      <c r="I1797" s="707" t="s">
        <v>3922</v>
      </c>
      <c r="J1797" s="728" t="s">
        <v>5768</v>
      </c>
    </row>
    <row r="1798" spans="9:10">
      <c r="I1798" s="707" t="s">
        <v>2813</v>
      </c>
      <c r="J1798" s="728" t="s">
        <v>5769</v>
      </c>
    </row>
    <row r="1799" spans="9:10">
      <c r="I1799" s="707" t="s">
        <v>3033</v>
      </c>
      <c r="J1799" s="728" t="s">
        <v>5770</v>
      </c>
    </row>
    <row r="1800" spans="9:10">
      <c r="I1800" s="707" t="s">
        <v>1564</v>
      </c>
      <c r="J1800" s="728" t="s">
        <v>5771</v>
      </c>
    </row>
    <row r="1801" spans="9:10">
      <c r="I1801" s="707" t="s">
        <v>2561</v>
      </c>
      <c r="J1801" s="728" t="s">
        <v>5773</v>
      </c>
    </row>
    <row r="1802" spans="9:10">
      <c r="I1802" s="707" t="s">
        <v>2667</v>
      </c>
      <c r="J1802" s="728" t="s">
        <v>5774</v>
      </c>
    </row>
    <row r="1803" spans="9:10">
      <c r="I1803" s="707" t="s">
        <v>2238</v>
      </c>
      <c r="J1803" s="728" t="s">
        <v>5775</v>
      </c>
    </row>
    <row r="1804" spans="9:10">
      <c r="I1804" s="707" t="s">
        <v>2409</v>
      </c>
      <c r="J1804" s="728" t="s">
        <v>5776</v>
      </c>
    </row>
    <row r="1805" spans="9:10">
      <c r="I1805" s="707" t="s">
        <v>2740</v>
      </c>
      <c r="J1805" s="728" t="s">
        <v>5777</v>
      </c>
    </row>
    <row r="1806" spans="9:10">
      <c r="I1806" s="707" t="s">
        <v>3923</v>
      </c>
      <c r="J1806" s="728" t="s">
        <v>5778</v>
      </c>
    </row>
    <row r="1807" spans="9:10">
      <c r="I1807" s="707" t="s">
        <v>2912</v>
      </c>
      <c r="J1807" s="728" t="s">
        <v>5779</v>
      </c>
    </row>
    <row r="1808" spans="9:10">
      <c r="I1808" s="707" t="s">
        <v>1281</v>
      </c>
      <c r="J1808" s="728" t="s">
        <v>5780</v>
      </c>
    </row>
    <row r="1809" spans="9:10">
      <c r="I1809" s="707" t="s">
        <v>1774</v>
      </c>
      <c r="J1809" s="728" t="s">
        <v>5781</v>
      </c>
    </row>
    <row r="1810" spans="9:10">
      <c r="I1810" s="707" t="s">
        <v>2173</v>
      </c>
      <c r="J1810" s="728" t="s">
        <v>5782</v>
      </c>
    </row>
    <row r="1811" spans="9:10">
      <c r="I1811" s="707" t="s">
        <v>3068</v>
      </c>
      <c r="J1811" s="728" t="s">
        <v>5783</v>
      </c>
    </row>
    <row r="1812" spans="9:10">
      <c r="I1812" s="707" t="s">
        <v>1680</v>
      </c>
      <c r="J1812" s="728" t="s">
        <v>5784</v>
      </c>
    </row>
    <row r="1813" spans="9:10">
      <c r="I1813" s="707" t="s">
        <v>2268</v>
      </c>
      <c r="J1813" s="728" t="s">
        <v>5785</v>
      </c>
    </row>
    <row r="1814" spans="9:10">
      <c r="I1814" s="707" t="s">
        <v>1955</v>
      </c>
      <c r="J1814" s="728" t="s">
        <v>5786</v>
      </c>
    </row>
    <row r="1815" spans="9:10">
      <c r="I1815" s="707" t="s">
        <v>1099</v>
      </c>
      <c r="J1815" s="728" t="s">
        <v>5787</v>
      </c>
    </row>
    <row r="1816" spans="9:10">
      <c r="I1816" s="707" t="s">
        <v>1304</v>
      </c>
      <c r="J1816" s="728" t="s">
        <v>5788</v>
      </c>
    </row>
    <row r="1817" spans="9:10">
      <c r="I1817" s="707" t="s">
        <v>1710</v>
      </c>
      <c r="J1817" s="728" t="s">
        <v>5789</v>
      </c>
    </row>
    <row r="1818" spans="9:10">
      <c r="I1818" s="707" t="s">
        <v>2624</v>
      </c>
      <c r="J1818" s="728" t="s">
        <v>5790</v>
      </c>
    </row>
    <row r="1819" spans="9:10">
      <c r="I1819" s="707" t="s">
        <v>3924</v>
      </c>
      <c r="J1819" s="728" t="s">
        <v>5791</v>
      </c>
    </row>
    <row r="1820" spans="9:10">
      <c r="I1820" s="707" t="s">
        <v>2635</v>
      </c>
      <c r="J1820" s="728" t="s">
        <v>5792</v>
      </c>
    </row>
    <row r="1821" spans="9:10">
      <c r="I1821" s="707" t="s">
        <v>1227</v>
      </c>
      <c r="J1821" s="728" t="s">
        <v>5793</v>
      </c>
    </row>
    <row r="1822" spans="9:10">
      <c r="I1822" s="707" t="s">
        <v>2539</v>
      </c>
      <c r="J1822" s="728" t="s">
        <v>5794</v>
      </c>
    </row>
    <row r="1823" spans="9:10">
      <c r="I1823" s="707" t="s">
        <v>1780</v>
      </c>
      <c r="J1823" s="728" t="s">
        <v>5795</v>
      </c>
    </row>
    <row r="1824" spans="9:10">
      <c r="I1824" s="707" t="s">
        <v>2596</v>
      </c>
      <c r="J1824" s="728" t="s">
        <v>5796</v>
      </c>
    </row>
    <row r="1825" spans="9:10">
      <c r="I1825" s="707" t="s">
        <v>3002</v>
      </c>
      <c r="J1825" s="728" t="s">
        <v>5797</v>
      </c>
    </row>
    <row r="1826" spans="9:10">
      <c r="I1826" s="707" t="s">
        <v>2716</v>
      </c>
      <c r="J1826" s="728" t="s">
        <v>5798</v>
      </c>
    </row>
    <row r="1827" spans="9:10">
      <c r="I1827" s="707" t="s">
        <v>3344</v>
      </c>
      <c r="J1827" s="728" t="s">
        <v>5799</v>
      </c>
    </row>
    <row r="1828" spans="9:10">
      <c r="I1828" s="707" t="s">
        <v>2681</v>
      </c>
      <c r="J1828" s="728" t="s">
        <v>5800</v>
      </c>
    </row>
    <row r="1829" spans="9:10">
      <c r="I1829" s="707" t="s">
        <v>1462</v>
      </c>
      <c r="J1829" s="728" t="s">
        <v>6607</v>
      </c>
    </row>
    <row r="1830" spans="9:10">
      <c r="I1830" s="707" t="s">
        <v>1219</v>
      </c>
      <c r="J1830" s="728" t="s">
        <v>5801</v>
      </c>
    </row>
    <row r="1831" spans="9:10">
      <c r="I1831" s="707" t="s">
        <v>3310</v>
      </c>
      <c r="J1831" s="728" t="s">
        <v>5802</v>
      </c>
    </row>
    <row r="1832" spans="9:10">
      <c r="I1832" s="707" t="s">
        <v>1724</v>
      </c>
      <c r="J1832" s="728" t="s">
        <v>5803</v>
      </c>
    </row>
    <row r="1833" spans="9:10">
      <c r="I1833" s="707" t="s">
        <v>1539</v>
      </c>
      <c r="J1833" s="728" t="s">
        <v>5804</v>
      </c>
    </row>
    <row r="1834" spans="9:10">
      <c r="I1834" s="707" t="s">
        <v>2483</v>
      </c>
      <c r="J1834" s="728" t="s">
        <v>5806</v>
      </c>
    </row>
    <row r="1835" spans="9:10">
      <c r="I1835" s="707" t="s">
        <v>2450</v>
      </c>
      <c r="J1835" s="728" t="s">
        <v>5805</v>
      </c>
    </row>
    <row r="1836" spans="9:10">
      <c r="I1836" s="707" t="s">
        <v>2942</v>
      </c>
      <c r="J1836" s="728" t="s">
        <v>5807</v>
      </c>
    </row>
    <row r="1837" spans="9:10">
      <c r="I1837" s="707" t="s">
        <v>2534</v>
      </c>
      <c r="J1837" s="728" t="s">
        <v>5808</v>
      </c>
    </row>
    <row r="1838" spans="9:10">
      <c r="I1838" s="707" t="s">
        <v>1644</v>
      </c>
      <c r="J1838" s="728" t="s">
        <v>5809</v>
      </c>
    </row>
    <row r="1839" spans="9:10">
      <c r="I1839" s="707" t="s">
        <v>2119</v>
      </c>
      <c r="J1839" s="728" t="s">
        <v>5810</v>
      </c>
    </row>
    <row r="1840" spans="9:10">
      <c r="I1840" s="707" t="s">
        <v>1441</v>
      </c>
      <c r="J1840" s="728" t="s">
        <v>5811</v>
      </c>
    </row>
    <row r="1841" spans="9:10">
      <c r="I1841" s="707" t="s">
        <v>2003</v>
      </c>
      <c r="J1841" s="728" t="s">
        <v>5812</v>
      </c>
    </row>
    <row r="1842" spans="9:10">
      <c r="I1842" s="707" t="s">
        <v>2577</v>
      </c>
      <c r="J1842" s="728" t="s">
        <v>5813</v>
      </c>
    </row>
    <row r="1843" spans="9:10">
      <c r="I1843" s="707" t="s">
        <v>3925</v>
      </c>
      <c r="J1843" s="728" t="s">
        <v>5814</v>
      </c>
    </row>
    <row r="1844" spans="9:10">
      <c r="I1844" s="707" t="s">
        <v>6929</v>
      </c>
      <c r="J1844" s="728" t="s">
        <v>7047</v>
      </c>
    </row>
    <row r="1845" spans="9:10">
      <c r="I1845" s="707" t="s">
        <v>2519</v>
      </c>
      <c r="J1845" s="728" t="s">
        <v>5815</v>
      </c>
    </row>
    <row r="1846" spans="9:10">
      <c r="I1846" s="707" t="s">
        <v>1337</v>
      </c>
      <c r="J1846" s="728" t="s">
        <v>5816</v>
      </c>
    </row>
    <row r="1847" spans="9:10">
      <c r="I1847" s="707" t="s">
        <v>2334</v>
      </c>
      <c r="J1847" s="728" t="s">
        <v>5817</v>
      </c>
    </row>
    <row r="1848" spans="9:10">
      <c r="I1848" s="707" t="s">
        <v>3349</v>
      </c>
      <c r="J1848" s="728" t="s">
        <v>5818</v>
      </c>
    </row>
    <row r="1849" spans="9:10">
      <c r="I1849" s="707" t="s">
        <v>1618</v>
      </c>
      <c r="J1849" s="728" t="s">
        <v>5819</v>
      </c>
    </row>
    <row r="1850" spans="9:10">
      <c r="I1850" s="707" t="s">
        <v>1926</v>
      </c>
      <c r="J1850" s="728" t="s">
        <v>5820</v>
      </c>
    </row>
    <row r="1851" spans="9:10">
      <c r="I1851" s="707" t="s">
        <v>1494</v>
      </c>
      <c r="J1851" s="728" t="s">
        <v>5821</v>
      </c>
    </row>
    <row r="1852" spans="9:10">
      <c r="I1852" s="707" t="s">
        <v>2599</v>
      </c>
      <c r="J1852" s="728" t="s">
        <v>5822</v>
      </c>
    </row>
    <row r="1853" spans="9:10">
      <c r="I1853" s="707" t="s">
        <v>2552</v>
      </c>
      <c r="J1853" s="728" t="s">
        <v>5823</v>
      </c>
    </row>
    <row r="1854" spans="9:10">
      <c r="I1854" s="707" t="s">
        <v>1986</v>
      </c>
      <c r="J1854" s="728" t="s">
        <v>5824</v>
      </c>
    </row>
    <row r="1855" spans="9:10">
      <c r="I1855" s="707" t="s">
        <v>2778</v>
      </c>
      <c r="J1855" s="728" t="s">
        <v>5825</v>
      </c>
    </row>
    <row r="1856" spans="9:10">
      <c r="I1856" s="707" t="s">
        <v>3040</v>
      </c>
      <c r="J1856" s="728" t="s">
        <v>5826</v>
      </c>
    </row>
    <row r="1857" spans="9:10">
      <c r="I1857" s="707" t="s">
        <v>2727</v>
      </c>
      <c r="J1857" s="728" t="s">
        <v>5827</v>
      </c>
    </row>
    <row r="1858" spans="9:10">
      <c r="I1858" s="707" t="s">
        <v>3368</v>
      </c>
      <c r="J1858" s="728" t="s">
        <v>5828</v>
      </c>
    </row>
    <row r="1859" spans="9:10">
      <c r="I1859" s="707" t="s">
        <v>3926</v>
      </c>
      <c r="J1859" s="728" t="s">
        <v>5829</v>
      </c>
    </row>
    <row r="1860" spans="9:10">
      <c r="I1860" s="707" t="s">
        <v>3382</v>
      </c>
      <c r="J1860" s="728" t="s">
        <v>5830</v>
      </c>
    </row>
    <row r="1861" spans="9:10">
      <c r="I1861" s="707" t="s">
        <v>3354</v>
      </c>
      <c r="J1861" s="728" t="s">
        <v>5831</v>
      </c>
    </row>
    <row r="1862" spans="9:10">
      <c r="I1862" s="707" t="s">
        <v>3927</v>
      </c>
      <c r="J1862" s="728" t="s">
        <v>5832</v>
      </c>
    </row>
    <row r="1863" spans="9:10">
      <c r="I1863" s="707" t="s">
        <v>3928</v>
      </c>
      <c r="J1863" s="728" t="s">
        <v>5833</v>
      </c>
    </row>
    <row r="1864" spans="9:10">
      <c r="I1864" s="707" t="s">
        <v>3929</v>
      </c>
      <c r="J1864" s="728" t="s">
        <v>5834</v>
      </c>
    </row>
    <row r="1865" spans="9:10">
      <c r="I1865" s="707" t="s">
        <v>3370</v>
      </c>
      <c r="J1865" s="728" t="s">
        <v>5835</v>
      </c>
    </row>
    <row r="1866" spans="9:10">
      <c r="I1866" s="707" t="s">
        <v>1324</v>
      </c>
      <c r="J1866" s="728" t="s">
        <v>5836</v>
      </c>
    </row>
    <row r="1867" spans="9:10">
      <c r="I1867" s="707" t="s">
        <v>6930</v>
      </c>
      <c r="J1867" s="728" t="s">
        <v>7048</v>
      </c>
    </row>
    <row r="1868" spans="9:10">
      <c r="I1868" s="707" t="s">
        <v>2688</v>
      </c>
      <c r="J1868" s="728" t="s">
        <v>5837</v>
      </c>
    </row>
    <row r="1869" spans="9:10">
      <c r="I1869" s="707" t="s">
        <v>3930</v>
      </c>
      <c r="J1869" s="728" t="s">
        <v>5838</v>
      </c>
    </row>
    <row r="1870" spans="9:10">
      <c r="I1870" s="707" t="s">
        <v>2965</v>
      </c>
      <c r="J1870" s="728" t="s">
        <v>5839</v>
      </c>
    </row>
    <row r="1871" spans="9:10">
      <c r="I1871" s="707" t="s">
        <v>2257</v>
      </c>
      <c r="J1871" s="728" t="s">
        <v>5840</v>
      </c>
    </row>
    <row r="1872" spans="9:10">
      <c r="I1872" s="707" t="s">
        <v>6931</v>
      </c>
      <c r="J1872" s="728" t="s">
        <v>7049</v>
      </c>
    </row>
    <row r="1873" spans="9:10">
      <c r="I1873" s="707" t="s">
        <v>6932</v>
      </c>
      <c r="J1873" s="728" t="s">
        <v>7050</v>
      </c>
    </row>
    <row r="1874" spans="9:10">
      <c r="I1874" s="707" t="s">
        <v>1980</v>
      </c>
      <c r="J1874" s="728" t="s">
        <v>5841</v>
      </c>
    </row>
    <row r="1875" spans="9:10">
      <c r="I1875" s="707" t="s">
        <v>1975</v>
      </c>
      <c r="J1875" s="728" t="s">
        <v>5842</v>
      </c>
    </row>
    <row r="1876" spans="9:10">
      <c r="I1876" s="707" t="s">
        <v>1554</v>
      </c>
      <c r="J1876" s="728" t="s">
        <v>5843</v>
      </c>
    </row>
    <row r="1877" spans="9:10">
      <c r="I1877" s="707" t="s">
        <v>1849</v>
      </c>
      <c r="J1877" s="728" t="s">
        <v>5846</v>
      </c>
    </row>
    <row r="1878" spans="9:10">
      <c r="I1878" s="707" t="s">
        <v>3931</v>
      </c>
      <c r="J1878" s="728" t="s">
        <v>5844</v>
      </c>
    </row>
    <row r="1879" spans="9:10">
      <c r="I1879" s="707" t="s">
        <v>3380</v>
      </c>
      <c r="J1879" s="728" t="s">
        <v>5845</v>
      </c>
    </row>
    <row r="1880" spans="9:10">
      <c r="I1880" s="707" t="s">
        <v>1276</v>
      </c>
      <c r="J1880" s="728" t="s">
        <v>5847</v>
      </c>
    </row>
    <row r="1881" spans="9:10">
      <c r="I1881" s="707" t="s">
        <v>3932</v>
      </c>
      <c r="J1881" s="728" t="s">
        <v>5848</v>
      </c>
    </row>
    <row r="1882" spans="9:10">
      <c r="I1882" s="707" t="s">
        <v>1633</v>
      </c>
      <c r="J1882" s="728" t="s">
        <v>5849</v>
      </c>
    </row>
    <row r="1883" spans="9:10">
      <c r="I1883" s="707" t="s">
        <v>3933</v>
      </c>
      <c r="J1883" s="728" t="s">
        <v>5850</v>
      </c>
    </row>
    <row r="1884" spans="9:10">
      <c r="I1884" s="707" t="s">
        <v>1698</v>
      </c>
      <c r="J1884" s="728" t="s">
        <v>5851</v>
      </c>
    </row>
    <row r="1885" spans="9:10">
      <c r="I1885" s="707" t="s">
        <v>1741</v>
      </c>
      <c r="J1885" s="728" t="s">
        <v>5852</v>
      </c>
    </row>
    <row r="1886" spans="9:10">
      <c r="I1886" s="707" t="s">
        <v>1059</v>
      </c>
      <c r="J1886" s="728" t="s">
        <v>5853</v>
      </c>
    </row>
    <row r="1887" spans="9:10">
      <c r="I1887" s="707" t="s">
        <v>6933</v>
      </c>
      <c r="J1887" s="728" t="s">
        <v>7051</v>
      </c>
    </row>
    <row r="1888" spans="9:10">
      <c r="I1888" s="707" t="s">
        <v>2073</v>
      </c>
      <c r="J1888" s="728" t="s">
        <v>5854</v>
      </c>
    </row>
    <row r="1889" spans="9:10">
      <c r="I1889" s="707" t="s">
        <v>6934</v>
      </c>
      <c r="J1889" s="728" t="s">
        <v>7052</v>
      </c>
    </row>
    <row r="1890" spans="9:10">
      <c r="I1890" s="707" t="s">
        <v>3022</v>
      </c>
      <c r="J1890" s="728" t="s">
        <v>5855</v>
      </c>
    </row>
    <row r="1891" spans="9:10">
      <c r="I1891" s="707" t="s">
        <v>3251</v>
      </c>
      <c r="J1891" s="728" t="s">
        <v>5856</v>
      </c>
    </row>
    <row r="1892" spans="9:10">
      <c r="I1892" s="707" t="s">
        <v>3934</v>
      </c>
      <c r="J1892" s="728" t="s">
        <v>5857</v>
      </c>
    </row>
    <row r="1893" spans="9:10">
      <c r="I1893" s="707" t="s">
        <v>1366</v>
      </c>
      <c r="J1893" s="728" t="s">
        <v>5858</v>
      </c>
    </row>
    <row r="1894" spans="9:10">
      <c r="I1894" s="707" t="s">
        <v>2550</v>
      </c>
      <c r="J1894" s="728" t="s">
        <v>5859</v>
      </c>
    </row>
    <row r="1895" spans="9:10">
      <c r="I1895" s="707" t="s">
        <v>2418</v>
      </c>
      <c r="J1895" s="728" t="s">
        <v>5860</v>
      </c>
    </row>
    <row r="1896" spans="9:10">
      <c r="I1896" s="707" t="s">
        <v>2513</v>
      </c>
      <c r="J1896" s="728" t="s">
        <v>5861</v>
      </c>
    </row>
    <row r="1897" spans="9:10">
      <c r="I1897" s="707" t="s">
        <v>2310</v>
      </c>
      <c r="J1897" s="728" t="s">
        <v>5862</v>
      </c>
    </row>
    <row r="1898" spans="9:10">
      <c r="I1898" s="707" t="s">
        <v>2744</v>
      </c>
      <c r="J1898" s="728" t="s">
        <v>5863</v>
      </c>
    </row>
    <row r="1899" spans="9:10">
      <c r="I1899" s="707" t="s">
        <v>2544</v>
      </c>
      <c r="J1899" s="728" t="s">
        <v>5864</v>
      </c>
    </row>
    <row r="1900" spans="9:10">
      <c r="I1900" s="707" t="s">
        <v>2327</v>
      </c>
      <c r="J1900" s="728" t="s">
        <v>5865</v>
      </c>
    </row>
    <row r="1901" spans="9:10">
      <c r="I1901" s="707" t="s">
        <v>3335</v>
      </c>
      <c r="J1901" s="728" t="s">
        <v>5866</v>
      </c>
    </row>
    <row r="1902" spans="9:10">
      <c r="I1902" s="707" t="s">
        <v>2391</v>
      </c>
      <c r="J1902" s="728" t="s">
        <v>5867</v>
      </c>
    </row>
    <row r="1903" spans="9:10">
      <c r="I1903" s="707" t="s">
        <v>3935</v>
      </c>
      <c r="J1903" s="728" t="s">
        <v>5868</v>
      </c>
    </row>
    <row r="1904" spans="9:10">
      <c r="I1904" s="707" t="s">
        <v>1212</v>
      </c>
      <c r="J1904" s="728" t="s">
        <v>5869</v>
      </c>
    </row>
    <row r="1905" spans="9:10">
      <c r="I1905" s="707" t="s">
        <v>3936</v>
      </c>
      <c r="J1905" s="728" t="s">
        <v>5870</v>
      </c>
    </row>
    <row r="1906" spans="9:10">
      <c r="I1906" s="707" t="s">
        <v>3937</v>
      </c>
      <c r="J1906" s="728" t="s">
        <v>5871</v>
      </c>
    </row>
    <row r="1907" spans="9:10">
      <c r="I1907" s="707" t="s">
        <v>3318</v>
      </c>
      <c r="J1907" s="728" t="s">
        <v>5872</v>
      </c>
    </row>
    <row r="1908" spans="9:10">
      <c r="I1908" s="707" t="s">
        <v>1843</v>
      </c>
      <c r="J1908" s="728" t="s">
        <v>5873</v>
      </c>
    </row>
    <row r="1909" spans="9:10">
      <c r="I1909" s="707" t="s">
        <v>2678</v>
      </c>
      <c r="J1909" s="728" t="s">
        <v>5874</v>
      </c>
    </row>
    <row r="1910" spans="9:10">
      <c r="I1910" s="707" t="s">
        <v>3340</v>
      </c>
      <c r="J1910" s="728" t="s">
        <v>5875</v>
      </c>
    </row>
    <row r="1911" spans="9:10">
      <c r="I1911" s="707" t="s">
        <v>1722</v>
      </c>
      <c r="J1911" s="728" t="s">
        <v>5876</v>
      </c>
    </row>
    <row r="1912" spans="9:10">
      <c r="I1912" s="707" t="s">
        <v>1282</v>
      </c>
      <c r="J1912" s="728" t="s">
        <v>5877</v>
      </c>
    </row>
    <row r="1913" spans="9:10">
      <c r="I1913" s="707" t="s">
        <v>2623</v>
      </c>
      <c r="J1913" s="728" t="s">
        <v>5878</v>
      </c>
    </row>
    <row r="1914" spans="9:10">
      <c r="I1914" s="707" t="s">
        <v>3938</v>
      </c>
      <c r="J1914" s="728" t="s">
        <v>5879</v>
      </c>
    </row>
    <row r="1915" spans="9:10">
      <c r="I1915" s="707" t="s">
        <v>2431</v>
      </c>
      <c r="J1915" s="728" t="s">
        <v>5880</v>
      </c>
    </row>
    <row r="1916" spans="9:10">
      <c r="I1916" s="707" t="s">
        <v>1374</v>
      </c>
      <c r="J1916" s="728" t="s">
        <v>5881</v>
      </c>
    </row>
    <row r="1917" spans="9:10">
      <c r="I1917" s="707" t="s">
        <v>3939</v>
      </c>
      <c r="J1917" s="728" t="s">
        <v>5882</v>
      </c>
    </row>
    <row r="1918" spans="9:10">
      <c r="I1918" s="707" t="s">
        <v>2309</v>
      </c>
      <c r="J1918" s="728" t="s">
        <v>5883</v>
      </c>
    </row>
    <row r="1919" spans="9:10">
      <c r="I1919" s="707" t="s">
        <v>2756</v>
      </c>
      <c r="J1919" s="728" t="s">
        <v>5884</v>
      </c>
    </row>
    <row r="1920" spans="9:10">
      <c r="I1920" s="707" t="s">
        <v>3940</v>
      </c>
      <c r="J1920" s="728" t="s">
        <v>5885</v>
      </c>
    </row>
    <row r="1921" spans="9:10">
      <c r="I1921" s="707" t="s">
        <v>1079</v>
      </c>
      <c r="J1921" s="728" t="s">
        <v>5886</v>
      </c>
    </row>
    <row r="1922" spans="9:10">
      <c r="I1922" s="707" t="s">
        <v>3016</v>
      </c>
      <c r="J1922" s="728" t="s">
        <v>5887</v>
      </c>
    </row>
    <row r="1923" spans="9:10">
      <c r="I1923" s="707" t="s">
        <v>3941</v>
      </c>
      <c r="J1923" s="728" t="s">
        <v>5888</v>
      </c>
    </row>
    <row r="1924" spans="9:10">
      <c r="I1924" s="707" t="s">
        <v>2170</v>
      </c>
      <c r="J1924" s="728" t="s">
        <v>5889</v>
      </c>
    </row>
    <row r="1925" spans="9:10">
      <c r="I1925" s="707" t="s">
        <v>3942</v>
      </c>
      <c r="J1925" s="728" t="s">
        <v>5890</v>
      </c>
    </row>
    <row r="1926" spans="9:10">
      <c r="I1926" s="707" t="s">
        <v>3943</v>
      </c>
      <c r="J1926" s="728" t="s">
        <v>5891</v>
      </c>
    </row>
    <row r="1927" spans="9:10">
      <c r="I1927" s="707" t="s">
        <v>2485</v>
      </c>
      <c r="J1927" s="728" t="s">
        <v>5892</v>
      </c>
    </row>
    <row r="1928" spans="9:10">
      <c r="I1928" s="707" t="s">
        <v>2769</v>
      </c>
      <c r="J1928" s="728" t="s">
        <v>5893</v>
      </c>
    </row>
    <row r="1929" spans="9:10">
      <c r="I1929" s="707" t="s">
        <v>3944</v>
      </c>
      <c r="J1929" s="728" t="s">
        <v>5894</v>
      </c>
    </row>
    <row r="1930" spans="9:10">
      <c r="I1930" s="707" t="s">
        <v>3945</v>
      </c>
      <c r="J1930" s="728" t="s">
        <v>5895</v>
      </c>
    </row>
    <row r="1931" spans="9:10">
      <c r="I1931" s="707" t="s">
        <v>1588</v>
      </c>
      <c r="J1931" s="728" t="s">
        <v>5896</v>
      </c>
    </row>
    <row r="1932" spans="9:10">
      <c r="I1932" s="707" t="s">
        <v>1422</v>
      </c>
      <c r="J1932" s="728" t="s">
        <v>5897</v>
      </c>
    </row>
    <row r="1933" spans="9:10">
      <c r="I1933" s="707" t="s">
        <v>1436</v>
      </c>
      <c r="J1933" s="728" t="s">
        <v>5898</v>
      </c>
    </row>
    <row r="1934" spans="9:10">
      <c r="I1934" s="707" t="s">
        <v>2834</v>
      </c>
      <c r="J1934" s="728" t="s">
        <v>5899</v>
      </c>
    </row>
    <row r="1935" spans="9:10">
      <c r="I1935" s="707" t="s">
        <v>2251</v>
      </c>
      <c r="J1935" s="728" t="s">
        <v>5900</v>
      </c>
    </row>
    <row r="1936" spans="9:10">
      <c r="I1936" s="707" t="s">
        <v>2853</v>
      </c>
      <c r="J1936" s="728" t="s">
        <v>5901</v>
      </c>
    </row>
    <row r="1937" spans="9:10">
      <c r="I1937" s="707" t="s">
        <v>3946</v>
      </c>
      <c r="J1937" s="728" t="s">
        <v>5902</v>
      </c>
    </row>
    <row r="1938" spans="9:10">
      <c r="I1938" s="707" t="s">
        <v>2917</v>
      </c>
      <c r="J1938" s="728" t="s">
        <v>5903</v>
      </c>
    </row>
    <row r="1939" spans="9:10">
      <c r="I1939" s="707" t="s">
        <v>2131</v>
      </c>
      <c r="J1939" s="728" t="s">
        <v>5904</v>
      </c>
    </row>
    <row r="1940" spans="9:10">
      <c r="I1940" s="707" t="s">
        <v>3947</v>
      </c>
      <c r="J1940" s="728" t="s">
        <v>5905</v>
      </c>
    </row>
    <row r="1941" spans="9:10">
      <c r="I1941" s="707" t="s">
        <v>3948</v>
      </c>
      <c r="J1941" s="728" t="s">
        <v>5906</v>
      </c>
    </row>
    <row r="1942" spans="9:10">
      <c r="I1942" s="707" t="s">
        <v>6935</v>
      </c>
      <c r="J1942" s="728" t="s">
        <v>7053</v>
      </c>
    </row>
    <row r="1943" spans="9:10">
      <c r="I1943" s="707" t="s">
        <v>1397</v>
      </c>
      <c r="J1943" s="728" t="s">
        <v>5907</v>
      </c>
    </row>
    <row r="1944" spans="9:10">
      <c r="I1944" s="707" t="s">
        <v>1902</v>
      </c>
      <c r="J1944" s="728" t="s">
        <v>5908</v>
      </c>
    </row>
    <row r="1945" spans="9:10">
      <c r="I1945" s="707" t="s">
        <v>3949</v>
      </c>
      <c r="J1945" s="728" t="s">
        <v>5909</v>
      </c>
    </row>
    <row r="1946" spans="9:10">
      <c r="I1946" s="707" t="s">
        <v>2782</v>
      </c>
      <c r="J1946" s="728" t="s">
        <v>5910</v>
      </c>
    </row>
    <row r="1947" spans="9:10">
      <c r="I1947" s="707" t="s">
        <v>2130</v>
      </c>
      <c r="J1947" s="728" t="s">
        <v>5911</v>
      </c>
    </row>
    <row r="1948" spans="9:10">
      <c r="I1948" s="707" t="s">
        <v>2832</v>
      </c>
      <c r="J1948" s="728" t="s">
        <v>5913</v>
      </c>
    </row>
    <row r="1949" spans="9:10">
      <c r="I1949" s="707" t="s">
        <v>2152</v>
      </c>
      <c r="J1949" s="728" t="s">
        <v>5914</v>
      </c>
    </row>
    <row r="1950" spans="9:10">
      <c r="I1950" s="707" t="s">
        <v>1355</v>
      </c>
      <c r="J1950" s="728" t="s">
        <v>5915</v>
      </c>
    </row>
    <row r="1951" spans="9:10">
      <c r="I1951" s="707" t="s">
        <v>3951</v>
      </c>
      <c r="J1951" s="728" t="s">
        <v>5916</v>
      </c>
    </row>
    <row r="1952" spans="9:10">
      <c r="I1952" s="707" t="s">
        <v>1401</v>
      </c>
      <c r="J1952" s="728" t="s">
        <v>5917</v>
      </c>
    </row>
    <row r="1953" spans="9:10">
      <c r="I1953" s="707" t="s">
        <v>1196</v>
      </c>
      <c r="J1953" s="728" t="s">
        <v>5918</v>
      </c>
    </row>
    <row r="1954" spans="9:10">
      <c r="I1954" s="707" t="s">
        <v>1306</v>
      </c>
      <c r="J1954" s="728" t="s">
        <v>5919</v>
      </c>
    </row>
    <row r="1955" spans="9:10">
      <c r="I1955" s="707" t="s">
        <v>1709</v>
      </c>
      <c r="J1955" s="728" t="s">
        <v>5921</v>
      </c>
    </row>
    <row r="1956" spans="9:10">
      <c r="I1956" s="707" t="s">
        <v>1635</v>
      </c>
      <c r="J1956" s="728" t="s">
        <v>5922</v>
      </c>
    </row>
    <row r="1957" spans="9:10">
      <c r="I1957" s="707" t="s">
        <v>1928</v>
      </c>
      <c r="J1957" s="728" t="s">
        <v>5924</v>
      </c>
    </row>
    <row r="1958" spans="9:10">
      <c r="I1958" s="707" t="s">
        <v>3952</v>
      </c>
      <c r="J1958" s="728" t="s">
        <v>5925</v>
      </c>
    </row>
    <row r="1959" spans="9:10">
      <c r="I1959" s="707" t="s">
        <v>3953</v>
      </c>
      <c r="J1959" s="728" t="s">
        <v>5926</v>
      </c>
    </row>
    <row r="1960" spans="9:10">
      <c r="I1960" s="707" t="s">
        <v>1894</v>
      </c>
      <c r="J1960" s="728" t="s">
        <v>5927</v>
      </c>
    </row>
    <row r="1961" spans="9:10">
      <c r="I1961" s="707" t="s">
        <v>2307</v>
      </c>
      <c r="J1961" s="728" t="s">
        <v>5928</v>
      </c>
    </row>
    <row r="1962" spans="9:10">
      <c r="I1962" s="707" t="s">
        <v>1570</v>
      </c>
      <c r="J1962" s="728" t="s">
        <v>5929</v>
      </c>
    </row>
    <row r="1963" spans="9:10">
      <c r="I1963" s="707" t="s">
        <v>2936</v>
      </c>
      <c r="J1963" s="728" t="s">
        <v>5930</v>
      </c>
    </row>
    <row r="1964" spans="9:10">
      <c r="I1964" s="707" t="s">
        <v>1779</v>
      </c>
      <c r="J1964" s="728" t="s">
        <v>5931</v>
      </c>
    </row>
    <row r="1965" spans="9:10">
      <c r="I1965" s="707" t="s">
        <v>2193</v>
      </c>
      <c r="J1965" s="728" t="s">
        <v>5932</v>
      </c>
    </row>
    <row r="1966" spans="9:10">
      <c r="I1966" s="707" t="s">
        <v>3030</v>
      </c>
      <c r="J1966" s="728" t="s">
        <v>5933</v>
      </c>
    </row>
    <row r="1967" spans="9:10">
      <c r="I1967" s="707" t="s">
        <v>2214</v>
      </c>
      <c r="J1967" s="728" t="s">
        <v>5934</v>
      </c>
    </row>
    <row r="1968" spans="9:10">
      <c r="I1968" s="707" t="s">
        <v>2937</v>
      </c>
      <c r="J1968" s="728" t="s">
        <v>5935</v>
      </c>
    </row>
    <row r="1969" spans="9:10">
      <c r="I1969" s="707" t="s">
        <v>1881</v>
      </c>
      <c r="J1969" s="728" t="s">
        <v>5936</v>
      </c>
    </row>
    <row r="1970" spans="9:10">
      <c r="I1970" s="707" t="s">
        <v>2759</v>
      </c>
      <c r="J1970" s="728" t="s">
        <v>5937</v>
      </c>
    </row>
    <row r="1971" spans="9:10">
      <c r="I1971" s="707" t="s">
        <v>1501</v>
      </c>
      <c r="J1971" s="728" t="s">
        <v>5938</v>
      </c>
    </row>
    <row r="1972" spans="9:10">
      <c r="I1972" s="707" t="s">
        <v>2780</v>
      </c>
      <c r="J1972" s="728" t="s">
        <v>5939</v>
      </c>
    </row>
    <row r="1973" spans="9:10">
      <c r="I1973" s="707" t="s">
        <v>2423</v>
      </c>
      <c r="J1973" s="728" t="s">
        <v>5940</v>
      </c>
    </row>
    <row r="1974" spans="9:10">
      <c r="I1974" s="707" t="s">
        <v>3954</v>
      </c>
      <c r="J1974" s="728" t="s">
        <v>5941</v>
      </c>
    </row>
    <row r="1975" spans="9:10">
      <c r="I1975" s="707" t="s">
        <v>2910</v>
      </c>
      <c r="J1975" s="728" t="s">
        <v>5942</v>
      </c>
    </row>
    <row r="1976" spans="9:10">
      <c r="I1976" s="707" t="s">
        <v>3329</v>
      </c>
      <c r="J1976" s="728" t="s">
        <v>5943</v>
      </c>
    </row>
    <row r="1977" spans="9:10">
      <c r="I1977" s="707" t="s">
        <v>2715</v>
      </c>
      <c r="J1977" s="728" t="s">
        <v>5944</v>
      </c>
    </row>
    <row r="1978" spans="9:10">
      <c r="I1978" s="707" t="s">
        <v>1442</v>
      </c>
      <c r="J1978" s="728" t="s">
        <v>5945</v>
      </c>
    </row>
    <row r="1979" spans="9:10">
      <c r="I1979" s="707" t="s">
        <v>2541</v>
      </c>
      <c r="J1979" s="728" t="s">
        <v>5946</v>
      </c>
    </row>
    <row r="1980" spans="9:10">
      <c r="I1980" s="707" t="s">
        <v>3955</v>
      </c>
      <c r="J1980" s="728" t="s">
        <v>5947</v>
      </c>
    </row>
    <row r="1981" spans="9:10">
      <c r="I1981" s="707" t="s">
        <v>1685</v>
      </c>
      <c r="J1981" s="728" t="s">
        <v>5948</v>
      </c>
    </row>
    <row r="1982" spans="9:10">
      <c r="I1982" s="707" t="s">
        <v>2554</v>
      </c>
      <c r="J1982" s="728" t="s">
        <v>5949</v>
      </c>
    </row>
    <row r="1983" spans="9:10">
      <c r="I1983" s="707" t="s">
        <v>3322</v>
      </c>
      <c r="J1983" s="728" t="s">
        <v>5950</v>
      </c>
    </row>
    <row r="1984" spans="9:10">
      <c r="I1984" s="707" t="s">
        <v>2220</v>
      </c>
      <c r="J1984" s="728" t="s">
        <v>5951</v>
      </c>
    </row>
    <row r="1985" spans="9:10">
      <c r="I1985" s="707" t="s">
        <v>2216</v>
      </c>
      <c r="J1985" s="728" t="s">
        <v>5952</v>
      </c>
    </row>
    <row r="1986" spans="9:10">
      <c r="I1986" s="707" t="s">
        <v>2421</v>
      </c>
      <c r="J1986" s="728" t="s">
        <v>5953</v>
      </c>
    </row>
    <row r="1987" spans="9:10">
      <c r="I1987" s="707" t="s">
        <v>2916</v>
      </c>
      <c r="J1987" s="728" t="s">
        <v>5954</v>
      </c>
    </row>
    <row r="1988" spans="9:10">
      <c r="I1988" s="707" t="s">
        <v>6936</v>
      </c>
      <c r="J1988" s="728" t="s">
        <v>5772</v>
      </c>
    </row>
    <row r="1989" spans="9:10">
      <c r="I1989" s="707" t="s">
        <v>1658</v>
      </c>
      <c r="J1989" s="728" t="s">
        <v>5955</v>
      </c>
    </row>
    <row r="1990" spans="9:10">
      <c r="I1990" s="707" t="s">
        <v>1359</v>
      </c>
      <c r="J1990" s="728" t="s">
        <v>5956</v>
      </c>
    </row>
    <row r="1991" spans="9:10">
      <c r="I1991" s="707" t="s">
        <v>1448</v>
      </c>
      <c r="J1991" s="728" t="s">
        <v>5957</v>
      </c>
    </row>
    <row r="1992" spans="9:10">
      <c r="I1992" s="707" t="s">
        <v>3048</v>
      </c>
      <c r="J1992" s="728" t="s">
        <v>5958</v>
      </c>
    </row>
    <row r="1993" spans="9:10">
      <c r="I1993" s="707" t="s">
        <v>2481</v>
      </c>
      <c r="J1993" s="728" t="s">
        <v>5959</v>
      </c>
    </row>
    <row r="1994" spans="9:10">
      <c r="I1994" s="707" t="s">
        <v>1586</v>
      </c>
      <c r="J1994" s="728" t="s">
        <v>5960</v>
      </c>
    </row>
    <row r="1995" spans="9:10">
      <c r="I1995" s="707" t="s">
        <v>1607</v>
      </c>
      <c r="J1995" s="728" t="s">
        <v>5961</v>
      </c>
    </row>
    <row r="1996" spans="9:10">
      <c r="I1996" s="707" t="s">
        <v>1330</v>
      </c>
      <c r="J1996" s="728" t="s">
        <v>5962</v>
      </c>
    </row>
    <row r="1997" spans="9:10">
      <c r="I1997" s="707" t="s">
        <v>1718</v>
      </c>
      <c r="J1997" s="728" t="s">
        <v>5963</v>
      </c>
    </row>
    <row r="1998" spans="9:10">
      <c r="I1998" s="707" t="s">
        <v>1409</v>
      </c>
      <c r="J1998" s="728" t="s">
        <v>5964</v>
      </c>
    </row>
    <row r="1999" spans="9:10">
      <c r="I1999" s="707" t="s">
        <v>2568</v>
      </c>
      <c r="J1999" s="728" t="s">
        <v>5965</v>
      </c>
    </row>
    <row r="2000" spans="9:10">
      <c r="I2000" s="707" t="s">
        <v>2490</v>
      </c>
      <c r="J2000" s="728" t="s">
        <v>5966</v>
      </c>
    </row>
    <row r="2001" spans="9:10">
      <c r="I2001" s="707" t="s">
        <v>2145</v>
      </c>
      <c r="J2001" s="728" t="s">
        <v>5967</v>
      </c>
    </row>
    <row r="2002" spans="9:10">
      <c r="I2002" s="707" t="s">
        <v>2142</v>
      </c>
      <c r="J2002" s="728" t="s">
        <v>5968</v>
      </c>
    </row>
    <row r="2003" spans="9:10">
      <c r="I2003" s="707" t="s">
        <v>2075</v>
      </c>
      <c r="J2003" s="728" t="s">
        <v>5969</v>
      </c>
    </row>
    <row r="2004" spans="9:10">
      <c r="I2004" s="707" t="s">
        <v>1216</v>
      </c>
      <c r="J2004" s="728" t="s">
        <v>5970</v>
      </c>
    </row>
    <row r="2005" spans="9:10">
      <c r="I2005" s="707" t="s">
        <v>1587</v>
      </c>
      <c r="J2005" s="728" t="s">
        <v>5971</v>
      </c>
    </row>
    <row r="2006" spans="9:10">
      <c r="I2006" s="707" t="s">
        <v>1920</v>
      </c>
      <c r="J2006" s="728" t="s">
        <v>5972</v>
      </c>
    </row>
    <row r="2007" spans="9:10">
      <c r="I2007" s="707" t="s">
        <v>3956</v>
      </c>
      <c r="J2007" s="728" t="s">
        <v>5973</v>
      </c>
    </row>
    <row r="2008" spans="9:10">
      <c r="I2008" s="707" t="s">
        <v>2335</v>
      </c>
      <c r="J2008" s="728" t="s">
        <v>5974</v>
      </c>
    </row>
    <row r="2009" spans="9:10">
      <c r="I2009" s="707" t="s">
        <v>1973</v>
      </c>
      <c r="J2009" s="728" t="s">
        <v>5975</v>
      </c>
    </row>
    <row r="2010" spans="9:10">
      <c r="I2010" s="707" t="s">
        <v>1716</v>
      </c>
      <c r="J2010" s="728" t="s">
        <v>5976</v>
      </c>
    </row>
    <row r="2011" spans="9:10">
      <c r="I2011" s="707" t="s">
        <v>2252</v>
      </c>
      <c r="J2011" s="728" t="s">
        <v>5977</v>
      </c>
    </row>
    <row r="2012" spans="9:10">
      <c r="I2012" s="707" t="s">
        <v>1387</v>
      </c>
      <c r="J2012" s="728" t="s">
        <v>5978</v>
      </c>
    </row>
    <row r="2013" spans="9:10">
      <c r="I2013" s="707" t="s">
        <v>6937</v>
      </c>
      <c r="J2013" s="728" t="s">
        <v>7054</v>
      </c>
    </row>
    <row r="2014" spans="9:10">
      <c r="I2014" s="707" t="s">
        <v>3957</v>
      </c>
      <c r="J2014" s="728" t="s">
        <v>5979</v>
      </c>
    </row>
    <row r="2015" spans="9:10">
      <c r="I2015" s="707" t="s">
        <v>3055</v>
      </c>
      <c r="J2015" s="728" t="s">
        <v>5980</v>
      </c>
    </row>
    <row r="2016" spans="9:10">
      <c r="I2016" s="707" t="s">
        <v>3011</v>
      </c>
      <c r="J2016" s="728" t="s">
        <v>5981</v>
      </c>
    </row>
    <row r="2017" spans="9:10">
      <c r="I2017" s="707" t="s">
        <v>1581</v>
      </c>
      <c r="J2017" s="728" t="s">
        <v>5982</v>
      </c>
    </row>
    <row r="2018" spans="9:10">
      <c r="I2018" s="707" t="s">
        <v>2329</v>
      </c>
      <c r="J2018" s="728" t="s">
        <v>5983</v>
      </c>
    </row>
    <row r="2019" spans="9:10">
      <c r="I2019" s="707" t="s">
        <v>1627</v>
      </c>
      <c r="J2019" s="728" t="s">
        <v>5984</v>
      </c>
    </row>
    <row r="2020" spans="9:10">
      <c r="I2020" s="707" t="s">
        <v>1666</v>
      </c>
      <c r="J2020" s="728" t="s">
        <v>5985</v>
      </c>
    </row>
    <row r="2021" spans="9:10">
      <c r="I2021" s="707" t="s">
        <v>1167</v>
      </c>
      <c r="J2021" s="728" t="s">
        <v>5986</v>
      </c>
    </row>
    <row r="2022" spans="9:10">
      <c r="I2022" s="707" t="s">
        <v>1486</v>
      </c>
      <c r="J2022" s="728" t="s">
        <v>5987</v>
      </c>
    </row>
    <row r="2023" spans="9:10">
      <c r="I2023" s="707" t="s">
        <v>1467</v>
      </c>
      <c r="J2023" s="728" t="s">
        <v>5988</v>
      </c>
    </row>
    <row r="2024" spans="9:10">
      <c r="I2024" s="707" t="s">
        <v>2392</v>
      </c>
      <c r="J2024" s="728" t="s">
        <v>5989</v>
      </c>
    </row>
    <row r="2025" spans="9:10">
      <c r="I2025" s="707" t="s">
        <v>2043</v>
      </c>
      <c r="J2025" s="728" t="s">
        <v>5990</v>
      </c>
    </row>
    <row r="2026" spans="9:10">
      <c r="I2026" s="707" t="s">
        <v>3280</v>
      </c>
      <c r="J2026" s="728" t="s">
        <v>5991</v>
      </c>
    </row>
    <row r="2027" spans="9:10">
      <c r="I2027" s="707" t="s">
        <v>2955</v>
      </c>
      <c r="J2027" s="728" t="s">
        <v>5992</v>
      </c>
    </row>
    <row r="2028" spans="9:10">
      <c r="I2028" s="707" t="s">
        <v>2191</v>
      </c>
      <c r="J2028" s="728" t="s">
        <v>5993</v>
      </c>
    </row>
    <row r="2029" spans="9:10">
      <c r="I2029" s="707" t="s">
        <v>3006</v>
      </c>
      <c r="J2029" s="728" t="s">
        <v>5994</v>
      </c>
    </row>
    <row r="2030" spans="9:10">
      <c r="I2030" s="707" t="s">
        <v>1380</v>
      </c>
      <c r="J2030" s="728" t="s">
        <v>5995</v>
      </c>
    </row>
    <row r="2031" spans="9:10">
      <c r="I2031" s="707" t="s">
        <v>1706</v>
      </c>
      <c r="J2031" s="728" t="s">
        <v>5996</v>
      </c>
    </row>
    <row r="2032" spans="9:10">
      <c r="I2032" s="707" t="s">
        <v>1375</v>
      </c>
      <c r="J2032" s="728" t="s">
        <v>5997</v>
      </c>
    </row>
    <row r="2033" spans="9:10">
      <c r="I2033" s="707" t="s">
        <v>3032</v>
      </c>
      <c r="J2033" s="728" t="s">
        <v>5998</v>
      </c>
    </row>
    <row r="2034" spans="9:10">
      <c r="I2034" s="707" t="s">
        <v>2776</v>
      </c>
      <c r="J2034" s="728" t="s">
        <v>5999</v>
      </c>
    </row>
    <row r="2035" spans="9:10">
      <c r="I2035" s="707" t="s">
        <v>3327</v>
      </c>
      <c r="J2035" s="728" t="s">
        <v>6000</v>
      </c>
    </row>
    <row r="2036" spans="9:10">
      <c r="I2036" s="707" t="s">
        <v>2511</v>
      </c>
      <c r="J2036" s="728" t="s">
        <v>6001</v>
      </c>
    </row>
    <row r="2037" spans="9:10">
      <c r="I2037" s="707" t="s">
        <v>6938</v>
      </c>
      <c r="J2037" s="728" t="s">
        <v>7055</v>
      </c>
    </row>
    <row r="2038" spans="9:10">
      <c r="I2038" s="707" t="s">
        <v>3045</v>
      </c>
      <c r="J2038" s="728" t="s">
        <v>6002</v>
      </c>
    </row>
    <row r="2039" spans="9:10">
      <c r="I2039" s="707" t="s">
        <v>2580</v>
      </c>
      <c r="J2039" s="728" t="s">
        <v>6003</v>
      </c>
    </row>
    <row r="2040" spans="9:10">
      <c r="I2040" s="707" t="s">
        <v>2172</v>
      </c>
      <c r="J2040" s="728" t="s">
        <v>6004</v>
      </c>
    </row>
    <row r="2041" spans="9:10">
      <c r="I2041" s="707" t="s">
        <v>2949</v>
      </c>
      <c r="J2041" s="728" t="s">
        <v>6005</v>
      </c>
    </row>
    <row r="2042" spans="9:10">
      <c r="I2042" s="707" t="s">
        <v>2748</v>
      </c>
      <c r="J2042" s="728" t="s">
        <v>6006</v>
      </c>
    </row>
    <row r="2043" spans="9:10">
      <c r="I2043" s="707" t="s">
        <v>1262</v>
      </c>
      <c r="J2043" s="728" t="s">
        <v>6007</v>
      </c>
    </row>
    <row r="2044" spans="9:10">
      <c r="I2044" s="707" t="s">
        <v>2630</v>
      </c>
      <c r="J2044" s="728" t="s">
        <v>6008</v>
      </c>
    </row>
    <row r="2045" spans="9:10">
      <c r="I2045" s="707" t="s">
        <v>2176</v>
      </c>
      <c r="J2045" s="728" t="s">
        <v>6009</v>
      </c>
    </row>
    <row r="2046" spans="9:10">
      <c r="I2046" s="707" t="s">
        <v>1911</v>
      </c>
      <c r="J2046" s="728" t="s">
        <v>6010</v>
      </c>
    </row>
    <row r="2047" spans="9:10">
      <c r="I2047" s="707" t="s">
        <v>3958</v>
      </c>
      <c r="J2047" s="728" t="s">
        <v>6011</v>
      </c>
    </row>
    <row r="2048" spans="9:10">
      <c r="I2048" s="707" t="s">
        <v>2094</v>
      </c>
      <c r="J2048" s="728" t="s">
        <v>6077</v>
      </c>
    </row>
    <row r="2049" spans="9:10">
      <c r="I2049" s="707" t="s">
        <v>2263</v>
      </c>
      <c r="J2049" s="728" t="s">
        <v>6012</v>
      </c>
    </row>
    <row r="2050" spans="9:10">
      <c r="I2050" s="707" t="s">
        <v>3039</v>
      </c>
      <c r="J2050" s="728" t="s">
        <v>6013</v>
      </c>
    </row>
    <row r="2051" spans="9:10">
      <c r="I2051" s="707" t="s">
        <v>2082</v>
      </c>
      <c r="J2051" s="728" t="s">
        <v>6014</v>
      </c>
    </row>
    <row r="2052" spans="9:10">
      <c r="I2052" s="707" t="s">
        <v>2790</v>
      </c>
      <c r="J2052" s="728" t="s">
        <v>6015</v>
      </c>
    </row>
    <row r="2053" spans="9:10">
      <c r="I2053" s="707" t="s">
        <v>2282</v>
      </c>
      <c r="J2053" s="728" t="s">
        <v>6016</v>
      </c>
    </row>
    <row r="2054" spans="9:10">
      <c r="I2054" s="707" t="s">
        <v>1766</v>
      </c>
      <c r="J2054" s="728" t="s">
        <v>6017</v>
      </c>
    </row>
    <row r="2055" spans="9:10">
      <c r="I2055" s="707" t="s">
        <v>1823</v>
      </c>
      <c r="J2055" s="728" t="s">
        <v>6019</v>
      </c>
    </row>
    <row r="2056" spans="9:10">
      <c r="I2056" s="707" t="s">
        <v>2675</v>
      </c>
      <c r="J2056" s="728" t="s">
        <v>6020</v>
      </c>
    </row>
    <row r="2057" spans="9:10">
      <c r="I2057" s="707" t="s">
        <v>2545</v>
      </c>
      <c r="J2057" s="728" t="s">
        <v>6021</v>
      </c>
    </row>
    <row r="2058" spans="9:10">
      <c r="I2058" s="707" t="s">
        <v>1351</v>
      </c>
      <c r="J2058" s="728" t="s">
        <v>6022</v>
      </c>
    </row>
    <row r="2059" spans="9:10">
      <c r="I2059" s="707" t="s">
        <v>1847</v>
      </c>
      <c r="J2059" s="728" t="s">
        <v>6023</v>
      </c>
    </row>
    <row r="2060" spans="9:10">
      <c r="I2060" s="707" t="s">
        <v>2361</v>
      </c>
      <c r="J2060" s="728" t="s">
        <v>6024</v>
      </c>
    </row>
    <row r="2061" spans="9:10">
      <c r="I2061" s="707" t="s">
        <v>3320</v>
      </c>
      <c r="J2061" s="728" t="s">
        <v>6025</v>
      </c>
    </row>
    <row r="2062" spans="9:10">
      <c r="I2062" s="707" t="s">
        <v>3959</v>
      </c>
      <c r="J2062" s="728" t="s">
        <v>6026</v>
      </c>
    </row>
    <row r="2063" spans="9:10">
      <c r="I2063" s="707" t="s">
        <v>1561</v>
      </c>
      <c r="J2063" s="728" t="s">
        <v>6027</v>
      </c>
    </row>
    <row r="2064" spans="9:10">
      <c r="I2064" s="707" t="s">
        <v>1768</v>
      </c>
      <c r="J2064" s="728" t="s">
        <v>6028</v>
      </c>
    </row>
    <row r="2065" spans="9:10">
      <c r="I2065" s="707" t="s">
        <v>2873</v>
      </c>
      <c r="J2065" s="728" t="s">
        <v>6029</v>
      </c>
    </row>
    <row r="2066" spans="9:10">
      <c r="I2066" s="707" t="s">
        <v>3960</v>
      </c>
      <c r="J2066" s="728" t="s">
        <v>6030</v>
      </c>
    </row>
    <row r="2067" spans="9:10">
      <c r="I2067" s="707" t="s">
        <v>3961</v>
      </c>
      <c r="J2067" s="728" t="s">
        <v>6031</v>
      </c>
    </row>
    <row r="2068" spans="9:10">
      <c r="I2068" s="707" t="s">
        <v>2646</v>
      </c>
      <c r="J2068" s="728" t="s">
        <v>6032</v>
      </c>
    </row>
    <row r="2069" spans="9:10">
      <c r="I2069" s="707" t="s">
        <v>3962</v>
      </c>
      <c r="J2069" s="728" t="s">
        <v>6033</v>
      </c>
    </row>
    <row r="2070" spans="9:10">
      <c r="I2070" s="707" t="s">
        <v>3012</v>
      </c>
      <c r="J2070" s="728" t="s">
        <v>6034</v>
      </c>
    </row>
    <row r="2071" spans="9:10">
      <c r="I2071" s="707" t="s">
        <v>2809</v>
      </c>
      <c r="J2071" s="728" t="s">
        <v>6035</v>
      </c>
    </row>
    <row r="2072" spans="9:10">
      <c r="I2072" s="707" t="s">
        <v>3247</v>
      </c>
      <c r="J2072" s="728" t="s">
        <v>6036</v>
      </c>
    </row>
    <row r="2073" spans="9:10">
      <c r="I2073" s="707" t="s">
        <v>2567</v>
      </c>
      <c r="J2073" s="728" t="s">
        <v>6038</v>
      </c>
    </row>
    <row r="2074" spans="9:10">
      <c r="I2074" s="707" t="s">
        <v>3963</v>
      </c>
      <c r="J2074" s="728" t="s">
        <v>6039</v>
      </c>
    </row>
    <row r="2075" spans="9:10">
      <c r="I2075" s="707" t="s">
        <v>2714</v>
      </c>
      <c r="J2075" s="728" t="s">
        <v>6040</v>
      </c>
    </row>
    <row r="2076" spans="9:10">
      <c r="I2076" s="707" t="s">
        <v>1084</v>
      </c>
      <c r="J2076" s="728" t="s">
        <v>6042</v>
      </c>
    </row>
    <row r="2077" spans="9:10">
      <c r="I2077" s="707" t="s">
        <v>2810</v>
      </c>
      <c r="J2077" s="728" t="s">
        <v>6043</v>
      </c>
    </row>
    <row r="2078" spans="9:10">
      <c r="I2078" s="707" t="s">
        <v>1556</v>
      </c>
      <c r="J2078" s="728" t="s">
        <v>6044</v>
      </c>
    </row>
    <row r="2079" spans="9:10">
      <c r="I2079" s="707" t="s">
        <v>3964</v>
      </c>
      <c r="J2079" s="728" t="s">
        <v>6045</v>
      </c>
    </row>
    <row r="2080" spans="9:10">
      <c r="I2080" s="707" t="s">
        <v>2588</v>
      </c>
      <c r="J2080" s="728" t="s">
        <v>6046</v>
      </c>
    </row>
    <row r="2081" spans="9:10">
      <c r="I2081" s="707" t="s">
        <v>3965</v>
      </c>
      <c r="J2081" s="728" t="s">
        <v>6047</v>
      </c>
    </row>
    <row r="2082" spans="9:10">
      <c r="I2082" s="707" t="s">
        <v>2783</v>
      </c>
      <c r="J2082" s="728" t="s">
        <v>6048</v>
      </c>
    </row>
    <row r="2083" spans="9:10">
      <c r="I2083" s="707" t="s">
        <v>1834</v>
      </c>
      <c r="J2083" s="728" t="s">
        <v>6049</v>
      </c>
    </row>
    <row r="2084" spans="9:10">
      <c r="I2084" s="707" t="s">
        <v>2108</v>
      </c>
      <c r="J2084" s="728" t="s">
        <v>6050</v>
      </c>
    </row>
    <row r="2085" spans="9:10">
      <c r="I2085" s="707" t="s">
        <v>2016</v>
      </c>
      <c r="J2085" s="728" t="s">
        <v>6051</v>
      </c>
    </row>
    <row r="2086" spans="9:10">
      <c r="I2086" s="707" t="s">
        <v>1875</v>
      </c>
      <c r="J2086" s="728" t="s">
        <v>6052</v>
      </c>
    </row>
    <row r="2087" spans="9:10">
      <c r="I2087" s="707" t="s">
        <v>1243</v>
      </c>
      <c r="J2087" s="728" t="s">
        <v>6053</v>
      </c>
    </row>
    <row r="2088" spans="9:10">
      <c r="I2088" s="707" t="s">
        <v>1670</v>
      </c>
      <c r="J2088" s="728" t="s">
        <v>6054</v>
      </c>
    </row>
    <row r="2089" spans="9:10">
      <c r="I2089" s="707" t="s">
        <v>2743</v>
      </c>
      <c r="J2089" s="728" t="s">
        <v>6055</v>
      </c>
    </row>
    <row r="2090" spans="9:10">
      <c r="I2090" s="707" t="s">
        <v>1329</v>
      </c>
      <c r="J2090" s="728" t="s">
        <v>6056</v>
      </c>
    </row>
    <row r="2091" spans="9:10">
      <c r="I2091" s="707" t="s">
        <v>1942</v>
      </c>
      <c r="J2091" s="728" t="s">
        <v>6057</v>
      </c>
    </row>
    <row r="2092" spans="9:10">
      <c r="I2092" s="707" t="s">
        <v>2537</v>
      </c>
      <c r="J2092" s="728" t="s">
        <v>6058</v>
      </c>
    </row>
    <row r="2093" spans="9:10">
      <c r="I2093" s="707" t="s">
        <v>1577</v>
      </c>
      <c r="J2093" s="728" t="s">
        <v>6059</v>
      </c>
    </row>
    <row r="2094" spans="9:10">
      <c r="I2094" s="707" t="s">
        <v>2195</v>
      </c>
      <c r="J2094" s="728" t="s">
        <v>6060</v>
      </c>
    </row>
    <row r="2095" spans="9:10">
      <c r="I2095" s="707" t="s">
        <v>1506</v>
      </c>
      <c r="J2095" s="728" t="s">
        <v>6061</v>
      </c>
    </row>
    <row r="2096" spans="9:10">
      <c r="I2096" s="707" t="s">
        <v>2020</v>
      </c>
      <c r="J2096" s="728" t="s">
        <v>6062</v>
      </c>
    </row>
    <row r="2097" spans="9:10">
      <c r="I2097" s="707" t="s">
        <v>2453</v>
      </c>
      <c r="J2097" s="728" t="s">
        <v>6063</v>
      </c>
    </row>
    <row r="2098" spans="9:10">
      <c r="I2098" s="707" t="s">
        <v>1532</v>
      </c>
      <c r="J2098" s="728" t="s">
        <v>6064</v>
      </c>
    </row>
    <row r="2099" spans="9:10">
      <c r="I2099" s="707" t="s">
        <v>1785</v>
      </c>
      <c r="J2099" s="728" t="s">
        <v>6065</v>
      </c>
    </row>
    <row r="2100" spans="9:10">
      <c r="I2100" s="707" t="s">
        <v>2242</v>
      </c>
      <c r="J2100" s="728" t="s">
        <v>6066</v>
      </c>
    </row>
    <row r="2101" spans="9:10">
      <c r="I2101" s="707" t="s">
        <v>1189</v>
      </c>
      <c r="J2101" s="728" t="s">
        <v>6068</v>
      </c>
    </row>
    <row r="2102" spans="9:10">
      <c r="I2102" s="707" t="s">
        <v>2001</v>
      </c>
      <c r="J2102" s="728" t="s">
        <v>6067</v>
      </c>
    </row>
    <row r="2103" spans="9:10">
      <c r="I2103" s="707" t="s">
        <v>1576</v>
      </c>
      <c r="J2103" s="728" t="s">
        <v>6069</v>
      </c>
    </row>
    <row r="2104" spans="9:10">
      <c r="I2104" s="707" t="s">
        <v>2814</v>
      </c>
      <c r="J2104" s="728" t="s">
        <v>6070</v>
      </c>
    </row>
    <row r="2105" spans="9:10">
      <c r="I2105" s="707" t="s">
        <v>1254</v>
      </c>
      <c r="J2105" s="728" t="s">
        <v>6071</v>
      </c>
    </row>
    <row r="2106" spans="9:10">
      <c r="I2106" s="707" t="s">
        <v>3966</v>
      </c>
      <c r="J2106" s="728" t="s">
        <v>6072</v>
      </c>
    </row>
    <row r="2107" spans="9:10">
      <c r="I2107" s="707" t="s">
        <v>2878</v>
      </c>
      <c r="J2107" s="728" t="s">
        <v>6082</v>
      </c>
    </row>
    <row r="2108" spans="9:10">
      <c r="I2108" s="707" t="s">
        <v>2160</v>
      </c>
      <c r="J2108" s="728" t="s">
        <v>6084</v>
      </c>
    </row>
    <row r="2109" spans="9:10">
      <c r="I2109" s="707" t="s">
        <v>2012</v>
      </c>
      <c r="J2109" s="728" t="s">
        <v>6085</v>
      </c>
    </row>
    <row r="2110" spans="9:10">
      <c r="I2110" s="707" t="s">
        <v>3971</v>
      </c>
      <c r="J2110" s="728" t="s">
        <v>6086</v>
      </c>
    </row>
    <row r="2111" spans="9:10">
      <c r="I2111" s="707" t="s">
        <v>1610</v>
      </c>
      <c r="J2111" s="728" t="s">
        <v>6087</v>
      </c>
    </row>
    <row r="2112" spans="9:10">
      <c r="I2112" s="707" t="s">
        <v>1733</v>
      </c>
      <c r="J2112" s="728" t="s">
        <v>6088</v>
      </c>
    </row>
    <row r="2113" spans="9:10">
      <c r="I2113" s="707" t="s">
        <v>1229</v>
      </c>
      <c r="J2113" s="728" t="s">
        <v>6089</v>
      </c>
    </row>
    <row r="2114" spans="9:10">
      <c r="I2114" s="707" t="s">
        <v>2107</v>
      </c>
      <c r="J2114" s="728" t="s">
        <v>6090</v>
      </c>
    </row>
    <row r="2115" spans="9:10">
      <c r="I2115" s="707" t="s">
        <v>1756</v>
      </c>
      <c r="J2115" s="728" t="s">
        <v>6091</v>
      </c>
    </row>
    <row r="2116" spans="9:10">
      <c r="I2116" s="707" t="s">
        <v>2587</v>
      </c>
      <c r="J2116" s="728" t="s">
        <v>6092</v>
      </c>
    </row>
    <row r="2117" spans="9:10">
      <c r="I2117" s="707" t="s">
        <v>2491</v>
      </c>
      <c r="J2117" s="728" t="s">
        <v>6093</v>
      </c>
    </row>
    <row r="2118" spans="9:10">
      <c r="I2118" s="707" t="s">
        <v>2938</v>
      </c>
      <c r="J2118" s="728" t="s">
        <v>6094</v>
      </c>
    </row>
    <row r="2119" spans="9:10">
      <c r="I2119" s="707" t="s">
        <v>3026</v>
      </c>
      <c r="J2119" s="728" t="s">
        <v>6095</v>
      </c>
    </row>
    <row r="2120" spans="9:10">
      <c r="I2120" s="707" t="s">
        <v>3972</v>
      </c>
      <c r="J2120" s="728" t="s">
        <v>6096</v>
      </c>
    </row>
    <row r="2121" spans="9:10">
      <c r="I2121" s="707" t="s">
        <v>1238</v>
      </c>
      <c r="J2121" s="728" t="s">
        <v>6097</v>
      </c>
    </row>
    <row r="2122" spans="9:10">
      <c r="I2122" s="707" t="s">
        <v>3973</v>
      </c>
      <c r="J2122" s="728" t="s">
        <v>6098</v>
      </c>
    </row>
    <row r="2123" spans="9:10">
      <c r="I2123" s="707" t="s">
        <v>2086</v>
      </c>
      <c r="J2123" s="728" t="s">
        <v>6099</v>
      </c>
    </row>
    <row r="2124" spans="9:10">
      <c r="I2124" s="707" t="s">
        <v>3301</v>
      </c>
      <c r="J2124" s="728" t="s">
        <v>6100</v>
      </c>
    </row>
    <row r="2125" spans="9:10">
      <c r="I2125" s="707" t="s">
        <v>3974</v>
      </c>
      <c r="J2125" s="728" t="s">
        <v>6101</v>
      </c>
    </row>
    <row r="2126" spans="9:10">
      <c r="I2126" s="707" t="s">
        <v>1869</v>
      </c>
      <c r="J2126" s="728" t="s">
        <v>6102</v>
      </c>
    </row>
    <row r="2127" spans="9:10">
      <c r="I2127" s="707" t="s">
        <v>1946</v>
      </c>
      <c r="J2127" s="728" t="s">
        <v>6105</v>
      </c>
    </row>
    <row r="2128" spans="9:10">
      <c r="I2128" s="707" t="s">
        <v>3975</v>
      </c>
      <c r="J2128" s="728" t="s">
        <v>6107</v>
      </c>
    </row>
    <row r="2129" spans="9:10">
      <c r="I2129" s="707" t="s">
        <v>2672</v>
      </c>
      <c r="J2129" s="728" t="s">
        <v>6108</v>
      </c>
    </row>
    <row r="2130" spans="9:10">
      <c r="I2130" s="707" t="s">
        <v>2752</v>
      </c>
      <c r="J2130" s="728" t="s">
        <v>6109</v>
      </c>
    </row>
    <row r="2131" spans="9:10">
      <c r="I2131" s="707" t="s">
        <v>2760</v>
      </c>
      <c r="J2131" s="728" t="s">
        <v>6110</v>
      </c>
    </row>
    <row r="2132" spans="9:10">
      <c r="I2132" s="707" t="s">
        <v>2280</v>
      </c>
      <c r="J2132" s="728" t="s">
        <v>6111</v>
      </c>
    </row>
    <row r="2133" spans="9:10">
      <c r="I2133" s="707" t="s">
        <v>1475</v>
      </c>
      <c r="J2133" s="728" t="s">
        <v>6112</v>
      </c>
    </row>
    <row r="2134" spans="9:10">
      <c r="I2134" s="707" t="s">
        <v>3976</v>
      </c>
      <c r="J2134" s="728" t="s">
        <v>6113</v>
      </c>
    </row>
    <row r="2135" spans="9:10">
      <c r="I2135" s="707" t="s">
        <v>2223</v>
      </c>
      <c r="J2135" s="728" t="s">
        <v>6114</v>
      </c>
    </row>
    <row r="2136" spans="9:10">
      <c r="I2136" s="707" t="s">
        <v>2097</v>
      </c>
      <c r="J2136" s="728" t="s">
        <v>6115</v>
      </c>
    </row>
    <row r="2137" spans="9:10">
      <c r="I2137" s="707" t="s">
        <v>2993</v>
      </c>
      <c r="J2137" s="728" t="s">
        <v>6116</v>
      </c>
    </row>
    <row r="2138" spans="9:10">
      <c r="I2138" s="707" t="s">
        <v>1970</v>
      </c>
      <c r="J2138" s="728" t="s">
        <v>6117</v>
      </c>
    </row>
    <row r="2139" spans="9:10">
      <c r="I2139" s="707" t="s">
        <v>1871</v>
      </c>
      <c r="J2139" s="728" t="s">
        <v>6118</v>
      </c>
    </row>
    <row r="2140" spans="9:10">
      <c r="I2140" s="707" t="s">
        <v>2920</v>
      </c>
      <c r="J2140" s="728" t="s">
        <v>6119</v>
      </c>
    </row>
    <row r="2141" spans="9:10">
      <c r="I2141" s="707" t="s">
        <v>1719</v>
      </c>
      <c r="J2141" s="728" t="s">
        <v>6120</v>
      </c>
    </row>
    <row r="2142" spans="9:10">
      <c r="I2142" s="707" t="s">
        <v>2687</v>
      </c>
      <c r="J2142" s="728" t="s">
        <v>6121</v>
      </c>
    </row>
    <row r="2143" spans="9:10">
      <c r="I2143" s="707" t="s">
        <v>2447</v>
      </c>
      <c r="J2143" s="728" t="s">
        <v>6122</v>
      </c>
    </row>
    <row r="2144" spans="9:10">
      <c r="I2144" s="707" t="s">
        <v>2664</v>
      </c>
      <c r="J2144" s="728" t="s">
        <v>6123</v>
      </c>
    </row>
    <row r="2145" spans="9:10">
      <c r="I2145" s="707" t="s">
        <v>2868</v>
      </c>
      <c r="J2145" s="728" t="s">
        <v>6124</v>
      </c>
    </row>
    <row r="2146" spans="9:10">
      <c r="I2146" s="707" t="s">
        <v>1750</v>
      </c>
      <c r="J2146" s="728" t="s">
        <v>6125</v>
      </c>
    </row>
    <row r="2147" spans="9:10">
      <c r="I2147" s="707" t="s">
        <v>2923</v>
      </c>
      <c r="J2147" s="728" t="s">
        <v>6126</v>
      </c>
    </row>
    <row r="2148" spans="9:10">
      <c r="I2148" s="707" t="s">
        <v>1271</v>
      </c>
      <c r="J2148" s="728" t="s">
        <v>6127</v>
      </c>
    </row>
    <row r="2149" spans="9:10">
      <c r="I2149" s="707" t="s">
        <v>3977</v>
      </c>
      <c r="J2149" s="728" t="s">
        <v>6128</v>
      </c>
    </row>
    <row r="2150" spans="9:10">
      <c r="I2150" s="707" t="s">
        <v>1234</v>
      </c>
      <c r="J2150" s="728" t="s">
        <v>6129</v>
      </c>
    </row>
    <row r="2151" spans="9:10">
      <c r="I2151" s="707" t="s">
        <v>3978</v>
      </c>
      <c r="J2151" s="728" t="s">
        <v>6130</v>
      </c>
    </row>
    <row r="2152" spans="9:10">
      <c r="I2152" s="707" t="s">
        <v>1708</v>
      </c>
      <c r="J2152" s="728" t="s">
        <v>6131</v>
      </c>
    </row>
    <row r="2153" spans="9:10">
      <c r="I2153" s="707" t="s">
        <v>6939</v>
      </c>
      <c r="J2153" s="728" t="s">
        <v>7056</v>
      </c>
    </row>
    <row r="2154" spans="9:10">
      <c r="I2154" s="707" t="s">
        <v>6940</v>
      </c>
      <c r="J2154" s="728" t="s">
        <v>7057</v>
      </c>
    </row>
    <row r="2155" spans="9:10">
      <c r="I2155" s="707" t="s">
        <v>3979</v>
      </c>
      <c r="J2155" s="728" t="s">
        <v>6132</v>
      </c>
    </row>
    <row r="2156" spans="9:10">
      <c r="I2156" s="707" t="s">
        <v>1246</v>
      </c>
      <c r="J2156" s="728" t="s">
        <v>6133</v>
      </c>
    </row>
    <row r="2157" spans="9:10">
      <c r="I2157" s="707" t="s">
        <v>1589</v>
      </c>
      <c r="J2157" s="728" t="s">
        <v>6134</v>
      </c>
    </row>
    <row r="2158" spans="9:10">
      <c r="I2158" s="707" t="s">
        <v>2830</v>
      </c>
      <c r="J2158" s="728" t="s">
        <v>6136</v>
      </c>
    </row>
    <row r="2159" spans="9:10">
      <c r="I2159" s="707" t="s">
        <v>2019</v>
      </c>
      <c r="J2159" s="728" t="s">
        <v>6137</v>
      </c>
    </row>
    <row r="2160" spans="9:10">
      <c r="I2160" s="707" t="s">
        <v>2187</v>
      </c>
      <c r="J2160" s="728" t="s">
        <v>6138</v>
      </c>
    </row>
    <row r="2161" spans="9:10">
      <c r="I2161" s="707" t="s">
        <v>1097</v>
      </c>
      <c r="J2161" s="728" t="s">
        <v>6139</v>
      </c>
    </row>
    <row r="2162" spans="9:10">
      <c r="I2162" s="707" t="s">
        <v>2422</v>
      </c>
      <c r="J2162" s="728" t="s">
        <v>6140</v>
      </c>
    </row>
    <row r="2163" spans="9:10">
      <c r="I2163" s="707" t="s">
        <v>1777</v>
      </c>
      <c r="J2163" s="728" t="s">
        <v>6141</v>
      </c>
    </row>
    <row r="2164" spans="9:10">
      <c r="I2164" s="707" t="s">
        <v>3342</v>
      </c>
      <c r="J2164" s="728" t="s">
        <v>6142</v>
      </c>
    </row>
    <row r="2165" spans="9:10">
      <c r="I2165" s="707" t="s">
        <v>2768</v>
      </c>
      <c r="J2165" s="728" t="s">
        <v>6143</v>
      </c>
    </row>
    <row r="2166" spans="9:10">
      <c r="I2166" s="707" t="s">
        <v>3007</v>
      </c>
      <c r="J2166" s="728" t="s">
        <v>6144</v>
      </c>
    </row>
    <row r="2167" spans="9:10">
      <c r="I2167" s="707" t="s">
        <v>1526</v>
      </c>
      <c r="J2167" s="728" t="s">
        <v>6145</v>
      </c>
    </row>
    <row r="2168" spans="9:10">
      <c r="I2168" s="707" t="s">
        <v>2023</v>
      </c>
      <c r="J2168" s="728" t="s">
        <v>6146</v>
      </c>
    </row>
    <row r="2169" spans="9:10">
      <c r="I2169" s="707" t="s">
        <v>2811</v>
      </c>
      <c r="J2169" s="728" t="s">
        <v>6147</v>
      </c>
    </row>
    <row r="2170" spans="9:10">
      <c r="I2170" s="707" t="s">
        <v>1773</v>
      </c>
      <c r="J2170" s="728" t="s">
        <v>6148</v>
      </c>
    </row>
    <row r="2171" spans="9:10">
      <c r="I2171" s="707" t="s">
        <v>3980</v>
      </c>
      <c r="J2171" s="728" t="s">
        <v>6149</v>
      </c>
    </row>
    <row r="2172" spans="9:10">
      <c r="I2172" s="707" t="s">
        <v>995</v>
      </c>
      <c r="J2172" s="728" t="s">
        <v>6152</v>
      </c>
    </row>
    <row r="2173" spans="9:10">
      <c r="I2173" s="707" t="s">
        <v>1060</v>
      </c>
      <c r="J2173" s="728" t="s">
        <v>6150</v>
      </c>
    </row>
    <row r="2174" spans="9:10">
      <c r="I2174" s="707" t="s">
        <v>1003</v>
      </c>
      <c r="J2174" s="728" t="s">
        <v>6151</v>
      </c>
    </row>
    <row r="2175" spans="9:10">
      <c r="I2175" s="707" t="s">
        <v>1024</v>
      </c>
      <c r="J2175" s="728" t="s">
        <v>6153</v>
      </c>
    </row>
    <row r="2176" spans="9:10">
      <c r="I2176" s="707" t="s">
        <v>3981</v>
      </c>
      <c r="J2176" s="728" t="s">
        <v>6154</v>
      </c>
    </row>
    <row r="2177" spans="9:10">
      <c r="I2177" s="707" t="s">
        <v>1578</v>
      </c>
      <c r="J2177" s="728" t="s">
        <v>6155</v>
      </c>
    </row>
    <row r="2178" spans="9:10">
      <c r="I2178" s="707" t="s">
        <v>2137</v>
      </c>
      <c r="J2178" s="728" t="s">
        <v>6156</v>
      </c>
    </row>
    <row r="2179" spans="9:10">
      <c r="I2179" s="707" t="s">
        <v>3982</v>
      </c>
      <c r="J2179" s="728" t="s">
        <v>6157</v>
      </c>
    </row>
    <row r="2180" spans="9:10">
      <c r="I2180" s="707" t="s">
        <v>2978</v>
      </c>
      <c r="J2180" s="728" t="s">
        <v>6158</v>
      </c>
    </row>
    <row r="2181" spans="9:10">
      <c r="I2181" s="707" t="s">
        <v>3024</v>
      </c>
      <c r="J2181" s="728" t="s">
        <v>6159</v>
      </c>
    </row>
    <row r="2182" spans="9:10">
      <c r="I2182" s="707" t="s">
        <v>1982</v>
      </c>
      <c r="J2182" s="728" t="s">
        <v>6160</v>
      </c>
    </row>
    <row r="2183" spans="9:10">
      <c r="I2183" s="707" t="s">
        <v>3983</v>
      </c>
      <c r="J2183" s="728" t="s">
        <v>6161</v>
      </c>
    </row>
    <row r="2184" spans="9:10">
      <c r="I2184" s="707" t="s">
        <v>3252</v>
      </c>
      <c r="J2184" s="728" t="s">
        <v>6162</v>
      </c>
    </row>
    <row r="2185" spans="9:10">
      <c r="I2185" s="707" t="s">
        <v>3984</v>
      </c>
      <c r="J2185" s="728" t="s">
        <v>6163</v>
      </c>
    </row>
    <row r="2186" spans="9:10">
      <c r="I2186" s="707" t="s">
        <v>2803</v>
      </c>
      <c r="J2186" s="728" t="s">
        <v>6164</v>
      </c>
    </row>
    <row r="2187" spans="9:10">
      <c r="I2187" s="707" t="s">
        <v>1206</v>
      </c>
      <c r="J2187" s="728" t="s">
        <v>6165</v>
      </c>
    </row>
    <row r="2188" spans="9:10">
      <c r="I2188" s="707" t="s">
        <v>1490</v>
      </c>
      <c r="J2188" s="728" t="s">
        <v>6166</v>
      </c>
    </row>
    <row r="2189" spans="9:10">
      <c r="I2189" s="707" t="s">
        <v>2348</v>
      </c>
      <c r="J2189" s="728" t="s">
        <v>6167</v>
      </c>
    </row>
    <row r="2190" spans="9:10">
      <c r="I2190" s="707" t="s">
        <v>2901</v>
      </c>
      <c r="J2190" s="728" t="s">
        <v>6168</v>
      </c>
    </row>
    <row r="2191" spans="9:10">
      <c r="I2191" s="707" t="s">
        <v>2249</v>
      </c>
      <c r="J2191" s="728" t="s">
        <v>6169</v>
      </c>
    </row>
    <row r="2192" spans="9:10">
      <c r="I2192" s="707" t="s">
        <v>1200</v>
      </c>
      <c r="J2192" s="728" t="s">
        <v>6170</v>
      </c>
    </row>
    <row r="2193" spans="9:10">
      <c r="I2193" s="707" t="s">
        <v>2841</v>
      </c>
      <c r="J2193" s="728" t="s">
        <v>6171</v>
      </c>
    </row>
    <row r="2194" spans="9:10">
      <c r="I2194" s="707" t="s">
        <v>3985</v>
      </c>
      <c r="J2194" s="728" t="s">
        <v>6173</v>
      </c>
    </row>
    <row r="2195" spans="9:10">
      <c r="I2195" s="707" t="s">
        <v>2831</v>
      </c>
      <c r="J2195" s="728" t="s">
        <v>6174</v>
      </c>
    </row>
    <row r="2196" spans="9:10">
      <c r="I2196" s="707" t="s">
        <v>3069</v>
      </c>
      <c r="J2196" s="728" t="s">
        <v>6176</v>
      </c>
    </row>
    <row r="2197" spans="9:10">
      <c r="I2197" s="707" t="s">
        <v>2161</v>
      </c>
      <c r="J2197" s="728" t="s">
        <v>6183</v>
      </c>
    </row>
    <row r="2198" spans="9:10">
      <c r="I2198" s="707" t="s">
        <v>6941</v>
      </c>
      <c r="J2198" s="728" t="s">
        <v>7058</v>
      </c>
    </row>
    <row r="2199" spans="9:10">
      <c r="I2199" s="707" t="s">
        <v>1673</v>
      </c>
      <c r="J2199" s="728" t="s">
        <v>6185</v>
      </c>
    </row>
    <row r="2200" spans="9:10">
      <c r="I2200" s="707" t="s">
        <v>2559</v>
      </c>
      <c r="J2200" s="728" t="s">
        <v>6190</v>
      </c>
    </row>
    <row r="2201" spans="9:10">
      <c r="I2201" s="707" t="s">
        <v>1512</v>
      </c>
      <c r="J2201" s="728" t="s">
        <v>6192</v>
      </c>
    </row>
    <row r="2202" spans="9:10">
      <c r="I2202" s="707" t="s">
        <v>2385</v>
      </c>
      <c r="J2202" s="728" t="s">
        <v>6193</v>
      </c>
    </row>
    <row r="2203" spans="9:10">
      <c r="I2203" s="707" t="s">
        <v>2660</v>
      </c>
      <c r="J2203" s="728" t="s">
        <v>6194</v>
      </c>
    </row>
    <row r="2204" spans="9:10">
      <c r="I2204" s="707" t="s">
        <v>1695</v>
      </c>
      <c r="J2204" s="728" t="s">
        <v>6196</v>
      </c>
    </row>
    <row r="2205" spans="9:10">
      <c r="I2205" s="707" t="s">
        <v>3993</v>
      </c>
      <c r="J2205" s="728" t="s">
        <v>6197</v>
      </c>
    </row>
    <row r="2206" spans="9:10">
      <c r="I2206" s="707" t="s">
        <v>2566</v>
      </c>
      <c r="J2206" s="728" t="s">
        <v>6200</v>
      </c>
    </row>
    <row r="2207" spans="9:10">
      <c r="I2207" s="707" t="s">
        <v>2270</v>
      </c>
      <c r="J2207" s="728" t="s">
        <v>6206</v>
      </c>
    </row>
    <row r="2208" spans="9:10">
      <c r="I2208" s="707" t="s">
        <v>3996</v>
      </c>
      <c r="J2208" s="728" t="s">
        <v>6207</v>
      </c>
    </row>
    <row r="2209" spans="9:10">
      <c r="I2209" s="707" t="s">
        <v>3997</v>
      </c>
      <c r="J2209" s="728" t="s">
        <v>6208</v>
      </c>
    </row>
    <row r="2210" spans="9:10">
      <c r="I2210" s="707" t="s">
        <v>3998</v>
      </c>
      <c r="J2210" s="728" t="s">
        <v>6209</v>
      </c>
    </row>
    <row r="2211" spans="9:10">
      <c r="I2211" s="707" t="s">
        <v>2315</v>
      </c>
      <c r="J2211" s="728" t="s">
        <v>6211</v>
      </c>
    </row>
    <row r="2212" spans="9:10">
      <c r="I2212" s="707" t="s">
        <v>2649</v>
      </c>
      <c r="J2212" s="728" t="s">
        <v>6212</v>
      </c>
    </row>
    <row r="2213" spans="9:10">
      <c r="I2213" s="707" t="s">
        <v>2652</v>
      </c>
      <c r="J2213" s="728" t="s">
        <v>6213</v>
      </c>
    </row>
    <row r="2214" spans="9:10">
      <c r="I2214" s="707" t="s">
        <v>1197</v>
      </c>
      <c r="J2214" s="728" t="s">
        <v>6214</v>
      </c>
    </row>
    <row r="2215" spans="9:10">
      <c r="I2215" s="707" t="s">
        <v>2911</v>
      </c>
      <c r="J2215" s="728" t="s">
        <v>6215</v>
      </c>
    </row>
    <row r="2216" spans="9:10">
      <c r="I2216" s="707" t="s">
        <v>1645</v>
      </c>
      <c r="J2216" s="728" t="s">
        <v>6216</v>
      </c>
    </row>
    <row r="2217" spans="9:10">
      <c r="I2217" s="707" t="s">
        <v>3999</v>
      </c>
      <c r="J2217" s="728" t="s">
        <v>6217</v>
      </c>
    </row>
    <row r="2218" spans="9:10">
      <c r="I2218" s="707" t="s">
        <v>1205</v>
      </c>
      <c r="J2218" s="728" t="s">
        <v>6222</v>
      </c>
    </row>
    <row r="2219" spans="9:10">
      <c r="I2219" s="707" t="s">
        <v>4001</v>
      </c>
      <c r="J2219" s="728" t="s">
        <v>6223</v>
      </c>
    </row>
    <row r="2220" spans="9:10">
      <c r="I2220" s="707" t="s">
        <v>1665</v>
      </c>
      <c r="J2220" s="728" t="s">
        <v>6228</v>
      </c>
    </row>
    <row r="2221" spans="9:10">
      <c r="I2221" s="707" t="s">
        <v>2134</v>
      </c>
      <c r="J2221" s="728" t="s">
        <v>6230</v>
      </c>
    </row>
    <row r="2222" spans="9:10">
      <c r="I2222" s="707" t="s">
        <v>2349</v>
      </c>
      <c r="J2222" s="728" t="s">
        <v>6231</v>
      </c>
    </row>
    <row r="2223" spans="9:10">
      <c r="I2223" s="707" t="s">
        <v>2250</v>
      </c>
      <c r="J2223" s="728" t="s">
        <v>6232</v>
      </c>
    </row>
    <row r="2224" spans="9:10">
      <c r="I2224" s="707" t="s">
        <v>2464</v>
      </c>
      <c r="J2224" s="728" t="s">
        <v>6233</v>
      </c>
    </row>
    <row r="2225" spans="9:10">
      <c r="I2225" s="707" t="s">
        <v>3035</v>
      </c>
      <c r="J2225" s="728" t="s">
        <v>6234</v>
      </c>
    </row>
    <row r="2226" spans="9:10">
      <c r="I2226" s="707" t="s">
        <v>2538</v>
      </c>
      <c r="J2226" s="728" t="s">
        <v>6235</v>
      </c>
    </row>
    <row r="2227" spans="9:10">
      <c r="I2227" s="707" t="s">
        <v>2091</v>
      </c>
      <c r="J2227" s="728" t="s">
        <v>6236</v>
      </c>
    </row>
    <row r="2228" spans="9:10">
      <c r="I2228" s="707" t="s">
        <v>4002</v>
      </c>
      <c r="J2228" s="728" t="s">
        <v>6237</v>
      </c>
    </row>
    <row r="2229" spans="9:10">
      <c r="I2229" s="707" t="s">
        <v>1566</v>
      </c>
      <c r="J2229" s="728" t="s">
        <v>6238</v>
      </c>
    </row>
    <row r="2230" spans="9:10">
      <c r="I2230" s="707" t="s">
        <v>1841</v>
      </c>
      <c r="J2230" s="728" t="s">
        <v>6239</v>
      </c>
    </row>
    <row r="2231" spans="9:10">
      <c r="I2231" s="707" t="s">
        <v>4003</v>
      </c>
      <c r="J2231" s="728" t="s">
        <v>6240</v>
      </c>
    </row>
    <row r="2232" spans="9:10">
      <c r="I2232" s="707" t="s">
        <v>1630</v>
      </c>
      <c r="J2232" s="728" t="s">
        <v>6241</v>
      </c>
    </row>
    <row r="2233" spans="9:10">
      <c r="I2233" s="707" t="s">
        <v>3249</v>
      </c>
      <c r="J2233" s="728" t="s">
        <v>6242</v>
      </c>
    </row>
    <row r="2234" spans="9:10">
      <c r="I2234" s="707" t="s">
        <v>3289</v>
      </c>
      <c r="J2234" s="728" t="s">
        <v>6243</v>
      </c>
    </row>
    <row r="2235" spans="9:10">
      <c r="I2235" s="707" t="s">
        <v>2906</v>
      </c>
      <c r="J2235" s="728" t="s">
        <v>6244</v>
      </c>
    </row>
    <row r="2236" spans="9:10">
      <c r="I2236" s="707" t="s">
        <v>2651</v>
      </c>
      <c r="J2236" s="728" t="s">
        <v>6245</v>
      </c>
    </row>
    <row r="2237" spans="9:10">
      <c r="I2237" s="707" t="s">
        <v>2980</v>
      </c>
      <c r="J2237" s="728" t="s">
        <v>6246</v>
      </c>
    </row>
    <row r="2238" spans="9:10">
      <c r="I2238" s="707" t="s">
        <v>4004</v>
      </c>
      <c r="J2238" s="728" t="s">
        <v>6247</v>
      </c>
    </row>
    <row r="2239" spans="9:10">
      <c r="I2239" s="707" t="s">
        <v>4005</v>
      </c>
      <c r="J2239" s="728" t="s">
        <v>6248</v>
      </c>
    </row>
    <row r="2240" spans="9:10">
      <c r="I2240" s="707" t="s">
        <v>2101</v>
      </c>
      <c r="J2240" s="728" t="s">
        <v>6249</v>
      </c>
    </row>
    <row r="2241" spans="9:10">
      <c r="I2241" s="707" t="s">
        <v>2175</v>
      </c>
      <c r="J2241" s="728" t="s">
        <v>6250</v>
      </c>
    </row>
    <row r="2242" spans="9:10">
      <c r="I2242" s="707" t="s">
        <v>6942</v>
      </c>
      <c r="J2242" s="728" t="s">
        <v>7059</v>
      </c>
    </row>
    <row r="2243" spans="9:10">
      <c r="I2243" s="707" t="s">
        <v>1376</v>
      </c>
      <c r="J2243" s="728" t="s">
        <v>6251</v>
      </c>
    </row>
    <row r="2244" spans="9:10">
      <c r="I2244" s="707" t="s">
        <v>6943</v>
      </c>
      <c r="J2244" s="728" t="s">
        <v>7060</v>
      </c>
    </row>
    <row r="2245" spans="9:10">
      <c r="I2245" s="707" t="s">
        <v>2765</v>
      </c>
      <c r="J2245" s="728" t="s">
        <v>6252</v>
      </c>
    </row>
    <row r="2246" spans="9:10">
      <c r="I2246" s="707" t="s">
        <v>2631</v>
      </c>
      <c r="J2246" s="728" t="s">
        <v>6253</v>
      </c>
    </row>
    <row r="2247" spans="9:10">
      <c r="I2247" s="707" t="s">
        <v>1183</v>
      </c>
      <c r="J2247" s="728" t="s">
        <v>6254</v>
      </c>
    </row>
    <row r="2248" spans="9:10">
      <c r="I2248" s="707" t="s">
        <v>2821</v>
      </c>
      <c r="J2248" s="728" t="s">
        <v>6255</v>
      </c>
    </row>
    <row r="2249" spans="9:10">
      <c r="I2249" s="707" t="s">
        <v>2533</v>
      </c>
      <c r="J2249" s="728" t="s">
        <v>6256</v>
      </c>
    </row>
    <row r="2250" spans="9:10">
      <c r="I2250" s="707" t="s">
        <v>1360</v>
      </c>
      <c r="J2250" s="728" t="s">
        <v>6257</v>
      </c>
    </row>
    <row r="2251" spans="9:10">
      <c r="I2251" s="707" t="s">
        <v>1372</v>
      </c>
      <c r="J2251" s="728" t="s">
        <v>6258</v>
      </c>
    </row>
    <row r="2252" spans="9:10">
      <c r="I2252" s="707" t="s">
        <v>2032</v>
      </c>
      <c r="J2252" s="728" t="s">
        <v>6259</v>
      </c>
    </row>
    <row r="2253" spans="9:10">
      <c r="I2253" s="707" t="s">
        <v>4006</v>
      </c>
      <c r="J2253" s="728" t="s">
        <v>6260</v>
      </c>
    </row>
    <row r="2254" spans="9:10">
      <c r="I2254" s="707" t="s">
        <v>3969</v>
      </c>
      <c r="J2254" s="728" t="s">
        <v>6078</v>
      </c>
    </row>
    <row r="2255" spans="9:10">
      <c r="I2255" s="707" t="s">
        <v>2845</v>
      </c>
      <c r="J2255" s="728" t="s">
        <v>6261</v>
      </c>
    </row>
    <row r="2256" spans="9:10">
      <c r="I2256" s="707" t="s">
        <v>1291</v>
      </c>
      <c r="J2256" s="728" t="s">
        <v>6262</v>
      </c>
    </row>
    <row r="2257" spans="9:10">
      <c r="I2257" s="707" t="s">
        <v>2407</v>
      </c>
      <c r="J2257" s="728" t="s">
        <v>6263</v>
      </c>
    </row>
    <row r="2258" spans="9:10">
      <c r="I2258" s="707" t="s">
        <v>2393</v>
      </c>
      <c r="J2258" s="728" t="s">
        <v>6264</v>
      </c>
    </row>
    <row r="2259" spans="9:10">
      <c r="I2259" s="707" t="s">
        <v>2253</v>
      </c>
      <c r="J2259" s="728" t="s">
        <v>6265</v>
      </c>
    </row>
    <row r="2260" spans="9:10">
      <c r="I2260" s="707" t="s">
        <v>1138</v>
      </c>
      <c r="J2260" s="728" t="s">
        <v>6266</v>
      </c>
    </row>
    <row r="2261" spans="9:10">
      <c r="I2261" s="707" t="s">
        <v>1331</v>
      </c>
      <c r="J2261" s="728" t="s">
        <v>6267</v>
      </c>
    </row>
    <row r="2262" spans="9:10">
      <c r="I2262" s="707" t="s">
        <v>3359</v>
      </c>
      <c r="J2262" s="728" t="s">
        <v>6268</v>
      </c>
    </row>
    <row r="2263" spans="9:10">
      <c r="I2263" s="707" t="s">
        <v>4007</v>
      </c>
      <c r="J2263" s="728" t="s">
        <v>6269</v>
      </c>
    </row>
    <row r="2264" spans="9:10">
      <c r="I2264" s="707" t="s">
        <v>3023</v>
      </c>
      <c r="J2264" s="728" t="s">
        <v>6270</v>
      </c>
    </row>
    <row r="2265" spans="9:10">
      <c r="I2265" s="707" t="s">
        <v>3279</v>
      </c>
      <c r="J2265" s="728" t="s">
        <v>6271</v>
      </c>
    </row>
    <row r="2266" spans="9:10">
      <c r="I2266" s="707" t="s">
        <v>1883</v>
      </c>
      <c r="J2266" s="728" t="s">
        <v>6272</v>
      </c>
    </row>
    <row r="2267" spans="9:10">
      <c r="I2267" s="707" t="s">
        <v>3314</v>
      </c>
      <c r="J2267" s="728" t="s">
        <v>6273</v>
      </c>
    </row>
    <row r="2268" spans="9:10">
      <c r="I2268" s="707" t="s">
        <v>4008</v>
      </c>
      <c r="J2268" s="728" t="s">
        <v>6274</v>
      </c>
    </row>
    <row r="2269" spans="9:10">
      <c r="I2269" s="707" t="s">
        <v>1426</v>
      </c>
      <c r="J2269" s="728" t="s">
        <v>6275</v>
      </c>
    </row>
    <row r="2270" spans="9:10">
      <c r="I2270" s="707" t="s">
        <v>1605</v>
      </c>
      <c r="J2270" s="728" t="s">
        <v>6278</v>
      </c>
    </row>
    <row r="2271" spans="9:10">
      <c r="I2271" s="707" t="s">
        <v>4009</v>
      </c>
      <c r="J2271" s="728" t="s">
        <v>6280</v>
      </c>
    </row>
    <row r="2272" spans="9:10">
      <c r="I2272" s="707" t="s">
        <v>1445</v>
      </c>
      <c r="J2272" s="728" t="s">
        <v>6276</v>
      </c>
    </row>
    <row r="2273" spans="9:10">
      <c r="I2273" s="707" t="s">
        <v>6944</v>
      </c>
      <c r="J2273" s="728" t="s">
        <v>7061</v>
      </c>
    </row>
    <row r="2274" spans="9:10">
      <c r="I2274" s="707" t="s">
        <v>3271</v>
      </c>
      <c r="J2274" s="728" t="s">
        <v>6277</v>
      </c>
    </row>
    <row r="2275" spans="9:10">
      <c r="I2275" s="707" t="s">
        <v>6945</v>
      </c>
      <c r="J2275" s="728" t="s">
        <v>7062</v>
      </c>
    </row>
    <row r="2276" spans="9:10">
      <c r="I2276" s="707" t="s">
        <v>1471</v>
      </c>
      <c r="J2276" s="728" t="s">
        <v>6279</v>
      </c>
    </row>
    <row r="2277" spans="9:10">
      <c r="I2277" s="707" t="s">
        <v>6946</v>
      </c>
      <c r="J2277" s="728" t="s">
        <v>7063</v>
      </c>
    </row>
    <row r="2278" spans="9:10">
      <c r="I2278" s="707" t="s">
        <v>1151</v>
      </c>
      <c r="J2278" s="728" t="s">
        <v>6281</v>
      </c>
    </row>
    <row r="2279" spans="9:10">
      <c r="I2279" s="707" t="s">
        <v>6947</v>
      </c>
      <c r="J2279" s="728" t="s">
        <v>7064</v>
      </c>
    </row>
    <row r="2280" spans="9:10">
      <c r="I2280" s="707" t="s">
        <v>1339</v>
      </c>
      <c r="J2280" s="728" t="s">
        <v>6282</v>
      </c>
    </row>
    <row r="2281" spans="9:10">
      <c r="I2281" s="707" t="s">
        <v>1050</v>
      </c>
      <c r="J2281" s="728" t="s">
        <v>6283</v>
      </c>
    </row>
    <row r="2282" spans="9:10">
      <c r="I2282" s="707" t="s">
        <v>1321</v>
      </c>
      <c r="J2282" s="728" t="s">
        <v>6284</v>
      </c>
    </row>
    <row r="2283" spans="9:10">
      <c r="I2283" s="707" t="s">
        <v>2633</v>
      </c>
      <c r="J2283" s="728" t="s">
        <v>6285</v>
      </c>
    </row>
    <row r="2284" spans="9:10">
      <c r="I2284" s="707" t="s">
        <v>1660</v>
      </c>
      <c r="J2284" s="728" t="s">
        <v>6286</v>
      </c>
    </row>
    <row r="2285" spans="9:10">
      <c r="I2285" s="707" t="s">
        <v>2741</v>
      </c>
      <c r="J2285" s="728" t="s">
        <v>6287</v>
      </c>
    </row>
    <row r="2286" spans="9:10">
      <c r="I2286" s="707" t="s">
        <v>4010</v>
      </c>
      <c r="J2286" s="728" t="s">
        <v>6288</v>
      </c>
    </row>
    <row r="2287" spans="9:10">
      <c r="I2287" s="707" t="s">
        <v>4011</v>
      </c>
      <c r="J2287" s="728" t="s">
        <v>6289</v>
      </c>
    </row>
    <row r="2288" spans="9:10">
      <c r="I2288" s="707" t="s">
        <v>2526</v>
      </c>
      <c r="J2288" s="728" t="s">
        <v>6290</v>
      </c>
    </row>
    <row r="2289" spans="9:10">
      <c r="I2289" s="707" t="s">
        <v>2022</v>
      </c>
      <c r="J2289" s="728" t="s">
        <v>6291</v>
      </c>
    </row>
    <row r="2290" spans="9:10">
      <c r="I2290" s="707" t="s">
        <v>2543</v>
      </c>
      <c r="J2290" s="728" t="s">
        <v>6292</v>
      </c>
    </row>
    <row r="2291" spans="9:10">
      <c r="I2291" s="707" t="s">
        <v>1257</v>
      </c>
      <c r="J2291" s="728" t="s">
        <v>6293</v>
      </c>
    </row>
    <row r="2292" spans="9:10">
      <c r="I2292" s="707" t="s">
        <v>1258</v>
      </c>
      <c r="J2292" s="728" t="s">
        <v>6294</v>
      </c>
    </row>
    <row r="2293" spans="9:10">
      <c r="I2293" s="707" t="s">
        <v>4012</v>
      </c>
      <c r="J2293" s="728" t="s">
        <v>6295</v>
      </c>
    </row>
    <row r="2294" spans="9:10">
      <c r="I2294" s="707" t="s">
        <v>2390</v>
      </c>
      <c r="J2294" s="728" t="s">
        <v>6296</v>
      </c>
    </row>
    <row r="2295" spans="9:10">
      <c r="I2295" s="707" t="s">
        <v>1544</v>
      </c>
      <c r="J2295" s="728" t="s">
        <v>6297</v>
      </c>
    </row>
    <row r="2296" spans="9:10">
      <c r="I2296" s="707" t="s">
        <v>1311</v>
      </c>
      <c r="J2296" s="728" t="s">
        <v>6298</v>
      </c>
    </row>
    <row r="2297" spans="9:10">
      <c r="I2297" s="707" t="s">
        <v>1305</v>
      </c>
      <c r="J2297" s="728" t="s">
        <v>6299</v>
      </c>
    </row>
    <row r="2298" spans="9:10">
      <c r="I2298" s="707" t="s">
        <v>2367</v>
      </c>
      <c r="J2298" s="728" t="s">
        <v>6300</v>
      </c>
    </row>
    <row r="2299" spans="9:10">
      <c r="I2299" s="707" t="s">
        <v>4013</v>
      </c>
      <c r="J2299" s="728" t="s">
        <v>6301</v>
      </c>
    </row>
    <row r="2300" spans="9:10">
      <c r="I2300" s="707" t="s">
        <v>4014</v>
      </c>
      <c r="J2300" s="728" t="s">
        <v>6302</v>
      </c>
    </row>
    <row r="2301" spans="9:10">
      <c r="I2301" s="707" t="s">
        <v>4015</v>
      </c>
      <c r="J2301" s="728" t="s">
        <v>6303</v>
      </c>
    </row>
    <row r="2302" spans="9:10">
      <c r="I2302" s="707" t="s">
        <v>4016</v>
      </c>
      <c r="J2302" s="728" t="s">
        <v>6304</v>
      </c>
    </row>
    <row r="2303" spans="9:10">
      <c r="I2303" s="707" t="s">
        <v>1723</v>
      </c>
      <c r="J2303" s="728" t="s">
        <v>6305</v>
      </c>
    </row>
    <row r="2304" spans="9:10">
      <c r="I2304" s="707" t="s">
        <v>3970</v>
      </c>
      <c r="J2304" s="728" t="s">
        <v>6079</v>
      </c>
    </row>
    <row r="2305" spans="9:10">
      <c r="I2305" s="707" t="s">
        <v>4017</v>
      </c>
      <c r="J2305" s="728" t="s">
        <v>6306</v>
      </c>
    </row>
    <row r="2306" spans="9:10">
      <c r="I2306" s="707" t="s">
        <v>1720</v>
      </c>
      <c r="J2306" s="728" t="s">
        <v>6307</v>
      </c>
    </row>
    <row r="2307" spans="9:10">
      <c r="I2307" s="707" t="s">
        <v>4018</v>
      </c>
      <c r="J2307" s="728" t="s">
        <v>6308</v>
      </c>
    </row>
    <row r="2308" spans="9:10">
      <c r="I2308" s="707" t="s">
        <v>2661</v>
      </c>
      <c r="J2308" s="728" t="s">
        <v>6309</v>
      </c>
    </row>
    <row r="2309" spans="9:10">
      <c r="I2309" s="707" t="s">
        <v>1608</v>
      </c>
      <c r="J2309" s="728" t="s">
        <v>6310</v>
      </c>
    </row>
    <row r="2310" spans="9:10">
      <c r="I2310" s="707" t="s">
        <v>4019</v>
      </c>
      <c r="J2310" s="728" t="s">
        <v>6311</v>
      </c>
    </row>
    <row r="2311" spans="9:10">
      <c r="I2311" s="707" t="s">
        <v>1895</v>
      </c>
      <c r="J2311" s="728" t="s">
        <v>6312</v>
      </c>
    </row>
    <row r="2312" spans="9:10">
      <c r="I2312" s="707" t="s">
        <v>3297</v>
      </c>
      <c r="J2312" s="728" t="s">
        <v>6313</v>
      </c>
    </row>
    <row r="2313" spans="9:10">
      <c r="I2313" s="707" t="s">
        <v>2144</v>
      </c>
      <c r="J2313" s="728" t="s">
        <v>6314</v>
      </c>
    </row>
    <row r="2314" spans="9:10">
      <c r="I2314" s="707" t="s">
        <v>4020</v>
      </c>
      <c r="J2314" s="728" t="s">
        <v>6315</v>
      </c>
    </row>
    <row r="2315" spans="9:10">
      <c r="I2315" s="707" t="s">
        <v>2301</v>
      </c>
      <c r="J2315" s="728" t="s">
        <v>6316</v>
      </c>
    </row>
    <row r="2316" spans="9:10">
      <c r="I2316" s="707" t="s">
        <v>4021</v>
      </c>
      <c r="J2316" s="728" t="s">
        <v>6317</v>
      </c>
    </row>
    <row r="2317" spans="9:10">
      <c r="I2317" s="707" t="s">
        <v>2239</v>
      </c>
      <c r="J2317" s="728" t="s">
        <v>6318</v>
      </c>
    </row>
    <row r="2318" spans="9:10">
      <c r="I2318" s="707" t="s">
        <v>6948</v>
      </c>
      <c r="J2318" s="728" t="s">
        <v>7065</v>
      </c>
    </row>
    <row r="2319" spans="9:10">
      <c r="I2319" s="707" t="s">
        <v>2232</v>
      </c>
      <c r="J2319" s="728" t="s">
        <v>6319</v>
      </c>
    </row>
    <row r="2320" spans="9:10">
      <c r="I2320" s="707" t="s">
        <v>6949</v>
      </c>
      <c r="J2320" s="728" t="s">
        <v>7066</v>
      </c>
    </row>
    <row r="2321" spans="9:10">
      <c r="I2321" s="707" t="s">
        <v>1009</v>
      </c>
      <c r="J2321" s="728" t="s">
        <v>6320</v>
      </c>
    </row>
    <row r="2322" spans="9:10">
      <c r="I2322" s="707" t="s">
        <v>1560</v>
      </c>
      <c r="J2322" s="728" t="s">
        <v>6321</v>
      </c>
    </row>
    <row r="2323" spans="9:10">
      <c r="I2323" s="707" t="s">
        <v>4022</v>
      </c>
      <c r="J2323" s="728" t="s">
        <v>6322</v>
      </c>
    </row>
    <row r="2324" spans="9:10">
      <c r="I2324" s="707" t="s">
        <v>4023</v>
      </c>
      <c r="J2324" s="728" t="s">
        <v>6323</v>
      </c>
    </row>
    <row r="2325" spans="9:10">
      <c r="I2325" s="707" t="s">
        <v>1405</v>
      </c>
      <c r="J2325" s="728" t="s">
        <v>6324</v>
      </c>
    </row>
    <row r="2326" spans="9:10">
      <c r="I2326" s="707" t="s">
        <v>2658</v>
      </c>
      <c r="J2326" s="728" t="s">
        <v>6135</v>
      </c>
    </row>
    <row r="2327" spans="9:10">
      <c r="I2327" s="707" t="s">
        <v>2697</v>
      </c>
      <c r="J2327" s="728" t="s">
        <v>6325</v>
      </c>
    </row>
    <row r="2328" spans="9:10">
      <c r="I2328" s="707" t="s">
        <v>2701</v>
      </c>
      <c r="J2328" s="728" t="s">
        <v>6326</v>
      </c>
    </row>
    <row r="2329" spans="9:10">
      <c r="I2329" s="707" t="s">
        <v>1191</v>
      </c>
      <c r="J2329" s="728" t="s">
        <v>6327</v>
      </c>
    </row>
    <row r="2330" spans="9:10">
      <c r="I2330" s="707" t="s">
        <v>2350</v>
      </c>
      <c r="J2330" s="728" t="s">
        <v>6328</v>
      </c>
    </row>
    <row r="2331" spans="9:10">
      <c r="I2331" s="707" t="s">
        <v>1620</v>
      </c>
      <c r="J2331" s="728" t="s">
        <v>6329</v>
      </c>
    </row>
    <row r="2332" spans="9:10">
      <c r="I2332" s="707" t="s">
        <v>2115</v>
      </c>
      <c r="J2332" s="728" t="s">
        <v>6330</v>
      </c>
    </row>
    <row r="2333" spans="9:10">
      <c r="I2333" s="707" t="s">
        <v>1669</v>
      </c>
      <c r="J2333" s="728" t="s">
        <v>6331</v>
      </c>
    </row>
    <row r="2334" spans="9:10">
      <c r="I2334" s="707" t="s">
        <v>3067</v>
      </c>
      <c r="J2334" s="728" t="s">
        <v>6332</v>
      </c>
    </row>
    <row r="2335" spans="9:10">
      <c r="I2335" s="707" t="s">
        <v>3376</v>
      </c>
      <c r="J2335" s="728" t="s">
        <v>6333</v>
      </c>
    </row>
    <row r="2336" spans="9:10">
      <c r="I2336" s="707" t="s">
        <v>4024</v>
      </c>
      <c r="J2336" s="728" t="s">
        <v>6334</v>
      </c>
    </row>
    <row r="2337" spans="9:10">
      <c r="I2337" s="707" t="s">
        <v>1101</v>
      </c>
      <c r="J2337" s="728" t="s">
        <v>6335</v>
      </c>
    </row>
    <row r="2338" spans="9:10">
      <c r="I2338" s="707" t="s">
        <v>2049</v>
      </c>
      <c r="J2338" s="728" t="s">
        <v>6336</v>
      </c>
    </row>
    <row r="2339" spans="9:10">
      <c r="I2339" s="707" t="s">
        <v>4025</v>
      </c>
      <c r="J2339" s="728" t="s">
        <v>6337</v>
      </c>
    </row>
    <row r="2340" spans="9:10">
      <c r="I2340" s="707" t="s">
        <v>2474</v>
      </c>
      <c r="J2340" s="728" t="s">
        <v>6338</v>
      </c>
    </row>
    <row r="2341" spans="9:10">
      <c r="I2341" s="707" t="s">
        <v>4026</v>
      </c>
      <c r="J2341" s="728" t="s">
        <v>6339</v>
      </c>
    </row>
    <row r="2342" spans="9:10">
      <c r="I2342" s="707" t="s">
        <v>4027</v>
      </c>
      <c r="J2342" s="728" t="s">
        <v>6340</v>
      </c>
    </row>
    <row r="2343" spans="9:10">
      <c r="I2343" s="707" t="s">
        <v>4028</v>
      </c>
      <c r="J2343" s="728" t="s">
        <v>6341</v>
      </c>
    </row>
    <row r="2344" spans="9:10">
      <c r="I2344" s="707" t="s">
        <v>3259</v>
      </c>
      <c r="J2344" s="728" t="s">
        <v>6342</v>
      </c>
    </row>
    <row r="2345" spans="9:10">
      <c r="I2345" s="707" t="s">
        <v>4029</v>
      </c>
      <c r="J2345" s="728" t="s">
        <v>6343</v>
      </c>
    </row>
    <row r="2346" spans="9:10">
      <c r="I2346" s="707" t="s">
        <v>2508</v>
      </c>
      <c r="J2346" s="728" t="s">
        <v>6344</v>
      </c>
    </row>
    <row r="2347" spans="9:10">
      <c r="I2347" s="707" t="s">
        <v>2413</v>
      </c>
      <c r="J2347" s="728" t="s">
        <v>6345</v>
      </c>
    </row>
    <row r="2348" spans="9:10">
      <c r="I2348" s="707" t="s">
        <v>2188</v>
      </c>
      <c r="J2348" s="728" t="s">
        <v>6346</v>
      </c>
    </row>
    <row r="2349" spans="9:10">
      <c r="I2349" s="707" t="s">
        <v>1876</v>
      </c>
      <c r="J2349" s="728" t="s">
        <v>6347</v>
      </c>
    </row>
    <row r="2350" spans="9:10">
      <c r="I2350" s="707" t="s">
        <v>1892</v>
      </c>
      <c r="J2350" s="728" t="s">
        <v>6348</v>
      </c>
    </row>
    <row r="2351" spans="9:10">
      <c r="I2351" s="707" t="s">
        <v>1487</v>
      </c>
      <c r="J2351" s="728" t="s">
        <v>6349</v>
      </c>
    </row>
    <row r="2352" spans="9:10">
      <c r="I2352" s="707" t="s">
        <v>1201</v>
      </c>
      <c r="J2352" s="728" t="s">
        <v>6350</v>
      </c>
    </row>
    <row r="2353" spans="9:10">
      <c r="I2353" s="707" t="s">
        <v>1737</v>
      </c>
      <c r="J2353" s="728" t="s">
        <v>6351</v>
      </c>
    </row>
    <row r="2354" spans="9:10">
      <c r="I2354" s="713" t="s">
        <v>3065</v>
      </c>
      <c r="J2354" s="729" t="s">
        <v>6352</v>
      </c>
    </row>
    <row r="2355" spans="9:10">
      <c r="I2355" s="713" t="s">
        <v>2691</v>
      </c>
      <c r="J2355" s="729" t="s">
        <v>6353</v>
      </c>
    </row>
    <row r="2356" spans="9:10">
      <c r="I2356" s="713" t="s">
        <v>4030</v>
      </c>
      <c r="J2356" s="729" t="s">
        <v>6354</v>
      </c>
    </row>
    <row r="2357" spans="9:10">
      <c r="I2357" s="713" t="s">
        <v>2819</v>
      </c>
      <c r="J2357" s="729" t="s">
        <v>6355</v>
      </c>
    </row>
    <row r="2358" spans="9:10">
      <c r="I2358" s="713" t="s">
        <v>6950</v>
      </c>
      <c r="J2358" s="729" t="s">
        <v>7067</v>
      </c>
    </row>
    <row r="2359" spans="9:10">
      <c r="I2359" s="713" t="s">
        <v>4031</v>
      </c>
      <c r="J2359" s="729" t="s">
        <v>6356</v>
      </c>
    </row>
    <row r="2360" spans="9:10">
      <c r="I2360" s="713" t="s">
        <v>1629</v>
      </c>
      <c r="J2360" s="729" t="s">
        <v>6357</v>
      </c>
    </row>
    <row r="2361" spans="9:10">
      <c r="I2361" s="713" t="s">
        <v>6951</v>
      </c>
      <c r="J2361" s="729" t="s">
        <v>7068</v>
      </c>
    </row>
    <row r="2362" spans="9:10">
      <c r="I2362" s="713" t="s">
        <v>1858</v>
      </c>
      <c r="J2362" s="729" t="s">
        <v>6358</v>
      </c>
    </row>
    <row r="2363" spans="9:10">
      <c r="I2363" s="713" t="s">
        <v>1788</v>
      </c>
      <c r="J2363" s="729" t="s">
        <v>6359</v>
      </c>
    </row>
    <row r="2364" spans="9:10">
      <c r="I2364" s="713" t="s">
        <v>3001</v>
      </c>
      <c r="J2364" s="729" t="s">
        <v>6360</v>
      </c>
    </row>
    <row r="2365" spans="9:10">
      <c r="I2365" s="713" t="s">
        <v>1887</v>
      </c>
      <c r="J2365" s="729" t="s">
        <v>6361</v>
      </c>
    </row>
    <row r="2366" spans="9:10">
      <c r="I2366" s="713" t="s">
        <v>1937</v>
      </c>
      <c r="J2366" s="729" t="s">
        <v>6362</v>
      </c>
    </row>
    <row r="2367" spans="9:10">
      <c r="I2367" s="713" t="s">
        <v>2087</v>
      </c>
      <c r="J2367" s="729" t="s">
        <v>6363</v>
      </c>
    </row>
    <row r="2368" spans="9:10">
      <c r="I2368" s="713" t="s">
        <v>1427</v>
      </c>
      <c r="J2368" s="729" t="s">
        <v>6364</v>
      </c>
    </row>
    <row r="2369" spans="9:10">
      <c r="I2369" s="713" t="s">
        <v>1496</v>
      </c>
      <c r="J2369" s="729" t="s">
        <v>6365</v>
      </c>
    </row>
    <row r="2370" spans="9:10">
      <c r="I2370" s="713" t="s">
        <v>4032</v>
      </c>
      <c r="J2370" s="729" t="s">
        <v>6366</v>
      </c>
    </row>
    <row r="2371" spans="9:10">
      <c r="I2371" s="713" t="s">
        <v>3326</v>
      </c>
      <c r="J2371" s="729" t="s">
        <v>6367</v>
      </c>
    </row>
    <row r="2372" spans="9:10">
      <c r="I2372" s="713" t="s">
        <v>1594</v>
      </c>
      <c r="J2372" s="729" t="s">
        <v>6368</v>
      </c>
    </row>
    <row r="2373" spans="9:10">
      <c r="I2373" s="713" t="s">
        <v>4033</v>
      </c>
      <c r="J2373" s="729" t="s">
        <v>6369</v>
      </c>
    </row>
    <row r="2374" spans="9:10">
      <c r="I2374" s="713" t="s">
        <v>1828</v>
      </c>
      <c r="J2374" s="729" t="s">
        <v>6370</v>
      </c>
    </row>
    <row r="2375" spans="9:10">
      <c r="I2375" s="713" t="s">
        <v>2375</v>
      </c>
      <c r="J2375" s="729" t="s">
        <v>6371</v>
      </c>
    </row>
    <row r="2376" spans="9:10">
      <c r="I2376" s="713" t="s">
        <v>1944</v>
      </c>
      <c r="J2376" s="729" t="s">
        <v>6372</v>
      </c>
    </row>
    <row r="2377" spans="9:10">
      <c r="I2377" s="713" t="s">
        <v>2284</v>
      </c>
      <c r="J2377" s="729" t="s">
        <v>6373</v>
      </c>
    </row>
    <row r="2378" spans="9:10">
      <c r="I2378" s="713" t="s">
        <v>4034</v>
      </c>
      <c r="J2378" s="729" t="s">
        <v>6374</v>
      </c>
    </row>
    <row r="2379" spans="9:10">
      <c r="I2379" s="713" t="s">
        <v>2934</v>
      </c>
      <c r="J2379" s="729" t="s">
        <v>6375</v>
      </c>
    </row>
    <row r="2380" spans="9:10">
      <c r="I2380" s="713" t="s">
        <v>2026</v>
      </c>
      <c r="J2380" s="729" t="s">
        <v>6376</v>
      </c>
    </row>
    <row r="2381" spans="9:10">
      <c r="I2381" s="713" t="s">
        <v>2926</v>
      </c>
      <c r="J2381" s="729" t="s">
        <v>6377</v>
      </c>
    </row>
    <row r="2382" spans="9:10">
      <c r="I2382" s="713" t="s">
        <v>1591</v>
      </c>
      <c r="J2382" s="729" t="s">
        <v>6378</v>
      </c>
    </row>
    <row r="2383" spans="9:10">
      <c r="I2383" s="713" t="s">
        <v>2905</v>
      </c>
      <c r="J2383" s="729" t="s">
        <v>6379</v>
      </c>
    </row>
    <row r="2384" spans="9:10">
      <c r="I2384" s="713" t="s">
        <v>1344</v>
      </c>
      <c r="J2384" s="729" t="s">
        <v>6380</v>
      </c>
    </row>
    <row r="2385" spans="9:10">
      <c r="I2385" s="713" t="s">
        <v>4035</v>
      </c>
      <c r="J2385" s="729" t="s">
        <v>6381</v>
      </c>
    </row>
    <row r="2386" spans="9:10">
      <c r="I2386" s="713" t="s">
        <v>2209</v>
      </c>
      <c r="J2386" s="729" t="s">
        <v>6382</v>
      </c>
    </row>
    <row r="2387" spans="9:10">
      <c r="I2387" s="713" t="s">
        <v>2024</v>
      </c>
      <c r="J2387" s="729" t="s">
        <v>6383</v>
      </c>
    </row>
    <row r="2388" spans="9:10">
      <c r="I2388" s="713" t="s">
        <v>6952</v>
      </c>
      <c r="J2388" s="729" t="s">
        <v>7069</v>
      </c>
    </row>
    <row r="2389" spans="9:10">
      <c r="I2389" s="713" t="s">
        <v>2904</v>
      </c>
      <c r="J2389" s="729" t="s">
        <v>6384</v>
      </c>
    </row>
    <row r="2390" spans="9:10">
      <c r="I2390" s="713" t="s">
        <v>2337</v>
      </c>
      <c r="J2390" s="729" t="s">
        <v>6385</v>
      </c>
    </row>
    <row r="2391" spans="9:10">
      <c r="I2391" s="713" t="s">
        <v>2336</v>
      </c>
      <c r="J2391" s="729" t="s">
        <v>6386</v>
      </c>
    </row>
    <row r="2392" spans="9:10">
      <c r="I2392" s="713" t="s">
        <v>2104</v>
      </c>
      <c r="J2392" s="729" t="s">
        <v>6387</v>
      </c>
    </row>
    <row r="2393" spans="9:10">
      <c r="I2393" s="713" t="s">
        <v>3300</v>
      </c>
      <c r="J2393" s="729" t="s">
        <v>6388</v>
      </c>
    </row>
    <row r="2394" spans="9:10">
      <c r="I2394" s="713" t="s">
        <v>1156</v>
      </c>
      <c r="J2394" s="729" t="s">
        <v>6389</v>
      </c>
    </row>
    <row r="2395" spans="9:10">
      <c r="I2395" s="713" t="s">
        <v>1500</v>
      </c>
      <c r="J2395" s="729" t="s">
        <v>6390</v>
      </c>
    </row>
    <row r="2396" spans="9:10">
      <c r="I2396" s="713" t="s">
        <v>1638</v>
      </c>
      <c r="J2396" s="729" t="s">
        <v>6391</v>
      </c>
    </row>
    <row r="2397" spans="9:10">
      <c r="I2397" s="713" t="s">
        <v>2098</v>
      </c>
      <c r="J2397" s="729" t="s">
        <v>6392</v>
      </c>
    </row>
    <row r="2398" spans="9:10">
      <c r="I2398" s="713" t="s">
        <v>1845</v>
      </c>
      <c r="J2398" s="729" t="s">
        <v>6393</v>
      </c>
    </row>
    <row r="2399" spans="9:10">
      <c r="I2399" s="713" t="s">
        <v>1268</v>
      </c>
      <c r="J2399" s="729" t="s">
        <v>6394</v>
      </c>
    </row>
    <row r="2400" spans="9:10">
      <c r="I2400" s="713" t="s">
        <v>2839</v>
      </c>
      <c r="J2400" s="729" t="s">
        <v>6397</v>
      </c>
    </row>
    <row r="2401" spans="9:10">
      <c r="I2401" s="713" t="s">
        <v>3321</v>
      </c>
      <c r="J2401" s="729" t="s">
        <v>6398</v>
      </c>
    </row>
    <row r="2402" spans="9:10">
      <c r="I2402" s="713" t="s">
        <v>4036</v>
      </c>
      <c r="J2402" s="729" t="s">
        <v>6399</v>
      </c>
    </row>
    <row r="2403" spans="9:10">
      <c r="I2403" s="713" t="s">
        <v>1838</v>
      </c>
      <c r="J2403" s="729" t="s">
        <v>6400</v>
      </c>
    </row>
    <row r="2404" spans="9:10">
      <c r="I2404" s="713" t="s">
        <v>2643</v>
      </c>
      <c r="J2404" s="729" t="s">
        <v>6401</v>
      </c>
    </row>
    <row r="2405" spans="9:10">
      <c r="I2405" s="713" t="s">
        <v>4037</v>
      </c>
      <c r="J2405" s="729" t="s">
        <v>6402</v>
      </c>
    </row>
    <row r="2406" spans="9:10">
      <c r="I2406" s="713" t="s">
        <v>1192</v>
      </c>
      <c r="J2406" s="729" t="s">
        <v>6404</v>
      </c>
    </row>
    <row r="2407" spans="9:10">
      <c r="I2407" s="713" t="s">
        <v>6953</v>
      </c>
      <c r="J2407" s="729" t="s">
        <v>7070</v>
      </c>
    </row>
    <row r="2408" spans="9:10">
      <c r="I2408" s="713" t="s">
        <v>1452</v>
      </c>
      <c r="J2408" s="729" t="s">
        <v>6405</v>
      </c>
    </row>
    <row r="2409" spans="9:10">
      <c r="I2409" s="713" t="s">
        <v>1488</v>
      </c>
      <c r="J2409" s="729" t="s">
        <v>6406</v>
      </c>
    </row>
    <row r="2410" spans="9:10">
      <c r="I2410" s="713" t="s">
        <v>2749</v>
      </c>
      <c r="J2410" s="729" t="s">
        <v>6407</v>
      </c>
    </row>
    <row r="2411" spans="9:10">
      <c r="I2411" s="713" t="s">
        <v>3264</v>
      </c>
      <c r="J2411" s="729" t="s">
        <v>6408</v>
      </c>
    </row>
    <row r="2412" spans="9:10">
      <c r="I2412" s="713" t="s">
        <v>4038</v>
      </c>
      <c r="J2412" s="729" t="s">
        <v>6409</v>
      </c>
    </row>
    <row r="2413" spans="9:10">
      <c r="I2413" s="713" t="s">
        <v>1430</v>
      </c>
      <c r="J2413" s="729" t="s">
        <v>6413</v>
      </c>
    </row>
    <row r="2414" spans="9:10">
      <c r="I2414" s="713" t="s">
        <v>2296</v>
      </c>
      <c r="J2414" s="729" t="s">
        <v>6414</v>
      </c>
    </row>
    <row r="2415" spans="9:10">
      <c r="I2415" s="713" t="s">
        <v>3014</v>
      </c>
      <c r="J2415" s="729" t="s">
        <v>6416</v>
      </c>
    </row>
    <row r="2416" spans="9:10">
      <c r="I2416" s="713" t="s">
        <v>4040</v>
      </c>
      <c r="J2416" s="729" t="s">
        <v>6418</v>
      </c>
    </row>
    <row r="2417" spans="9:10">
      <c r="I2417" s="713" t="s">
        <v>2065</v>
      </c>
      <c r="J2417" s="729" t="s">
        <v>6419</v>
      </c>
    </row>
    <row r="2418" spans="9:10">
      <c r="I2418" s="713" t="s">
        <v>4041</v>
      </c>
      <c r="J2418" s="729" t="s">
        <v>6420</v>
      </c>
    </row>
    <row r="2419" spans="9:10">
      <c r="I2419" s="713" t="s">
        <v>1158</v>
      </c>
      <c r="J2419" s="729" t="s">
        <v>6421</v>
      </c>
    </row>
    <row r="2420" spans="9:10">
      <c r="I2420" s="713" t="s">
        <v>2484</v>
      </c>
      <c r="J2420" s="729" t="s">
        <v>6422</v>
      </c>
    </row>
    <row r="2421" spans="9:10">
      <c r="I2421" s="713" t="s">
        <v>4042</v>
      </c>
      <c r="J2421" s="729" t="s">
        <v>6423</v>
      </c>
    </row>
    <row r="2422" spans="9:10">
      <c r="I2422" s="713" t="s">
        <v>2851</v>
      </c>
      <c r="J2422" s="729" t="s">
        <v>6424</v>
      </c>
    </row>
    <row r="2423" spans="9:10">
      <c r="I2423" s="713" t="s">
        <v>1269</v>
      </c>
      <c r="J2423" s="729" t="s">
        <v>6425</v>
      </c>
    </row>
    <row r="2424" spans="9:10">
      <c r="I2424" s="713" t="s">
        <v>4043</v>
      </c>
      <c r="J2424" s="729" t="s">
        <v>6426</v>
      </c>
    </row>
    <row r="2425" spans="9:10">
      <c r="I2425" s="713" t="s">
        <v>2229</v>
      </c>
      <c r="J2425" s="729" t="s">
        <v>6427</v>
      </c>
    </row>
    <row r="2426" spans="9:10">
      <c r="I2426" s="713" t="s">
        <v>1237</v>
      </c>
      <c r="J2426" s="729" t="s">
        <v>6428</v>
      </c>
    </row>
    <row r="2427" spans="9:10">
      <c r="I2427" s="713" t="s">
        <v>2804</v>
      </c>
      <c r="J2427" s="729" t="s">
        <v>6429</v>
      </c>
    </row>
    <row r="2428" spans="9:10">
      <c r="I2428" s="713" t="s">
        <v>1522</v>
      </c>
      <c r="J2428" s="729" t="s">
        <v>6430</v>
      </c>
    </row>
    <row r="2429" spans="9:10">
      <c r="I2429" s="713" t="s">
        <v>2365</v>
      </c>
      <c r="J2429" s="729" t="s">
        <v>6431</v>
      </c>
    </row>
    <row r="2430" spans="9:10">
      <c r="I2430" s="713" t="s">
        <v>2641</v>
      </c>
      <c r="J2430" s="729" t="s">
        <v>6432</v>
      </c>
    </row>
    <row r="2431" spans="9:10">
      <c r="I2431" s="713" t="s">
        <v>1802</v>
      </c>
      <c r="J2431" s="729" t="s">
        <v>6433</v>
      </c>
    </row>
    <row r="2432" spans="9:10">
      <c r="I2432" s="713" t="s">
        <v>4044</v>
      </c>
      <c r="J2432" s="729" t="s">
        <v>6434</v>
      </c>
    </row>
    <row r="2433" spans="9:10">
      <c r="I2433" s="713" t="s">
        <v>2167</v>
      </c>
      <c r="J2433" s="729" t="s">
        <v>6435</v>
      </c>
    </row>
    <row r="2434" spans="9:10">
      <c r="I2434" s="713" t="s">
        <v>2605</v>
      </c>
      <c r="J2434" s="729" t="s">
        <v>6436</v>
      </c>
    </row>
    <row r="2435" spans="9:10">
      <c r="I2435" s="713" t="s">
        <v>2848</v>
      </c>
      <c r="J2435" s="729" t="s">
        <v>6437</v>
      </c>
    </row>
    <row r="2436" spans="9:10">
      <c r="I2436" s="713" t="s">
        <v>2847</v>
      </c>
      <c r="J2436" s="729" t="s">
        <v>6438</v>
      </c>
    </row>
    <row r="2437" spans="9:10">
      <c r="I2437" s="713" t="s">
        <v>3277</v>
      </c>
      <c r="J2437" s="729" t="s">
        <v>6439</v>
      </c>
    </row>
    <row r="2438" spans="9:10">
      <c r="I2438" s="713" t="s">
        <v>1335</v>
      </c>
      <c r="J2438" s="729" t="s">
        <v>6440</v>
      </c>
    </row>
    <row r="2439" spans="9:10">
      <c r="I2439" s="713" t="s">
        <v>2898</v>
      </c>
      <c r="J2439" s="729" t="s">
        <v>6441</v>
      </c>
    </row>
    <row r="2440" spans="9:10">
      <c r="I2440" s="713" t="s">
        <v>3004</v>
      </c>
      <c r="J2440" s="729" t="s">
        <v>6442</v>
      </c>
    </row>
    <row r="2441" spans="9:10">
      <c r="I2441" s="713" t="s">
        <v>1287</v>
      </c>
      <c r="J2441" s="729" t="s">
        <v>6443</v>
      </c>
    </row>
    <row r="2442" spans="9:10">
      <c r="I2442" s="713" t="s">
        <v>1340</v>
      </c>
      <c r="J2442" s="729" t="s">
        <v>6444</v>
      </c>
    </row>
    <row r="2443" spans="9:10">
      <c r="I2443" s="713" t="s">
        <v>4045</v>
      </c>
      <c r="J2443" s="729" t="s">
        <v>6445</v>
      </c>
    </row>
    <row r="2444" spans="9:10">
      <c r="I2444" s="713" t="s">
        <v>2964</v>
      </c>
      <c r="J2444" s="729" t="s">
        <v>6446</v>
      </c>
    </row>
    <row r="2445" spans="9:10">
      <c r="I2445" s="713" t="s">
        <v>2354</v>
      </c>
      <c r="J2445" s="729" t="s">
        <v>6447</v>
      </c>
    </row>
    <row r="2446" spans="9:10">
      <c r="I2446" s="713" t="s">
        <v>1824</v>
      </c>
      <c r="J2446" s="729" t="s">
        <v>6448</v>
      </c>
    </row>
    <row r="2447" spans="9:10">
      <c r="I2447" s="713" t="s">
        <v>1456</v>
      </c>
      <c r="J2447" s="729" t="s">
        <v>6449</v>
      </c>
    </row>
    <row r="2448" spans="9:10">
      <c r="I2448" s="713" t="s">
        <v>2299</v>
      </c>
      <c r="J2448" s="729" t="s">
        <v>6450</v>
      </c>
    </row>
    <row r="2449" spans="9:10">
      <c r="I2449" s="713" t="s">
        <v>4046</v>
      </c>
      <c r="J2449" s="729" t="s">
        <v>6451</v>
      </c>
    </row>
    <row r="2450" spans="9:10">
      <c r="I2450" s="713" t="s">
        <v>2988</v>
      </c>
      <c r="J2450" s="729" t="s">
        <v>6452</v>
      </c>
    </row>
    <row r="2451" spans="9:10">
      <c r="I2451" s="713" t="s">
        <v>2957</v>
      </c>
      <c r="J2451" s="729" t="s">
        <v>6453</v>
      </c>
    </row>
    <row r="2452" spans="9:10">
      <c r="I2452" s="713" t="s">
        <v>2434</v>
      </c>
      <c r="J2452" s="729" t="s">
        <v>6454</v>
      </c>
    </row>
    <row r="2453" spans="9:10">
      <c r="I2453" s="713" t="s">
        <v>1067</v>
      </c>
      <c r="J2453" s="729" t="s">
        <v>6455</v>
      </c>
    </row>
    <row r="2454" spans="9:10">
      <c r="I2454" s="713" t="s">
        <v>2597</v>
      </c>
      <c r="J2454" s="729" t="s">
        <v>6456</v>
      </c>
    </row>
    <row r="2455" spans="9:10">
      <c r="I2455" s="713" t="s">
        <v>4047</v>
      </c>
      <c r="J2455" s="729" t="s">
        <v>6457</v>
      </c>
    </row>
    <row r="2456" spans="9:10">
      <c r="I2456" s="713" t="s">
        <v>1856</v>
      </c>
      <c r="J2456" s="729" t="s">
        <v>6458</v>
      </c>
    </row>
    <row r="2457" spans="9:10">
      <c r="I2457" s="713" t="s">
        <v>1443</v>
      </c>
      <c r="J2457" s="729" t="s">
        <v>6459</v>
      </c>
    </row>
    <row r="2458" spans="9:10">
      <c r="I2458" s="713" t="s">
        <v>1070</v>
      </c>
      <c r="J2458" s="729" t="s">
        <v>6460</v>
      </c>
    </row>
    <row r="2459" spans="9:10">
      <c r="I2459" s="713" t="s">
        <v>1826</v>
      </c>
      <c r="J2459" s="729" t="s">
        <v>6461</v>
      </c>
    </row>
    <row r="2460" spans="9:10">
      <c r="I2460" s="713" t="s">
        <v>2565</v>
      </c>
      <c r="J2460" s="729" t="s">
        <v>6462</v>
      </c>
    </row>
    <row r="2461" spans="9:10">
      <c r="I2461" s="713" t="s">
        <v>4048</v>
      </c>
      <c r="J2461" s="729" t="s">
        <v>6463</v>
      </c>
    </row>
    <row r="2462" spans="9:10">
      <c r="I2462" s="713" t="s">
        <v>3324</v>
      </c>
      <c r="J2462" s="729" t="s">
        <v>6464</v>
      </c>
    </row>
    <row r="2463" spans="9:10">
      <c r="I2463" s="713" t="s">
        <v>1864</v>
      </c>
      <c r="J2463" s="729" t="s">
        <v>6465</v>
      </c>
    </row>
    <row r="2464" spans="9:10">
      <c r="I2464" s="713" t="s">
        <v>2627</v>
      </c>
      <c r="J2464" s="729" t="s">
        <v>6466</v>
      </c>
    </row>
    <row r="2465" spans="9:10">
      <c r="I2465" s="713" t="s">
        <v>2860</v>
      </c>
      <c r="J2465" s="729" t="s">
        <v>6467</v>
      </c>
    </row>
    <row r="2466" spans="9:10">
      <c r="I2466" s="713" t="s">
        <v>4049</v>
      </c>
      <c r="J2466" s="729" t="s">
        <v>6468</v>
      </c>
    </row>
    <row r="2467" spans="9:10">
      <c r="I2467" s="713" t="s">
        <v>2850</v>
      </c>
      <c r="J2467" s="729" t="s">
        <v>6469</v>
      </c>
    </row>
    <row r="2468" spans="9:10">
      <c r="I2468" s="713" t="s">
        <v>1884</v>
      </c>
      <c r="J2468" s="729" t="s">
        <v>6470</v>
      </c>
    </row>
    <row r="2469" spans="9:10">
      <c r="I2469" s="713" t="s">
        <v>4050</v>
      </c>
      <c r="J2469" s="729" t="s">
        <v>6471</v>
      </c>
    </row>
    <row r="2470" spans="9:10">
      <c r="I2470" s="713" t="s">
        <v>4051</v>
      </c>
      <c r="J2470" s="729" t="s">
        <v>6472</v>
      </c>
    </row>
    <row r="2471" spans="9:10">
      <c r="I2471" s="713" t="s">
        <v>1800</v>
      </c>
      <c r="J2471" s="729" t="s">
        <v>6473</v>
      </c>
    </row>
    <row r="2472" spans="9:10">
      <c r="I2472" s="713" t="s">
        <v>1690</v>
      </c>
      <c r="J2472" s="729" t="s">
        <v>4117</v>
      </c>
    </row>
    <row r="2473" spans="9:10">
      <c r="I2473" s="713" t="s">
        <v>1093</v>
      </c>
      <c r="J2473" s="729" t="s">
        <v>6474</v>
      </c>
    </row>
    <row r="2474" spans="9:10">
      <c r="I2474" s="713" t="s">
        <v>3239</v>
      </c>
      <c r="J2474" s="729" t="s">
        <v>6475</v>
      </c>
    </row>
    <row r="2475" spans="9:10">
      <c r="I2475" s="713" t="s">
        <v>2708</v>
      </c>
      <c r="J2475" s="729" t="s">
        <v>6477</v>
      </c>
    </row>
    <row r="2476" spans="9:10">
      <c r="I2476" s="713" t="s">
        <v>1707</v>
      </c>
      <c r="J2476" s="729" t="s">
        <v>6478</v>
      </c>
    </row>
    <row r="2477" spans="9:10">
      <c r="I2477" s="713" t="s">
        <v>1999</v>
      </c>
      <c r="J2477" s="729" t="s">
        <v>6479</v>
      </c>
    </row>
    <row r="2478" spans="9:10">
      <c r="I2478" s="713" t="s">
        <v>2874</v>
      </c>
      <c r="J2478" s="729" t="s">
        <v>6480</v>
      </c>
    </row>
    <row r="2479" spans="9:10">
      <c r="I2479" s="713" t="s">
        <v>4052</v>
      </c>
      <c r="J2479" s="729" t="s">
        <v>6481</v>
      </c>
    </row>
    <row r="2480" spans="9:10">
      <c r="I2480" s="713" t="s">
        <v>4053</v>
      </c>
      <c r="J2480" s="729" t="s">
        <v>6483</v>
      </c>
    </row>
    <row r="2481" spans="9:10">
      <c r="I2481" s="713" t="s">
        <v>4054</v>
      </c>
      <c r="J2481" s="729" t="s">
        <v>6484</v>
      </c>
    </row>
    <row r="2482" spans="9:10">
      <c r="I2482" s="713" t="s">
        <v>2420</v>
      </c>
      <c r="J2482" s="729" t="s">
        <v>6482</v>
      </c>
    </row>
    <row r="2483" spans="9:10">
      <c r="I2483" s="713" t="s">
        <v>2812</v>
      </c>
      <c r="J2483" s="729" t="s">
        <v>6485</v>
      </c>
    </row>
    <row r="2484" spans="9:10">
      <c r="I2484" s="713" t="s">
        <v>2846</v>
      </c>
      <c r="J2484" s="729" t="s">
        <v>6486</v>
      </c>
    </row>
    <row r="2485" spans="9:10">
      <c r="I2485" s="713" t="s">
        <v>1925</v>
      </c>
      <c r="J2485" s="729" t="s">
        <v>6487</v>
      </c>
    </row>
    <row r="2486" spans="9:10">
      <c r="I2486" s="713" t="s">
        <v>2746</v>
      </c>
      <c r="J2486" s="729" t="s">
        <v>6488</v>
      </c>
    </row>
    <row r="2487" spans="9:10">
      <c r="I2487" s="713" t="s">
        <v>2700</v>
      </c>
      <c r="J2487" s="729" t="s">
        <v>6489</v>
      </c>
    </row>
    <row r="2488" spans="9:10">
      <c r="I2488" s="713" t="s">
        <v>4055</v>
      </c>
      <c r="J2488" s="729" t="s">
        <v>6491</v>
      </c>
    </row>
    <row r="2489" spans="9:10">
      <c r="I2489" s="713" t="s">
        <v>2050</v>
      </c>
      <c r="J2489" s="729" t="s">
        <v>6490</v>
      </c>
    </row>
    <row r="2490" spans="9:10">
      <c r="I2490" s="713" t="s">
        <v>1367</v>
      </c>
      <c r="J2490" s="729" t="s">
        <v>6492</v>
      </c>
    </row>
    <row r="2491" spans="9:10">
      <c r="I2491" s="713" t="s">
        <v>2987</v>
      </c>
      <c r="J2491" s="729" t="s">
        <v>6493</v>
      </c>
    </row>
    <row r="2492" spans="9:10">
      <c r="I2492" s="713" t="s">
        <v>1833</v>
      </c>
      <c r="J2492" s="729" t="s">
        <v>6494</v>
      </c>
    </row>
    <row r="2493" spans="9:10">
      <c r="I2493" s="713" t="s">
        <v>1273</v>
      </c>
      <c r="J2493" s="729" t="s">
        <v>6495</v>
      </c>
    </row>
    <row r="2494" spans="9:10">
      <c r="I2494" s="713" t="s">
        <v>1613</v>
      </c>
      <c r="J2494" s="729" t="s">
        <v>6496</v>
      </c>
    </row>
    <row r="2495" spans="9:10">
      <c r="I2495" s="713" t="s">
        <v>1542</v>
      </c>
      <c r="J2495" s="729" t="s">
        <v>6497</v>
      </c>
    </row>
    <row r="2496" spans="9:10">
      <c r="I2496" s="713" t="s">
        <v>1755</v>
      </c>
      <c r="J2496" s="729" t="s">
        <v>6498</v>
      </c>
    </row>
    <row r="2497" spans="9:10">
      <c r="I2497" s="713" t="s">
        <v>4056</v>
      </c>
      <c r="J2497" s="729" t="s">
        <v>6499</v>
      </c>
    </row>
    <row r="2498" spans="9:10">
      <c r="I2498" s="713" t="s">
        <v>4057</v>
      </c>
      <c r="J2498" s="729" t="s">
        <v>6500</v>
      </c>
    </row>
    <row r="2499" spans="9:10">
      <c r="I2499" s="713" t="s">
        <v>4058</v>
      </c>
      <c r="J2499" s="729" t="s">
        <v>6501</v>
      </c>
    </row>
    <row r="2500" spans="9:10">
      <c r="I2500" s="713" t="s">
        <v>1740</v>
      </c>
      <c r="J2500" s="729" t="s">
        <v>6502</v>
      </c>
    </row>
    <row r="2501" spans="9:10">
      <c r="I2501" s="713" t="s">
        <v>2992</v>
      </c>
      <c r="J2501" s="729" t="s">
        <v>6503</v>
      </c>
    </row>
    <row r="2502" spans="9:10">
      <c r="I2502" s="713" t="s">
        <v>1813</v>
      </c>
      <c r="J2502" s="729" t="s">
        <v>6504</v>
      </c>
    </row>
    <row r="2503" spans="9:10">
      <c r="I2503" s="713" t="s">
        <v>1290</v>
      </c>
      <c r="J2503" s="729" t="s">
        <v>6505</v>
      </c>
    </row>
    <row r="2504" spans="9:10">
      <c r="I2504" s="713" t="s">
        <v>2788</v>
      </c>
      <c r="J2504" s="729" t="s">
        <v>6506</v>
      </c>
    </row>
    <row r="2505" spans="9:10">
      <c r="I2505" s="713" t="s">
        <v>4059</v>
      </c>
      <c r="J2505" s="729" t="s">
        <v>6507</v>
      </c>
    </row>
    <row r="2506" spans="9:10">
      <c r="I2506" s="713" t="s">
        <v>1686</v>
      </c>
      <c r="J2506" s="729" t="s">
        <v>6508</v>
      </c>
    </row>
    <row r="2507" spans="9:10">
      <c r="I2507" s="713" t="s">
        <v>4060</v>
      </c>
      <c r="J2507" s="729" t="s">
        <v>6509</v>
      </c>
    </row>
    <row r="2508" spans="9:10">
      <c r="I2508" s="713" t="s">
        <v>2342</v>
      </c>
      <c r="J2508" s="729" t="s">
        <v>6510</v>
      </c>
    </row>
    <row r="2509" spans="9:10">
      <c r="I2509" s="713" t="s">
        <v>2591</v>
      </c>
      <c r="J2509" s="729" t="s">
        <v>6511</v>
      </c>
    </row>
    <row r="2510" spans="9:10">
      <c r="I2510" s="713" t="s">
        <v>2827</v>
      </c>
      <c r="J2510" s="729" t="s">
        <v>6512</v>
      </c>
    </row>
    <row r="2511" spans="9:10">
      <c r="I2511" s="713" t="s">
        <v>3299</v>
      </c>
      <c r="J2511" s="729" t="s">
        <v>6513</v>
      </c>
    </row>
    <row r="2512" spans="9:10">
      <c r="I2512" s="713" t="s">
        <v>1848</v>
      </c>
      <c r="J2512" s="729" t="s">
        <v>6514</v>
      </c>
    </row>
    <row r="2513" spans="9:10">
      <c r="I2513" s="713" t="s">
        <v>2356</v>
      </c>
      <c r="J2513" s="729" t="s">
        <v>6515</v>
      </c>
    </row>
    <row r="2514" spans="9:10">
      <c r="I2514" s="713" t="s">
        <v>2930</v>
      </c>
      <c r="J2514" s="729" t="s">
        <v>6516</v>
      </c>
    </row>
    <row r="2515" spans="9:10">
      <c r="I2515" s="713" t="s">
        <v>4061</v>
      </c>
      <c r="J2515" s="729" t="s">
        <v>6517</v>
      </c>
    </row>
    <row r="2516" spans="9:10">
      <c r="I2516" s="713" t="s">
        <v>2333</v>
      </c>
      <c r="J2516" s="729" t="s">
        <v>6518</v>
      </c>
    </row>
    <row r="2517" spans="9:10">
      <c r="I2517" s="713" t="s">
        <v>2707</v>
      </c>
      <c r="J2517" s="729" t="s">
        <v>6519</v>
      </c>
    </row>
    <row r="2518" spans="9:10">
      <c r="I2518" s="713" t="s">
        <v>2583</v>
      </c>
      <c r="J2518" s="729" t="s">
        <v>6520</v>
      </c>
    </row>
    <row r="2519" spans="9:10">
      <c r="I2519" s="713" t="s">
        <v>4062</v>
      </c>
      <c r="J2519" s="729" t="s">
        <v>6521</v>
      </c>
    </row>
    <row r="2520" spans="9:10">
      <c r="I2520" s="713" t="s">
        <v>2014</v>
      </c>
      <c r="J2520" s="729" t="s">
        <v>6522</v>
      </c>
    </row>
    <row r="2521" spans="9:10">
      <c r="I2521" s="713" t="s">
        <v>2893</v>
      </c>
      <c r="J2521" s="729" t="s">
        <v>6523</v>
      </c>
    </row>
    <row r="2522" spans="9:10">
      <c r="I2522" s="713" t="s">
        <v>2004</v>
      </c>
      <c r="J2522" s="729" t="s">
        <v>6524</v>
      </c>
    </row>
    <row r="2523" spans="9:10">
      <c r="I2523" s="713" t="s">
        <v>1917</v>
      </c>
      <c r="J2523" s="729" t="s">
        <v>6525</v>
      </c>
    </row>
    <row r="2524" spans="9:10">
      <c r="I2524" s="713" t="s">
        <v>2914</v>
      </c>
      <c r="J2524" s="729" t="s">
        <v>6527</v>
      </c>
    </row>
    <row r="2525" spans="9:10">
      <c r="I2525" s="713" t="s">
        <v>4063</v>
      </c>
      <c r="J2525" s="729" t="s">
        <v>6528</v>
      </c>
    </row>
    <row r="2526" spans="9:10">
      <c r="I2526" s="713" t="s">
        <v>1336</v>
      </c>
      <c r="J2526" s="729" t="s">
        <v>6529</v>
      </c>
    </row>
    <row r="2527" spans="9:10">
      <c r="I2527" s="713" t="s">
        <v>1807</v>
      </c>
      <c r="J2527" s="729" t="s">
        <v>6530</v>
      </c>
    </row>
    <row r="2528" spans="9:10">
      <c r="I2528" s="713" t="s">
        <v>2578</v>
      </c>
      <c r="J2528" s="729" t="s">
        <v>6531</v>
      </c>
    </row>
    <row r="2529" spans="9:10">
      <c r="I2529" s="713" t="s">
        <v>1951</v>
      </c>
      <c r="J2529" s="729" t="s">
        <v>6532</v>
      </c>
    </row>
    <row r="2530" spans="9:10">
      <c r="I2530" s="713" t="s">
        <v>1933</v>
      </c>
      <c r="J2530" s="729" t="s">
        <v>6533</v>
      </c>
    </row>
    <row r="2531" spans="9:10">
      <c r="I2531" s="713" t="s">
        <v>2278</v>
      </c>
      <c r="J2531" s="729" t="s">
        <v>6534</v>
      </c>
    </row>
    <row r="2532" spans="9:10">
      <c r="I2532" s="713" t="s">
        <v>1168</v>
      </c>
      <c r="J2532" s="729" t="s">
        <v>6535</v>
      </c>
    </row>
    <row r="2533" spans="9:10">
      <c r="I2533" s="713" t="s">
        <v>4064</v>
      </c>
      <c r="J2533" s="729" t="s">
        <v>6536</v>
      </c>
    </row>
    <row r="2534" spans="9:10">
      <c r="I2534" s="713" t="s">
        <v>4065</v>
      </c>
      <c r="J2534" s="729" t="s">
        <v>6538</v>
      </c>
    </row>
    <row r="2535" spans="9:10">
      <c r="I2535" s="713" t="s">
        <v>2357</v>
      </c>
      <c r="J2535" s="729" t="s">
        <v>6539</v>
      </c>
    </row>
    <row r="2536" spans="9:10">
      <c r="I2536" s="713" t="s">
        <v>2374</v>
      </c>
      <c r="J2536" s="729" t="s">
        <v>6540</v>
      </c>
    </row>
    <row r="2537" spans="9:10">
      <c r="I2537" s="713" t="s">
        <v>2499</v>
      </c>
      <c r="J2537" s="729" t="s">
        <v>6541</v>
      </c>
    </row>
    <row r="2538" spans="9:10">
      <c r="I2538" s="713" t="s">
        <v>2291</v>
      </c>
      <c r="J2538" s="729" t="s">
        <v>6542</v>
      </c>
    </row>
    <row r="2539" spans="9:10">
      <c r="I2539" s="713" t="s">
        <v>3043</v>
      </c>
      <c r="J2539" s="729" t="s">
        <v>6543</v>
      </c>
    </row>
    <row r="2540" spans="9:10">
      <c r="I2540" s="713" t="s">
        <v>2738</v>
      </c>
      <c r="J2540" s="729" t="s">
        <v>6544</v>
      </c>
    </row>
    <row r="2541" spans="9:10">
      <c r="I2541" s="713" t="s">
        <v>3325</v>
      </c>
      <c r="J2541" s="729" t="s">
        <v>6545</v>
      </c>
    </row>
    <row r="2542" spans="9:10">
      <c r="I2542" s="713" t="s">
        <v>4066</v>
      </c>
      <c r="J2542" s="729" t="s">
        <v>6546</v>
      </c>
    </row>
    <row r="2543" spans="9:10">
      <c r="I2543" s="713" t="s">
        <v>1899</v>
      </c>
      <c r="J2543" s="729" t="s">
        <v>6547</v>
      </c>
    </row>
    <row r="2544" spans="9:10">
      <c r="I2544" s="713" t="s">
        <v>2312</v>
      </c>
      <c r="J2544" s="729" t="s">
        <v>6548</v>
      </c>
    </row>
    <row r="2545" spans="9:10">
      <c r="I2545" s="713" t="s">
        <v>2237</v>
      </c>
      <c r="J2545" s="729" t="s">
        <v>6549</v>
      </c>
    </row>
    <row r="2546" spans="9:10">
      <c r="I2546" s="713" t="s">
        <v>3319</v>
      </c>
      <c r="J2546" s="729" t="s">
        <v>6550</v>
      </c>
    </row>
    <row r="2547" spans="9:10">
      <c r="I2547" s="713" t="s">
        <v>3366</v>
      </c>
      <c r="J2547" s="729" t="s">
        <v>6551</v>
      </c>
    </row>
    <row r="2548" spans="9:10">
      <c r="I2548" s="713" t="s">
        <v>4067</v>
      </c>
      <c r="J2548" s="729" t="s">
        <v>6552</v>
      </c>
    </row>
    <row r="2549" spans="9:10">
      <c r="I2549" s="713" t="s">
        <v>4068</v>
      </c>
      <c r="J2549" s="729" t="s">
        <v>6553</v>
      </c>
    </row>
    <row r="2550" spans="9:10">
      <c r="I2550" s="713" t="s">
        <v>4069</v>
      </c>
      <c r="J2550" s="729" t="s">
        <v>6554</v>
      </c>
    </row>
    <row r="2551" spans="9:10">
      <c r="I2551" s="713" t="s">
        <v>4070</v>
      </c>
      <c r="J2551" s="729" t="s">
        <v>6555</v>
      </c>
    </row>
    <row r="2552" spans="9:10">
      <c r="I2552" s="713" t="s">
        <v>4071</v>
      </c>
      <c r="J2552" s="729" t="s">
        <v>6556</v>
      </c>
    </row>
    <row r="2553" spans="9:10">
      <c r="I2553" s="713" t="s">
        <v>4072</v>
      </c>
      <c r="J2553" s="729" t="s">
        <v>6557</v>
      </c>
    </row>
    <row r="2554" spans="9:10">
      <c r="I2554" s="713" t="s">
        <v>4073</v>
      </c>
      <c r="J2554" s="729" t="s">
        <v>6558</v>
      </c>
    </row>
    <row r="2555" spans="9:10">
      <c r="I2555" s="713" t="s">
        <v>3059</v>
      </c>
      <c r="J2555" s="729" t="s">
        <v>6559</v>
      </c>
    </row>
    <row r="2556" spans="9:10">
      <c r="I2556" s="713" t="s">
        <v>3062</v>
      </c>
      <c r="J2556" s="729" t="s">
        <v>6560</v>
      </c>
    </row>
    <row r="2557" spans="9:10">
      <c r="I2557" s="713" t="s">
        <v>3357</v>
      </c>
      <c r="J2557" s="729" t="s">
        <v>6561</v>
      </c>
    </row>
    <row r="2558" spans="9:10">
      <c r="I2558" s="713" t="s">
        <v>3343</v>
      </c>
      <c r="J2558" s="729" t="s">
        <v>6562</v>
      </c>
    </row>
    <row r="2559" spans="9:10">
      <c r="I2559" s="713" t="s">
        <v>1012</v>
      </c>
      <c r="J2559" s="729" t="s">
        <v>6563</v>
      </c>
    </row>
    <row r="2560" spans="9:10">
      <c r="I2560" s="713" t="s">
        <v>1416</v>
      </c>
      <c r="J2560" s="729" t="s">
        <v>6564</v>
      </c>
    </row>
    <row r="2561" spans="9:10">
      <c r="I2561" s="713" t="s">
        <v>1286</v>
      </c>
      <c r="J2561" s="729" t="s">
        <v>6565</v>
      </c>
    </row>
    <row r="2562" spans="9:10">
      <c r="I2562" s="713" t="s">
        <v>1202</v>
      </c>
      <c r="J2562" s="729" t="s">
        <v>6566</v>
      </c>
    </row>
    <row r="2563" spans="9:10">
      <c r="I2563" s="713" t="s">
        <v>1531</v>
      </c>
      <c r="J2563" s="729" t="s">
        <v>6567</v>
      </c>
    </row>
    <row r="2564" spans="9:10">
      <c r="I2564" s="713" t="s">
        <v>1208</v>
      </c>
      <c r="J2564" s="729" t="s">
        <v>6568</v>
      </c>
    </row>
    <row r="2565" spans="9:10">
      <c r="I2565" s="713" t="s">
        <v>1515</v>
      </c>
      <c r="J2565" s="729" t="s">
        <v>6569</v>
      </c>
    </row>
    <row r="2566" spans="9:10">
      <c r="I2566" s="713" t="s">
        <v>1213</v>
      </c>
      <c r="J2566" s="729" t="s">
        <v>6570</v>
      </c>
    </row>
    <row r="2567" spans="9:10">
      <c r="I2567" s="713" t="s">
        <v>4074</v>
      </c>
      <c r="J2567" s="729" t="s">
        <v>6571</v>
      </c>
    </row>
    <row r="2568" spans="9:10">
      <c r="I2568" s="713" t="s">
        <v>3254</v>
      </c>
      <c r="J2568" s="729" t="s">
        <v>6572</v>
      </c>
    </row>
    <row r="2569" spans="9:10">
      <c r="I2569" s="713" t="s">
        <v>1702</v>
      </c>
      <c r="J2569" s="729" t="s">
        <v>6573</v>
      </c>
    </row>
    <row r="2570" spans="9:10">
      <c r="I2570" s="713" t="s">
        <v>2272</v>
      </c>
      <c r="J2570" s="729" t="s">
        <v>6574</v>
      </c>
    </row>
    <row r="2571" spans="9:10">
      <c r="I2571" s="713" t="s">
        <v>1713</v>
      </c>
      <c r="J2571" s="729" t="s">
        <v>6575</v>
      </c>
    </row>
    <row r="2572" spans="9:10">
      <c r="I2572" s="713" t="s">
        <v>1039</v>
      </c>
      <c r="J2572" s="729" t="s">
        <v>6576</v>
      </c>
    </row>
    <row r="2573" spans="9:10">
      <c r="I2573" s="713" t="s">
        <v>1697</v>
      </c>
      <c r="J2573" s="729" t="s">
        <v>6577</v>
      </c>
    </row>
    <row r="2574" spans="9:10">
      <c r="I2574" s="713" t="s">
        <v>2549</v>
      </c>
      <c r="J2574" s="729" t="s">
        <v>6578</v>
      </c>
    </row>
    <row r="2575" spans="9:10">
      <c r="I2575" s="713" t="s">
        <v>2472</v>
      </c>
      <c r="J2575" s="729" t="s">
        <v>6579</v>
      </c>
    </row>
    <row r="2576" spans="9:10">
      <c r="I2576" s="713" t="s">
        <v>4075</v>
      </c>
      <c r="J2576" s="729" t="s">
        <v>6580</v>
      </c>
    </row>
    <row r="2577" spans="9:10">
      <c r="I2577" s="713" t="s">
        <v>4076</v>
      </c>
      <c r="J2577" s="729" t="s">
        <v>6581</v>
      </c>
    </row>
    <row r="2578" spans="9:10">
      <c r="I2578" s="713" t="s">
        <v>2562</v>
      </c>
      <c r="J2578" s="729" t="s">
        <v>6582</v>
      </c>
    </row>
    <row r="2579" spans="9:10">
      <c r="I2579" s="713" t="s">
        <v>2668</v>
      </c>
      <c r="J2579" s="729" t="s">
        <v>6583</v>
      </c>
    </row>
    <row r="2580" spans="9:10">
      <c r="I2580" s="713" t="s">
        <v>3053</v>
      </c>
      <c r="J2580" s="729" t="s">
        <v>6584</v>
      </c>
    </row>
    <row r="2581" spans="9:10">
      <c r="I2581" s="713" t="s">
        <v>1106</v>
      </c>
      <c r="J2581" s="729" t="s">
        <v>6585</v>
      </c>
    </row>
    <row r="2582" spans="9:10">
      <c r="I2582" s="713" t="s">
        <v>6954</v>
      </c>
      <c r="J2582" s="729" t="s">
        <v>7071</v>
      </c>
    </row>
    <row r="2583" spans="9:10">
      <c r="I2583" s="713" t="s">
        <v>1600</v>
      </c>
      <c r="J2583" s="729" t="s">
        <v>6586</v>
      </c>
    </row>
    <row r="2584" spans="9:10">
      <c r="I2584" s="713" t="s">
        <v>6955</v>
      </c>
      <c r="J2584" s="729" t="s">
        <v>7072</v>
      </c>
    </row>
    <row r="2585" spans="9:10">
      <c r="I2585" s="713" t="s">
        <v>4077</v>
      </c>
      <c r="J2585" s="729" t="s">
        <v>6587</v>
      </c>
    </row>
    <row r="2586" spans="9:10">
      <c r="I2586" s="713" t="s">
        <v>2535</v>
      </c>
      <c r="J2586" s="729" t="s">
        <v>6588</v>
      </c>
    </row>
    <row r="2587" spans="9:10">
      <c r="I2587" s="713" t="s">
        <v>4086</v>
      </c>
      <c r="J2587" s="729" t="s">
        <v>6637</v>
      </c>
    </row>
    <row r="2588" spans="9:10">
      <c r="I2588" s="713" t="s">
        <v>2532</v>
      </c>
      <c r="J2588" s="729" t="s">
        <v>6589</v>
      </c>
    </row>
    <row r="2589" spans="9:10">
      <c r="I2589" s="713" t="s">
        <v>1064</v>
      </c>
      <c r="J2589" s="729" t="s">
        <v>6590</v>
      </c>
    </row>
    <row r="2590" spans="9:10">
      <c r="I2590" s="713" t="s">
        <v>2078</v>
      </c>
      <c r="J2590" s="729" t="s">
        <v>6591</v>
      </c>
    </row>
    <row r="2591" spans="9:10">
      <c r="I2591" s="713" t="s">
        <v>2138</v>
      </c>
      <c r="J2591" s="729" t="s">
        <v>6592</v>
      </c>
    </row>
    <row r="2592" spans="9:10">
      <c r="I2592" s="713" t="s">
        <v>1071</v>
      </c>
      <c r="J2592" s="729" t="s">
        <v>6639</v>
      </c>
    </row>
    <row r="2593" spans="9:10">
      <c r="I2593" s="713" t="s">
        <v>6956</v>
      </c>
      <c r="J2593" s="729" t="s">
        <v>7073</v>
      </c>
    </row>
    <row r="2594" spans="9:10">
      <c r="I2594" s="713" t="s">
        <v>1492</v>
      </c>
      <c r="J2594" s="729" t="s">
        <v>6593</v>
      </c>
    </row>
    <row r="2595" spans="9:10">
      <c r="I2595" s="713" t="s">
        <v>2112</v>
      </c>
      <c r="J2595" s="729" t="s">
        <v>6594</v>
      </c>
    </row>
    <row r="2596" spans="9:10">
      <c r="I2596" s="713" t="s">
        <v>1341</v>
      </c>
      <c r="J2596" s="729" t="s">
        <v>6595</v>
      </c>
    </row>
    <row r="2597" spans="9:10">
      <c r="I2597" s="713" t="s">
        <v>2680</v>
      </c>
      <c r="J2597" s="729" t="s">
        <v>6596</v>
      </c>
    </row>
    <row r="2598" spans="9:10">
      <c r="I2598" s="713" t="s">
        <v>4078</v>
      </c>
      <c r="J2598" s="729" t="s">
        <v>6597</v>
      </c>
    </row>
    <row r="2599" spans="9:10">
      <c r="I2599" s="713" t="s">
        <v>4079</v>
      </c>
      <c r="J2599" s="729" t="s">
        <v>6598</v>
      </c>
    </row>
    <row r="2600" spans="9:10">
      <c r="I2600" s="713" t="s">
        <v>1350</v>
      </c>
      <c r="J2600" s="729" t="s">
        <v>6599</v>
      </c>
    </row>
    <row r="2601" spans="9:10">
      <c r="I2601" s="713" t="s">
        <v>4080</v>
      </c>
      <c r="J2601" s="729" t="s">
        <v>6600</v>
      </c>
    </row>
    <row r="2602" spans="9:10">
      <c r="I2602" s="713" t="s">
        <v>2002</v>
      </c>
      <c r="J2602" s="729" t="s">
        <v>6601</v>
      </c>
    </row>
    <row r="2603" spans="9:10">
      <c r="I2603" s="713" t="s">
        <v>2330</v>
      </c>
      <c r="J2603" s="729" t="s">
        <v>6602</v>
      </c>
    </row>
    <row r="2604" spans="9:10">
      <c r="I2604" s="713" t="s">
        <v>2438</v>
      </c>
      <c r="J2604" s="729" t="s">
        <v>6603</v>
      </c>
    </row>
    <row r="2605" spans="9:10">
      <c r="I2605" s="713" t="s">
        <v>1510</v>
      </c>
      <c r="J2605" s="729" t="s">
        <v>6604</v>
      </c>
    </row>
    <row r="2606" spans="9:10">
      <c r="I2606" s="713" t="s">
        <v>1759</v>
      </c>
      <c r="J2606" s="729" t="s">
        <v>6605</v>
      </c>
    </row>
    <row r="2607" spans="9:10">
      <c r="I2607" s="713" t="s">
        <v>1169</v>
      </c>
      <c r="J2607" s="729" t="s">
        <v>6606</v>
      </c>
    </row>
    <row r="2608" spans="9:10">
      <c r="I2608" s="713" t="s">
        <v>2840</v>
      </c>
      <c r="J2608" s="729" t="s">
        <v>6608</v>
      </c>
    </row>
    <row r="2609" spans="9:10">
      <c r="I2609" s="713" t="s">
        <v>1381</v>
      </c>
      <c r="J2609" s="729" t="s">
        <v>6609</v>
      </c>
    </row>
    <row r="2610" spans="9:10">
      <c r="I2610" s="713" t="s">
        <v>1006</v>
      </c>
      <c r="J2610" s="729" t="s">
        <v>6610</v>
      </c>
    </row>
    <row r="2611" spans="9:10">
      <c r="I2611" s="713" t="s">
        <v>1936</v>
      </c>
      <c r="J2611" s="729" t="s">
        <v>6612</v>
      </c>
    </row>
    <row r="2612" spans="9:10">
      <c r="I2612" s="713" t="s">
        <v>2259</v>
      </c>
      <c r="J2612" s="729" t="s">
        <v>6613</v>
      </c>
    </row>
    <row r="2613" spans="9:10">
      <c r="I2613" s="713" t="s">
        <v>2698</v>
      </c>
      <c r="J2613" s="729" t="s">
        <v>6614</v>
      </c>
    </row>
    <row r="2614" spans="9:10">
      <c r="I2614" s="713" t="s">
        <v>3063</v>
      </c>
      <c r="J2614" s="729" t="s">
        <v>6615</v>
      </c>
    </row>
    <row r="2615" spans="9:10">
      <c r="I2615" s="713" t="s">
        <v>3037</v>
      </c>
      <c r="J2615" s="729" t="s">
        <v>6616</v>
      </c>
    </row>
    <row r="2616" spans="9:10">
      <c r="I2616" s="713" t="s">
        <v>1770</v>
      </c>
      <c r="J2616" s="729" t="s">
        <v>6617</v>
      </c>
    </row>
    <row r="2617" spans="9:10">
      <c r="I2617" s="713" t="s">
        <v>1579</v>
      </c>
      <c r="J2617" s="729" t="s">
        <v>6618</v>
      </c>
    </row>
    <row r="2618" spans="9:10">
      <c r="I2618" s="713" t="s">
        <v>3363</v>
      </c>
      <c r="J2618" s="729" t="s">
        <v>6619</v>
      </c>
    </row>
    <row r="2619" spans="9:10">
      <c r="I2619" s="713" t="s">
        <v>4081</v>
      </c>
      <c r="J2619" s="729" t="s">
        <v>6620</v>
      </c>
    </row>
    <row r="2620" spans="9:10">
      <c r="I2620" s="713" t="s">
        <v>4082</v>
      </c>
      <c r="J2620" s="729" t="s">
        <v>6621</v>
      </c>
    </row>
    <row r="2621" spans="9:10">
      <c r="I2621" s="713" t="s">
        <v>4083</v>
      </c>
      <c r="J2621" s="729" t="s">
        <v>6622</v>
      </c>
    </row>
    <row r="2622" spans="9:10">
      <c r="I2622" s="713" t="s">
        <v>4084</v>
      </c>
      <c r="J2622" s="729" t="s">
        <v>6623</v>
      </c>
    </row>
    <row r="2623" spans="9:10">
      <c r="I2623" s="713" t="s">
        <v>4085</v>
      </c>
      <c r="J2623" s="729" t="s">
        <v>6624</v>
      </c>
    </row>
    <row r="2624" spans="9:10">
      <c r="I2624" s="713" t="s">
        <v>2647</v>
      </c>
      <c r="J2624" s="729" t="s">
        <v>6625</v>
      </c>
    </row>
    <row r="2625" spans="9:10">
      <c r="I2625" s="713" t="s">
        <v>3018</v>
      </c>
      <c r="J2625" s="729" t="s">
        <v>6626</v>
      </c>
    </row>
    <row r="2626" spans="9:10">
      <c r="I2626" s="713" t="s">
        <v>1873</v>
      </c>
      <c r="J2626" s="729" t="s">
        <v>6627</v>
      </c>
    </row>
    <row r="2627" spans="9:10">
      <c r="I2627" s="713" t="s">
        <v>1575</v>
      </c>
      <c r="J2627" s="729" t="s">
        <v>6628</v>
      </c>
    </row>
    <row r="2628" spans="9:10">
      <c r="I2628" s="713" t="s">
        <v>1303</v>
      </c>
      <c r="J2628" s="729" t="s">
        <v>6629</v>
      </c>
    </row>
    <row r="2629" spans="9:10">
      <c r="I2629" s="713" t="s">
        <v>1672</v>
      </c>
      <c r="J2629" s="729" t="s">
        <v>6630</v>
      </c>
    </row>
    <row r="2630" spans="9:10">
      <c r="I2630" s="713" t="s">
        <v>2762</v>
      </c>
      <c r="J2630" s="729" t="s">
        <v>6631</v>
      </c>
    </row>
    <row r="2631" spans="9:10">
      <c r="I2631" s="713" t="s">
        <v>1248</v>
      </c>
      <c r="J2631" s="729" t="s">
        <v>6632</v>
      </c>
    </row>
    <row r="2632" spans="9:10">
      <c r="I2632" s="713" t="s">
        <v>2889</v>
      </c>
      <c r="J2632" s="729" t="s">
        <v>6633</v>
      </c>
    </row>
    <row r="2633" spans="9:10">
      <c r="I2633" s="713" t="s">
        <v>1057</v>
      </c>
      <c r="J2633" s="729" t="s">
        <v>6634</v>
      </c>
    </row>
    <row r="2634" spans="9:10">
      <c r="I2634" s="713" t="s">
        <v>2444</v>
      </c>
      <c r="J2634" s="729" t="s">
        <v>6635</v>
      </c>
    </row>
    <row r="2635" spans="9:10">
      <c r="I2635" s="713" t="s">
        <v>1390</v>
      </c>
      <c r="J2635" s="729" t="s">
        <v>6636</v>
      </c>
    </row>
    <row r="2636" spans="9:10">
      <c r="I2636" s="713" t="s">
        <v>2054</v>
      </c>
      <c r="J2636" s="729" t="s">
        <v>6640</v>
      </c>
    </row>
    <row r="2637" spans="9:10">
      <c r="I2637" s="713" t="s">
        <v>1657</v>
      </c>
      <c r="J2637" s="729" t="s">
        <v>6641</v>
      </c>
    </row>
    <row r="2638" spans="9:10">
      <c r="I2638" s="713" t="s">
        <v>4087</v>
      </c>
      <c r="J2638" s="729" t="s">
        <v>6638</v>
      </c>
    </row>
    <row r="2639" spans="9:10">
      <c r="I2639" s="713" t="s">
        <v>2436</v>
      </c>
      <c r="J2639" s="729" t="s">
        <v>6642</v>
      </c>
    </row>
    <row r="2640" spans="9:10">
      <c r="I2640" s="713" t="s">
        <v>4088</v>
      </c>
      <c r="J2640" s="729" t="s">
        <v>6643</v>
      </c>
    </row>
    <row r="2641" spans="9:10">
      <c r="I2641" s="713" t="s">
        <v>1048</v>
      </c>
      <c r="J2641" s="729" t="s">
        <v>6644</v>
      </c>
    </row>
    <row r="2642" spans="9:10">
      <c r="I2642" s="713" t="s">
        <v>2164</v>
      </c>
      <c r="J2642" s="729" t="s">
        <v>6645</v>
      </c>
    </row>
    <row r="2643" spans="9:10">
      <c r="I2643" s="713" t="s">
        <v>2293</v>
      </c>
      <c r="J2643" s="729" t="s">
        <v>6646</v>
      </c>
    </row>
    <row r="2644" spans="9:10">
      <c r="I2644" s="713" t="s">
        <v>1398</v>
      </c>
      <c r="J2644" s="729" t="s">
        <v>6647</v>
      </c>
    </row>
    <row r="2645" spans="9:10">
      <c r="I2645" s="713" t="s">
        <v>2503</v>
      </c>
      <c r="J2645" s="729" t="s">
        <v>6648</v>
      </c>
    </row>
    <row r="2646" spans="9:10">
      <c r="I2646" s="713" t="s">
        <v>1820</v>
      </c>
      <c r="J2646" s="729" t="s">
        <v>6649</v>
      </c>
    </row>
    <row r="2647" spans="9:10">
      <c r="I2647" s="713" t="s">
        <v>1688</v>
      </c>
      <c r="J2647" s="729" t="s">
        <v>6650</v>
      </c>
    </row>
    <row r="2648" spans="9:10">
      <c r="I2648" s="713" t="s">
        <v>2480</v>
      </c>
      <c r="J2648" s="729" t="s">
        <v>6651</v>
      </c>
    </row>
    <row r="2649" spans="9:10">
      <c r="I2649" s="713" t="s">
        <v>2458</v>
      </c>
      <c r="J2649" s="729" t="s">
        <v>6652</v>
      </c>
    </row>
    <row r="2650" spans="9:10">
      <c r="I2650" s="713" t="s">
        <v>2211</v>
      </c>
      <c r="J2650" s="729" t="s">
        <v>6653</v>
      </c>
    </row>
    <row r="2651" spans="9:10">
      <c r="I2651" s="713" t="s">
        <v>1173</v>
      </c>
      <c r="J2651" s="729" t="s">
        <v>6654</v>
      </c>
    </row>
    <row r="2652" spans="9:10">
      <c r="I2652" s="713" t="s">
        <v>1083</v>
      </c>
      <c r="J2652" s="729" t="s">
        <v>6655</v>
      </c>
    </row>
    <row r="2653" spans="9:10">
      <c r="I2653" s="713" t="s">
        <v>1065</v>
      </c>
      <c r="J2653" s="729" t="s">
        <v>6656</v>
      </c>
    </row>
    <row r="2654" spans="9:10">
      <c r="I2654" s="713" t="s">
        <v>4089</v>
      </c>
      <c r="J2654" s="729" t="s">
        <v>6657</v>
      </c>
    </row>
    <row r="2655" spans="9:10">
      <c r="I2655" s="713" t="s">
        <v>2522</v>
      </c>
      <c r="J2655" s="729" t="s">
        <v>6658</v>
      </c>
    </row>
    <row r="2656" spans="9:10">
      <c r="I2656" s="713" t="s">
        <v>1147</v>
      </c>
      <c r="J2656" s="729" t="s">
        <v>6659</v>
      </c>
    </row>
    <row r="2657" spans="9:10">
      <c r="I2657" s="713" t="s">
        <v>4090</v>
      </c>
      <c r="J2657" s="729" t="s">
        <v>6660</v>
      </c>
    </row>
    <row r="2658" spans="9:10">
      <c r="I2658" s="713" t="s">
        <v>1251</v>
      </c>
      <c r="J2658" s="729" t="s">
        <v>6661</v>
      </c>
    </row>
    <row r="2659" spans="9:10">
      <c r="I2659" s="713" t="s">
        <v>2968</v>
      </c>
      <c r="J2659" s="729" t="s">
        <v>6662</v>
      </c>
    </row>
    <row r="2660" spans="9:10">
      <c r="I2660" s="713" t="s">
        <v>4091</v>
      </c>
      <c r="J2660" s="729" t="s">
        <v>6663</v>
      </c>
    </row>
    <row r="2661" spans="9:10">
      <c r="I2661" s="713" t="s">
        <v>1275</v>
      </c>
      <c r="J2661" s="729" t="s">
        <v>6664</v>
      </c>
    </row>
    <row r="2662" spans="9:10">
      <c r="I2662" s="713" t="s">
        <v>2966</v>
      </c>
      <c r="J2662" s="729" t="s">
        <v>6665</v>
      </c>
    </row>
    <row r="2663" spans="9:10">
      <c r="I2663" s="713" t="s">
        <v>1687</v>
      </c>
      <c r="J2663" s="729" t="s">
        <v>6666</v>
      </c>
    </row>
    <row r="2664" spans="9:10">
      <c r="I2664" s="713" t="s">
        <v>3028</v>
      </c>
      <c r="J2664" s="729" t="s">
        <v>6667</v>
      </c>
    </row>
    <row r="2665" spans="9:10">
      <c r="I2665" s="713" t="s">
        <v>2306</v>
      </c>
      <c r="J2665" s="729" t="s">
        <v>6668</v>
      </c>
    </row>
    <row r="2666" spans="9:10">
      <c r="I2666" s="713" t="s">
        <v>3282</v>
      </c>
      <c r="J2666" s="729" t="s">
        <v>6669</v>
      </c>
    </row>
    <row r="2667" spans="9:10">
      <c r="I2667" s="713" t="s">
        <v>3047</v>
      </c>
      <c r="J2667" s="729" t="s">
        <v>6670</v>
      </c>
    </row>
    <row r="2668" spans="9:10">
      <c r="I2668" s="713" t="s">
        <v>1534</v>
      </c>
      <c r="J2668" s="729" t="s">
        <v>6671</v>
      </c>
    </row>
    <row r="2669" spans="9:10">
      <c r="I2669" s="713" t="s">
        <v>1094</v>
      </c>
      <c r="J2669" s="729" t="s">
        <v>6672</v>
      </c>
    </row>
    <row r="2670" spans="9:10">
      <c r="I2670" s="713" t="s">
        <v>1861</v>
      </c>
      <c r="J2670" s="729" t="s">
        <v>6673</v>
      </c>
    </row>
    <row r="2671" spans="9:10">
      <c r="I2671" s="713" t="s">
        <v>2074</v>
      </c>
      <c r="J2671" s="729" t="s">
        <v>6674</v>
      </c>
    </row>
    <row r="2672" spans="9:10">
      <c r="I2672" s="713" t="s">
        <v>2240</v>
      </c>
      <c r="J2672" s="729" t="s">
        <v>6675</v>
      </c>
    </row>
    <row r="2673" spans="9:10">
      <c r="I2673" s="713" t="s">
        <v>2402</v>
      </c>
      <c r="J2673" s="729" t="s">
        <v>6676</v>
      </c>
    </row>
    <row r="2674" spans="9:10">
      <c r="I2674" s="713" t="s">
        <v>2326</v>
      </c>
      <c r="J2674" s="729" t="s">
        <v>6677</v>
      </c>
    </row>
    <row r="2675" spans="9:10">
      <c r="I2675" s="713" t="s">
        <v>2029</v>
      </c>
      <c r="J2675" s="729" t="s">
        <v>6678</v>
      </c>
    </row>
    <row r="2676" spans="9:10">
      <c r="I2676" s="713" t="s">
        <v>1569</v>
      </c>
      <c r="J2676" s="729" t="s">
        <v>6679</v>
      </c>
    </row>
    <row r="2677" spans="9:10">
      <c r="I2677" s="713" t="s">
        <v>4092</v>
      </c>
      <c r="J2677" s="729" t="s">
        <v>6680</v>
      </c>
    </row>
    <row r="2678" spans="9:10">
      <c r="I2678" s="713" t="s">
        <v>1860</v>
      </c>
      <c r="J2678" s="729" t="s">
        <v>6681</v>
      </c>
    </row>
    <row r="2679" spans="9:10">
      <c r="I2679" s="713" t="s">
        <v>1637</v>
      </c>
      <c r="J2679" s="729" t="s">
        <v>6682</v>
      </c>
    </row>
    <row r="2680" spans="9:10">
      <c r="I2680" s="713" t="s">
        <v>2053</v>
      </c>
      <c r="J2680" s="729" t="s">
        <v>6683</v>
      </c>
    </row>
    <row r="2681" spans="9:10">
      <c r="I2681" s="713" t="s">
        <v>6957</v>
      </c>
      <c r="J2681" s="729" t="s">
        <v>7074</v>
      </c>
    </row>
    <row r="2682" spans="9:10">
      <c r="I2682" s="713" t="s">
        <v>1047</v>
      </c>
      <c r="J2682" s="729" t="s">
        <v>6684</v>
      </c>
    </row>
    <row r="2683" spans="9:10">
      <c r="I2683" s="713" t="s">
        <v>1242</v>
      </c>
      <c r="J2683" s="729" t="s">
        <v>6685</v>
      </c>
    </row>
    <row r="2684" spans="9:10">
      <c r="I2684" s="713" t="s">
        <v>4093</v>
      </c>
      <c r="J2684" s="729" t="s">
        <v>6686</v>
      </c>
    </row>
    <row r="2685" spans="9:10">
      <c r="I2685" s="713" t="s">
        <v>4094</v>
      </c>
      <c r="J2685" s="729" t="s">
        <v>6687</v>
      </c>
    </row>
    <row r="2686" spans="9:10">
      <c r="I2686" s="713" t="s">
        <v>2689</v>
      </c>
      <c r="J2686" s="729" t="s">
        <v>6688</v>
      </c>
    </row>
    <row r="2687" spans="9:10">
      <c r="I2687" s="713" t="s">
        <v>2446</v>
      </c>
      <c r="J2687" s="729" t="s">
        <v>6689</v>
      </c>
    </row>
    <row r="2688" spans="9:10">
      <c r="I2688" s="713" t="s">
        <v>1403</v>
      </c>
      <c r="J2688" s="729" t="s">
        <v>6690</v>
      </c>
    </row>
    <row r="2689" spans="9:10">
      <c r="I2689" s="713" t="s">
        <v>1207</v>
      </c>
      <c r="J2689" s="729" t="s">
        <v>6691</v>
      </c>
    </row>
    <row r="2690" spans="9:10">
      <c r="I2690" s="713" t="s">
        <v>2276</v>
      </c>
      <c r="J2690" s="729" t="s">
        <v>6692</v>
      </c>
    </row>
    <row r="2691" spans="9:10">
      <c r="I2691" s="713" t="s">
        <v>1424</v>
      </c>
      <c r="J2691" s="729" t="s">
        <v>6693</v>
      </c>
    </row>
    <row r="2692" spans="9:10">
      <c r="I2692" s="713" t="s">
        <v>1463</v>
      </c>
      <c r="J2692" s="729" t="s">
        <v>6694</v>
      </c>
    </row>
    <row r="2693" spans="9:10">
      <c r="I2693" s="713" t="s">
        <v>2673</v>
      </c>
      <c r="J2693" s="729" t="s">
        <v>6695</v>
      </c>
    </row>
    <row r="2694" spans="9:10">
      <c r="I2694" s="713" t="s">
        <v>1144</v>
      </c>
      <c r="J2694" s="729" t="s">
        <v>6696</v>
      </c>
    </row>
    <row r="2695" spans="9:10">
      <c r="I2695" s="713" t="s">
        <v>1107</v>
      </c>
      <c r="J2695" s="729" t="s">
        <v>6611</v>
      </c>
    </row>
    <row r="2696" spans="9:10">
      <c r="I2696" s="713" t="s">
        <v>1507</v>
      </c>
      <c r="J2696" s="729" t="s">
        <v>6697</v>
      </c>
    </row>
    <row r="2697" spans="9:10">
      <c r="I2697" s="713" t="s">
        <v>3330</v>
      </c>
      <c r="J2697" s="729" t="s">
        <v>6698</v>
      </c>
    </row>
    <row r="2698" spans="9:10">
      <c r="I2698" s="713" t="s">
        <v>4095</v>
      </c>
      <c r="J2698" s="729" t="s">
        <v>6699</v>
      </c>
    </row>
    <row r="2699" spans="9:10">
      <c r="I2699" s="713" t="s">
        <v>4096</v>
      </c>
      <c r="J2699" s="729" t="s">
        <v>6700</v>
      </c>
    </row>
    <row r="2700" spans="9:10">
      <c r="I2700" s="713" t="s">
        <v>1419</v>
      </c>
      <c r="J2700" s="729" t="s">
        <v>6701</v>
      </c>
    </row>
    <row r="2701" spans="9:10">
      <c r="I2701" s="713" t="s">
        <v>2114</v>
      </c>
      <c r="J2701" s="729" t="s">
        <v>6702</v>
      </c>
    </row>
    <row r="2702" spans="9:10">
      <c r="I2702" s="713" t="s">
        <v>1055</v>
      </c>
      <c r="J2702" s="729" t="s">
        <v>6703</v>
      </c>
    </row>
    <row r="2703" spans="9:10">
      <c r="I2703" s="713" t="s">
        <v>6958</v>
      </c>
      <c r="J2703" s="729" t="s">
        <v>7075</v>
      </c>
    </row>
    <row r="2704" spans="9:10">
      <c r="I2704" s="713" t="s">
        <v>2718</v>
      </c>
      <c r="J2704" s="729" t="s">
        <v>6704</v>
      </c>
    </row>
    <row r="2705" spans="9:10">
      <c r="I2705" s="713" t="s">
        <v>2971</v>
      </c>
      <c r="J2705" s="729" t="s">
        <v>6705</v>
      </c>
    </row>
    <row r="2706" spans="9:10">
      <c r="I2706" s="713" t="s">
        <v>2364</v>
      </c>
      <c r="J2706" s="729" t="s">
        <v>6706</v>
      </c>
    </row>
    <row r="2707" spans="9:10">
      <c r="I2707" s="713" t="s">
        <v>2033</v>
      </c>
      <c r="J2707" s="729" t="s">
        <v>6707</v>
      </c>
    </row>
    <row r="2708" spans="9:10">
      <c r="I2708" s="713" t="s">
        <v>2044</v>
      </c>
      <c r="J2708" s="729" t="s">
        <v>6708</v>
      </c>
    </row>
    <row r="2709" spans="9:10">
      <c r="I2709" s="713" t="s">
        <v>2246</v>
      </c>
      <c r="J2709" s="729" t="s">
        <v>6709</v>
      </c>
    </row>
    <row r="2710" spans="9:10">
      <c r="I2710" s="713" t="s">
        <v>1117</v>
      </c>
      <c r="J2710" s="729" t="s">
        <v>6712</v>
      </c>
    </row>
    <row r="2711" spans="9:10">
      <c r="I2711" s="713" t="s">
        <v>6959</v>
      </c>
      <c r="J2711" s="729" t="s">
        <v>7076</v>
      </c>
    </row>
    <row r="2712" spans="9:10">
      <c r="I2712" s="713" t="s">
        <v>3383</v>
      </c>
      <c r="J2712" s="729" t="s">
        <v>6710</v>
      </c>
    </row>
    <row r="2713" spans="9:10">
      <c r="I2713" s="713" t="s">
        <v>6960</v>
      </c>
      <c r="J2713" s="729" t="s">
        <v>7077</v>
      </c>
    </row>
    <row r="2714" spans="9:10">
      <c r="I2714" s="713" t="s">
        <v>4097</v>
      </c>
      <c r="J2714" s="729" t="s">
        <v>6711</v>
      </c>
    </row>
    <row r="2715" spans="9:10">
      <c r="I2715" s="713" t="s">
        <v>1113</v>
      </c>
      <c r="J2715" s="729" t="s">
        <v>6713</v>
      </c>
    </row>
    <row r="2716" spans="9:10">
      <c r="I2716" s="713" t="s">
        <v>1365</v>
      </c>
      <c r="J2716" s="729" t="s">
        <v>6714</v>
      </c>
    </row>
    <row r="2717" spans="9:10">
      <c r="I2717" s="713" t="s">
        <v>1033</v>
      </c>
      <c r="J2717" s="729" t="s">
        <v>6716</v>
      </c>
    </row>
    <row r="2718" spans="9:10">
      <c r="I2718" s="713" t="s">
        <v>4098</v>
      </c>
      <c r="J2718" s="729" t="s">
        <v>6715</v>
      </c>
    </row>
    <row r="2719" spans="9:10">
      <c r="I2719" s="713" t="s">
        <v>1090</v>
      </c>
      <c r="J2719" s="729" t="s">
        <v>6717</v>
      </c>
    </row>
    <row r="2720" spans="9:10">
      <c r="I2720" s="713" t="s">
        <v>1095</v>
      </c>
      <c r="J2720" s="729" t="s">
        <v>6718</v>
      </c>
    </row>
    <row r="2721" spans="9:10">
      <c r="I2721" s="713" t="s">
        <v>4099</v>
      </c>
      <c r="J2721" s="729" t="s">
        <v>6719</v>
      </c>
    </row>
    <row r="2722" spans="9:10">
      <c r="I2722" s="713" t="s">
        <v>4100</v>
      </c>
      <c r="J2722" s="729" t="s">
        <v>6720</v>
      </c>
    </row>
    <row r="2723" spans="9:10">
      <c r="I2723" s="713" t="s">
        <v>6961</v>
      </c>
      <c r="J2723" s="729" t="s">
        <v>7078</v>
      </c>
    </row>
    <row r="2724" spans="9:10">
      <c r="I2724" s="713" t="s">
        <v>1283</v>
      </c>
      <c r="J2724" s="729" t="s">
        <v>6722</v>
      </c>
    </row>
    <row r="2725" spans="9:10">
      <c r="I2725" s="713" t="s">
        <v>4101</v>
      </c>
      <c r="J2725" s="729" t="s">
        <v>6721</v>
      </c>
    </row>
    <row r="2726" spans="9:10">
      <c r="I2726" s="713" t="s">
        <v>3367</v>
      </c>
      <c r="J2726" s="729" t="s">
        <v>6723</v>
      </c>
    </row>
    <row r="2727" spans="9:10">
      <c r="I2727" s="713" t="s">
        <v>4102</v>
      </c>
      <c r="J2727" s="729" t="s">
        <v>6724</v>
      </c>
    </row>
    <row r="2728" spans="9:10">
      <c r="I2728" s="713" t="s">
        <v>1198</v>
      </c>
      <c r="J2728" s="729" t="s">
        <v>6725</v>
      </c>
    </row>
    <row r="2729" spans="9:10">
      <c r="I2729" s="713" t="s">
        <v>1593</v>
      </c>
      <c r="J2729" s="729" t="s">
        <v>6726</v>
      </c>
    </row>
    <row r="2730" spans="9:10">
      <c r="I2730" s="713" t="s">
        <v>4103</v>
      </c>
      <c r="J2730" s="729" t="s">
        <v>6727</v>
      </c>
    </row>
    <row r="2731" spans="9:10">
      <c r="I2731" s="713" t="s">
        <v>4104</v>
      </c>
      <c r="J2731" s="729" t="s">
        <v>6728</v>
      </c>
    </row>
    <row r="2732" spans="9:10">
      <c r="I2732" s="713" t="s">
        <v>2213</v>
      </c>
      <c r="J2732" s="729" t="s">
        <v>6729</v>
      </c>
    </row>
    <row r="2733" spans="9:10">
      <c r="I2733" s="713" t="s">
        <v>1793</v>
      </c>
      <c r="J2733" s="729" t="s">
        <v>6730</v>
      </c>
    </row>
    <row r="2734" spans="9:10">
      <c r="I2734" s="713" t="s">
        <v>2615</v>
      </c>
      <c r="J2734" s="729" t="s">
        <v>6731</v>
      </c>
    </row>
    <row r="2735" spans="9:10">
      <c r="I2735" s="713" t="s">
        <v>2517</v>
      </c>
      <c r="J2735" s="729" t="s">
        <v>6732</v>
      </c>
    </row>
    <row r="2736" spans="9:10">
      <c r="I2736" s="713" t="s">
        <v>3020</v>
      </c>
      <c r="J2736" s="729" t="s">
        <v>6733</v>
      </c>
    </row>
    <row r="2737" spans="9:10">
      <c r="I2737" s="713" t="s">
        <v>1854</v>
      </c>
      <c r="J2737" s="729" t="s">
        <v>6734</v>
      </c>
    </row>
    <row r="2738" spans="9:10">
      <c r="I2738" s="713" t="s">
        <v>1862</v>
      </c>
      <c r="J2738" s="729" t="s">
        <v>6735</v>
      </c>
    </row>
    <row r="2739" spans="9:10">
      <c r="I2739" s="713" t="s">
        <v>1209</v>
      </c>
      <c r="J2739" s="729" t="s">
        <v>6736</v>
      </c>
    </row>
    <row r="2740" spans="9:10">
      <c r="I2740" s="713" t="s">
        <v>1054</v>
      </c>
      <c r="J2740" s="729" t="s">
        <v>6738</v>
      </c>
    </row>
    <row r="2741" spans="9:10">
      <c r="I2741" s="713" t="s">
        <v>4105</v>
      </c>
      <c r="J2741" s="729" t="s">
        <v>6737</v>
      </c>
    </row>
    <row r="2742" spans="9:10">
      <c r="I2742" s="713" t="s">
        <v>2275</v>
      </c>
      <c r="J2742" s="729" t="s">
        <v>6739</v>
      </c>
    </row>
    <row r="2743" spans="9:10">
      <c r="I2743" s="713" t="s">
        <v>4106</v>
      </c>
      <c r="J2743" s="729" t="s">
        <v>6740</v>
      </c>
    </row>
    <row r="2744" spans="9:10">
      <c r="I2744" s="713" t="s">
        <v>1034</v>
      </c>
      <c r="J2744" s="729" t="s">
        <v>6741</v>
      </c>
    </row>
    <row r="2745" spans="9:10">
      <c r="I2745" s="713" t="s">
        <v>1110</v>
      </c>
      <c r="J2745" s="729" t="s">
        <v>6742</v>
      </c>
    </row>
    <row r="2746" spans="9:10">
      <c r="I2746" s="713" t="s">
        <v>1727</v>
      </c>
      <c r="J2746" s="729" t="s">
        <v>6743</v>
      </c>
    </row>
    <row r="2747" spans="9:10">
      <c r="I2747" s="713" t="s">
        <v>1002</v>
      </c>
      <c r="J2747" s="729" t="s">
        <v>6744</v>
      </c>
    </row>
    <row r="2748" spans="9:10">
      <c r="I2748" s="713" t="s">
        <v>1484</v>
      </c>
      <c r="J2748" s="729" t="s">
        <v>6745</v>
      </c>
    </row>
    <row r="2749" spans="9:10">
      <c r="I2749" s="713" t="s">
        <v>1204</v>
      </c>
      <c r="J2749" s="729" t="s">
        <v>6747</v>
      </c>
    </row>
    <row r="2750" spans="9:10">
      <c r="I2750" s="713" t="s">
        <v>1857</v>
      </c>
      <c r="J2750" s="729" t="s">
        <v>6746</v>
      </c>
    </row>
    <row r="2751" spans="9:10">
      <c r="I2751" s="713" t="s">
        <v>1130</v>
      </c>
      <c r="J2751" s="729" t="s">
        <v>6748</v>
      </c>
    </row>
    <row r="2752" spans="9:10">
      <c r="I2752" s="713" t="s">
        <v>1817</v>
      </c>
      <c r="J2752" s="729" t="s">
        <v>6749</v>
      </c>
    </row>
    <row r="2753" spans="9:10">
      <c r="I2753" s="713" t="s">
        <v>4107</v>
      </c>
      <c r="J2753" s="729" t="s">
        <v>6750</v>
      </c>
    </row>
    <row r="2754" spans="9:10">
      <c r="I2754" s="713" t="s">
        <v>2077</v>
      </c>
      <c r="J2754" s="729" t="s">
        <v>6751</v>
      </c>
    </row>
    <row r="2755" spans="9:10">
      <c r="I2755" s="713" t="s">
        <v>1921</v>
      </c>
      <c r="J2755" s="729" t="s">
        <v>6752</v>
      </c>
    </row>
    <row r="2756" spans="9:10">
      <c r="I2756" s="713" t="s">
        <v>2634</v>
      </c>
      <c r="J2756" s="729" t="s">
        <v>6753</v>
      </c>
    </row>
    <row r="2757" spans="9:10">
      <c r="I2757" s="713" t="s">
        <v>1181</v>
      </c>
      <c r="J2757" s="729" t="s">
        <v>6754</v>
      </c>
    </row>
    <row r="2758" spans="9:10">
      <c r="I2758" s="713" t="s">
        <v>1078</v>
      </c>
      <c r="J2758" s="729" t="s">
        <v>6755</v>
      </c>
    </row>
    <row r="2759" spans="9:10">
      <c r="I2759" s="713" t="s">
        <v>1153</v>
      </c>
      <c r="J2759" s="729" t="s">
        <v>6756</v>
      </c>
    </row>
    <row r="2760" spans="9:10">
      <c r="I2760" s="713" t="s">
        <v>1868</v>
      </c>
      <c r="J2760" s="729" t="s">
        <v>6757</v>
      </c>
    </row>
    <row r="2761" spans="9:10">
      <c r="I2761" s="713" t="s">
        <v>1051</v>
      </c>
      <c r="J2761" s="729" t="s">
        <v>6762</v>
      </c>
    </row>
    <row r="2762" spans="9:10">
      <c r="I2762" s="713" t="s">
        <v>3248</v>
      </c>
      <c r="J2762" s="729" t="s">
        <v>6763</v>
      </c>
    </row>
    <row r="2763" spans="9:10">
      <c r="I2763" s="713" t="s">
        <v>993</v>
      </c>
      <c r="J2763" s="729" t="s">
        <v>6761</v>
      </c>
    </row>
    <row r="2764" spans="9:10">
      <c r="I2764" s="713" t="s">
        <v>4109</v>
      </c>
      <c r="J2764" s="729" t="s">
        <v>6759</v>
      </c>
    </row>
    <row r="2765" spans="9:10">
      <c r="I2765" s="713" t="s">
        <v>4110</v>
      </c>
      <c r="J2765" s="729" t="s">
        <v>6760</v>
      </c>
    </row>
    <row r="2766" spans="9:10">
      <c r="I2766" s="713" t="s">
        <v>4108</v>
      </c>
      <c r="J2766" s="729" t="s">
        <v>6758</v>
      </c>
    </row>
    <row r="2767" spans="9:10">
      <c r="I2767" s="713" t="s">
        <v>1523</v>
      </c>
      <c r="J2767" s="729" t="s">
        <v>6764</v>
      </c>
    </row>
    <row r="2768" spans="9:10">
      <c r="I2768" s="713" t="s">
        <v>1825</v>
      </c>
      <c r="J2768" s="729" t="s">
        <v>6765</v>
      </c>
    </row>
    <row r="2769" spans="9:10">
      <c r="I2769" s="713" t="s">
        <v>2376</v>
      </c>
      <c r="J2769" s="729" t="s">
        <v>6766</v>
      </c>
    </row>
    <row r="2770" spans="9:10">
      <c r="I2770" s="713" t="s">
        <v>1599</v>
      </c>
      <c r="J2770" s="729" t="s">
        <v>6767</v>
      </c>
    </row>
    <row r="2771" spans="9:10">
      <c r="I2771" s="713" t="s">
        <v>1081</v>
      </c>
      <c r="J2771" s="729" t="s">
        <v>6768</v>
      </c>
    </row>
    <row r="2772" spans="9:10">
      <c r="I2772" s="713" t="s">
        <v>1300</v>
      </c>
      <c r="J2772" s="729" t="s">
        <v>6769</v>
      </c>
    </row>
    <row r="2773" spans="9:10">
      <c r="I2773" s="713" t="s">
        <v>4111</v>
      </c>
      <c r="J2773" s="729" t="s">
        <v>6770</v>
      </c>
    </row>
    <row r="2774" spans="9:10">
      <c r="I2774" s="713" t="s">
        <v>2632</v>
      </c>
      <c r="J2774" s="729" t="s">
        <v>6771</v>
      </c>
    </row>
    <row r="2775" spans="9:10">
      <c r="I2775" s="713" t="s">
        <v>1953</v>
      </c>
      <c r="J2775" s="729" t="s">
        <v>6772</v>
      </c>
    </row>
    <row r="2776" spans="9:10">
      <c r="I2776" s="713" t="s">
        <v>2997</v>
      </c>
      <c r="J2776" s="729" t="s">
        <v>6773</v>
      </c>
    </row>
    <row r="2777" spans="9:10">
      <c r="I2777" s="713" t="s">
        <v>2899</v>
      </c>
      <c r="J2777" s="729" t="s">
        <v>6774</v>
      </c>
    </row>
    <row r="2778" spans="9:10">
      <c r="I2778" s="713" t="s">
        <v>2140</v>
      </c>
      <c r="J2778" s="729" t="s">
        <v>6775</v>
      </c>
    </row>
    <row r="2779" spans="9:10">
      <c r="I2779" s="713" t="s">
        <v>2558</v>
      </c>
      <c r="J2779" s="729" t="s">
        <v>6776</v>
      </c>
    </row>
    <row r="2780" spans="9:10">
      <c r="I2780" s="713" t="s">
        <v>1085</v>
      </c>
      <c r="J2780" s="729" t="s">
        <v>6778</v>
      </c>
    </row>
    <row r="2781" spans="9:10">
      <c r="I2781" s="713" t="s">
        <v>4112</v>
      </c>
      <c r="J2781" s="729" t="s">
        <v>6777</v>
      </c>
    </row>
    <row r="2782" spans="9:10">
      <c r="I2782" s="713" t="s">
        <v>2018</v>
      </c>
      <c r="J2782" s="729" t="s">
        <v>6779</v>
      </c>
    </row>
    <row r="2783" spans="9:10">
      <c r="I2783" s="713" t="s">
        <v>2207</v>
      </c>
      <c r="J2783" s="729" t="s">
        <v>6780</v>
      </c>
    </row>
    <row r="2784" spans="9:10">
      <c r="I2784" s="713" t="s">
        <v>2838</v>
      </c>
      <c r="J2784" s="729" t="s">
        <v>6781</v>
      </c>
    </row>
    <row r="2785" spans="9:10">
      <c r="I2785" s="713" t="s">
        <v>2690</v>
      </c>
      <c r="J2785" s="729" t="s">
        <v>6782</v>
      </c>
    </row>
    <row r="2786" spans="9:10">
      <c r="I2786" s="713" t="s">
        <v>1253</v>
      </c>
      <c r="J2786" s="729" t="s">
        <v>6783</v>
      </c>
    </row>
    <row r="2787" spans="9:10">
      <c r="I2787" s="713" t="s">
        <v>1631</v>
      </c>
      <c r="J2787" s="729" t="s">
        <v>6784</v>
      </c>
    </row>
    <row r="2788" spans="9:10">
      <c r="I2788" s="713" t="s">
        <v>2683</v>
      </c>
      <c r="J2788" s="729" t="s">
        <v>6785</v>
      </c>
    </row>
    <row r="2789" spans="9:10">
      <c r="I2789" s="713" t="s">
        <v>1582</v>
      </c>
      <c r="J2789" s="729" t="s">
        <v>6786</v>
      </c>
    </row>
    <row r="2790" spans="9:10">
      <c r="I2790" s="713" t="s">
        <v>2792</v>
      </c>
      <c r="J2790" s="729" t="s">
        <v>6787</v>
      </c>
    </row>
    <row r="2791" spans="9:10">
      <c r="I2791" s="713" t="s">
        <v>2547</v>
      </c>
      <c r="J2791" s="729" t="s">
        <v>6788</v>
      </c>
    </row>
    <row r="2792" spans="9:10">
      <c r="I2792" s="713" t="s">
        <v>3298</v>
      </c>
      <c r="J2792" s="729" t="s">
        <v>6789</v>
      </c>
    </row>
    <row r="2793" spans="9:10">
      <c r="I2793" s="713" t="s">
        <v>1890</v>
      </c>
      <c r="J2793" s="729" t="s">
        <v>6790</v>
      </c>
    </row>
    <row r="2794" spans="9:10">
      <c r="I2794" s="713" t="s">
        <v>2817</v>
      </c>
      <c r="J2794" s="729" t="s">
        <v>6791</v>
      </c>
    </row>
    <row r="2795" spans="9:10">
      <c r="I2795" s="713" t="s">
        <v>2610</v>
      </c>
      <c r="J2795" s="729" t="s">
        <v>6792</v>
      </c>
    </row>
    <row r="2796" spans="9:10">
      <c r="I2796" s="713" t="s">
        <v>1545</v>
      </c>
      <c r="J2796" s="729" t="s">
        <v>6793</v>
      </c>
    </row>
    <row r="2797" spans="9:10">
      <c r="I2797" s="713" t="s">
        <v>2180</v>
      </c>
      <c r="J2797" s="729" t="s">
        <v>6794</v>
      </c>
    </row>
    <row r="2798" spans="9:10">
      <c r="I2798" s="713" t="s">
        <v>1131</v>
      </c>
      <c r="J2798" s="729" t="s">
        <v>6795</v>
      </c>
    </row>
    <row r="2799" spans="9:10">
      <c r="I2799" s="713" t="s">
        <v>1882</v>
      </c>
      <c r="J2799" s="729" t="s">
        <v>6796</v>
      </c>
    </row>
    <row r="2800" spans="9:10">
      <c r="I2800" s="713" t="s">
        <v>2208</v>
      </c>
      <c r="J2800" s="729" t="s">
        <v>6797</v>
      </c>
    </row>
    <row r="2801" spans="9:10">
      <c r="I2801" s="713" t="s">
        <v>1334</v>
      </c>
      <c r="J2801" s="729" t="s">
        <v>6798</v>
      </c>
    </row>
    <row r="2802" spans="9:10">
      <c r="I2802" s="713" t="s">
        <v>1123</v>
      </c>
      <c r="J2802" s="729" t="s">
        <v>6799</v>
      </c>
    </row>
    <row r="2803" spans="9:10">
      <c r="I2803" s="713" t="s">
        <v>1148</v>
      </c>
      <c r="J2803" s="729" t="s">
        <v>6800</v>
      </c>
    </row>
    <row r="2804" spans="9:10">
      <c r="I2804" s="713" t="s">
        <v>1292</v>
      </c>
      <c r="J2804" s="729" t="s">
        <v>6801</v>
      </c>
    </row>
    <row r="2805" spans="9:10">
      <c r="I2805" s="713" t="s">
        <v>1126</v>
      </c>
      <c r="J2805" s="729" t="s">
        <v>6802</v>
      </c>
    </row>
    <row r="2806" spans="9:10">
      <c r="I2806" s="713" t="s">
        <v>1134</v>
      </c>
      <c r="J2806" s="729" t="s">
        <v>6803</v>
      </c>
    </row>
    <row r="2807" spans="9:10">
      <c r="I2807" s="713" t="s">
        <v>2959</v>
      </c>
      <c r="J2807" s="729" t="s">
        <v>6804</v>
      </c>
    </row>
    <row r="2808" spans="9:10">
      <c r="I2808" s="713" t="s">
        <v>2377</v>
      </c>
      <c r="J2808" s="729" t="s">
        <v>6805</v>
      </c>
    </row>
    <row r="2809" spans="9:10">
      <c r="I2809" s="713" t="s">
        <v>2909</v>
      </c>
      <c r="J2809" s="729" t="s">
        <v>6806</v>
      </c>
    </row>
    <row r="2810" spans="9:10">
      <c r="I2810" s="713" t="s">
        <v>3328</v>
      </c>
      <c r="J2810" s="729" t="s">
        <v>6807</v>
      </c>
    </row>
    <row r="2811" spans="9:10">
      <c r="I2811" s="713" t="s">
        <v>1332</v>
      </c>
      <c r="J2811" s="729" t="s">
        <v>6808</v>
      </c>
    </row>
    <row r="2812" spans="9:10">
      <c r="I2812" s="713" t="s">
        <v>4113</v>
      </c>
      <c r="J2812" s="729" t="s">
        <v>6809</v>
      </c>
    </row>
    <row r="2813" spans="9:10">
      <c r="I2813" s="713" t="s">
        <v>1385</v>
      </c>
      <c r="J2813" s="729" t="s">
        <v>6810</v>
      </c>
    </row>
    <row r="2814" spans="9:10">
      <c r="I2814" s="713" t="s">
        <v>2021</v>
      </c>
      <c r="J2814" s="729" t="s">
        <v>6811</v>
      </c>
    </row>
    <row r="2815" spans="9:10">
      <c r="I2815" s="713" t="s">
        <v>2951</v>
      </c>
      <c r="J2815" s="729" t="s">
        <v>6812</v>
      </c>
    </row>
    <row r="2816" spans="9:10">
      <c r="I2816" s="713" t="s">
        <v>4114</v>
      </c>
      <c r="J2816" s="729" t="s">
        <v>6813</v>
      </c>
    </row>
    <row r="2817" spans="9:10">
      <c r="I2817" s="713" t="s">
        <v>1797</v>
      </c>
      <c r="J2817" s="729" t="s">
        <v>6814</v>
      </c>
    </row>
    <row r="2818" spans="9:10">
      <c r="I2818" s="713" t="s">
        <v>1769</v>
      </c>
      <c r="J2818" s="729" t="s">
        <v>6815</v>
      </c>
    </row>
    <row r="2819" spans="9:10">
      <c r="I2819" s="713" t="s">
        <v>2084</v>
      </c>
      <c r="J2819" s="729" t="s">
        <v>6816</v>
      </c>
    </row>
    <row r="2820" spans="9:10">
      <c r="I2820" s="713" t="s">
        <v>2133</v>
      </c>
      <c r="J2820" s="729" t="s">
        <v>6817</v>
      </c>
    </row>
    <row r="2821" spans="9:10">
      <c r="I2821" s="713" t="s">
        <v>1900</v>
      </c>
      <c r="J2821" s="729" t="s">
        <v>6818</v>
      </c>
    </row>
    <row r="2822" spans="9:10">
      <c r="I2822" s="713" t="s">
        <v>1721</v>
      </c>
      <c r="J2822" s="729" t="s">
        <v>6819</v>
      </c>
    </row>
    <row r="2823" spans="9:10">
      <c r="I2823" s="713" t="s">
        <v>1407</v>
      </c>
      <c r="J2823" s="729" t="s">
        <v>6820</v>
      </c>
    </row>
    <row r="2824" spans="9:10">
      <c r="I2824" s="713" t="s">
        <v>1619</v>
      </c>
      <c r="J2824" s="729" t="s">
        <v>6821</v>
      </c>
    </row>
    <row r="2825" spans="9:10">
      <c r="I2825" s="713" t="s">
        <v>1161</v>
      </c>
      <c r="J2825" s="713" t="s">
        <v>6822</v>
      </c>
    </row>
    <row r="2826" spans="9:10">
      <c r="I2826" s="713" t="s">
        <v>2380</v>
      </c>
      <c r="J2826" s="713" t="s">
        <v>6823</v>
      </c>
    </row>
    <row r="2827" spans="9:10">
      <c r="I2827" s="713" t="s">
        <v>2482</v>
      </c>
      <c r="J2827" s="713" t="s">
        <v>6824</v>
      </c>
    </row>
    <row r="2828" spans="9:10">
      <c r="I2828" s="713" t="s">
        <v>2168</v>
      </c>
      <c r="J2828" s="713" t="s">
        <v>6825</v>
      </c>
    </row>
    <row r="2829" spans="9:10">
      <c r="I2829" s="713" t="s">
        <v>1764</v>
      </c>
      <c r="J2829" s="713" t="s">
        <v>6827</v>
      </c>
    </row>
    <row r="2830" spans="9:10">
      <c r="I2830" s="713" t="s">
        <v>4115</v>
      </c>
      <c r="J2830" s="713" t="s">
        <v>6826</v>
      </c>
    </row>
    <row r="2831" spans="9:10">
      <c r="I2831" s="713" t="s">
        <v>1343</v>
      </c>
      <c r="J2831" s="713" t="s">
        <v>6828</v>
      </c>
    </row>
    <row r="2832" spans="9:10">
      <c r="I2832" s="713" t="s">
        <v>2555</v>
      </c>
      <c r="J2832" s="713" t="s">
        <v>6829</v>
      </c>
    </row>
    <row r="2833" spans="9:10">
      <c r="I2833" s="713" t="s">
        <v>2626</v>
      </c>
      <c r="J2833" s="713" t="s">
        <v>6830</v>
      </c>
    </row>
  </sheetData>
  <phoneticPr fontId="7" type="noConversion"/>
  <conditionalFormatting sqref="A1:A1048576">
    <cfRule type="cellIs" dxfId="1" priority="890" operator="equal">
      <formula>$E$5</formula>
    </cfRule>
    <cfRule type="duplicateValues" dxfId="0" priority="891"/>
  </conditionalFormatting>
  <pageMargins left="0.7" right="0.7" top="0.75" bottom="0.75" header="0.3" footer="0.3"/>
  <ignoredErrors>
    <ignoredError sqref="J2:J2833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상장종가_종가조회">
                <anchor moveWithCells="1" sizeWithCells="1">
                  <from>
                    <xdr:col>2</xdr:col>
                    <xdr:colOff>1333500</xdr:colOff>
                    <xdr:row>7</xdr:row>
                    <xdr:rowOff>104775</xdr:rowOff>
                  </from>
                  <to>
                    <xdr:col>4</xdr:col>
                    <xdr:colOff>1333500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4" tint="0.59999389629810485"/>
  </sheetPr>
  <dimension ref="B1:T208"/>
  <sheetViews>
    <sheetView showGridLines="0" zoomScale="70" zoomScaleNormal="70" workbookViewId="0"/>
  </sheetViews>
  <sheetFormatPr defaultRowHeight="16.5" outlineLevelRow="1"/>
  <cols>
    <col min="1" max="1" width="2.21875" style="269" customWidth="1"/>
    <col min="2" max="5" width="11.77734375" style="269" customWidth="1"/>
    <col min="6" max="6" width="25.109375" style="269" bestFit="1" customWidth="1"/>
    <col min="7" max="7" width="19.44140625" style="269" bestFit="1" customWidth="1"/>
    <col min="8" max="11" width="11.77734375" style="269" customWidth="1"/>
    <col min="12" max="12" width="20.33203125" style="269" bestFit="1" customWidth="1"/>
    <col min="13" max="14" width="11.77734375" style="269" customWidth="1"/>
    <col min="15" max="15" width="2.21875" style="269" hidden="1" customWidth="1"/>
    <col min="16" max="16" width="3" style="269" hidden="1" customWidth="1"/>
    <col min="17" max="16384" width="8.88671875" style="269"/>
  </cols>
  <sheetData>
    <row r="1" spans="2:20" s="178" customFormat="1" ht="33" customHeight="1" thickBot="1">
      <c r="B1" s="270" t="s">
        <v>3237</v>
      </c>
      <c r="C1" s="271"/>
      <c r="D1" s="271"/>
      <c r="E1" s="272"/>
      <c r="F1" s="272"/>
      <c r="G1" s="272"/>
      <c r="H1" s="273"/>
      <c r="I1" s="273"/>
      <c r="J1" s="272"/>
      <c r="K1" s="274"/>
      <c r="L1" s="272"/>
      <c r="M1" s="271"/>
      <c r="N1" s="275"/>
      <c r="O1" s="276" t="str">
        <f>IFERROR(SMALL(IF(종목정보tbl!$A2:$V471=2,종목정보tbl!$A$2:$A$471,""),P1),"")</f>
        <v/>
      </c>
    </row>
    <row r="2" spans="2:20" s="178" customFormat="1" ht="12" customHeight="1">
      <c r="B2" s="277"/>
      <c r="C2" s="278"/>
      <c r="D2" s="176"/>
      <c r="E2" s="176"/>
      <c r="F2" s="176"/>
      <c r="G2" s="176"/>
      <c r="H2" s="279"/>
      <c r="I2" s="279"/>
      <c r="J2" s="176"/>
      <c r="K2" s="176"/>
      <c r="L2" s="176"/>
      <c r="M2" s="280"/>
      <c r="N2" s="176"/>
      <c r="O2" s="276"/>
      <c r="R2" s="269"/>
      <c r="S2" s="681" t="s">
        <v>983</v>
      </c>
      <c r="T2" s="678">
        <f>MATCH(S2,종목정보tbl!$1:$1,0)</f>
        <v>3</v>
      </c>
    </row>
    <row r="3" spans="2:20" s="281" customFormat="1" ht="12" customHeight="1">
      <c r="B3" s="282" t="s">
        <v>3226</v>
      </c>
      <c r="C3" s="283"/>
      <c r="D3" s="284" t="s">
        <v>3227</v>
      </c>
      <c r="E3" s="284" t="s">
        <v>3227</v>
      </c>
      <c r="F3" s="284" t="s">
        <v>3227</v>
      </c>
      <c r="G3" s="284" t="s">
        <v>3227</v>
      </c>
      <c r="H3" s="284" t="s">
        <v>3227</v>
      </c>
      <c r="I3" s="285" t="s">
        <v>3227</v>
      </c>
      <c r="J3" s="284" t="s">
        <v>3227</v>
      </c>
      <c r="K3" s="284" t="s">
        <v>3228</v>
      </c>
      <c r="L3" s="284" t="s">
        <v>3228</v>
      </c>
      <c r="M3" s="284" t="s">
        <v>3228</v>
      </c>
      <c r="N3" s="284" t="s">
        <v>3228</v>
      </c>
      <c r="O3" s="276"/>
      <c r="R3" s="269"/>
      <c r="S3" s="682" t="s">
        <v>3218</v>
      </c>
      <c r="T3" s="679">
        <f>MATCH(S3,종목정보tbl!$1:$1,0)</f>
        <v>4</v>
      </c>
    </row>
    <row r="4" spans="2:20" s="281" customFormat="1" ht="12" customHeight="1">
      <c r="B4" s="282" t="s">
        <v>3229</v>
      </c>
      <c r="C4" s="283"/>
      <c r="D4" s="284" t="s">
        <v>3227</v>
      </c>
      <c r="E4" s="284" t="s">
        <v>3227</v>
      </c>
      <c r="F4" s="284" t="s">
        <v>3227</v>
      </c>
      <c r="G4" s="284" t="s">
        <v>3227</v>
      </c>
      <c r="H4" s="284" t="s">
        <v>3227</v>
      </c>
      <c r="I4" s="285" t="s">
        <v>3227</v>
      </c>
      <c r="J4" s="284" t="s">
        <v>3227</v>
      </c>
      <c r="K4" s="284" t="s">
        <v>3227</v>
      </c>
      <c r="L4" s="284" t="s">
        <v>3228</v>
      </c>
      <c r="M4" s="176"/>
      <c r="N4" s="176"/>
      <c r="O4" s="276"/>
      <c r="S4" s="682" t="s">
        <v>3219</v>
      </c>
      <c r="T4" s="679">
        <f>MATCH(S4,종목정보tbl!$1:$1,0)</f>
        <v>7</v>
      </c>
    </row>
    <row r="5" spans="2:20" s="281" customFormat="1" ht="12" customHeight="1">
      <c r="B5" s="282" t="s">
        <v>3230</v>
      </c>
      <c r="C5" s="283"/>
      <c r="D5" s="284" t="s">
        <v>3227</v>
      </c>
      <c r="E5" s="284" t="s">
        <v>3227</v>
      </c>
      <c r="F5" s="284" t="s">
        <v>3227</v>
      </c>
      <c r="G5" s="284" t="s">
        <v>3227</v>
      </c>
      <c r="H5" s="284" t="s">
        <v>3227</v>
      </c>
      <c r="I5" s="285" t="s">
        <v>3227</v>
      </c>
      <c r="J5" s="284" t="s">
        <v>3227</v>
      </c>
      <c r="K5" s="284" t="s">
        <v>3227</v>
      </c>
      <c r="L5" s="284" t="s">
        <v>3228</v>
      </c>
      <c r="M5" s="176"/>
      <c r="N5" s="176"/>
      <c r="O5" s="178"/>
      <c r="S5" s="682" t="s">
        <v>3220</v>
      </c>
      <c r="T5" s="679">
        <f>MATCH(S5,종목정보tbl!$1:$1,0)</f>
        <v>8</v>
      </c>
    </row>
    <row r="6" spans="2:20" s="178" customFormat="1" ht="12" customHeight="1" thickBot="1">
      <c r="B6" s="286" t="s">
        <v>3505</v>
      </c>
      <c r="C6" s="287"/>
      <c r="D6" s="288"/>
      <c r="E6" s="288"/>
      <c r="F6" s="288"/>
      <c r="G6" s="288"/>
      <c r="H6" s="289"/>
      <c r="I6" s="289"/>
      <c r="J6" s="288"/>
      <c r="K6" s="288"/>
      <c r="L6" s="288"/>
      <c r="M6" s="287"/>
      <c r="N6" s="290"/>
      <c r="S6" s="682" t="s">
        <v>3221</v>
      </c>
      <c r="T6" s="679">
        <f>MATCH(S6,종목정보tbl!$1:$1,0)</f>
        <v>21</v>
      </c>
    </row>
    <row r="7" spans="2:20" s="178" customFormat="1" ht="12" customHeight="1" thickBot="1">
      <c r="B7" s="291" t="str">
        <f>개요!$C$7</f>
        <v>포스코KAICI신기술사업투자조합제1호</v>
      </c>
      <c r="C7" s="292"/>
      <c r="D7" s="293"/>
      <c r="E7" s="293"/>
      <c r="F7" s="293"/>
      <c r="G7" s="293"/>
      <c r="H7" s="294"/>
      <c r="I7" s="294"/>
      <c r="J7" s="293"/>
      <c r="K7" s="293"/>
      <c r="L7" s="293"/>
      <c r="M7" s="295"/>
      <c r="N7" s="293"/>
      <c r="O7" s="293"/>
      <c r="P7" s="293"/>
      <c r="S7" s="683" t="s">
        <v>3203</v>
      </c>
      <c r="T7" s="680">
        <f>MATCH(S7,종목정보tbl!$1:$1,0)</f>
        <v>6</v>
      </c>
    </row>
    <row r="8" spans="2:20" s="296" customFormat="1" ht="12.6" customHeight="1">
      <c r="B8" s="297" t="s">
        <v>3231</v>
      </c>
      <c r="C8" s="297" t="s">
        <v>3232</v>
      </c>
      <c r="D8" s="298" t="s">
        <v>3233</v>
      </c>
      <c r="E8" s="298" t="s">
        <v>3234</v>
      </c>
      <c r="F8" s="298" t="s">
        <v>3235</v>
      </c>
      <c r="G8" s="298" t="s">
        <v>3238</v>
      </c>
      <c r="H8" s="299" t="s">
        <v>983</v>
      </c>
      <c r="I8" s="299" t="s">
        <v>3218</v>
      </c>
      <c r="J8" s="298" t="s">
        <v>3219</v>
      </c>
      <c r="K8" s="298" t="s">
        <v>3220</v>
      </c>
      <c r="L8" s="298" t="s">
        <v>3236</v>
      </c>
      <c r="M8" s="297" t="s">
        <v>3221</v>
      </c>
      <c r="N8" s="298" t="s">
        <v>3203</v>
      </c>
      <c r="O8" s="298"/>
      <c r="P8" s="298"/>
      <c r="Q8" s="284"/>
      <c r="R8" s="284"/>
    </row>
    <row r="9" spans="2:20">
      <c r="B9" s="300"/>
      <c r="C9" s="301">
        <f ca="1">TODAY()</f>
        <v>45534</v>
      </c>
      <c r="D9" s="300"/>
      <c r="E9" s="300"/>
      <c r="F9" s="684" t="str">
        <f>IF(개요!$C$8="","-",개요!$C$8)</f>
        <v>흥국생명보험(지분증권), 미래컴퍼니</v>
      </c>
      <c r="G9" s="684" t="str">
        <f>IF(개요!$C$7="","-",개요!$C$7)</f>
        <v>포스코KAICI신기술사업투자조합제1호</v>
      </c>
      <c r="H9" s="302" t="str">
        <f>IFERROR(VLOOKUP($O9,종목정보tbl!$A$2:$V$471,$T$2,0),"-")</f>
        <v xml:space="preserve">성림첨단산업                                      </v>
      </c>
      <c r="I9" s="302">
        <f>IFERROR(VLOOKUP($O9,종목정보tbl!$A$2:$V$471,$T$3,0),"-")</f>
        <v>1701110075540</v>
      </c>
      <c r="J9" s="302" t="str">
        <f>IFERROR(VLOOKUP(VLOOKUP($O9,종목정보tbl!$A$2:$V$471,$T$4,0),종목코드tbl!$A$2:$D$37,2,0),"-")</f>
        <v>A01</v>
      </c>
      <c r="K9" s="302">
        <f>IFERROR(VLOOKUP($O9,종목정보tbl!$A$2:$V$471,$T$5,0),"-")</f>
        <v>0</v>
      </c>
      <c r="L9" s="300"/>
      <c r="M9" s="301">
        <f>IFERROR(VLOOKUP($O9,종목정보tbl!$A$2:$V$471,$T$6,0),"-")</f>
        <v>44390</v>
      </c>
      <c r="N9" s="302" t="str">
        <f>IFERROR(VLOOKUP($O9,종목정보tbl!$A$2:$V$471,$T$7,0),"-")</f>
        <v>비상장</v>
      </c>
      <c r="O9" s="276">
        <f t="array" ref="O9">IFERROR(SMALL(IF(종목정보tbl!$B$1:$B$500=2,종목정보tbl!$A$1:$A$500,""),P9),"")</f>
        <v>1</v>
      </c>
      <c r="P9" s="303">
        <v>1</v>
      </c>
    </row>
    <row r="10" spans="2:20">
      <c r="B10" s="300"/>
      <c r="C10" s="301">
        <f t="shared" ref="C10:C73" ca="1" si="0">TODAY()</f>
        <v>45534</v>
      </c>
      <c r="D10" s="300"/>
      <c r="E10" s="300"/>
      <c r="F10" s="684" t="str">
        <f>IF(개요!$C$8="","-",개요!$C$8)</f>
        <v>흥국생명보험(지분증권), 미래컴퍼니</v>
      </c>
      <c r="G10" s="684" t="str">
        <f>IF(개요!$C$7="","-",개요!$C$7)</f>
        <v>포스코KAICI신기술사업투자조합제1호</v>
      </c>
      <c r="H10" s="302" t="str">
        <f>IFERROR(VLOOKUP($O10,종목정보tbl!$A$2:$V$471,$T$2,0),"-")</f>
        <v>-</v>
      </c>
      <c r="I10" s="302" t="str">
        <f>IFERROR(VLOOKUP($O10,종목정보tbl!$A$2:$V$471,$T$3,0),"-")</f>
        <v>-</v>
      </c>
      <c r="J10" s="302" t="str">
        <f>IFERROR(VLOOKUP(VLOOKUP($O10,종목정보tbl!$A$2:$V$471,$T$4,0),종목코드tbl!$A$2:$D$37,2,0),"-")</f>
        <v>-</v>
      </c>
      <c r="K10" s="302" t="str">
        <f>IFERROR(VLOOKUP($O10,종목정보tbl!$A$2:$V$471,$T$5,0),"-")</f>
        <v>-</v>
      </c>
      <c r="L10" s="300"/>
      <c r="M10" s="301" t="str">
        <f>IFERROR(VLOOKUP($O10,종목정보tbl!$A$2:$V$471,$T$6,0),"-")</f>
        <v>-</v>
      </c>
      <c r="N10" s="302" t="str">
        <f>IFERROR(VLOOKUP($O10,종목정보tbl!$A$2:$V$471,$T$7,0),"-")</f>
        <v>-</v>
      </c>
      <c r="O10" s="276" t="str">
        <f t="array" ref="O10">IFERROR(SMALL(IF(종목정보tbl!$B$1:$B$500=2,종목정보tbl!$A$1:$A$500,""),P10),"")</f>
        <v/>
      </c>
      <c r="P10" s="176">
        <v>2</v>
      </c>
    </row>
    <row r="11" spans="2:20">
      <c r="B11" s="300"/>
      <c r="C11" s="301">
        <f t="shared" ca="1" si="0"/>
        <v>45534</v>
      </c>
      <c r="D11" s="300"/>
      <c r="E11" s="300"/>
      <c r="F11" s="684" t="str">
        <f>IF(개요!$C$8="","-",개요!$C$8)</f>
        <v>흥국생명보험(지분증권), 미래컴퍼니</v>
      </c>
      <c r="G11" s="684" t="str">
        <f>IF(개요!$C$7="","-",개요!$C$7)</f>
        <v>포스코KAICI신기술사업투자조합제1호</v>
      </c>
      <c r="H11" s="302" t="str">
        <f>IFERROR(VLOOKUP($O11,종목정보tbl!$A$2:$V$471,$T$2,0),"-")</f>
        <v>-</v>
      </c>
      <c r="I11" s="302" t="str">
        <f>IFERROR(VLOOKUP($O11,종목정보tbl!$A$2:$V$471,$T$3,0),"-")</f>
        <v>-</v>
      </c>
      <c r="J11" s="302" t="str">
        <f>IFERROR(VLOOKUP(VLOOKUP($O11,종목정보tbl!$A$2:$V$471,$T$4,0),종목코드tbl!$A$2:$D$37,2,0),"-")</f>
        <v>-</v>
      </c>
      <c r="K11" s="302" t="str">
        <f>IFERROR(VLOOKUP($O11,종목정보tbl!$A$2:$V$471,$T$5,0),"-")</f>
        <v>-</v>
      </c>
      <c r="L11" s="300"/>
      <c r="M11" s="301" t="str">
        <f>IFERROR(VLOOKUP($O11,종목정보tbl!$A$2:$V$471,$T$6,0),"-")</f>
        <v>-</v>
      </c>
      <c r="N11" s="302" t="str">
        <f>IFERROR(VLOOKUP($O11,종목정보tbl!$A$2:$V$471,$T$7,0),"-")</f>
        <v>-</v>
      </c>
      <c r="O11" s="276" t="str">
        <f t="array" ref="O11">IFERROR(SMALL(IF(종목정보tbl!$B$1:$B$500=2,종목정보tbl!$A$1:$A$500,""),P11),"")</f>
        <v/>
      </c>
      <c r="P11" s="303">
        <v>3</v>
      </c>
    </row>
    <row r="12" spans="2:20">
      <c r="B12" s="300"/>
      <c r="C12" s="301">
        <f t="shared" ca="1" si="0"/>
        <v>45534</v>
      </c>
      <c r="D12" s="300"/>
      <c r="E12" s="300"/>
      <c r="F12" s="684" t="str">
        <f>IF(개요!$C$8="","-",개요!$C$8)</f>
        <v>흥국생명보험(지분증권), 미래컴퍼니</v>
      </c>
      <c r="G12" s="684" t="str">
        <f>IF(개요!$C$7="","-",개요!$C$7)</f>
        <v>포스코KAICI신기술사업투자조합제1호</v>
      </c>
      <c r="H12" s="302" t="str">
        <f>IFERROR(VLOOKUP($O12,종목정보tbl!$A$2:$V$471,$T$2,0),"-")</f>
        <v>-</v>
      </c>
      <c r="I12" s="302" t="str">
        <f>IFERROR(VLOOKUP($O12,종목정보tbl!$A$2:$V$471,$T$3,0),"-")</f>
        <v>-</v>
      </c>
      <c r="J12" s="302" t="str">
        <f>IFERROR(VLOOKUP(VLOOKUP($O12,종목정보tbl!$A$2:$V$471,$T$4,0),종목코드tbl!$A$2:$D$37,2,0),"-")</f>
        <v>-</v>
      </c>
      <c r="K12" s="302" t="str">
        <f>IFERROR(VLOOKUP($O12,종목정보tbl!$A$2:$V$471,$T$5,0),"-")</f>
        <v>-</v>
      </c>
      <c r="L12" s="300"/>
      <c r="M12" s="301" t="str">
        <f>IFERROR(VLOOKUP($O12,종목정보tbl!$A$2:$V$471,$T$6,0),"-")</f>
        <v>-</v>
      </c>
      <c r="N12" s="302" t="str">
        <f>IFERROR(VLOOKUP($O12,종목정보tbl!$A$2:$V$471,$T$7,0),"-")</f>
        <v>-</v>
      </c>
      <c r="O12" s="276" t="str">
        <f t="array" ref="O12">IFERROR(SMALL(IF(종목정보tbl!$B$1:$B$500=2,종목정보tbl!$A$1:$A$500,""),P12),"")</f>
        <v/>
      </c>
      <c r="P12" s="176">
        <v>4</v>
      </c>
    </row>
    <row r="13" spans="2:20">
      <c r="B13" s="300"/>
      <c r="C13" s="301">
        <f t="shared" ca="1" si="0"/>
        <v>45534</v>
      </c>
      <c r="D13" s="300"/>
      <c r="E13" s="300"/>
      <c r="F13" s="684" t="str">
        <f>IF(개요!$C$8="","-",개요!$C$8)</f>
        <v>흥국생명보험(지분증권), 미래컴퍼니</v>
      </c>
      <c r="G13" s="684" t="str">
        <f>IF(개요!$C$7="","-",개요!$C$7)</f>
        <v>포스코KAICI신기술사업투자조합제1호</v>
      </c>
      <c r="H13" s="302" t="str">
        <f>IFERROR(VLOOKUP($O13,종목정보tbl!$A$2:$V$471,$T$2,0),"-")</f>
        <v>-</v>
      </c>
      <c r="I13" s="302" t="str">
        <f>IFERROR(VLOOKUP($O13,종목정보tbl!$A$2:$V$471,$T$3,0),"-")</f>
        <v>-</v>
      </c>
      <c r="J13" s="302" t="str">
        <f>IFERROR(VLOOKUP(VLOOKUP($O13,종목정보tbl!$A$2:$V$471,$T$4,0),종목코드tbl!$A$2:$D$37,2,0),"-")</f>
        <v>-</v>
      </c>
      <c r="K13" s="302" t="str">
        <f>IFERROR(VLOOKUP($O13,종목정보tbl!$A$2:$V$471,$T$5,0),"-")</f>
        <v>-</v>
      </c>
      <c r="L13" s="300"/>
      <c r="M13" s="301" t="str">
        <f>IFERROR(VLOOKUP($O13,종목정보tbl!$A$2:$V$471,$T$6,0),"-")</f>
        <v>-</v>
      </c>
      <c r="N13" s="302" t="str">
        <f>IFERROR(VLOOKUP($O13,종목정보tbl!$A$2:$V$471,$T$7,0),"-")</f>
        <v>-</v>
      </c>
      <c r="O13" s="276" t="str">
        <f t="array" ref="O13">IFERROR(SMALL(IF(종목정보tbl!$B$1:$B$500=2,종목정보tbl!$A$1:$A$500,""),P13),"")</f>
        <v/>
      </c>
      <c r="P13" s="303">
        <v>5</v>
      </c>
    </row>
    <row r="14" spans="2:20">
      <c r="B14" s="300"/>
      <c r="C14" s="301">
        <f t="shared" ca="1" si="0"/>
        <v>45534</v>
      </c>
      <c r="D14" s="300"/>
      <c r="E14" s="300"/>
      <c r="F14" s="684" t="str">
        <f>IF(개요!$C$8="","-",개요!$C$8)</f>
        <v>흥국생명보험(지분증권), 미래컴퍼니</v>
      </c>
      <c r="G14" s="684" t="str">
        <f>IF(개요!$C$7="","-",개요!$C$7)</f>
        <v>포스코KAICI신기술사업투자조합제1호</v>
      </c>
      <c r="H14" s="302" t="str">
        <f>IFERROR(VLOOKUP($O14,종목정보tbl!$A$2:$V$471,$T$2,0),"-")</f>
        <v>-</v>
      </c>
      <c r="I14" s="302" t="str">
        <f>IFERROR(VLOOKUP($O14,종목정보tbl!$A$2:$V$471,$T$3,0),"-")</f>
        <v>-</v>
      </c>
      <c r="J14" s="302" t="str">
        <f>IFERROR(VLOOKUP(VLOOKUP($O14,종목정보tbl!$A$2:$V$471,$T$4,0),종목코드tbl!$A$2:$D$37,2,0),"-")</f>
        <v>-</v>
      </c>
      <c r="K14" s="302" t="str">
        <f>IFERROR(VLOOKUP($O14,종목정보tbl!$A$2:$V$471,$T$5,0),"-")</f>
        <v>-</v>
      </c>
      <c r="L14" s="300"/>
      <c r="M14" s="301" t="str">
        <f>IFERROR(VLOOKUP($O14,종목정보tbl!$A$2:$V$471,$T$6,0),"-")</f>
        <v>-</v>
      </c>
      <c r="N14" s="302" t="str">
        <f>IFERROR(VLOOKUP($O14,종목정보tbl!$A$2:$V$471,$T$7,0),"-")</f>
        <v>-</v>
      </c>
      <c r="O14" s="276" t="str">
        <f t="array" ref="O14">IFERROR(SMALL(IF(종목정보tbl!$B$1:$B$500=2,종목정보tbl!$A$1:$A$500,""),P14),"")</f>
        <v/>
      </c>
      <c r="P14" s="176">
        <v>6</v>
      </c>
    </row>
    <row r="15" spans="2:20">
      <c r="B15" s="300"/>
      <c r="C15" s="301">
        <f t="shared" ca="1" si="0"/>
        <v>45534</v>
      </c>
      <c r="D15" s="300"/>
      <c r="E15" s="300"/>
      <c r="F15" s="684" t="str">
        <f>IF(개요!$C$8="","-",개요!$C$8)</f>
        <v>흥국생명보험(지분증권), 미래컴퍼니</v>
      </c>
      <c r="G15" s="684" t="str">
        <f>IF(개요!$C$7="","-",개요!$C$7)</f>
        <v>포스코KAICI신기술사업투자조합제1호</v>
      </c>
      <c r="H15" s="302" t="str">
        <f>IFERROR(VLOOKUP($O15,종목정보tbl!$A$2:$V$471,$T$2,0),"-")</f>
        <v>-</v>
      </c>
      <c r="I15" s="302" t="str">
        <f>IFERROR(VLOOKUP($O15,종목정보tbl!$A$2:$V$471,$T$3,0),"-")</f>
        <v>-</v>
      </c>
      <c r="J15" s="302" t="str">
        <f>IFERROR(VLOOKUP(VLOOKUP($O15,종목정보tbl!$A$2:$V$471,$T$4,0),종목코드tbl!$A$2:$D$37,2,0),"-")</f>
        <v>-</v>
      </c>
      <c r="K15" s="302" t="str">
        <f>IFERROR(VLOOKUP($O15,종목정보tbl!$A$2:$V$471,$T$5,0),"-")</f>
        <v>-</v>
      </c>
      <c r="L15" s="300"/>
      <c r="M15" s="301" t="str">
        <f>IFERROR(VLOOKUP($O15,종목정보tbl!$A$2:$V$471,$T$6,0),"-")</f>
        <v>-</v>
      </c>
      <c r="N15" s="302" t="str">
        <f>IFERROR(VLOOKUP($O15,종목정보tbl!$A$2:$V$471,$T$7,0),"-")</f>
        <v>-</v>
      </c>
      <c r="O15" s="276" t="str">
        <f t="array" ref="O15">IFERROR(SMALL(IF(종목정보tbl!$B$1:$B$500=2,종목정보tbl!$A$1:$A$500,""),P15),"")</f>
        <v/>
      </c>
      <c r="P15" s="303">
        <v>7</v>
      </c>
    </row>
    <row r="16" spans="2:20">
      <c r="B16" s="300"/>
      <c r="C16" s="301">
        <f t="shared" ca="1" si="0"/>
        <v>45534</v>
      </c>
      <c r="D16" s="300"/>
      <c r="E16" s="300"/>
      <c r="F16" s="684" t="str">
        <f>IF(개요!$C$8="","-",개요!$C$8)</f>
        <v>흥국생명보험(지분증권), 미래컴퍼니</v>
      </c>
      <c r="G16" s="684" t="str">
        <f>IF(개요!$C$7="","-",개요!$C$7)</f>
        <v>포스코KAICI신기술사업투자조합제1호</v>
      </c>
      <c r="H16" s="302" t="str">
        <f>IFERROR(VLOOKUP($O16,종목정보tbl!$A$2:$V$471,$T$2,0),"-")</f>
        <v>-</v>
      </c>
      <c r="I16" s="302" t="str">
        <f>IFERROR(VLOOKUP($O16,종목정보tbl!$A$2:$V$471,$T$3,0),"-")</f>
        <v>-</v>
      </c>
      <c r="J16" s="302" t="str">
        <f>IFERROR(VLOOKUP(VLOOKUP($O16,종목정보tbl!$A$2:$V$471,$T$4,0),종목코드tbl!$A$2:$D$37,2,0),"-")</f>
        <v>-</v>
      </c>
      <c r="K16" s="302" t="str">
        <f>IFERROR(VLOOKUP($O16,종목정보tbl!$A$2:$V$471,$T$5,0),"-")</f>
        <v>-</v>
      </c>
      <c r="L16" s="300"/>
      <c r="M16" s="301" t="str">
        <f>IFERROR(VLOOKUP($O16,종목정보tbl!$A$2:$V$471,$T$6,0),"-")</f>
        <v>-</v>
      </c>
      <c r="N16" s="302" t="str">
        <f>IFERROR(VLOOKUP($O16,종목정보tbl!$A$2:$V$471,$T$7,0),"-")</f>
        <v>-</v>
      </c>
      <c r="O16" s="276" t="str">
        <f t="array" ref="O16">IFERROR(SMALL(IF(종목정보tbl!$B$1:$B$500=2,종목정보tbl!$A$1:$A$500,""),P16),"")</f>
        <v/>
      </c>
      <c r="P16" s="176">
        <v>8</v>
      </c>
    </row>
    <row r="17" spans="2:16">
      <c r="B17" s="300"/>
      <c r="C17" s="301">
        <f t="shared" ca="1" si="0"/>
        <v>45534</v>
      </c>
      <c r="D17" s="300"/>
      <c r="E17" s="300"/>
      <c r="F17" s="684" t="str">
        <f>IF(개요!$C$8="","-",개요!$C$8)</f>
        <v>흥국생명보험(지분증권), 미래컴퍼니</v>
      </c>
      <c r="G17" s="684" t="str">
        <f>IF(개요!$C$7="","-",개요!$C$7)</f>
        <v>포스코KAICI신기술사업투자조합제1호</v>
      </c>
      <c r="H17" s="302" t="str">
        <f>IFERROR(VLOOKUP($O17,종목정보tbl!$A$2:$V$471,$T$2,0),"-")</f>
        <v>-</v>
      </c>
      <c r="I17" s="302" t="str">
        <f>IFERROR(VLOOKUP($O17,종목정보tbl!$A$2:$V$471,$T$3,0),"-")</f>
        <v>-</v>
      </c>
      <c r="J17" s="302" t="str">
        <f>IFERROR(VLOOKUP(VLOOKUP($O17,종목정보tbl!$A$2:$V$471,$T$4,0),종목코드tbl!$A$2:$D$37,2,0),"-")</f>
        <v>-</v>
      </c>
      <c r="K17" s="302" t="str">
        <f>IFERROR(VLOOKUP($O17,종목정보tbl!$A$2:$V$471,$T$5,0),"-")</f>
        <v>-</v>
      </c>
      <c r="L17" s="300"/>
      <c r="M17" s="301" t="str">
        <f>IFERROR(VLOOKUP($O17,종목정보tbl!$A$2:$V$471,$T$6,0),"-")</f>
        <v>-</v>
      </c>
      <c r="N17" s="302" t="str">
        <f>IFERROR(VLOOKUP($O17,종목정보tbl!$A$2:$V$471,$T$7,0),"-")</f>
        <v>-</v>
      </c>
      <c r="O17" s="276" t="str">
        <f t="array" ref="O17">IFERROR(SMALL(IF(종목정보tbl!$B$1:$B$500=2,종목정보tbl!$A$1:$A$500,""),P17),"")</f>
        <v/>
      </c>
      <c r="P17" s="303">
        <v>9</v>
      </c>
    </row>
    <row r="18" spans="2:16">
      <c r="B18" s="300"/>
      <c r="C18" s="301">
        <f t="shared" ca="1" si="0"/>
        <v>45534</v>
      </c>
      <c r="D18" s="300"/>
      <c r="E18" s="300"/>
      <c r="F18" s="684" t="str">
        <f>IF(개요!$C$8="","-",개요!$C$8)</f>
        <v>흥국생명보험(지분증권), 미래컴퍼니</v>
      </c>
      <c r="G18" s="684" t="str">
        <f>IF(개요!$C$7="","-",개요!$C$7)</f>
        <v>포스코KAICI신기술사업투자조합제1호</v>
      </c>
      <c r="H18" s="302" t="str">
        <f>IFERROR(VLOOKUP($O18,종목정보tbl!$A$2:$V$471,$T$2,0),"-")</f>
        <v>-</v>
      </c>
      <c r="I18" s="302" t="str">
        <f>IFERROR(VLOOKUP($O18,종목정보tbl!$A$2:$V$471,$T$3,0),"-")</f>
        <v>-</v>
      </c>
      <c r="J18" s="302" t="str">
        <f>IFERROR(VLOOKUP(VLOOKUP($O18,종목정보tbl!$A$2:$V$471,$T$4,0),종목코드tbl!$A$2:$D$37,2,0),"-")</f>
        <v>-</v>
      </c>
      <c r="K18" s="302" t="str">
        <f>IFERROR(VLOOKUP($O18,종목정보tbl!$A$2:$V$471,$T$5,0),"-")</f>
        <v>-</v>
      </c>
      <c r="L18" s="300"/>
      <c r="M18" s="301" t="str">
        <f>IFERROR(VLOOKUP($O18,종목정보tbl!$A$2:$V$471,$T$6,0),"-")</f>
        <v>-</v>
      </c>
      <c r="N18" s="302" t="str">
        <f>IFERROR(VLOOKUP($O18,종목정보tbl!$A$2:$V$471,$T$7,0),"-")</f>
        <v>-</v>
      </c>
      <c r="O18" s="276" t="str">
        <f t="array" ref="O18">IFERROR(SMALL(IF(종목정보tbl!$B$1:$B$500=2,종목정보tbl!$A$1:$A$500,""),P18),"")</f>
        <v/>
      </c>
      <c r="P18" s="176">
        <v>10</v>
      </c>
    </row>
    <row r="19" spans="2:16">
      <c r="B19" s="300"/>
      <c r="C19" s="301">
        <f t="shared" ca="1" si="0"/>
        <v>45534</v>
      </c>
      <c r="D19" s="300"/>
      <c r="E19" s="300"/>
      <c r="F19" s="684" t="str">
        <f>IF(개요!$C$8="","-",개요!$C$8)</f>
        <v>흥국생명보험(지분증권), 미래컴퍼니</v>
      </c>
      <c r="G19" s="684" t="str">
        <f>IF(개요!$C$7="","-",개요!$C$7)</f>
        <v>포스코KAICI신기술사업투자조합제1호</v>
      </c>
      <c r="H19" s="302" t="str">
        <f>IFERROR(VLOOKUP($O19,종목정보tbl!$A$2:$V$471,$T$2,0),"-")</f>
        <v>-</v>
      </c>
      <c r="I19" s="302" t="str">
        <f>IFERROR(VLOOKUP($O19,종목정보tbl!$A$2:$V$471,$T$3,0),"-")</f>
        <v>-</v>
      </c>
      <c r="J19" s="302" t="str">
        <f>IFERROR(VLOOKUP(VLOOKUP($O19,종목정보tbl!$A$2:$V$471,$T$4,0),종목코드tbl!$A$2:$D$37,2,0),"-")</f>
        <v>-</v>
      </c>
      <c r="K19" s="302" t="str">
        <f>IFERROR(VLOOKUP($O19,종목정보tbl!$A$2:$V$471,$T$5,0),"-")</f>
        <v>-</v>
      </c>
      <c r="L19" s="300"/>
      <c r="M19" s="301" t="str">
        <f>IFERROR(VLOOKUP($O19,종목정보tbl!$A$2:$V$471,$T$6,0),"-")</f>
        <v>-</v>
      </c>
      <c r="N19" s="302" t="str">
        <f>IFERROR(VLOOKUP($O19,종목정보tbl!$A$2:$V$471,$T$7,0),"-")</f>
        <v>-</v>
      </c>
      <c r="O19" s="276" t="str">
        <f t="array" ref="O19">IFERROR(SMALL(IF(종목정보tbl!$B$1:$B$500=2,종목정보tbl!$A$1:$A$500,""),P19),"")</f>
        <v/>
      </c>
      <c r="P19" s="303">
        <v>11</v>
      </c>
    </row>
    <row r="20" spans="2:16">
      <c r="B20" s="300"/>
      <c r="C20" s="301">
        <f t="shared" ca="1" si="0"/>
        <v>45534</v>
      </c>
      <c r="D20" s="300"/>
      <c r="E20" s="300"/>
      <c r="F20" s="684" t="str">
        <f>IF(개요!$C$8="","-",개요!$C$8)</f>
        <v>흥국생명보험(지분증권), 미래컴퍼니</v>
      </c>
      <c r="G20" s="684" t="str">
        <f>IF(개요!$C$7="","-",개요!$C$7)</f>
        <v>포스코KAICI신기술사업투자조합제1호</v>
      </c>
      <c r="H20" s="302" t="str">
        <f>IFERROR(VLOOKUP($O20,종목정보tbl!$A$2:$V$471,$T$2,0),"-")</f>
        <v>-</v>
      </c>
      <c r="I20" s="302" t="str">
        <f>IFERROR(VLOOKUP($O20,종목정보tbl!$A$2:$V$471,$T$3,0),"-")</f>
        <v>-</v>
      </c>
      <c r="J20" s="302" t="str">
        <f>IFERROR(VLOOKUP(VLOOKUP($O20,종목정보tbl!$A$2:$V$471,$T$4,0),종목코드tbl!$A$2:$D$37,2,0),"-")</f>
        <v>-</v>
      </c>
      <c r="K20" s="302" t="str">
        <f>IFERROR(VLOOKUP($O20,종목정보tbl!$A$2:$V$471,$T$5,0),"-")</f>
        <v>-</v>
      </c>
      <c r="L20" s="300"/>
      <c r="M20" s="301" t="str">
        <f>IFERROR(VLOOKUP($O20,종목정보tbl!$A$2:$V$471,$T$6,0),"-")</f>
        <v>-</v>
      </c>
      <c r="N20" s="302" t="str">
        <f>IFERROR(VLOOKUP($O20,종목정보tbl!$A$2:$V$471,$T$7,0),"-")</f>
        <v>-</v>
      </c>
      <c r="O20" s="276" t="str">
        <f t="array" ref="O20">IFERROR(SMALL(IF(종목정보tbl!$B$1:$B$500=2,종목정보tbl!$A$1:$A$500,""),P20),"")</f>
        <v/>
      </c>
      <c r="P20" s="176">
        <v>12</v>
      </c>
    </row>
    <row r="21" spans="2:16">
      <c r="B21" s="300"/>
      <c r="C21" s="301">
        <f t="shared" ca="1" si="0"/>
        <v>45534</v>
      </c>
      <c r="D21" s="300"/>
      <c r="E21" s="300"/>
      <c r="F21" s="684" t="str">
        <f>IF(개요!$C$8="","-",개요!$C$8)</f>
        <v>흥국생명보험(지분증권), 미래컴퍼니</v>
      </c>
      <c r="G21" s="684" t="str">
        <f>IF(개요!$C$7="","-",개요!$C$7)</f>
        <v>포스코KAICI신기술사업투자조합제1호</v>
      </c>
      <c r="H21" s="302" t="str">
        <f>IFERROR(VLOOKUP($O21,종목정보tbl!$A$2:$V$471,$T$2,0),"-")</f>
        <v>-</v>
      </c>
      <c r="I21" s="302" t="str">
        <f>IFERROR(VLOOKUP($O21,종목정보tbl!$A$2:$V$471,$T$3,0),"-")</f>
        <v>-</v>
      </c>
      <c r="J21" s="302" t="str">
        <f>IFERROR(VLOOKUP(VLOOKUP($O21,종목정보tbl!$A$2:$V$471,$T$4,0),종목코드tbl!$A$2:$D$37,2,0),"-")</f>
        <v>-</v>
      </c>
      <c r="K21" s="302" t="str">
        <f>IFERROR(VLOOKUP($O21,종목정보tbl!$A$2:$V$471,$T$5,0),"-")</f>
        <v>-</v>
      </c>
      <c r="L21" s="300"/>
      <c r="M21" s="301" t="str">
        <f>IFERROR(VLOOKUP($O21,종목정보tbl!$A$2:$V$471,$T$6,0),"-")</f>
        <v>-</v>
      </c>
      <c r="N21" s="302" t="str">
        <f>IFERROR(VLOOKUP($O21,종목정보tbl!$A$2:$V$471,$T$7,0),"-")</f>
        <v>-</v>
      </c>
      <c r="O21" s="276" t="str">
        <f t="array" ref="O21">IFERROR(SMALL(IF(종목정보tbl!$B$1:$B$500=2,종목정보tbl!$A$1:$A$500,""),P21),"")</f>
        <v/>
      </c>
      <c r="P21" s="303">
        <v>13</v>
      </c>
    </row>
    <row r="22" spans="2:16">
      <c r="B22" s="300"/>
      <c r="C22" s="301">
        <f t="shared" ca="1" si="0"/>
        <v>45534</v>
      </c>
      <c r="D22" s="300"/>
      <c r="E22" s="300"/>
      <c r="F22" s="684" t="str">
        <f>IF(개요!$C$8="","-",개요!$C$8)</f>
        <v>흥국생명보험(지분증권), 미래컴퍼니</v>
      </c>
      <c r="G22" s="684" t="str">
        <f>IF(개요!$C$7="","-",개요!$C$7)</f>
        <v>포스코KAICI신기술사업투자조합제1호</v>
      </c>
      <c r="H22" s="302" t="str">
        <f>IFERROR(VLOOKUP($O22,종목정보tbl!$A$2:$V$471,$T$2,0),"-")</f>
        <v>-</v>
      </c>
      <c r="I22" s="302" t="str">
        <f>IFERROR(VLOOKUP($O22,종목정보tbl!$A$2:$V$471,$T$3,0),"-")</f>
        <v>-</v>
      </c>
      <c r="J22" s="302" t="str">
        <f>IFERROR(VLOOKUP(VLOOKUP($O22,종목정보tbl!$A$2:$V$471,$T$4,0),종목코드tbl!$A$2:$D$37,2,0),"-")</f>
        <v>-</v>
      </c>
      <c r="K22" s="302" t="str">
        <f>IFERROR(VLOOKUP($O22,종목정보tbl!$A$2:$V$471,$T$5,0),"-")</f>
        <v>-</v>
      </c>
      <c r="L22" s="300"/>
      <c r="M22" s="301" t="str">
        <f>IFERROR(VLOOKUP($O22,종목정보tbl!$A$2:$V$471,$T$6,0),"-")</f>
        <v>-</v>
      </c>
      <c r="N22" s="302" t="str">
        <f>IFERROR(VLOOKUP($O22,종목정보tbl!$A$2:$V$471,$T$7,0),"-")</f>
        <v>-</v>
      </c>
      <c r="O22" s="276" t="str">
        <f t="array" ref="O22">IFERROR(SMALL(IF(종목정보tbl!$B$1:$B$500=2,종목정보tbl!$A$1:$A$500,""),P22),"")</f>
        <v/>
      </c>
      <c r="P22" s="176">
        <v>14</v>
      </c>
    </row>
    <row r="23" spans="2:16">
      <c r="B23" s="300"/>
      <c r="C23" s="301">
        <f t="shared" ca="1" si="0"/>
        <v>45534</v>
      </c>
      <c r="D23" s="300"/>
      <c r="E23" s="300"/>
      <c r="F23" s="684" t="str">
        <f>IF(개요!$C$8="","-",개요!$C$8)</f>
        <v>흥국생명보험(지분증권), 미래컴퍼니</v>
      </c>
      <c r="G23" s="684" t="str">
        <f>IF(개요!$C$7="","-",개요!$C$7)</f>
        <v>포스코KAICI신기술사업투자조합제1호</v>
      </c>
      <c r="H23" s="302" t="str">
        <f>IFERROR(VLOOKUP($O23,종목정보tbl!$A$2:$V$471,$T$2,0),"-")</f>
        <v>-</v>
      </c>
      <c r="I23" s="302" t="str">
        <f>IFERROR(VLOOKUP($O23,종목정보tbl!$A$2:$V$471,$T$3,0),"-")</f>
        <v>-</v>
      </c>
      <c r="J23" s="302" t="str">
        <f>IFERROR(VLOOKUP(VLOOKUP($O23,종목정보tbl!$A$2:$V$471,$T$4,0),종목코드tbl!$A$2:$D$37,2,0),"-")</f>
        <v>-</v>
      </c>
      <c r="K23" s="302" t="str">
        <f>IFERROR(VLOOKUP($O23,종목정보tbl!$A$2:$V$471,$T$5,0),"-")</f>
        <v>-</v>
      </c>
      <c r="L23" s="300"/>
      <c r="M23" s="301" t="str">
        <f>IFERROR(VLOOKUP($O23,종목정보tbl!$A$2:$V$471,$T$6,0),"-")</f>
        <v>-</v>
      </c>
      <c r="N23" s="302" t="str">
        <f>IFERROR(VLOOKUP($O23,종목정보tbl!$A$2:$V$471,$T$7,0),"-")</f>
        <v>-</v>
      </c>
      <c r="O23" s="276" t="str">
        <f t="array" ref="O23">IFERROR(SMALL(IF(종목정보tbl!$B$1:$B$500=2,종목정보tbl!$A$1:$A$500,""),P23),"")</f>
        <v/>
      </c>
      <c r="P23" s="303">
        <v>15</v>
      </c>
    </row>
    <row r="24" spans="2:16">
      <c r="B24" s="300"/>
      <c r="C24" s="301">
        <f t="shared" ca="1" si="0"/>
        <v>45534</v>
      </c>
      <c r="D24" s="300"/>
      <c r="E24" s="300"/>
      <c r="F24" s="684" t="str">
        <f>IF(개요!$C$8="","-",개요!$C$8)</f>
        <v>흥국생명보험(지분증권), 미래컴퍼니</v>
      </c>
      <c r="G24" s="684" t="str">
        <f>IF(개요!$C$7="","-",개요!$C$7)</f>
        <v>포스코KAICI신기술사업투자조합제1호</v>
      </c>
      <c r="H24" s="302" t="str">
        <f>IFERROR(VLOOKUP($O24,종목정보tbl!$A$2:$V$471,$T$2,0),"-")</f>
        <v>-</v>
      </c>
      <c r="I24" s="302" t="str">
        <f>IFERROR(VLOOKUP($O24,종목정보tbl!$A$2:$V$471,$T$3,0),"-")</f>
        <v>-</v>
      </c>
      <c r="J24" s="302" t="str">
        <f>IFERROR(VLOOKUP(VLOOKUP($O24,종목정보tbl!$A$2:$V$471,$T$4,0),종목코드tbl!$A$2:$D$37,2,0),"-")</f>
        <v>-</v>
      </c>
      <c r="K24" s="302" t="str">
        <f>IFERROR(VLOOKUP($O24,종목정보tbl!$A$2:$V$471,$T$5,0),"-")</f>
        <v>-</v>
      </c>
      <c r="L24" s="300"/>
      <c r="M24" s="301" t="str">
        <f>IFERROR(VLOOKUP($O24,종목정보tbl!$A$2:$V$471,$T$6,0),"-")</f>
        <v>-</v>
      </c>
      <c r="N24" s="302" t="str">
        <f>IFERROR(VLOOKUP($O24,종목정보tbl!$A$2:$V$471,$T$7,0),"-")</f>
        <v>-</v>
      </c>
      <c r="O24" s="276" t="str">
        <f t="array" ref="O24">IFERROR(SMALL(IF(종목정보tbl!$B$1:$B$500=2,종목정보tbl!$A$1:$A$500,""),P24),"")</f>
        <v/>
      </c>
      <c r="P24" s="176">
        <v>16</v>
      </c>
    </row>
    <row r="25" spans="2:16">
      <c r="B25" s="300"/>
      <c r="C25" s="301">
        <f t="shared" ca="1" si="0"/>
        <v>45534</v>
      </c>
      <c r="D25" s="300"/>
      <c r="E25" s="300"/>
      <c r="F25" s="684" t="str">
        <f>IF(개요!$C$8="","-",개요!$C$8)</f>
        <v>흥국생명보험(지분증권), 미래컴퍼니</v>
      </c>
      <c r="G25" s="684" t="str">
        <f>IF(개요!$C$7="","-",개요!$C$7)</f>
        <v>포스코KAICI신기술사업투자조합제1호</v>
      </c>
      <c r="H25" s="302" t="str">
        <f>IFERROR(VLOOKUP($O25,종목정보tbl!$A$2:$V$471,$T$2,0),"-")</f>
        <v>-</v>
      </c>
      <c r="I25" s="302" t="str">
        <f>IFERROR(VLOOKUP($O25,종목정보tbl!$A$2:$V$471,$T$3,0),"-")</f>
        <v>-</v>
      </c>
      <c r="J25" s="302" t="str">
        <f>IFERROR(VLOOKUP(VLOOKUP($O25,종목정보tbl!$A$2:$V$471,$T$4,0),종목코드tbl!$A$2:$D$37,2,0),"-")</f>
        <v>-</v>
      </c>
      <c r="K25" s="302" t="str">
        <f>IFERROR(VLOOKUP($O25,종목정보tbl!$A$2:$V$471,$T$5,0),"-")</f>
        <v>-</v>
      </c>
      <c r="L25" s="300"/>
      <c r="M25" s="301" t="str">
        <f>IFERROR(VLOOKUP($O25,종목정보tbl!$A$2:$V$471,$T$6,0),"-")</f>
        <v>-</v>
      </c>
      <c r="N25" s="302" t="str">
        <f>IFERROR(VLOOKUP($O25,종목정보tbl!$A$2:$V$471,$T$7,0),"-")</f>
        <v>-</v>
      </c>
      <c r="O25" s="276" t="str">
        <f t="array" ref="O25">IFERROR(SMALL(IF(종목정보tbl!$B$1:$B$500=2,종목정보tbl!$A$1:$A$500,""),P25),"")</f>
        <v/>
      </c>
      <c r="P25" s="303">
        <v>17</v>
      </c>
    </row>
    <row r="26" spans="2:16">
      <c r="B26" s="300"/>
      <c r="C26" s="301">
        <f t="shared" ca="1" si="0"/>
        <v>45534</v>
      </c>
      <c r="D26" s="300"/>
      <c r="E26" s="300"/>
      <c r="F26" s="684" t="str">
        <f>IF(개요!$C$8="","-",개요!$C$8)</f>
        <v>흥국생명보험(지분증권), 미래컴퍼니</v>
      </c>
      <c r="G26" s="684" t="str">
        <f>IF(개요!$C$7="","-",개요!$C$7)</f>
        <v>포스코KAICI신기술사업투자조합제1호</v>
      </c>
      <c r="H26" s="302" t="str">
        <f>IFERROR(VLOOKUP($O26,종목정보tbl!$A$2:$V$471,$T$2,0),"-")</f>
        <v>-</v>
      </c>
      <c r="I26" s="302" t="str">
        <f>IFERROR(VLOOKUP($O26,종목정보tbl!$A$2:$V$471,$T$3,0),"-")</f>
        <v>-</v>
      </c>
      <c r="J26" s="302" t="str">
        <f>IFERROR(VLOOKUP(VLOOKUP($O26,종목정보tbl!$A$2:$V$471,$T$4,0),종목코드tbl!$A$2:$D$37,2,0),"-")</f>
        <v>-</v>
      </c>
      <c r="K26" s="302" t="str">
        <f>IFERROR(VLOOKUP($O26,종목정보tbl!$A$2:$V$471,$T$5,0),"-")</f>
        <v>-</v>
      </c>
      <c r="L26" s="300"/>
      <c r="M26" s="301" t="str">
        <f>IFERROR(VLOOKUP($O26,종목정보tbl!$A$2:$V$471,$T$6,0),"-")</f>
        <v>-</v>
      </c>
      <c r="N26" s="302" t="str">
        <f>IFERROR(VLOOKUP($O26,종목정보tbl!$A$2:$V$471,$T$7,0),"-")</f>
        <v>-</v>
      </c>
      <c r="O26" s="276" t="str">
        <f t="array" ref="O26">IFERROR(SMALL(IF(종목정보tbl!$B$1:$B$500=2,종목정보tbl!$A$1:$A$500,""),P26),"")</f>
        <v/>
      </c>
      <c r="P26" s="176">
        <v>18</v>
      </c>
    </row>
    <row r="27" spans="2:16">
      <c r="B27" s="300"/>
      <c r="C27" s="301">
        <f t="shared" ca="1" si="0"/>
        <v>45534</v>
      </c>
      <c r="D27" s="300"/>
      <c r="E27" s="300"/>
      <c r="F27" s="684" t="str">
        <f>IF(개요!$C$8="","-",개요!$C$8)</f>
        <v>흥국생명보험(지분증권), 미래컴퍼니</v>
      </c>
      <c r="G27" s="684" t="str">
        <f>IF(개요!$C$7="","-",개요!$C$7)</f>
        <v>포스코KAICI신기술사업투자조합제1호</v>
      </c>
      <c r="H27" s="302" t="str">
        <f>IFERROR(VLOOKUP($O27,종목정보tbl!$A$2:$V$471,$T$2,0),"-")</f>
        <v>-</v>
      </c>
      <c r="I27" s="302" t="str">
        <f>IFERROR(VLOOKUP($O27,종목정보tbl!$A$2:$V$471,$T$3,0),"-")</f>
        <v>-</v>
      </c>
      <c r="J27" s="302" t="str">
        <f>IFERROR(VLOOKUP(VLOOKUP($O27,종목정보tbl!$A$2:$V$471,$T$4,0),종목코드tbl!$A$2:$D$37,2,0),"-")</f>
        <v>-</v>
      </c>
      <c r="K27" s="302" t="str">
        <f>IFERROR(VLOOKUP($O27,종목정보tbl!$A$2:$V$471,$T$5,0),"-")</f>
        <v>-</v>
      </c>
      <c r="L27" s="300"/>
      <c r="M27" s="301" t="str">
        <f>IFERROR(VLOOKUP($O27,종목정보tbl!$A$2:$V$471,$T$6,0),"-")</f>
        <v>-</v>
      </c>
      <c r="N27" s="302" t="str">
        <f>IFERROR(VLOOKUP($O27,종목정보tbl!$A$2:$V$471,$T$7,0),"-")</f>
        <v>-</v>
      </c>
      <c r="O27" s="276" t="str">
        <f t="array" ref="O27">IFERROR(SMALL(IF(종목정보tbl!$B$1:$B$500=2,종목정보tbl!$A$1:$A$500,""),P27),"")</f>
        <v/>
      </c>
      <c r="P27" s="303">
        <v>19</v>
      </c>
    </row>
    <row r="28" spans="2:16">
      <c r="B28" s="300"/>
      <c r="C28" s="301">
        <f t="shared" ca="1" si="0"/>
        <v>45534</v>
      </c>
      <c r="D28" s="300"/>
      <c r="E28" s="300"/>
      <c r="F28" s="684" t="str">
        <f>IF(개요!$C$8="","-",개요!$C$8)</f>
        <v>흥국생명보험(지분증권), 미래컴퍼니</v>
      </c>
      <c r="G28" s="684" t="str">
        <f>IF(개요!$C$7="","-",개요!$C$7)</f>
        <v>포스코KAICI신기술사업투자조합제1호</v>
      </c>
      <c r="H28" s="302" t="str">
        <f>IFERROR(VLOOKUP($O28,종목정보tbl!$A$2:$V$471,$T$2,0),"-")</f>
        <v>-</v>
      </c>
      <c r="I28" s="302" t="str">
        <f>IFERROR(VLOOKUP($O28,종목정보tbl!$A$2:$V$471,$T$3,0),"-")</f>
        <v>-</v>
      </c>
      <c r="J28" s="302" t="str">
        <f>IFERROR(VLOOKUP(VLOOKUP($O28,종목정보tbl!$A$2:$V$471,$T$4,0),종목코드tbl!$A$2:$D$37,2,0),"-")</f>
        <v>-</v>
      </c>
      <c r="K28" s="302" t="str">
        <f>IFERROR(VLOOKUP($O28,종목정보tbl!$A$2:$V$471,$T$5,0),"-")</f>
        <v>-</v>
      </c>
      <c r="L28" s="300"/>
      <c r="M28" s="301" t="str">
        <f>IFERROR(VLOOKUP($O28,종목정보tbl!$A$2:$V$471,$T$6,0),"-")</f>
        <v>-</v>
      </c>
      <c r="N28" s="302" t="str">
        <f>IFERROR(VLOOKUP($O28,종목정보tbl!$A$2:$V$471,$T$7,0),"-")</f>
        <v>-</v>
      </c>
      <c r="O28" s="276" t="str">
        <f t="array" ref="O28">IFERROR(SMALL(IF(종목정보tbl!$B$1:$B$500=2,종목정보tbl!$A$1:$A$500,""),P28),"")</f>
        <v/>
      </c>
      <c r="P28" s="176">
        <v>20</v>
      </c>
    </row>
    <row r="29" spans="2:16">
      <c r="B29" s="300"/>
      <c r="C29" s="301">
        <f t="shared" ca="1" si="0"/>
        <v>45534</v>
      </c>
      <c r="D29" s="300"/>
      <c r="E29" s="300"/>
      <c r="F29" s="684" t="str">
        <f>IF(개요!$C$8="","-",개요!$C$8)</f>
        <v>흥국생명보험(지분증권), 미래컴퍼니</v>
      </c>
      <c r="G29" s="684" t="str">
        <f>IF(개요!$C$7="","-",개요!$C$7)</f>
        <v>포스코KAICI신기술사업투자조합제1호</v>
      </c>
      <c r="H29" s="302" t="str">
        <f>IFERROR(VLOOKUP($O29,종목정보tbl!$A$2:$V$471,$T$2,0),"-")</f>
        <v>-</v>
      </c>
      <c r="I29" s="302" t="str">
        <f>IFERROR(VLOOKUP($O29,종목정보tbl!$A$2:$V$471,$T$3,0),"-")</f>
        <v>-</v>
      </c>
      <c r="J29" s="302" t="str">
        <f>IFERROR(VLOOKUP(VLOOKUP($O29,종목정보tbl!$A$2:$V$471,$T$4,0),종목코드tbl!$A$2:$D$37,2,0),"-")</f>
        <v>-</v>
      </c>
      <c r="K29" s="302" t="str">
        <f>IFERROR(VLOOKUP($O29,종목정보tbl!$A$2:$V$471,$T$5,0),"-")</f>
        <v>-</v>
      </c>
      <c r="L29" s="300"/>
      <c r="M29" s="301" t="str">
        <f>IFERROR(VLOOKUP($O29,종목정보tbl!$A$2:$V$471,$T$6,0),"-")</f>
        <v>-</v>
      </c>
      <c r="N29" s="302" t="str">
        <f>IFERROR(VLOOKUP($O29,종목정보tbl!$A$2:$V$471,$T$7,0),"-")</f>
        <v>-</v>
      </c>
      <c r="O29" s="276" t="str">
        <f t="array" ref="O29">IFERROR(SMALL(IF(종목정보tbl!$B$1:$B$500=2,종목정보tbl!$A$1:$A$500,""),P29),"")</f>
        <v/>
      </c>
      <c r="P29" s="303">
        <v>21</v>
      </c>
    </row>
    <row r="30" spans="2:16">
      <c r="B30" s="300"/>
      <c r="C30" s="301">
        <f t="shared" ca="1" si="0"/>
        <v>45534</v>
      </c>
      <c r="D30" s="300"/>
      <c r="E30" s="300"/>
      <c r="F30" s="684" t="str">
        <f>IF(개요!$C$8="","-",개요!$C$8)</f>
        <v>흥국생명보험(지분증권), 미래컴퍼니</v>
      </c>
      <c r="G30" s="684" t="str">
        <f>IF(개요!$C$7="","-",개요!$C$7)</f>
        <v>포스코KAICI신기술사업투자조합제1호</v>
      </c>
      <c r="H30" s="302" t="str">
        <f>IFERROR(VLOOKUP($O30,종목정보tbl!$A$2:$V$471,$T$2,0),"-")</f>
        <v>-</v>
      </c>
      <c r="I30" s="302" t="str">
        <f>IFERROR(VLOOKUP($O30,종목정보tbl!$A$2:$V$471,$T$3,0),"-")</f>
        <v>-</v>
      </c>
      <c r="J30" s="302" t="str">
        <f>IFERROR(VLOOKUP(VLOOKUP($O30,종목정보tbl!$A$2:$V$471,$T$4,0),종목코드tbl!$A$2:$D$37,2,0),"-")</f>
        <v>-</v>
      </c>
      <c r="K30" s="302" t="str">
        <f>IFERROR(VLOOKUP($O30,종목정보tbl!$A$2:$V$471,$T$5,0),"-")</f>
        <v>-</v>
      </c>
      <c r="L30" s="300"/>
      <c r="M30" s="301" t="str">
        <f>IFERROR(VLOOKUP($O30,종목정보tbl!$A$2:$V$471,$T$6,0),"-")</f>
        <v>-</v>
      </c>
      <c r="N30" s="302" t="str">
        <f>IFERROR(VLOOKUP($O30,종목정보tbl!$A$2:$V$471,$T$7,0),"-")</f>
        <v>-</v>
      </c>
      <c r="O30" s="276" t="str">
        <f t="array" ref="O30">IFERROR(SMALL(IF(종목정보tbl!$B$1:$B$500=2,종목정보tbl!$A$1:$A$500,""),P30),"")</f>
        <v/>
      </c>
      <c r="P30" s="176">
        <v>22</v>
      </c>
    </row>
    <row r="31" spans="2:16">
      <c r="B31" s="300"/>
      <c r="C31" s="301">
        <f t="shared" ca="1" si="0"/>
        <v>45534</v>
      </c>
      <c r="D31" s="300"/>
      <c r="E31" s="300"/>
      <c r="F31" s="684" t="str">
        <f>IF(개요!$C$8="","-",개요!$C$8)</f>
        <v>흥국생명보험(지분증권), 미래컴퍼니</v>
      </c>
      <c r="G31" s="684" t="str">
        <f>IF(개요!$C$7="","-",개요!$C$7)</f>
        <v>포스코KAICI신기술사업투자조합제1호</v>
      </c>
      <c r="H31" s="302" t="str">
        <f>IFERROR(VLOOKUP($O31,종목정보tbl!$A$2:$V$471,$T$2,0),"-")</f>
        <v>-</v>
      </c>
      <c r="I31" s="302" t="str">
        <f>IFERROR(VLOOKUP($O31,종목정보tbl!$A$2:$V$471,$T$3,0),"-")</f>
        <v>-</v>
      </c>
      <c r="J31" s="302" t="str">
        <f>IFERROR(VLOOKUP(VLOOKUP($O31,종목정보tbl!$A$2:$V$471,$T$4,0),종목코드tbl!$A$2:$D$37,2,0),"-")</f>
        <v>-</v>
      </c>
      <c r="K31" s="302" t="str">
        <f>IFERROR(VLOOKUP($O31,종목정보tbl!$A$2:$V$471,$T$5,0),"-")</f>
        <v>-</v>
      </c>
      <c r="L31" s="300"/>
      <c r="M31" s="301" t="str">
        <f>IFERROR(VLOOKUP($O31,종목정보tbl!$A$2:$V$471,$T$6,0),"-")</f>
        <v>-</v>
      </c>
      <c r="N31" s="302" t="str">
        <f>IFERROR(VLOOKUP($O31,종목정보tbl!$A$2:$V$471,$T$7,0),"-")</f>
        <v>-</v>
      </c>
      <c r="O31" s="276" t="str">
        <f t="array" ref="O31">IFERROR(SMALL(IF(종목정보tbl!$B$1:$B$500=2,종목정보tbl!$A$1:$A$500,""),P31),"")</f>
        <v/>
      </c>
      <c r="P31" s="303">
        <v>23</v>
      </c>
    </row>
    <row r="32" spans="2:16">
      <c r="B32" s="300"/>
      <c r="C32" s="301">
        <f t="shared" ca="1" si="0"/>
        <v>45534</v>
      </c>
      <c r="D32" s="300"/>
      <c r="E32" s="300"/>
      <c r="F32" s="684" t="str">
        <f>IF(개요!$C$8="","-",개요!$C$8)</f>
        <v>흥국생명보험(지분증권), 미래컴퍼니</v>
      </c>
      <c r="G32" s="684" t="str">
        <f>IF(개요!$C$7="","-",개요!$C$7)</f>
        <v>포스코KAICI신기술사업투자조합제1호</v>
      </c>
      <c r="H32" s="302" t="str">
        <f>IFERROR(VLOOKUP($O32,종목정보tbl!$A$2:$V$471,$T$2,0),"-")</f>
        <v>-</v>
      </c>
      <c r="I32" s="302" t="str">
        <f>IFERROR(VLOOKUP($O32,종목정보tbl!$A$2:$V$471,$T$3,0),"-")</f>
        <v>-</v>
      </c>
      <c r="J32" s="302" t="str">
        <f>IFERROR(VLOOKUP(VLOOKUP($O32,종목정보tbl!$A$2:$V$471,$T$4,0),종목코드tbl!$A$2:$D$37,2,0),"-")</f>
        <v>-</v>
      </c>
      <c r="K32" s="302" t="str">
        <f>IFERROR(VLOOKUP($O32,종목정보tbl!$A$2:$V$471,$T$5,0),"-")</f>
        <v>-</v>
      </c>
      <c r="L32" s="300"/>
      <c r="M32" s="301" t="str">
        <f>IFERROR(VLOOKUP($O32,종목정보tbl!$A$2:$V$471,$T$6,0),"-")</f>
        <v>-</v>
      </c>
      <c r="N32" s="302" t="str">
        <f>IFERROR(VLOOKUP($O32,종목정보tbl!$A$2:$V$471,$T$7,0),"-")</f>
        <v>-</v>
      </c>
      <c r="O32" s="276" t="str">
        <f t="array" ref="O32">IFERROR(SMALL(IF(종목정보tbl!$B$1:$B$500=2,종목정보tbl!$A$1:$A$500,""),P32),"")</f>
        <v/>
      </c>
      <c r="P32" s="176">
        <v>24</v>
      </c>
    </row>
    <row r="33" spans="2:16">
      <c r="B33" s="300"/>
      <c r="C33" s="301">
        <f t="shared" ca="1" si="0"/>
        <v>45534</v>
      </c>
      <c r="D33" s="300"/>
      <c r="E33" s="300"/>
      <c r="F33" s="684" t="str">
        <f>IF(개요!$C$8="","-",개요!$C$8)</f>
        <v>흥국생명보험(지분증권), 미래컴퍼니</v>
      </c>
      <c r="G33" s="684" t="str">
        <f>IF(개요!$C$7="","-",개요!$C$7)</f>
        <v>포스코KAICI신기술사업투자조합제1호</v>
      </c>
      <c r="H33" s="302" t="str">
        <f>IFERROR(VLOOKUP($O33,종목정보tbl!$A$2:$V$471,$T$2,0),"-")</f>
        <v>-</v>
      </c>
      <c r="I33" s="302" t="str">
        <f>IFERROR(VLOOKUP($O33,종목정보tbl!$A$2:$V$471,$T$3,0),"-")</f>
        <v>-</v>
      </c>
      <c r="J33" s="302" t="str">
        <f>IFERROR(VLOOKUP(VLOOKUP($O33,종목정보tbl!$A$2:$V$471,$T$4,0),종목코드tbl!$A$2:$D$37,2,0),"-")</f>
        <v>-</v>
      </c>
      <c r="K33" s="302" t="str">
        <f>IFERROR(VLOOKUP($O33,종목정보tbl!$A$2:$V$471,$T$5,0),"-")</f>
        <v>-</v>
      </c>
      <c r="L33" s="300"/>
      <c r="M33" s="301" t="str">
        <f>IFERROR(VLOOKUP($O33,종목정보tbl!$A$2:$V$471,$T$6,0),"-")</f>
        <v>-</v>
      </c>
      <c r="N33" s="302" t="str">
        <f>IFERROR(VLOOKUP($O33,종목정보tbl!$A$2:$V$471,$T$7,0),"-")</f>
        <v>-</v>
      </c>
      <c r="O33" s="276" t="str">
        <f t="array" ref="O33">IFERROR(SMALL(IF(종목정보tbl!$B$1:$B$500=2,종목정보tbl!$A$1:$A$500,""),P33),"")</f>
        <v/>
      </c>
      <c r="P33" s="303">
        <v>25</v>
      </c>
    </row>
    <row r="34" spans="2:16">
      <c r="B34" s="300"/>
      <c r="C34" s="301">
        <f t="shared" ca="1" si="0"/>
        <v>45534</v>
      </c>
      <c r="D34" s="300"/>
      <c r="E34" s="300"/>
      <c r="F34" s="684" t="str">
        <f>IF(개요!$C$8="","-",개요!$C$8)</f>
        <v>흥국생명보험(지분증권), 미래컴퍼니</v>
      </c>
      <c r="G34" s="684" t="str">
        <f>IF(개요!$C$7="","-",개요!$C$7)</f>
        <v>포스코KAICI신기술사업투자조합제1호</v>
      </c>
      <c r="H34" s="302" t="str">
        <f>IFERROR(VLOOKUP($O34,종목정보tbl!$A$2:$V$471,$T$2,0),"-")</f>
        <v>-</v>
      </c>
      <c r="I34" s="302" t="str">
        <f>IFERROR(VLOOKUP($O34,종목정보tbl!$A$2:$V$471,$T$3,0),"-")</f>
        <v>-</v>
      </c>
      <c r="J34" s="302" t="str">
        <f>IFERROR(VLOOKUP(VLOOKUP($O34,종목정보tbl!$A$2:$V$471,$T$4,0),종목코드tbl!$A$2:$D$37,2,0),"-")</f>
        <v>-</v>
      </c>
      <c r="K34" s="302" t="str">
        <f>IFERROR(VLOOKUP($O34,종목정보tbl!$A$2:$V$471,$T$5,0),"-")</f>
        <v>-</v>
      </c>
      <c r="L34" s="300"/>
      <c r="M34" s="301" t="str">
        <f>IFERROR(VLOOKUP($O34,종목정보tbl!$A$2:$V$471,$T$6,0),"-")</f>
        <v>-</v>
      </c>
      <c r="N34" s="302" t="str">
        <f>IFERROR(VLOOKUP($O34,종목정보tbl!$A$2:$V$471,$T$7,0),"-")</f>
        <v>-</v>
      </c>
      <c r="O34" s="276" t="str">
        <f t="array" ref="O34">IFERROR(SMALL(IF(종목정보tbl!$B$1:$B$500=2,종목정보tbl!$A$1:$A$500,""),P34),"")</f>
        <v/>
      </c>
      <c r="P34" s="176">
        <v>26</v>
      </c>
    </row>
    <row r="35" spans="2:16">
      <c r="B35" s="300"/>
      <c r="C35" s="301">
        <f t="shared" ca="1" si="0"/>
        <v>45534</v>
      </c>
      <c r="D35" s="300"/>
      <c r="E35" s="300"/>
      <c r="F35" s="684" t="str">
        <f>IF(개요!$C$8="","-",개요!$C$8)</f>
        <v>흥국생명보험(지분증권), 미래컴퍼니</v>
      </c>
      <c r="G35" s="684" t="str">
        <f>IF(개요!$C$7="","-",개요!$C$7)</f>
        <v>포스코KAICI신기술사업투자조합제1호</v>
      </c>
      <c r="H35" s="302" t="str">
        <f>IFERROR(VLOOKUP($O35,종목정보tbl!$A$2:$V$471,$T$2,0),"-")</f>
        <v>-</v>
      </c>
      <c r="I35" s="302" t="str">
        <f>IFERROR(VLOOKUP($O35,종목정보tbl!$A$2:$V$471,$T$3,0),"-")</f>
        <v>-</v>
      </c>
      <c r="J35" s="302" t="str">
        <f>IFERROR(VLOOKUP(VLOOKUP($O35,종목정보tbl!$A$2:$V$471,$T$4,0),종목코드tbl!$A$2:$D$37,2,0),"-")</f>
        <v>-</v>
      </c>
      <c r="K35" s="302" t="str">
        <f>IFERROR(VLOOKUP($O35,종목정보tbl!$A$2:$V$471,$T$5,0),"-")</f>
        <v>-</v>
      </c>
      <c r="L35" s="300"/>
      <c r="M35" s="301" t="str">
        <f>IFERROR(VLOOKUP($O35,종목정보tbl!$A$2:$V$471,$T$6,0),"-")</f>
        <v>-</v>
      </c>
      <c r="N35" s="302" t="str">
        <f>IFERROR(VLOOKUP($O35,종목정보tbl!$A$2:$V$471,$T$7,0),"-")</f>
        <v>-</v>
      </c>
      <c r="O35" s="276" t="str">
        <f t="array" ref="O35">IFERROR(SMALL(IF(종목정보tbl!$B$1:$B$500=2,종목정보tbl!$A$1:$A$500,""),P35),"")</f>
        <v/>
      </c>
      <c r="P35" s="303">
        <v>27</v>
      </c>
    </row>
    <row r="36" spans="2:16">
      <c r="B36" s="300"/>
      <c r="C36" s="301">
        <f t="shared" ca="1" si="0"/>
        <v>45534</v>
      </c>
      <c r="D36" s="300"/>
      <c r="E36" s="300"/>
      <c r="F36" s="684" t="str">
        <f>IF(개요!$C$8="","-",개요!$C$8)</f>
        <v>흥국생명보험(지분증권), 미래컴퍼니</v>
      </c>
      <c r="G36" s="684" t="str">
        <f>IF(개요!$C$7="","-",개요!$C$7)</f>
        <v>포스코KAICI신기술사업투자조합제1호</v>
      </c>
      <c r="H36" s="302" t="str">
        <f>IFERROR(VLOOKUP($O36,종목정보tbl!$A$2:$V$471,$T$2,0),"-")</f>
        <v>-</v>
      </c>
      <c r="I36" s="302" t="str">
        <f>IFERROR(VLOOKUP($O36,종목정보tbl!$A$2:$V$471,$T$3,0),"-")</f>
        <v>-</v>
      </c>
      <c r="J36" s="302" t="str">
        <f>IFERROR(VLOOKUP(VLOOKUP($O36,종목정보tbl!$A$2:$V$471,$T$4,0),종목코드tbl!$A$2:$D$37,2,0),"-")</f>
        <v>-</v>
      </c>
      <c r="K36" s="302" t="str">
        <f>IFERROR(VLOOKUP($O36,종목정보tbl!$A$2:$V$471,$T$5,0),"-")</f>
        <v>-</v>
      </c>
      <c r="L36" s="300"/>
      <c r="M36" s="301" t="str">
        <f>IFERROR(VLOOKUP($O36,종목정보tbl!$A$2:$V$471,$T$6,0),"-")</f>
        <v>-</v>
      </c>
      <c r="N36" s="302" t="str">
        <f>IFERROR(VLOOKUP($O36,종목정보tbl!$A$2:$V$471,$T$7,0),"-")</f>
        <v>-</v>
      </c>
      <c r="O36" s="276" t="str">
        <f t="array" ref="O36">IFERROR(SMALL(IF(종목정보tbl!$B$1:$B$500=2,종목정보tbl!$A$1:$A$500,""),P36),"")</f>
        <v/>
      </c>
      <c r="P36" s="176">
        <v>28</v>
      </c>
    </row>
    <row r="37" spans="2:16">
      <c r="B37" s="300"/>
      <c r="C37" s="301">
        <f t="shared" ca="1" si="0"/>
        <v>45534</v>
      </c>
      <c r="D37" s="300"/>
      <c r="E37" s="300"/>
      <c r="F37" s="684" t="str">
        <f>IF(개요!$C$8="","-",개요!$C$8)</f>
        <v>흥국생명보험(지분증권), 미래컴퍼니</v>
      </c>
      <c r="G37" s="684" t="str">
        <f>IF(개요!$C$7="","-",개요!$C$7)</f>
        <v>포스코KAICI신기술사업투자조합제1호</v>
      </c>
      <c r="H37" s="302" t="str">
        <f>IFERROR(VLOOKUP($O37,종목정보tbl!$A$2:$V$471,$T$2,0),"-")</f>
        <v>-</v>
      </c>
      <c r="I37" s="302" t="str">
        <f>IFERROR(VLOOKUP($O37,종목정보tbl!$A$2:$V$471,$T$3,0),"-")</f>
        <v>-</v>
      </c>
      <c r="J37" s="302" t="str">
        <f>IFERROR(VLOOKUP(VLOOKUP($O37,종목정보tbl!$A$2:$V$471,$T$4,0),종목코드tbl!$A$2:$D$37,2,0),"-")</f>
        <v>-</v>
      </c>
      <c r="K37" s="302" t="str">
        <f>IFERROR(VLOOKUP($O37,종목정보tbl!$A$2:$V$471,$T$5,0),"-")</f>
        <v>-</v>
      </c>
      <c r="L37" s="300"/>
      <c r="M37" s="301" t="str">
        <f>IFERROR(VLOOKUP($O37,종목정보tbl!$A$2:$V$471,$T$6,0),"-")</f>
        <v>-</v>
      </c>
      <c r="N37" s="302" t="str">
        <f>IFERROR(VLOOKUP($O37,종목정보tbl!$A$2:$V$471,$T$7,0),"-")</f>
        <v>-</v>
      </c>
      <c r="O37" s="276" t="str">
        <f t="array" ref="O37">IFERROR(SMALL(IF(종목정보tbl!$B$1:$B$500=2,종목정보tbl!$A$1:$A$500,""),P37),"")</f>
        <v/>
      </c>
      <c r="P37" s="303">
        <v>29</v>
      </c>
    </row>
    <row r="38" spans="2:16">
      <c r="B38" s="300"/>
      <c r="C38" s="301">
        <f t="shared" ca="1" si="0"/>
        <v>45534</v>
      </c>
      <c r="D38" s="300"/>
      <c r="E38" s="300"/>
      <c r="F38" s="684" t="str">
        <f>IF(개요!$C$8="","-",개요!$C$8)</f>
        <v>흥국생명보험(지분증권), 미래컴퍼니</v>
      </c>
      <c r="G38" s="684" t="str">
        <f>IF(개요!$C$7="","-",개요!$C$7)</f>
        <v>포스코KAICI신기술사업투자조합제1호</v>
      </c>
      <c r="H38" s="302" t="str">
        <f>IFERROR(VLOOKUP($O38,종목정보tbl!$A$2:$V$471,$T$2,0),"-")</f>
        <v>-</v>
      </c>
      <c r="I38" s="302" t="str">
        <f>IFERROR(VLOOKUP($O38,종목정보tbl!$A$2:$V$471,$T$3,0),"-")</f>
        <v>-</v>
      </c>
      <c r="J38" s="302" t="str">
        <f>IFERROR(VLOOKUP(VLOOKUP($O38,종목정보tbl!$A$2:$V$471,$T$4,0),종목코드tbl!$A$2:$D$37,2,0),"-")</f>
        <v>-</v>
      </c>
      <c r="K38" s="302" t="str">
        <f>IFERROR(VLOOKUP($O38,종목정보tbl!$A$2:$V$471,$T$5,0),"-")</f>
        <v>-</v>
      </c>
      <c r="L38" s="300"/>
      <c r="M38" s="301" t="str">
        <f>IFERROR(VLOOKUP($O38,종목정보tbl!$A$2:$V$471,$T$6,0),"-")</f>
        <v>-</v>
      </c>
      <c r="N38" s="302" t="str">
        <f>IFERROR(VLOOKUP($O38,종목정보tbl!$A$2:$V$471,$T$7,0),"-")</f>
        <v>-</v>
      </c>
      <c r="O38" s="276" t="str">
        <f t="array" ref="O38">IFERROR(SMALL(IF(종목정보tbl!$B$1:$B$500=2,종목정보tbl!$A$1:$A$500,""),P38),"")</f>
        <v/>
      </c>
      <c r="P38" s="176">
        <v>30</v>
      </c>
    </row>
    <row r="39" spans="2:16">
      <c r="B39" s="300"/>
      <c r="C39" s="301">
        <f t="shared" ca="1" si="0"/>
        <v>45534</v>
      </c>
      <c r="D39" s="300"/>
      <c r="E39" s="300"/>
      <c r="F39" s="684" t="str">
        <f>IF(개요!$C$8="","-",개요!$C$8)</f>
        <v>흥국생명보험(지분증권), 미래컴퍼니</v>
      </c>
      <c r="G39" s="684" t="str">
        <f>IF(개요!$C$7="","-",개요!$C$7)</f>
        <v>포스코KAICI신기술사업투자조합제1호</v>
      </c>
      <c r="H39" s="302" t="str">
        <f>IFERROR(VLOOKUP($O39,종목정보tbl!$A$2:$V$471,$T$2,0),"-")</f>
        <v>-</v>
      </c>
      <c r="I39" s="302" t="str">
        <f>IFERROR(VLOOKUP($O39,종목정보tbl!$A$2:$V$471,$T$3,0),"-")</f>
        <v>-</v>
      </c>
      <c r="J39" s="302" t="str">
        <f>IFERROR(VLOOKUP(VLOOKUP($O39,종목정보tbl!$A$2:$V$471,$T$4,0),종목코드tbl!$A$2:$D$37,2,0),"-")</f>
        <v>-</v>
      </c>
      <c r="K39" s="302" t="str">
        <f>IFERROR(VLOOKUP($O39,종목정보tbl!$A$2:$V$471,$T$5,0),"-")</f>
        <v>-</v>
      </c>
      <c r="L39" s="300"/>
      <c r="M39" s="301" t="str">
        <f>IFERROR(VLOOKUP($O39,종목정보tbl!$A$2:$V$471,$T$6,0),"-")</f>
        <v>-</v>
      </c>
      <c r="N39" s="302" t="str">
        <f>IFERROR(VLOOKUP($O39,종목정보tbl!$A$2:$V$471,$T$7,0),"-")</f>
        <v>-</v>
      </c>
      <c r="O39" s="276" t="str">
        <f t="array" ref="O39">IFERROR(SMALL(IF(종목정보tbl!$B$1:$B$500=2,종목정보tbl!$A$1:$A$500,""),P39),"")</f>
        <v/>
      </c>
      <c r="P39" s="303">
        <v>31</v>
      </c>
    </row>
    <row r="40" spans="2:16">
      <c r="B40" s="300"/>
      <c r="C40" s="301">
        <f t="shared" ca="1" si="0"/>
        <v>45534</v>
      </c>
      <c r="D40" s="300"/>
      <c r="E40" s="300"/>
      <c r="F40" s="684" t="str">
        <f>IF(개요!$C$8="","-",개요!$C$8)</f>
        <v>흥국생명보험(지분증권), 미래컴퍼니</v>
      </c>
      <c r="G40" s="684" t="str">
        <f>IF(개요!$C$7="","-",개요!$C$7)</f>
        <v>포스코KAICI신기술사업투자조합제1호</v>
      </c>
      <c r="H40" s="302" t="str">
        <f>IFERROR(VLOOKUP($O40,종목정보tbl!$A$2:$V$471,$T$2,0),"-")</f>
        <v>-</v>
      </c>
      <c r="I40" s="302" t="str">
        <f>IFERROR(VLOOKUP($O40,종목정보tbl!$A$2:$V$471,$T$3,0),"-")</f>
        <v>-</v>
      </c>
      <c r="J40" s="302" t="str">
        <f>IFERROR(VLOOKUP(VLOOKUP($O40,종목정보tbl!$A$2:$V$471,$T$4,0),종목코드tbl!$A$2:$D$37,2,0),"-")</f>
        <v>-</v>
      </c>
      <c r="K40" s="302" t="str">
        <f>IFERROR(VLOOKUP($O40,종목정보tbl!$A$2:$V$471,$T$5,0),"-")</f>
        <v>-</v>
      </c>
      <c r="L40" s="300"/>
      <c r="M40" s="301" t="str">
        <f>IFERROR(VLOOKUP($O40,종목정보tbl!$A$2:$V$471,$T$6,0),"-")</f>
        <v>-</v>
      </c>
      <c r="N40" s="302" t="str">
        <f>IFERROR(VLOOKUP($O40,종목정보tbl!$A$2:$V$471,$T$7,0),"-")</f>
        <v>-</v>
      </c>
      <c r="O40" s="276" t="str">
        <f t="array" ref="O40">IFERROR(SMALL(IF(종목정보tbl!$B$1:$B$500=2,종목정보tbl!$A$1:$A$500,""),P40),"")</f>
        <v/>
      </c>
      <c r="P40" s="176">
        <v>32</v>
      </c>
    </row>
    <row r="41" spans="2:16">
      <c r="B41" s="300"/>
      <c r="C41" s="301">
        <f t="shared" ca="1" si="0"/>
        <v>45534</v>
      </c>
      <c r="D41" s="300"/>
      <c r="E41" s="300"/>
      <c r="F41" s="684" t="str">
        <f>IF(개요!$C$8="","-",개요!$C$8)</f>
        <v>흥국생명보험(지분증권), 미래컴퍼니</v>
      </c>
      <c r="G41" s="684" t="str">
        <f>IF(개요!$C$7="","-",개요!$C$7)</f>
        <v>포스코KAICI신기술사업투자조합제1호</v>
      </c>
      <c r="H41" s="302" t="str">
        <f>IFERROR(VLOOKUP($O41,종목정보tbl!$A$2:$V$471,$T$2,0),"-")</f>
        <v>-</v>
      </c>
      <c r="I41" s="302" t="str">
        <f>IFERROR(VLOOKUP($O41,종목정보tbl!$A$2:$V$471,$T$3,0),"-")</f>
        <v>-</v>
      </c>
      <c r="J41" s="302" t="str">
        <f>IFERROR(VLOOKUP(VLOOKUP($O41,종목정보tbl!$A$2:$V$471,$T$4,0),종목코드tbl!$A$2:$D$37,2,0),"-")</f>
        <v>-</v>
      </c>
      <c r="K41" s="302" t="str">
        <f>IFERROR(VLOOKUP($O41,종목정보tbl!$A$2:$V$471,$T$5,0),"-")</f>
        <v>-</v>
      </c>
      <c r="L41" s="300"/>
      <c r="M41" s="301" t="str">
        <f>IFERROR(VLOOKUP($O41,종목정보tbl!$A$2:$V$471,$T$6,0),"-")</f>
        <v>-</v>
      </c>
      <c r="N41" s="302" t="str">
        <f>IFERROR(VLOOKUP($O41,종목정보tbl!$A$2:$V$471,$T$7,0),"-")</f>
        <v>-</v>
      </c>
      <c r="O41" s="276" t="str">
        <f t="array" ref="O41">IFERROR(SMALL(IF(종목정보tbl!$B$1:$B$500=2,종목정보tbl!$A$1:$A$500,""),P41),"")</f>
        <v/>
      </c>
      <c r="P41" s="303">
        <v>33</v>
      </c>
    </row>
    <row r="42" spans="2:16">
      <c r="B42" s="300"/>
      <c r="C42" s="301">
        <f t="shared" ca="1" si="0"/>
        <v>45534</v>
      </c>
      <c r="D42" s="300"/>
      <c r="E42" s="300"/>
      <c r="F42" s="684" t="str">
        <f>IF(개요!$C$8="","-",개요!$C$8)</f>
        <v>흥국생명보험(지분증권), 미래컴퍼니</v>
      </c>
      <c r="G42" s="684" t="str">
        <f>IF(개요!$C$7="","-",개요!$C$7)</f>
        <v>포스코KAICI신기술사업투자조합제1호</v>
      </c>
      <c r="H42" s="302" t="str">
        <f>IFERROR(VLOOKUP($O42,종목정보tbl!$A$2:$V$471,$T$2,0),"-")</f>
        <v>-</v>
      </c>
      <c r="I42" s="302" t="str">
        <f>IFERROR(VLOOKUP($O42,종목정보tbl!$A$2:$V$471,$T$3,0),"-")</f>
        <v>-</v>
      </c>
      <c r="J42" s="302" t="str">
        <f>IFERROR(VLOOKUP(VLOOKUP($O42,종목정보tbl!$A$2:$V$471,$T$4,0),종목코드tbl!$A$2:$D$37,2,0),"-")</f>
        <v>-</v>
      </c>
      <c r="K42" s="302" t="str">
        <f>IFERROR(VLOOKUP($O42,종목정보tbl!$A$2:$V$471,$T$5,0),"-")</f>
        <v>-</v>
      </c>
      <c r="L42" s="300"/>
      <c r="M42" s="301" t="str">
        <f>IFERROR(VLOOKUP($O42,종목정보tbl!$A$2:$V$471,$T$6,0),"-")</f>
        <v>-</v>
      </c>
      <c r="N42" s="302" t="str">
        <f>IFERROR(VLOOKUP($O42,종목정보tbl!$A$2:$V$471,$T$7,0),"-")</f>
        <v>-</v>
      </c>
      <c r="O42" s="276" t="str">
        <f t="array" ref="O42">IFERROR(SMALL(IF(종목정보tbl!$B$1:$B$500=2,종목정보tbl!$A$1:$A$500,""),P42),"")</f>
        <v/>
      </c>
      <c r="P42" s="176">
        <v>34</v>
      </c>
    </row>
    <row r="43" spans="2:16">
      <c r="B43" s="300"/>
      <c r="C43" s="301">
        <f t="shared" ca="1" si="0"/>
        <v>45534</v>
      </c>
      <c r="D43" s="300"/>
      <c r="E43" s="300"/>
      <c r="F43" s="684" t="str">
        <f>IF(개요!$C$8="","-",개요!$C$8)</f>
        <v>흥국생명보험(지분증권), 미래컴퍼니</v>
      </c>
      <c r="G43" s="684" t="str">
        <f>IF(개요!$C$7="","-",개요!$C$7)</f>
        <v>포스코KAICI신기술사업투자조합제1호</v>
      </c>
      <c r="H43" s="302" t="str">
        <f>IFERROR(VLOOKUP($O43,종목정보tbl!$A$2:$V$471,$T$2,0),"-")</f>
        <v>-</v>
      </c>
      <c r="I43" s="302" t="str">
        <f>IFERROR(VLOOKUP($O43,종목정보tbl!$A$2:$V$471,$T$3,0),"-")</f>
        <v>-</v>
      </c>
      <c r="J43" s="302" t="str">
        <f>IFERROR(VLOOKUP(VLOOKUP($O43,종목정보tbl!$A$2:$V$471,$T$4,0),종목코드tbl!$A$2:$D$37,2,0),"-")</f>
        <v>-</v>
      </c>
      <c r="K43" s="302" t="str">
        <f>IFERROR(VLOOKUP($O43,종목정보tbl!$A$2:$V$471,$T$5,0),"-")</f>
        <v>-</v>
      </c>
      <c r="L43" s="300"/>
      <c r="M43" s="301" t="str">
        <f>IFERROR(VLOOKUP($O43,종목정보tbl!$A$2:$V$471,$T$6,0),"-")</f>
        <v>-</v>
      </c>
      <c r="N43" s="302" t="str">
        <f>IFERROR(VLOOKUP($O43,종목정보tbl!$A$2:$V$471,$T$7,0),"-")</f>
        <v>-</v>
      </c>
      <c r="O43" s="276" t="str">
        <f t="array" ref="O43">IFERROR(SMALL(IF(종목정보tbl!$B$1:$B$500=2,종목정보tbl!$A$1:$A$500,""),P43),"")</f>
        <v/>
      </c>
      <c r="P43" s="303">
        <v>35</v>
      </c>
    </row>
    <row r="44" spans="2:16">
      <c r="B44" s="300"/>
      <c r="C44" s="301">
        <f t="shared" ca="1" si="0"/>
        <v>45534</v>
      </c>
      <c r="D44" s="300"/>
      <c r="E44" s="300"/>
      <c r="F44" s="684" t="str">
        <f>IF(개요!$C$8="","-",개요!$C$8)</f>
        <v>흥국생명보험(지분증권), 미래컴퍼니</v>
      </c>
      <c r="G44" s="684" t="str">
        <f>IF(개요!$C$7="","-",개요!$C$7)</f>
        <v>포스코KAICI신기술사업투자조합제1호</v>
      </c>
      <c r="H44" s="302" t="str">
        <f>IFERROR(VLOOKUP($O44,종목정보tbl!$A$2:$V$471,$T$2,0),"-")</f>
        <v>-</v>
      </c>
      <c r="I44" s="302" t="str">
        <f>IFERROR(VLOOKUP($O44,종목정보tbl!$A$2:$V$471,$T$3,0),"-")</f>
        <v>-</v>
      </c>
      <c r="J44" s="302" t="str">
        <f>IFERROR(VLOOKUP(VLOOKUP($O44,종목정보tbl!$A$2:$V$471,$T$4,0),종목코드tbl!$A$2:$D$37,2,0),"-")</f>
        <v>-</v>
      </c>
      <c r="K44" s="302" t="str">
        <f>IFERROR(VLOOKUP($O44,종목정보tbl!$A$2:$V$471,$T$5,0),"-")</f>
        <v>-</v>
      </c>
      <c r="L44" s="300"/>
      <c r="M44" s="301" t="str">
        <f>IFERROR(VLOOKUP($O44,종목정보tbl!$A$2:$V$471,$T$6,0),"-")</f>
        <v>-</v>
      </c>
      <c r="N44" s="302" t="str">
        <f>IFERROR(VLOOKUP($O44,종목정보tbl!$A$2:$V$471,$T$7,0),"-")</f>
        <v>-</v>
      </c>
      <c r="O44" s="276" t="str">
        <f t="array" ref="O44">IFERROR(SMALL(IF(종목정보tbl!$B$1:$B$500=2,종목정보tbl!$A$1:$A$500,""),P44),"")</f>
        <v/>
      </c>
      <c r="P44" s="176">
        <v>36</v>
      </c>
    </row>
    <row r="45" spans="2:16">
      <c r="B45" s="300"/>
      <c r="C45" s="301">
        <f t="shared" ca="1" si="0"/>
        <v>45534</v>
      </c>
      <c r="D45" s="300"/>
      <c r="E45" s="300"/>
      <c r="F45" s="684" t="str">
        <f>IF(개요!$C$8="","-",개요!$C$8)</f>
        <v>흥국생명보험(지분증권), 미래컴퍼니</v>
      </c>
      <c r="G45" s="684" t="str">
        <f>IF(개요!$C$7="","-",개요!$C$7)</f>
        <v>포스코KAICI신기술사업투자조합제1호</v>
      </c>
      <c r="H45" s="302" t="str">
        <f>IFERROR(VLOOKUP($O45,종목정보tbl!$A$2:$V$471,$T$2,0),"-")</f>
        <v>-</v>
      </c>
      <c r="I45" s="302" t="str">
        <f>IFERROR(VLOOKUP($O45,종목정보tbl!$A$2:$V$471,$T$3,0),"-")</f>
        <v>-</v>
      </c>
      <c r="J45" s="302" t="str">
        <f>IFERROR(VLOOKUP(VLOOKUP($O45,종목정보tbl!$A$2:$V$471,$T$4,0),종목코드tbl!$A$2:$D$37,2,0),"-")</f>
        <v>-</v>
      </c>
      <c r="K45" s="302" t="str">
        <f>IFERROR(VLOOKUP($O45,종목정보tbl!$A$2:$V$471,$T$5,0),"-")</f>
        <v>-</v>
      </c>
      <c r="L45" s="300"/>
      <c r="M45" s="301" t="str">
        <f>IFERROR(VLOOKUP($O45,종목정보tbl!$A$2:$V$471,$T$6,0),"-")</f>
        <v>-</v>
      </c>
      <c r="N45" s="302" t="str">
        <f>IFERROR(VLOOKUP($O45,종목정보tbl!$A$2:$V$471,$T$7,0),"-")</f>
        <v>-</v>
      </c>
      <c r="O45" s="276" t="str">
        <f t="array" ref="O45">IFERROR(SMALL(IF(종목정보tbl!$B$1:$B$500=2,종목정보tbl!$A$1:$A$500,""),P45),"")</f>
        <v/>
      </c>
      <c r="P45" s="303">
        <v>37</v>
      </c>
    </row>
    <row r="46" spans="2:16">
      <c r="B46" s="300"/>
      <c r="C46" s="301">
        <f t="shared" ca="1" si="0"/>
        <v>45534</v>
      </c>
      <c r="D46" s="300"/>
      <c r="E46" s="300"/>
      <c r="F46" s="684" t="str">
        <f>IF(개요!$C$8="","-",개요!$C$8)</f>
        <v>흥국생명보험(지분증권), 미래컴퍼니</v>
      </c>
      <c r="G46" s="684" t="str">
        <f>IF(개요!$C$7="","-",개요!$C$7)</f>
        <v>포스코KAICI신기술사업투자조합제1호</v>
      </c>
      <c r="H46" s="302" t="str">
        <f>IFERROR(VLOOKUP($O46,종목정보tbl!$A$2:$V$471,$T$2,0),"-")</f>
        <v>-</v>
      </c>
      <c r="I46" s="302" t="str">
        <f>IFERROR(VLOOKUP($O46,종목정보tbl!$A$2:$V$471,$T$3,0),"-")</f>
        <v>-</v>
      </c>
      <c r="J46" s="302" t="str">
        <f>IFERROR(VLOOKUP(VLOOKUP($O46,종목정보tbl!$A$2:$V$471,$T$4,0),종목코드tbl!$A$2:$D$37,2,0),"-")</f>
        <v>-</v>
      </c>
      <c r="K46" s="302" t="str">
        <f>IFERROR(VLOOKUP($O46,종목정보tbl!$A$2:$V$471,$T$5,0),"-")</f>
        <v>-</v>
      </c>
      <c r="L46" s="300"/>
      <c r="M46" s="301" t="str">
        <f>IFERROR(VLOOKUP($O46,종목정보tbl!$A$2:$V$471,$T$6,0),"-")</f>
        <v>-</v>
      </c>
      <c r="N46" s="302" t="str">
        <f>IFERROR(VLOOKUP($O46,종목정보tbl!$A$2:$V$471,$T$7,0),"-")</f>
        <v>-</v>
      </c>
      <c r="O46" s="276" t="str">
        <f t="array" ref="O46">IFERROR(SMALL(IF(종목정보tbl!$B$1:$B$500=2,종목정보tbl!$A$1:$A$500,""),P46),"")</f>
        <v/>
      </c>
      <c r="P46" s="176">
        <v>38</v>
      </c>
    </row>
    <row r="47" spans="2:16">
      <c r="B47" s="300"/>
      <c r="C47" s="301">
        <f t="shared" ca="1" si="0"/>
        <v>45534</v>
      </c>
      <c r="D47" s="300"/>
      <c r="E47" s="300"/>
      <c r="F47" s="684" t="str">
        <f>IF(개요!$C$8="","-",개요!$C$8)</f>
        <v>흥국생명보험(지분증권), 미래컴퍼니</v>
      </c>
      <c r="G47" s="684" t="str">
        <f>IF(개요!$C$7="","-",개요!$C$7)</f>
        <v>포스코KAICI신기술사업투자조합제1호</v>
      </c>
      <c r="H47" s="302" t="str">
        <f>IFERROR(VLOOKUP($O47,종목정보tbl!$A$2:$V$471,$T$2,0),"-")</f>
        <v>-</v>
      </c>
      <c r="I47" s="302" t="str">
        <f>IFERROR(VLOOKUP($O47,종목정보tbl!$A$2:$V$471,$T$3,0),"-")</f>
        <v>-</v>
      </c>
      <c r="J47" s="302" t="str">
        <f>IFERROR(VLOOKUP(VLOOKUP($O47,종목정보tbl!$A$2:$V$471,$T$4,0),종목코드tbl!$A$2:$D$37,2,0),"-")</f>
        <v>-</v>
      </c>
      <c r="K47" s="302" t="str">
        <f>IFERROR(VLOOKUP($O47,종목정보tbl!$A$2:$V$471,$T$5,0),"-")</f>
        <v>-</v>
      </c>
      <c r="L47" s="300"/>
      <c r="M47" s="301" t="str">
        <f>IFERROR(VLOOKUP($O47,종목정보tbl!$A$2:$V$471,$T$6,0),"-")</f>
        <v>-</v>
      </c>
      <c r="N47" s="302" t="str">
        <f>IFERROR(VLOOKUP($O47,종목정보tbl!$A$2:$V$471,$T$7,0),"-")</f>
        <v>-</v>
      </c>
      <c r="O47" s="276" t="str">
        <f t="array" ref="O47">IFERROR(SMALL(IF(종목정보tbl!$B$1:$B$500=2,종목정보tbl!$A$1:$A$500,""),P47),"")</f>
        <v/>
      </c>
      <c r="P47" s="303">
        <v>39</v>
      </c>
    </row>
    <row r="48" spans="2:16">
      <c r="B48" s="300"/>
      <c r="C48" s="301">
        <f t="shared" ca="1" si="0"/>
        <v>45534</v>
      </c>
      <c r="D48" s="300"/>
      <c r="E48" s="300"/>
      <c r="F48" s="684" t="str">
        <f>IF(개요!$C$8="","-",개요!$C$8)</f>
        <v>흥국생명보험(지분증권), 미래컴퍼니</v>
      </c>
      <c r="G48" s="684" t="str">
        <f>IF(개요!$C$7="","-",개요!$C$7)</f>
        <v>포스코KAICI신기술사업투자조합제1호</v>
      </c>
      <c r="H48" s="302" t="str">
        <f>IFERROR(VLOOKUP($O48,종목정보tbl!$A$2:$V$471,$T$2,0),"-")</f>
        <v>-</v>
      </c>
      <c r="I48" s="302" t="str">
        <f>IFERROR(VLOOKUP($O48,종목정보tbl!$A$2:$V$471,$T$3,0),"-")</f>
        <v>-</v>
      </c>
      <c r="J48" s="302" t="str">
        <f>IFERROR(VLOOKUP(VLOOKUP($O48,종목정보tbl!$A$2:$V$471,$T$4,0),종목코드tbl!$A$2:$D$37,2,0),"-")</f>
        <v>-</v>
      </c>
      <c r="K48" s="302" t="str">
        <f>IFERROR(VLOOKUP($O48,종목정보tbl!$A$2:$V$471,$T$5,0),"-")</f>
        <v>-</v>
      </c>
      <c r="L48" s="300"/>
      <c r="M48" s="301" t="str">
        <f>IFERROR(VLOOKUP($O48,종목정보tbl!$A$2:$V$471,$T$6,0),"-")</f>
        <v>-</v>
      </c>
      <c r="N48" s="302" t="str">
        <f>IFERROR(VLOOKUP($O48,종목정보tbl!$A$2:$V$471,$T$7,0),"-")</f>
        <v>-</v>
      </c>
      <c r="O48" s="276" t="str">
        <f t="array" ref="O48">IFERROR(SMALL(IF(종목정보tbl!$B$1:$B$500=2,종목정보tbl!$A$1:$A$500,""),P48),"")</f>
        <v/>
      </c>
      <c r="P48" s="176">
        <v>40</v>
      </c>
    </row>
    <row r="49" spans="2:16" outlineLevel="1">
      <c r="B49" s="300"/>
      <c r="C49" s="301">
        <f t="shared" ca="1" si="0"/>
        <v>45534</v>
      </c>
      <c r="D49" s="300"/>
      <c r="E49" s="300"/>
      <c r="F49" s="684" t="str">
        <f>IF(개요!$C$8="","-",개요!$C$8)</f>
        <v>흥국생명보험(지분증권), 미래컴퍼니</v>
      </c>
      <c r="G49" s="684" t="str">
        <f>IF(개요!$C$7="","-",개요!$C$7)</f>
        <v>포스코KAICI신기술사업투자조합제1호</v>
      </c>
      <c r="H49" s="302" t="str">
        <f>IFERROR(VLOOKUP($O49,종목정보tbl!$A$2:$V$471,$T$2,0),"-")</f>
        <v>-</v>
      </c>
      <c r="I49" s="302" t="str">
        <f>IFERROR(VLOOKUP($O49,종목정보tbl!$A$2:$V$471,$T$3,0),"-")</f>
        <v>-</v>
      </c>
      <c r="J49" s="302" t="str">
        <f>IFERROR(VLOOKUP(VLOOKUP($O49,종목정보tbl!$A$2:$V$471,$T$4,0),종목코드tbl!$A$2:$D$37,2,0),"-")</f>
        <v>-</v>
      </c>
      <c r="K49" s="302" t="str">
        <f>IFERROR(VLOOKUP($O49,종목정보tbl!$A$2:$V$471,$T$5,0),"-")</f>
        <v>-</v>
      </c>
      <c r="L49" s="300"/>
      <c r="M49" s="301" t="str">
        <f>IFERROR(VLOOKUP($O49,종목정보tbl!$A$2:$V$471,$T$6,0),"-")</f>
        <v>-</v>
      </c>
      <c r="N49" s="302" t="str">
        <f>IFERROR(VLOOKUP($O49,종목정보tbl!$A$2:$V$471,$T$7,0),"-")</f>
        <v>-</v>
      </c>
      <c r="O49" s="276" t="str">
        <f t="array" ref="O49">IFERROR(SMALL(IF(종목정보tbl!$B$1:$B$500=2,종목정보tbl!$A$1:$A$500,""),P49),"")</f>
        <v/>
      </c>
      <c r="P49" s="303">
        <v>41</v>
      </c>
    </row>
    <row r="50" spans="2:16" outlineLevel="1">
      <c r="B50" s="300"/>
      <c r="C50" s="301">
        <f t="shared" ca="1" si="0"/>
        <v>45534</v>
      </c>
      <c r="D50" s="300"/>
      <c r="E50" s="300"/>
      <c r="F50" s="684" t="str">
        <f>IF(개요!$C$8="","-",개요!$C$8)</f>
        <v>흥국생명보험(지분증권), 미래컴퍼니</v>
      </c>
      <c r="G50" s="684" t="str">
        <f>IF(개요!$C$7="","-",개요!$C$7)</f>
        <v>포스코KAICI신기술사업투자조합제1호</v>
      </c>
      <c r="H50" s="302" t="str">
        <f>IFERROR(VLOOKUP($O50,종목정보tbl!$A$2:$V$471,$T$2,0),"-")</f>
        <v>-</v>
      </c>
      <c r="I50" s="302" t="str">
        <f>IFERROR(VLOOKUP($O50,종목정보tbl!$A$2:$V$471,$T$3,0),"-")</f>
        <v>-</v>
      </c>
      <c r="J50" s="302" t="str">
        <f>IFERROR(VLOOKUP(VLOOKUP($O50,종목정보tbl!$A$2:$V$471,$T$4,0),종목코드tbl!$A$2:$D$37,2,0),"-")</f>
        <v>-</v>
      </c>
      <c r="K50" s="302" t="str">
        <f>IFERROR(VLOOKUP($O50,종목정보tbl!$A$2:$V$471,$T$5,0),"-")</f>
        <v>-</v>
      </c>
      <c r="L50" s="300"/>
      <c r="M50" s="301" t="str">
        <f>IFERROR(VLOOKUP($O50,종목정보tbl!$A$2:$V$471,$T$6,0),"-")</f>
        <v>-</v>
      </c>
      <c r="N50" s="302" t="str">
        <f>IFERROR(VLOOKUP($O50,종목정보tbl!$A$2:$V$471,$T$7,0),"-")</f>
        <v>-</v>
      </c>
      <c r="O50" s="276" t="str">
        <f t="array" ref="O50">IFERROR(SMALL(IF(종목정보tbl!$B$1:$B$500=2,종목정보tbl!$A$1:$A$500,""),P50),"")</f>
        <v/>
      </c>
      <c r="P50" s="176">
        <v>42</v>
      </c>
    </row>
    <row r="51" spans="2:16" outlineLevel="1">
      <c r="B51" s="300"/>
      <c r="C51" s="301">
        <f t="shared" ca="1" si="0"/>
        <v>45534</v>
      </c>
      <c r="D51" s="300"/>
      <c r="E51" s="300"/>
      <c r="F51" s="684" t="str">
        <f>IF(개요!$C$8="","-",개요!$C$8)</f>
        <v>흥국생명보험(지분증권), 미래컴퍼니</v>
      </c>
      <c r="G51" s="684" t="str">
        <f>IF(개요!$C$7="","-",개요!$C$7)</f>
        <v>포스코KAICI신기술사업투자조합제1호</v>
      </c>
      <c r="H51" s="302" t="str">
        <f>IFERROR(VLOOKUP($O51,종목정보tbl!$A$2:$V$471,$T$2,0),"-")</f>
        <v>-</v>
      </c>
      <c r="I51" s="302" t="str">
        <f>IFERROR(VLOOKUP($O51,종목정보tbl!$A$2:$V$471,$T$3,0),"-")</f>
        <v>-</v>
      </c>
      <c r="J51" s="302" t="str">
        <f>IFERROR(VLOOKUP(VLOOKUP($O51,종목정보tbl!$A$2:$V$471,$T$4,0),종목코드tbl!$A$2:$D$37,2,0),"-")</f>
        <v>-</v>
      </c>
      <c r="K51" s="302" t="str">
        <f>IFERROR(VLOOKUP($O51,종목정보tbl!$A$2:$V$471,$T$5,0),"-")</f>
        <v>-</v>
      </c>
      <c r="L51" s="300"/>
      <c r="M51" s="301" t="str">
        <f>IFERROR(VLOOKUP($O51,종목정보tbl!$A$2:$V$471,$T$6,0),"-")</f>
        <v>-</v>
      </c>
      <c r="N51" s="302" t="str">
        <f>IFERROR(VLOOKUP($O51,종목정보tbl!$A$2:$V$471,$T$7,0),"-")</f>
        <v>-</v>
      </c>
      <c r="O51" s="276" t="str">
        <f t="array" ref="O51">IFERROR(SMALL(IF(종목정보tbl!$B$1:$B$500=2,종목정보tbl!$A$1:$A$500,""),P51),"")</f>
        <v/>
      </c>
      <c r="P51" s="303">
        <v>43</v>
      </c>
    </row>
    <row r="52" spans="2:16" outlineLevel="1">
      <c r="B52" s="300"/>
      <c r="C52" s="301">
        <f t="shared" ca="1" si="0"/>
        <v>45534</v>
      </c>
      <c r="D52" s="300"/>
      <c r="E52" s="300"/>
      <c r="F52" s="684" t="str">
        <f>IF(개요!$C$8="","-",개요!$C$8)</f>
        <v>흥국생명보험(지분증권), 미래컴퍼니</v>
      </c>
      <c r="G52" s="684" t="str">
        <f>IF(개요!$C$7="","-",개요!$C$7)</f>
        <v>포스코KAICI신기술사업투자조합제1호</v>
      </c>
      <c r="H52" s="302" t="str">
        <f>IFERROR(VLOOKUP($O52,종목정보tbl!$A$2:$V$471,$T$2,0),"-")</f>
        <v>-</v>
      </c>
      <c r="I52" s="302" t="str">
        <f>IFERROR(VLOOKUP($O52,종목정보tbl!$A$2:$V$471,$T$3,0),"-")</f>
        <v>-</v>
      </c>
      <c r="J52" s="302" t="str">
        <f>IFERROR(VLOOKUP(VLOOKUP($O52,종목정보tbl!$A$2:$V$471,$T$4,0),종목코드tbl!$A$2:$D$37,2,0),"-")</f>
        <v>-</v>
      </c>
      <c r="K52" s="302" t="str">
        <f>IFERROR(VLOOKUP($O52,종목정보tbl!$A$2:$V$471,$T$5,0),"-")</f>
        <v>-</v>
      </c>
      <c r="L52" s="300"/>
      <c r="M52" s="301" t="str">
        <f>IFERROR(VLOOKUP($O52,종목정보tbl!$A$2:$V$471,$T$6,0),"-")</f>
        <v>-</v>
      </c>
      <c r="N52" s="302" t="str">
        <f>IFERROR(VLOOKUP($O52,종목정보tbl!$A$2:$V$471,$T$7,0),"-")</f>
        <v>-</v>
      </c>
      <c r="O52" s="276" t="str">
        <f t="array" ref="O52">IFERROR(SMALL(IF(종목정보tbl!$B$1:$B$500=2,종목정보tbl!$A$1:$A$500,""),P52),"")</f>
        <v/>
      </c>
      <c r="P52" s="176">
        <v>44</v>
      </c>
    </row>
    <row r="53" spans="2:16" outlineLevel="1">
      <c r="B53" s="300"/>
      <c r="C53" s="301">
        <f t="shared" ca="1" si="0"/>
        <v>45534</v>
      </c>
      <c r="D53" s="300"/>
      <c r="E53" s="300"/>
      <c r="F53" s="684" t="str">
        <f>IF(개요!$C$8="","-",개요!$C$8)</f>
        <v>흥국생명보험(지분증권), 미래컴퍼니</v>
      </c>
      <c r="G53" s="684" t="str">
        <f>IF(개요!$C$7="","-",개요!$C$7)</f>
        <v>포스코KAICI신기술사업투자조합제1호</v>
      </c>
      <c r="H53" s="302" t="str">
        <f>IFERROR(VLOOKUP($O53,종목정보tbl!$A$2:$V$471,$T$2,0),"-")</f>
        <v>-</v>
      </c>
      <c r="I53" s="302" t="str">
        <f>IFERROR(VLOOKUP($O53,종목정보tbl!$A$2:$V$471,$T$3,0),"-")</f>
        <v>-</v>
      </c>
      <c r="J53" s="302" t="str">
        <f>IFERROR(VLOOKUP(VLOOKUP($O53,종목정보tbl!$A$2:$V$471,$T$4,0),종목코드tbl!$A$2:$D$37,2,0),"-")</f>
        <v>-</v>
      </c>
      <c r="K53" s="302" t="str">
        <f>IFERROR(VLOOKUP($O53,종목정보tbl!$A$2:$V$471,$T$5,0),"-")</f>
        <v>-</v>
      </c>
      <c r="L53" s="300"/>
      <c r="M53" s="301" t="str">
        <f>IFERROR(VLOOKUP($O53,종목정보tbl!$A$2:$V$471,$T$6,0),"-")</f>
        <v>-</v>
      </c>
      <c r="N53" s="302" t="str">
        <f>IFERROR(VLOOKUP($O53,종목정보tbl!$A$2:$V$471,$T$7,0),"-")</f>
        <v>-</v>
      </c>
      <c r="O53" s="276" t="str">
        <f t="array" ref="O53">IFERROR(SMALL(IF(종목정보tbl!$B$1:$B$500=2,종목정보tbl!$A$1:$A$500,""),P53),"")</f>
        <v/>
      </c>
      <c r="P53" s="303">
        <v>45</v>
      </c>
    </row>
    <row r="54" spans="2:16" outlineLevel="1">
      <c r="B54" s="300"/>
      <c r="C54" s="301">
        <f t="shared" ca="1" si="0"/>
        <v>45534</v>
      </c>
      <c r="D54" s="300"/>
      <c r="E54" s="300"/>
      <c r="F54" s="684" t="str">
        <f>IF(개요!$C$8="","-",개요!$C$8)</f>
        <v>흥국생명보험(지분증권), 미래컴퍼니</v>
      </c>
      <c r="G54" s="684" t="str">
        <f>IF(개요!$C$7="","-",개요!$C$7)</f>
        <v>포스코KAICI신기술사업투자조합제1호</v>
      </c>
      <c r="H54" s="302" t="str">
        <f>IFERROR(VLOOKUP($O54,종목정보tbl!$A$2:$V$471,$T$2,0),"-")</f>
        <v>-</v>
      </c>
      <c r="I54" s="302" t="str">
        <f>IFERROR(VLOOKUP($O54,종목정보tbl!$A$2:$V$471,$T$3,0),"-")</f>
        <v>-</v>
      </c>
      <c r="J54" s="302" t="str">
        <f>IFERROR(VLOOKUP(VLOOKUP($O54,종목정보tbl!$A$2:$V$471,$T$4,0),종목코드tbl!$A$2:$D$37,2,0),"-")</f>
        <v>-</v>
      </c>
      <c r="K54" s="302" t="str">
        <f>IFERROR(VLOOKUP($O54,종목정보tbl!$A$2:$V$471,$T$5,0),"-")</f>
        <v>-</v>
      </c>
      <c r="L54" s="300"/>
      <c r="M54" s="301" t="str">
        <f>IFERROR(VLOOKUP($O54,종목정보tbl!$A$2:$V$471,$T$6,0),"-")</f>
        <v>-</v>
      </c>
      <c r="N54" s="302" t="str">
        <f>IFERROR(VLOOKUP($O54,종목정보tbl!$A$2:$V$471,$T$7,0),"-")</f>
        <v>-</v>
      </c>
      <c r="O54" s="276" t="str">
        <f t="array" ref="O54">IFERROR(SMALL(IF(종목정보tbl!$B$1:$B$500=2,종목정보tbl!$A$1:$A$500,""),P54),"")</f>
        <v/>
      </c>
      <c r="P54" s="176">
        <v>46</v>
      </c>
    </row>
    <row r="55" spans="2:16" outlineLevel="1">
      <c r="B55" s="300"/>
      <c r="C55" s="301">
        <f t="shared" ca="1" si="0"/>
        <v>45534</v>
      </c>
      <c r="D55" s="300"/>
      <c r="E55" s="300"/>
      <c r="F55" s="684" t="str">
        <f>IF(개요!$C$8="","-",개요!$C$8)</f>
        <v>흥국생명보험(지분증권), 미래컴퍼니</v>
      </c>
      <c r="G55" s="684" t="str">
        <f>IF(개요!$C$7="","-",개요!$C$7)</f>
        <v>포스코KAICI신기술사업투자조합제1호</v>
      </c>
      <c r="H55" s="302" t="str">
        <f>IFERROR(VLOOKUP($O55,종목정보tbl!$A$2:$V$471,$T$2,0),"-")</f>
        <v>-</v>
      </c>
      <c r="I55" s="302" t="str">
        <f>IFERROR(VLOOKUP($O55,종목정보tbl!$A$2:$V$471,$T$3,0),"-")</f>
        <v>-</v>
      </c>
      <c r="J55" s="302" t="str">
        <f>IFERROR(VLOOKUP(VLOOKUP($O55,종목정보tbl!$A$2:$V$471,$T$4,0),종목코드tbl!$A$2:$D$37,2,0),"-")</f>
        <v>-</v>
      </c>
      <c r="K55" s="302" t="str">
        <f>IFERROR(VLOOKUP($O55,종목정보tbl!$A$2:$V$471,$T$5,0),"-")</f>
        <v>-</v>
      </c>
      <c r="L55" s="300"/>
      <c r="M55" s="301" t="str">
        <f>IFERROR(VLOOKUP($O55,종목정보tbl!$A$2:$V$471,$T$6,0),"-")</f>
        <v>-</v>
      </c>
      <c r="N55" s="302" t="str">
        <f>IFERROR(VLOOKUP($O55,종목정보tbl!$A$2:$V$471,$T$7,0),"-")</f>
        <v>-</v>
      </c>
      <c r="O55" s="276" t="str">
        <f t="array" ref="O55">IFERROR(SMALL(IF(종목정보tbl!$B$1:$B$500=2,종목정보tbl!$A$1:$A$500,""),P55),"")</f>
        <v/>
      </c>
      <c r="P55" s="303">
        <v>47</v>
      </c>
    </row>
    <row r="56" spans="2:16" outlineLevel="1">
      <c r="B56" s="300"/>
      <c r="C56" s="301">
        <f t="shared" ca="1" si="0"/>
        <v>45534</v>
      </c>
      <c r="D56" s="300"/>
      <c r="E56" s="300"/>
      <c r="F56" s="684" t="str">
        <f>IF(개요!$C$8="","-",개요!$C$8)</f>
        <v>흥국생명보험(지분증권), 미래컴퍼니</v>
      </c>
      <c r="G56" s="684" t="str">
        <f>IF(개요!$C$7="","-",개요!$C$7)</f>
        <v>포스코KAICI신기술사업투자조합제1호</v>
      </c>
      <c r="H56" s="302" t="str">
        <f>IFERROR(VLOOKUP($O56,종목정보tbl!$A$2:$V$471,$T$2,0),"-")</f>
        <v>-</v>
      </c>
      <c r="I56" s="302" t="str">
        <f>IFERROR(VLOOKUP($O56,종목정보tbl!$A$2:$V$471,$T$3,0),"-")</f>
        <v>-</v>
      </c>
      <c r="J56" s="302" t="str">
        <f>IFERROR(VLOOKUP(VLOOKUP($O56,종목정보tbl!$A$2:$V$471,$T$4,0),종목코드tbl!$A$2:$D$37,2,0),"-")</f>
        <v>-</v>
      </c>
      <c r="K56" s="302" t="str">
        <f>IFERROR(VLOOKUP($O56,종목정보tbl!$A$2:$V$471,$T$5,0),"-")</f>
        <v>-</v>
      </c>
      <c r="L56" s="300"/>
      <c r="M56" s="301" t="str">
        <f>IFERROR(VLOOKUP($O56,종목정보tbl!$A$2:$V$471,$T$6,0),"-")</f>
        <v>-</v>
      </c>
      <c r="N56" s="302" t="str">
        <f>IFERROR(VLOOKUP($O56,종목정보tbl!$A$2:$V$471,$T$7,0),"-")</f>
        <v>-</v>
      </c>
      <c r="O56" s="276" t="str">
        <f t="array" ref="O56">IFERROR(SMALL(IF(종목정보tbl!$B$1:$B$500=2,종목정보tbl!$A$1:$A$500,""),P56),"")</f>
        <v/>
      </c>
      <c r="P56" s="176">
        <v>48</v>
      </c>
    </row>
    <row r="57" spans="2:16" outlineLevel="1">
      <c r="B57" s="300"/>
      <c r="C57" s="301">
        <f t="shared" ca="1" si="0"/>
        <v>45534</v>
      </c>
      <c r="D57" s="300"/>
      <c r="E57" s="300"/>
      <c r="F57" s="684" t="str">
        <f>IF(개요!$C$8="","-",개요!$C$8)</f>
        <v>흥국생명보험(지분증권), 미래컴퍼니</v>
      </c>
      <c r="G57" s="684" t="str">
        <f>IF(개요!$C$7="","-",개요!$C$7)</f>
        <v>포스코KAICI신기술사업투자조합제1호</v>
      </c>
      <c r="H57" s="302" t="str">
        <f>IFERROR(VLOOKUP($O57,종목정보tbl!$A$2:$V$471,$T$2,0),"-")</f>
        <v>-</v>
      </c>
      <c r="I57" s="302" t="str">
        <f>IFERROR(VLOOKUP($O57,종목정보tbl!$A$2:$V$471,$T$3,0),"-")</f>
        <v>-</v>
      </c>
      <c r="J57" s="302" t="str">
        <f>IFERROR(VLOOKUP(VLOOKUP($O57,종목정보tbl!$A$2:$V$471,$T$4,0),종목코드tbl!$A$2:$D$37,2,0),"-")</f>
        <v>-</v>
      </c>
      <c r="K57" s="302" t="str">
        <f>IFERROR(VLOOKUP($O57,종목정보tbl!$A$2:$V$471,$T$5,0),"-")</f>
        <v>-</v>
      </c>
      <c r="L57" s="300"/>
      <c r="M57" s="301" t="str">
        <f>IFERROR(VLOOKUP($O57,종목정보tbl!$A$2:$V$471,$T$6,0),"-")</f>
        <v>-</v>
      </c>
      <c r="N57" s="302" t="str">
        <f>IFERROR(VLOOKUP($O57,종목정보tbl!$A$2:$V$471,$T$7,0),"-")</f>
        <v>-</v>
      </c>
      <c r="O57" s="276" t="str">
        <f t="array" ref="O57">IFERROR(SMALL(IF(종목정보tbl!$B$1:$B$500=2,종목정보tbl!$A$1:$A$500,""),P57),"")</f>
        <v/>
      </c>
      <c r="P57" s="303">
        <v>49</v>
      </c>
    </row>
    <row r="58" spans="2:16" outlineLevel="1">
      <c r="B58" s="300"/>
      <c r="C58" s="301">
        <f t="shared" ca="1" si="0"/>
        <v>45534</v>
      </c>
      <c r="D58" s="300"/>
      <c r="E58" s="300"/>
      <c r="F58" s="684" t="str">
        <f>IF(개요!$C$8="","-",개요!$C$8)</f>
        <v>흥국생명보험(지분증권), 미래컴퍼니</v>
      </c>
      <c r="G58" s="684" t="str">
        <f>IF(개요!$C$7="","-",개요!$C$7)</f>
        <v>포스코KAICI신기술사업투자조합제1호</v>
      </c>
      <c r="H58" s="302" t="str">
        <f>IFERROR(VLOOKUP($O58,종목정보tbl!$A$2:$V$471,$T$2,0),"-")</f>
        <v>-</v>
      </c>
      <c r="I58" s="302" t="str">
        <f>IFERROR(VLOOKUP($O58,종목정보tbl!$A$2:$V$471,$T$3,0),"-")</f>
        <v>-</v>
      </c>
      <c r="J58" s="302" t="str">
        <f>IFERROR(VLOOKUP(VLOOKUP($O58,종목정보tbl!$A$2:$V$471,$T$4,0),종목코드tbl!$A$2:$D$37,2,0),"-")</f>
        <v>-</v>
      </c>
      <c r="K58" s="302" t="str">
        <f>IFERROR(VLOOKUP($O58,종목정보tbl!$A$2:$V$471,$T$5,0),"-")</f>
        <v>-</v>
      </c>
      <c r="L58" s="300"/>
      <c r="M58" s="301" t="str">
        <f>IFERROR(VLOOKUP($O58,종목정보tbl!$A$2:$V$471,$T$6,0),"-")</f>
        <v>-</v>
      </c>
      <c r="N58" s="302" t="str">
        <f>IFERROR(VLOOKUP($O58,종목정보tbl!$A$2:$V$471,$T$7,0),"-")</f>
        <v>-</v>
      </c>
      <c r="O58" s="276" t="str">
        <f t="array" ref="O58">IFERROR(SMALL(IF(종목정보tbl!$B$1:$B$500=2,종목정보tbl!$A$1:$A$500,""),P58),"")</f>
        <v/>
      </c>
      <c r="P58" s="176">
        <v>50</v>
      </c>
    </row>
    <row r="59" spans="2:16" outlineLevel="1">
      <c r="B59" s="300"/>
      <c r="C59" s="301">
        <f t="shared" ca="1" si="0"/>
        <v>45534</v>
      </c>
      <c r="D59" s="300"/>
      <c r="E59" s="300"/>
      <c r="F59" s="684" t="str">
        <f>IF(개요!$C$8="","-",개요!$C$8)</f>
        <v>흥국생명보험(지분증권), 미래컴퍼니</v>
      </c>
      <c r="G59" s="684" t="str">
        <f>IF(개요!$C$7="","-",개요!$C$7)</f>
        <v>포스코KAICI신기술사업투자조합제1호</v>
      </c>
      <c r="H59" s="302" t="str">
        <f>IFERROR(VLOOKUP($O59,종목정보tbl!$A$2:$V$471,$T$2,0),"-")</f>
        <v>-</v>
      </c>
      <c r="I59" s="302" t="str">
        <f>IFERROR(VLOOKUP($O59,종목정보tbl!$A$2:$V$471,$T$3,0),"-")</f>
        <v>-</v>
      </c>
      <c r="J59" s="302" t="str">
        <f>IFERROR(VLOOKUP(VLOOKUP($O59,종목정보tbl!$A$2:$V$471,$T$4,0),종목코드tbl!$A$2:$D$37,2,0),"-")</f>
        <v>-</v>
      </c>
      <c r="K59" s="302" t="str">
        <f>IFERROR(VLOOKUP($O59,종목정보tbl!$A$2:$V$471,$T$5,0),"-")</f>
        <v>-</v>
      </c>
      <c r="L59" s="300"/>
      <c r="M59" s="301" t="str">
        <f>IFERROR(VLOOKUP($O59,종목정보tbl!$A$2:$V$471,$T$6,0),"-")</f>
        <v>-</v>
      </c>
      <c r="N59" s="302" t="str">
        <f>IFERROR(VLOOKUP($O59,종목정보tbl!$A$2:$V$471,$T$7,0),"-")</f>
        <v>-</v>
      </c>
      <c r="O59" s="276" t="str">
        <f t="array" ref="O59">IFERROR(SMALL(IF(종목정보tbl!$B$1:$B$500=2,종목정보tbl!$A$1:$A$500,""),P59),"")</f>
        <v/>
      </c>
      <c r="P59" s="303">
        <v>51</v>
      </c>
    </row>
    <row r="60" spans="2:16" outlineLevel="1">
      <c r="B60" s="300"/>
      <c r="C60" s="301">
        <f t="shared" ca="1" si="0"/>
        <v>45534</v>
      </c>
      <c r="D60" s="300"/>
      <c r="E60" s="300"/>
      <c r="F60" s="684" t="str">
        <f>IF(개요!$C$8="","-",개요!$C$8)</f>
        <v>흥국생명보험(지분증권), 미래컴퍼니</v>
      </c>
      <c r="G60" s="684" t="str">
        <f>IF(개요!$C$7="","-",개요!$C$7)</f>
        <v>포스코KAICI신기술사업투자조합제1호</v>
      </c>
      <c r="H60" s="302" t="str">
        <f>IFERROR(VLOOKUP($O60,종목정보tbl!$A$2:$V$471,$T$2,0),"-")</f>
        <v>-</v>
      </c>
      <c r="I60" s="302" t="str">
        <f>IFERROR(VLOOKUP($O60,종목정보tbl!$A$2:$V$471,$T$3,0),"-")</f>
        <v>-</v>
      </c>
      <c r="J60" s="302" t="str">
        <f>IFERROR(VLOOKUP(VLOOKUP($O60,종목정보tbl!$A$2:$V$471,$T$4,0),종목코드tbl!$A$2:$D$37,2,0),"-")</f>
        <v>-</v>
      </c>
      <c r="K60" s="302" t="str">
        <f>IFERROR(VLOOKUP($O60,종목정보tbl!$A$2:$V$471,$T$5,0),"-")</f>
        <v>-</v>
      </c>
      <c r="L60" s="300"/>
      <c r="M60" s="301" t="str">
        <f>IFERROR(VLOOKUP($O60,종목정보tbl!$A$2:$V$471,$T$6,0),"-")</f>
        <v>-</v>
      </c>
      <c r="N60" s="302" t="str">
        <f>IFERROR(VLOOKUP($O60,종목정보tbl!$A$2:$V$471,$T$7,0),"-")</f>
        <v>-</v>
      </c>
      <c r="O60" s="276" t="str">
        <f t="array" ref="O60">IFERROR(SMALL(IF(종목정보tbl!$B$1:$B$500=2,종목정보tbl!$A$1:$A$500,""),P60),"")</f>
        <v/>
      </c>
      <c r="P60" s="176">
        <v>52</v>
      </c>
    </row>
    <row r="61" spans="2:16" outlineLevel="1">
      <c r="B61" s="300"/>
      <c r="C61" s="301">
        <f t="shared" ca="1" si="0"/>
        <v>45534</v>
      </c>
      <c r="D61" s="300"/>
      <c r="E61" s="300"/>
      <c r="F61" s="684" t="str">
        <f>IF(개요!$C$8="","-",개요!$C$8)</f>
        <v>흥국생명보험(지분증권), 미래컴퍼니</v>
      </c>
      <c r="G61" s="684" t="str">
        <f>IF(개요!$C$7="","-",개요!$C$7)</f>
        <v>포스코KAICI신기술사업투자조합제1호</v>
      </c>
      <c r="H61" s="302" t="str">
        <f>IFERROR(VLOOKUP($O61,종목정보tbl!$A$2:$V$471,$T$2,0),"-")</f>
        <v>-</v>
      </c>
      <c r="I61" s="302" t="str">
        <f>IFERROR(VLOOKUP($O61,종목정보tbl!$A$2:$V$471,$T$3,0),"-")</f>
        <v>-</v>
      </c>
      <c r="J61" s="302" t="str">
        <f>IFERROR(VLOOKUP(VLOOKUP($O61,종목정보tbl!$A$2:$V$471,$T$4,0),종목코드tbl!$A$2:$D$37,2,0),"-")</f>
        <v>-</v>
      </c>
      <c r="K61" s="302" t="str">
        <f>IFERROR(VLOOKUP($O61,종목정보tbl!$A$2:$V$471,$T$5,0),"-")</f>
        <v>-</v>
      </c>
      <c r="L61" s="300"/>
      <c r="M61" s="301" t="str">
        <f>IFERROR(VLOOKUP($O61,종목정보tbl!$A$2:$V$471,$T$6,0),"-")</f>
        <v>-</v>
      </c>
      <c r="N61" s="302" t="str">
        <f>IFERROR(VLOOKUP($O61,종목정보tbl!$A$2:$V$471,$T$7,0),"-")</f>
        <v>-</v>
      </c>
      <c r="O61" s="276" t="str">
        <f t="array" ref="O61">IFERROR(SMALL(IF(종목정보tbl!$B$1:$B$500=2,종목정보tbl!$A$1:$A$500,""),P61),"")</f>
        <v/>
      </c>
      <c r="P61" s="303">
        <v>53</v>
      </c>
    </row>
    <row r="62" spans="2:16" outlineLevel="1">
      <c r="B62" s="300"/>
      <c r="C62" s="301">
        <f t="shared" ca="1" si="0"/>
        <v>45534</v>
      </c>
      <c r="D62" s="300"/>
      <c r="E62" s="300"/>
      <c r="F62" s="684" t="str">
        <f>IF(개요!$C$8="","-",개요!$C$8)</f>
        <v>흥국생명보험(지분증권), 미래컴퍼니</v>
      </c>
      <c r="G62" s="684" t="str">
        <f>IF(개요!$C$7="","-",개요!$C$7)</f>
        <v>포스코KAICI신기술사업투자조합제1호</v>
      </c>
      <c r="H62" s="302" t="str">
        <f>IFERROR(VLOOKUP($O62,종목정보tbl!$A$2:$V$471,$T$2,0),"-")</f>
        <v>-</v>
      </c>
      <c r="I62" s="302" t="str">
        <f>IFERROR(VLOOKUP($O62,종목정보tbl!$A$2:$V$471,$T$3,0),"-")</f>
        <v>-</v>
      </c>
      <c r="J62" s="302" t="str">
        <f>IFERROR(VLOOKUP(VLOOKUP($O62,종목정보tbl!$A$2:$V$471,$T$4,0),종목코드tbl!$A$2:$D$37,2,0),"-")</f>
        <v>-</v>
      </c>
      <c r="K62" s="302" t="str">
        <f>IFERROR(VLOOKUP($O62,종목정보tbl!$A$2:$V$471,$T$5,0),"-")</f>
        <v>-</v>
      </c>
      <c r="L62" s="300"/>
      <c r="M62" s="301" t="str">
        <f>IFERROR(VLOOKUP($O62,종목정보tbl!$A$2:$V$471,$T$6,0),"-")</f>
        <v>-</v>
      </c>
      <c r="N62" s="302" t="str">
        <f>IFERROR(VLOOKUP($O62,종목정보tbl!$A$2:$V$471,$T$7,0),"-")</f>
        <v>-</v>
      </c>
      <c r="O62" s="276" t="str">
        <f t="array" ref="O62">IFERROR(SMALL(IF(종목정보tbl!$B$1:$B$500=2,종목정보tbl!$A$1:$A$500,""),P62),"")</f>
        <v/>
      </c>
      <c r="P62" s="176">
        <v>54</v>
      </c>
    </row>
    <row r="63" spans="2:16" outlineLevel="1">
      <c r="B63" s="300"/>
      <c r="C63" s="301">
        <f t="shared" ca="1" si="0"/>
        <v>45534</v>
      </c>
      <c r="D63" s="300"/>
      <c r="E63" s="300"/>
      <c r="F63" s="684" t="str">
        <f>IF(개요!$C$8="","-",개요!$C$8)</f>
        <v>흥국생명보험(지분증권), 미래컴퍼니</v>
      </c>
      <c r="G63" s="684" t="str">
        <f>IF(개요!$C$7="","-",개요!$C$7)</f>
        <v>포스코KAICI신기술사업투자조합제1호</v>
      </c>
      <c r="H63" s="302" t="str">
        <f>IFERROR(VLOOKUP($O63,종목정보tbl!$A$2:$V$471,$T$2,0),"-")</f>
        <v>-</v>
      </c>
      <c r="I63" s="302" t="str">
        <f>IFERROR(VLOOKUP($O63,종목정보tbl!$A$2:$V$471,$T$3,0),"-")</f>
        <v>-</v>
      </c>
      <c r="J63" s="302" t="str">
        <f>IFERROR(VLOOKUP(VLOOKUP($O63,종목정보tbl!$A$2:$V$471,$T$4,0),종목코드tbl!$A$2:$D$37,2,0),"-")</f>
        <v>-</v>
      </c>
      <c r="K63" s="302" t="str">
        <f>IFERROR(VLOOKUP($O63,종목정보tbl!$A$2:$V$471,$T$5,0),"-")</f>
        <v>-</v>
      </c>
      <c r="L63" s="300"/>
      <c r="M63" s="301" t="str">
        <f>IFERROR(VLOOKUP($O63,종목정보tbl!$A$2:$V$471,$T$6,0),"-")</f>
        <v>-</v>
      </c>
      <c r="N63" s="302" t="str">
        <f>IFERROR(VLOOKUP($O63,종목정보tbl!$A$2:$V$471,$T$7,0),"-")</f>
        <v>-</v>
      </c>
      <c r="O63" s="276" t="str">
        <f t="array" ref="O63">IFERROR(SMALL(IF(종목정보tbl!$B$1:$B$500=2,종목정보tbl!$A$1:$A$500,""),P63),"")</f>
        <v/>
      </c>
      <c r="P63" s="303">
        <v>55</v>
      </c>
    </row>
    <row r="64" spans="2:16" outlineLevel="1">
      <c r="B64" s="300"/>
      <c r="C64" s="301">
        <f t="shared" ca="1" si="0"/>
        <v>45534</v>
      </c>
      <c r="D64" s="300"/>
      <c r="E64" s="300"/>
      <c r="F64" s="684" t="str">
        <f>IF(개요!$C$8="","-",개요!$C$8)</f>
        <v>흥국생명보험(지분증권), 미래컴퍼니</v>
      </c>
      <c r="G64" s="684" t="str">
        <f>IF(개요!$C$7="","-",개요!$C$7)</f>
        <v>포스코KAICI신기술사업투자조합제1호</v>
      </c>
      <c r="H64" s="302" t="str">
        <f>IFERROR(VLOOKUP($O64,종목정보tbl!$A$2:$V$471,$T$2,0),"-")</f>
        <v>-</v>
      </c>
      <c r="I64" s="302" t="str">
        <f>IFERROR(VLOOKUP($O64,종목정보tbl!$A$2:$V$471,$T$3,0),"-")</f>
        <v>-</v>
      </c>
      <c r="J64" s="302" t="str">
        <f>IFERROR(VLOOKUP(VLOOKUP($O64,종목정보tbl!$A$2:$V$471,$T$4,0),종목코드tbl!$A$2:$D$37,2,0),"-")</f>
        <v>-</v>
      </c>
      <c r="K64" s="302" t="str">
        <f>IFERROR(VLOOKUP($O64,종목정보tbl!$A$2:$V$471,$T$5,0),"-")</f>
        <v>-</v>
      </c>
      <c r="L64" s="300"/>
      <c r="M64" s="301" t="str">
        <f>IFERROR(VLOOKUP($O64,종목정보tbl!$A$2:$V$471,$T$6,0),"-")</f>
        <v>-</v>
      </c>
      <c r="N64" s="302" t="str">
        <f>IFERROR(VLOOKUP($O64,종목정보tbl!$A$2:$V$471,$T$7,0),"-")</f>
        <v>-</v>
      </c>
      <c r="O64" s="276" t="str">
        <f t="array" ref="O64">IFERROR(SMALL(IF(종목정보tbl!$B$1:$B$500=2,종목정보tbl!$A$1:$A$500,""),P64),"")</f>
        <v/>
      </c>
      <c r="P64" s="176">
        <v>56</v>
      </c>
    </row>
    <row r="65" spans="2:16" outlineLevel="1">
      <c r="B65" s="300"/>
      <c r="C65" s="301">
        <f t="shared" ca="1" si="0"/>
        <v>45534</v>
      </c>
      <c r="D65" s="300"/>
      <c r="E65" s="300"/>
      <c r="F65" s="684" t="str">
        <f>IF(개요!$C$8="","-",개요!$C$8)</f>
        <v>흥국생명보험(지분증권), 미래컴퍼니</v>
      </c>
      <c r="G65" s="684" t="str">
        <f>IF(개요!$C$7="","-",개요!$C$7)</f>
        <v>포스코KAICI신기술사업투자조합제1호</v>
      </c>
      <c r="H65" s="302" t="str">
        <f>IFERROR(VLOOKUP($O65,종목정보tbl!$A$2:$V$471,$T$2,0),"-")</f>
        <v>-</v>
      </c>
      <c r="I65" s="302" t="str">
        <f>IFERROR(VLOOKUP($O65,종목정보tbl!$A$2:$V$471,$T$3,0),"-")</f>
        <v>-</v>
      </c>
      <c r="J65" s="302" t="str">
        <f>IFERROR(VLOOKUP(VLOOKUP($O65,종목정보tbl!$A$2:$V$471,$T$4,0),종목코드tbl!$A$2:$D$37,2,0),"-")</f>
        <v>-</v>
      </c>
      <c r="K65" s="302" t="str">
        <f>IFERROR(VLOOKUP($O65,종목정보tbl!$A$2:$V$471,$T$5,0),"-")</f>
        <v>-</v>
      </c>
      <c r="L65" s="300"/>
      <c r="M65" s="301" t="str">
        <f>IFERROR(VLOOKUP($O65,종목정보tbl!$A$2:$V$471,$T$6,0),"-")</f>
        <v>-</v>
      </c>
      <c r="N65" s="302" t="str">
        <f>IFERROR(VLOOKUP($O65,종목정보tbl!$A$2:$V$471,$T$7,0),"-")</f>
        <v>-</v>
      </c>
      <c r="O65" s="276" t="str">
        <f t="array" ref="O65">IFERROR(SMALL(IF(종목정보tbl!$B$1:$B$500=2,종목정보tbl!$A$1:$A$500,""),P65),"")</f>
        <v/>
      </c>
      <c r="P65" s="303">
        <v>57</v>
      </c>
    </row>
    <row r="66" spans="2:16" outlineLevel="1">
      <c r="B66" s="300"/>
      <c r="C66" s="301">
        <f t="shared" ca="1" si="0"/>
        <v>45534</v>
      </c>
      <c r="D66" s="300"/>
      <c r="E66" s="300"/>
      <c r="F66" s="684" t="str">
        <f>IF(개요!$C$8="","-",개요!$C$8)</f>
        <v>흥국생명보험(지분증권), 미래컴퍼니</v>
      </c>
      <c r="G66" s="684" t="str">
        <f>IF(개요!$C$7="","-",개요!$C$7)</f>
        <v>포스코KAICI신기술사업투자조합제1호</v>
      </c>
      <c r="H66" s="302" t="str">
        <f>IFERROR(VLOOKUP($O66,종목정보tbl!$A$2:$V$471,$T$2,0),"-")</f>
        <v>-</v>
      </c>
      <c r="I66" s="302" t="str">
        <f>IFERROR(VLOOKUP($O66,종목정보tbl!$A$2:$V$471,$T$3,0),"-")</f>
        <v>-</v>
      </c>
      <c r="J66" s="302" t="str">
        <f>IFERROR(VLOOKUP(VLOOKUP($O66,종목정보tbl!$A$2:$V$471,$T$4,0),종목코드tbl!$A$2:$D$37,2,0),"-")</f>
        <v>-</v>
      </c>
      <c r="K66" s="302" t="str">
        <f>IFERROR(VLOOKUP($O66,종목정보tbl!$A$2:$V$471,$T$5,0),"-")</f>
        <v>-</v>
      </c>
      <c r="L66" s="300"/>
      <c r="M66" s="301" t="str">
        <f>IFERROR(VLOOKUP($O66,종목정보tbl!$A$2:$V$471,$T$6,0),"-")</f>
        <v>-</v>
      </c>
      <c r="N66" s="302" t="str">
        <f>IFERROR(VLOOKUP($O66,종목정보tbl!$A$2:$V$471,$T$7,0),"-")</f>
        <v>-</v>
      </c>
      <c r="O66" s="276" t="str">
        <f t="array" ref="O66">IFERROR(SMALL(IF(종목정보tbl!$B$1:$B$500=2,종목정보tbl!$A$1:$A$500,""),P66),"")</f>
        <v/>
      </c>
      <c r="P66" s="176">
        <v>58</v>
      </c>
    </row>
    <row r="67" spans="2:16" outlineLevel="1">
      <c r="B67" s="300"/>
      <c r="C67" s="301">
        <f t="shared" ca="1" si="0"/>
        <v>45534</v>
      </c>
      <c r="D67" s="300"/>
      <c r="E67" s="300"/>
      <c r="F67" s="684" t="str">
        <f>IF(개요!$C$8="","-",개요!$C$8)</f>
        <v>흥국생명보험(지분증권), 미래컴퍼니</v>
      </c>
      <c r="G67" s="684" t="str">
        <f>IF(개요!$C$7="","-",개요!$C$7)</f>
        <v>포스코KAICI신기술사업투자조합제1호</v>
      </c>
      <c r="H67" s="302" t="str">
        <f>IFERROR(VLOOKUP($O67,종목정보tbl!$A$2:$V$471,$T$2,0),"-")</f>
        <v>-</v>
      </c>
      <c r="I67" s="302" t="str">
        <f>IFERROR(VLOOKUP($O67,종목정보tbl!$A$2:$V$471,$T$3,0),"-")</f>
        <v>-</v>
      </c>
      <c r="J67" s="302" t="str">
        <f>IFERROR(VLOOKUP(VLOOKUP($O67,종목정보tbl!$A$2:$V$471,$T$4,0),종목코드tbl!$A$2:$D$37,2,0),"-")</f>
        <v>-</v>
      </c>
      <c r="K67" s="302" t="str">
        <f>IFERROR(VLOOKUP($O67,종목정보tbl!$A$2:$V$471,$T$5,0),"-")</f>
        <v>-</v>
      </c>
      <c r="L67" s="300"/>
      <c r="M67" s="301" t="str">
        <f>IFERROR(VLOOKUP($O67,종목정보tbl!$A$2:$V$471,$T$6,0),"-")</f>
        <v>-</v>
      </c>
      <c r="N67" s="302" t="str">
        <f>IFERROR(VLOOKUP($O67,종목정보tbl!$A$2:$V$471,$T$7,0),"-")</f>
        <v>-</v>
      </c>
      <c r="O67" s="276" t="str">
        <f t="array" ref="O67">IFERROR(SMALL(IF(종목정보tbl!$B$1:$B$500=2,종목정보tbl!$A$1:$A$500,""),P67),"")</f>
        <v/>
      </c>
      <c r="P67" s="303">
        <v>59</v>
      </c>
    </row>
    <row r="68" spans="2:16" outlineLevel="1">
      <c r="B68" s="300"/>
      <c r="C68" s="301">
        <f t="shared" ca="1" si="0"/>
        <v>45534</v>
      </c>
      <c r="D68" s="300"/>
      <c r="E68" s="300"/>
      <c r="F68" s="684" t="str">
        <f>IF(개요!$C$8="","-",개요!$C$8)</f>
        <v>흥국생명보험(지분증권), 미래컴퍼니</v>
      </c>
      <c r="G68" s="684" t="str">
        <f>IF(개요!$C$7="","-",개요!$C$7)</f>
        <v>포스코KAICI신기술사업투자조합제1호</v>
      </c>
      <c r="H68" s="302" t="str">
        <f>IFERROR(VLOOKUP($O68,종목정보tbl!$A$2:$V$471,$T$2,0),"-")</f>
        <v>-</v>
      </c>
      <c r="I68" s="302" t="str">
        <f>IFERROR(VLOOKUP($O68,종목정보tbl!$A$2:$V$471,$T$3,0),"-")</f>
        <v>-</v>
      </c>
      <c r="J68" s="302" t="str">
        <f>IFERROR(VLOOKUP(VLOOKUP($O68,종목정보tbl!$A$2:$V$471,$T$4,0),종목코드tbl!$A$2:$D$37,2,0),"-")</f>
        <v>-</v>
      </c>
      <c r="K68" s="302" t="str">
        <f>IFERROR(VLOOKUP($O68,종목정보tbl!$A$2:$V$471,$T$5,0),"-")</f>
        <v>-</v>
      </c>
      <c r="L68" s="300"/>
      <c r="M68" s="301" t="str">
        <f>IFERROR(VLOOKUP($O68,종목정보tbl!$A$2:$V$471,$T$6,0),"-")</f>
        <v>-</v>
      </c>
      <c r="N68" s="302" t="str">
        <f>IFERROR(VLOOKUP($O68,종목정보tbl!$A$2:$V$471,$T$7,0),"-")</f>
        <v>-</v>
      </c>
      <c r="O68" s="276" t="str">
        <f t="array" ref="O68">IFERROR(SMALL(IF(종목정보tbl!$B$1:$B$500=2,종목정보tbl!$A$1:$A$500,""),P68),"")</f>
        <v/>
      </c>
      <c r="P68" s="176">
        <v>60</v>
      </c>
    </row>
    <row r="69" spans="2:16" outlineLevel="1">
      <c r="B69" s="300"/>
      <c r="C69" s="301">
        <f t="shared" ca="1" si="0"/>
        <v>45534</v>
      </c>
      <c r="D69" s="300"/>
      <c r="E69" s="300"/>
      <c r="F69" s="684" t="str">
        <f>IF(개요!$C$8="","-",개요!$C$8)</f>
        <v>흥국생명보험(지분증권), 미래컴퍼니</v>
      </c>
      <c r="G69" s="684" t="str">
        <f>IF(개요!$C$7="","-",개요!$C$7)</f>
        <v>포스코KAICI신기술사업투자조합제1호</v>
      </c>
      <c r="H69" s="302" t="str">
        <f>IFERROR(VLOOKUP($O69,종목정보tbl!$A$2:$V$471,$T$2,0),"-")</f>
        <v>-</v>
      </c>
      <c r="I69" s="302" t="str">
        <f>IFERROR(VLOOKUP($O69,종목정보tbl!$A$2:$V$471,$T$3,0),"-")</f>
        <v>-</v>
      </c>
      <c r="J69" s="302" t="str">
        <f>IFERROR(VLOOKUP(VLOOKUP($O69,종목정보tbl!$A$2:$V$471,$T$4,0),종목코드tbl!$A$2:$D$37,2,0),"-")</f>
        <v>-</v>
      </c>
      <c r="K69" s="302" t="str">
        <f>IFERROR(VLOOKUP($O69,종목정보tbl!$A$2:$V$471,$T$5,0),"-")</f>
        <v>-</v>
      </c>
      <c r="L69" s="300"/>
      <c r="M69" s="301" t="str">
        <f>IFERROR(VLOOKUP($O69,종목정보tbl!$A$2:$V$471,$T$6,0),"-")</f>
        <v>-</v>
      </c>
      <c r="N69" s="302" t="str">
        <f>IFERROR(VLOOKUP($O69,종목정보tbl!$A$2:$V$471,$T$7,0),"-")</f>
        <v>-</v>
      </c>
      <c r="O69" s="276" t="str">
        <f t="array" ref="O69">IFERROR(SMALL(IF(종목정보tbl!$B$1:$B$500=2,종목정보tbl!$A$1:$A$500,""),P69),"")</f>
        <v/>
      </c>
      <c r="P69" s="303">
        <v>61</v>
      </c>
    </row>
    <row r="70" spans="2:16" outlineLevel="1">
      <c r="B70" s="300"/>
      <c r="C70" s="301">
        <f t="shared" ca="1" si="0"/>
        <v>45534</v>
      </c>
      <c r="D70" s="300"/>
      <c r="E70" s="300"/>
      <c r="F70" s="684" t="str">
        <f>IF(개요!$C$8="","-",개요!$C$8)</f>
        <v>흥국생명보험(지분증권), 미래컴퍼니</v>
      </c>
      <c r="G70" s="684" t="str">
        <f>IF(개요!$C$7="","-",개요!$C$7)</f>
        <v>포스코KAICI신기술사업투자조합제1호</v>
      </c>
      <c r="H70" s="302" t="str">
        <f>IFERROR(VLOOKUP($O70,종목정보tbl!$A$2:$V$471,$T$2,0),"-")</f>
        <v>-</v>
      </c>
      <c r="I70" s="302" t="str">
        <f>IFERROR(VLOOKUP($O70,종목정보tbl!$A$2:$V$471,$T$3,0),"-")</f>
        <v>-</v>
      </c>
      <c r="J70" s="302" t="str">
        <f>IFERROR(VLOOKUP(VLOOKUP($O70,종목정보tbl!$A$2:$V$471,$T$4,0),종목코드tbl!$A$2:$D$37,2,0),"-")</f>
        <v>-</v>
      </c>
      <c r="K70" s="302" t="str">
        <f>IFERROR(VLOOKUP($O70,종목정보tbl!$A$2:$V$471,$T$5,0),"-")</f>
        <v>-</v>
      </c>
      <c r="L70" s="300"/>
      <c r="M70" s="301" t="str">
        <f>IFERROR(VLOOKUP($O70,종목정보tbl!$A$2:$V$471,$T$6,0),"-")</f>
        <v>-</v>
      </c>
      <c r="N70" s="302" t="str">
        <f>IFERROR(VLOOKUP($O70,종목정보tbl!$A$2:$V$471,$T$7,0),"-")</f>
        <v>-</v>
      </c>
      <c r="O70" s="276" t="str">
        <f t="array" ref="O70">IFERROR(SMALL(IF(종목정보tbl!$B$1:$B$500=2,종목정보tbl!$A$1:$A$500,""),P70),"")</f>
        <v/>
      </c>
      <c r="P70" s="176">
        <v>62</v>
      </c>
    </row>
    <row r="71" spans="2:16" outlineLevel="1">
      <c r="B71" s="300"/>
      <c r="C71" s="301">
        <f t="shared" ca="1" si="0"/>
        <v>45534</v>
      </c>
      <c r="D71" s="300"/>
      <c r="E71" s="300"/>
      <c r="F71" s="684" t="str">
        <f>IF(개요!$C$8="","-",개요!$C$8)</f>
        <v>흥국생명보험(지분증권), 미래컴퍼니</v>
      </c>
      <c r="G71" s="684" t="str">
        <f>IF(개요!$C$7="","-",개요!$C$7)</f>
        <v>포스코KAICI신기술사업투자조합제1호</v>
      </c>
      <c r="H71" s="302" t="str">
        <f>IFERROR(VLOOKUP($O71,종목정보tbl!$A$2:$V$471,$T$2,0),"-")</f>
        <v>-</v>
      </c>
      <c r="I71" s="302" t="str">
        <f>IFERROR(VLOOKUP($O71,종목정보tbl!$A$2:$V$471,$T$3,0),"-")</f>
        <v>-</v>
      </c>
      <c r="J71" s="302" t="str">
        <f>IFERROR(VLOOKUP(VLOOKUP($O71,종목정보tbl!$A$2:$V$471,$T$4,0),종목코드tbl!$A$2:$D$37,2,0),"-")</f>
        <v>-</v>
      </c>
      <c r="K71" s="302" t="str">
        <f>IFERROR(VLOOKUP($O71,종목정보tbl!$A$2:$V$471,$T$5,0),"-")</f>
        <v>-</v>
      </c>
      <c r="L71" s="300"/>
      <c r="M71" s="301" t="str">
        <f>IFERROR(VLOOKUP($O71,종목정보tbl!$A$2:$V$471,$T$6,0),"-")</f>
        <v>-</v>
      </c>
      <c r="N71" s="302" t="str">
        <f>IFERROR(VLOOKUP($O71,종목정보tbl!$A$2:$V$471,$T$7,0),"-")</f>
        <v>-</v>
      </c>
      <c r="O71" s="276" t="str">
        <f t="array" ref="O71">IFERROR(SMALL(IF(종목정보tbl!$B$1:$B$500=2,종목정보tbl!$A$1:$A$500,""),P71),"")</f>
        <v/>
      </c>
      <c r="P71" s="303">
        <v>63</v>
      </c>
    </row>
    <row r="72" spans="2:16" outlineLevel="1">
      <c r="B72" s="300"/>
      <c r="C72" s="301">
        <f t="shared" ca="1" si="0"/>
        <v>45534</v>
      </c>
      <c r="D72" s="300"/>
      <c r="E72" s="300"/>
      <c r="F72" s="684" t="str">
        <f>IF(개요!$C$8="","-",개요!$C$8)</f>
        <v>흥국생명보험(지분증권), 미래컴퍼니</v>
      </c>
      <c r="G72" s="684" t="str">
        <f>IF(개요!$C$7="","-",개요!$C$7)</f>
        <v>포스코KAICI신기술사업투자조합제1호</v>
      </c>
      <c r="H72" s="302" t="str">
        <f>IFERROR(VLOOKUP($O72,종목정보tbl!$A$2:$V$471,$T$2,0),"-")</f>
        <v>-</v>
      </c>
      <c r="I72" s="302" t="str">
        <f>IFERROR(VLOOKUP($O72,종목정보tbl!$A$2:$V$471,$T$3,0),"-")</f>
        <v>-</v>
      </c>
      <c r="J72" s="302" t="str">
        <f>IFERROR(VLOOKUP(VLOOKUP($O72,종목정보tbl!$A$2:$V$471,$T$4,0),종목코드tbl!$A$2:$D$37,2,0),"-")</f>
        <v>-</v>
      </c>
      <c r="K72" s="302" t="str">
        <f>IFERROR(VLOOKUP($O72,종목정보tbl!$A$2:$V$471,$T$5,0),"-")</f>
        <v>-</v>
      </c>
      <c r="L72" s="300"/>
      <c r="M72" s="301" t="str">
        <f>IFERROR(VLOOKUP($O72,종목정보tbl!$A$2:$V$471,$T$6,0),"-")</f>
        <v>-</v>
      </c>
      <c r="N72" s="302" t="str">
        <f>IFERROR(VLOOKUP($O72,종목정보tbl!$A$2:$V$471,$T$7,0),"-")</f>
        <v>-</v>
      </c>
      <c r="O72" s="276" t="str">
        <f t="array" ref="O72">IFERROR(SMALL(IF(종목정보tbl!$B$1:$B$500=2,종목정보tbl!$A$1:$A$500,""),P72),"")</f>
        <v/>
      </c>
      <c r="P72" s="176">
        <v>64</v>
      </c>
    </row>
    <row r="73" spans="2:16" outlineLevel="1">
      <c r="B73" s="300"/>
      <c r="C73" s="301">
        <f t="shared" ca="1" si="0"/>
        <v>45534</v>
      </c>
      <c r="D73" s="300"/>
      <c r="E73" s="300"/>
      <c r="F73" s="684" t="str">
        <f>IF(개요!$C$8="","-",개요!$C$8)</f>
        <v>흥국생명보험(지분증권), 미래컴퍼니</v>
      </c>
      <c r="G73" s="684" t="str">
        <f>IF(개요!$C$7="","-",개요!$C$7)</f>
        <v>포스코KAICI신기술사업투자조합제1호</v>
      </c>
      <c r="H73" s="302" t="str">
        <f>IFERROR(VLOOKUP($O73,종목정보tbl!$A$2:$V$471,$T$2,0),"-")</f>
        <v>-</v>
      </c>
      <c r="I73" s="302" t="str">
        <f>IFERROR(VLOOKUP($O73,종목정보tbl!$A$2:$V$471,$T$3,0),"-")</f>
        <v>-</v>
      </c>
      <c r="J73" s="302" t="str">
        <f>IFERROR(VLOOKUP(VLOOKUP($O73,종목정보tbl!$A$2:$V$471,$T$4,0),종목코드tbl!$A$2:$D$37,2,0),"-")</f>
        <v>-</v>
      </c>
      <c r="K73" s="302" t="str">
        <f>IFERROR(VLOOKUP($O73,종목정보tbl!$A$2:$V$471,$T$5,0),"-")</f>
        <v>-</v>
      </c>
      <c r="L73" s="300"/>
      <c r="M73" s="301" t="str">
        <f>IFERROR(VLOOKUP($O73,종목정보tbl!$A$2:$V$471,$T$6,0),"-")</f>
        <v>-</v>
      </c>
      <c r="N73" s="302" t="str">
        <f>IFERROR(VLOOKUP($O73,종목정보tbl!$A$2:$V$471,$T$7,0),"-")</f>
        <v>-</v>
      </c>
      <c r="O73" s="276" t="str">
        <f t="array" ref="O73">IFERROR(SMALL(IF(종목정보tbl!$B$1:$B$500=2,종목정보tbl!$A$1:$A$500,""),P73),"")</f>
        <v/>
      </c>
      <c r="P73" s="303">
        <v>65</v>
      </c>
    </row>
    <row r="74" spans="2:16" outlineLevel="1">
      <c r="B74" s="300"/>
      <c r="C74" s="301">
        <f t="shared" ref="C74:C137" ca="1" si="1">TODAY()</f>
        <v>45534</v>
      </c>
      <c r="D74" s="300"/>
      <c r="E74" s="300"/>
      <c r="F74" s="684" t="str">
        <f>IF(개요!$C$8="","-",개요!$C$8)</f>
        <v>흥국생명보험(지분증권), 미래컴퍼니</v>
      </c>
      <c r="G74" s="684" t="str">
        <f>IF(개요!$C$7="","-",개요!$C$7)</f>
        <v>포스코KAICI신기술사업투자조합제1호</v>
      </c>
      <c r="H74" s="302" t="str">
        <f>IFERROR(VLOOKUP($O74,종목정보tbl!$A$2:$V$471,$T$2,0),"-")</f>
        <v>-</v>
      </c>
      <c r="I74" s="302" t="str">
        <f>IFERROR(VLOOKUP($O74,종목정보tbl!$A$2:$V$471,$T$3,0),"-")</f>
        <v>-</v>
      </c>
      <c r="J74" s="302" t="str">
        <f>IFERROR(VLOOKUP(VLOOKUP($O74,종목정보tbl!$A$2:$V$471,$T$4,0),종목코드tbl!$A$2:$D$37,2,0),"-")</f>
        <v>-</v>
      </c>
      <c r="K74" s="302" t="str">
        <f>IFERROR(VLOOKUP($O74,종목정보tbl!$A$2:$V$471,$T$5,0),"-")</f>
        <v>-</v>
      </c>
      <c r="L74" s="300"/>
      <c r="M74" s="301" t="str">
        <f>IFERROR(VLOOKUP($O74,종목정보tbl!$A$2:$V$471,$T$6,0),"-")</f>
        <v>-</v>
      </c>
      <c r="N74" s="302" t="str">
        <f>IFERROR(VLOOKUP($O74,종목정보tbl!$A$2:$V$471,$T$7,0),"-")</f>
        <v>-</v>
      </c>
      <c r="O74" s="276" t="str">
        <f t="array" ref="O74">IFERROR(SMALL(IF(종목정보tbl!$B$1:$B$500=2,종목정보tbl!$A$1:$A$500,""),P74),"")</f>
        <v/>
      </c>
      <c r="P74" s="176">
        <v>66</v>
      </c>
    </row>
    <row r="75" spans="2:16" outlineLevel="1">
      <c r="B75" s="300"/>
      <c r="C75" s="301">
        <f t="shared" ca="1" si="1"/>
        <v>45534</v>
      </c>
      <c r="D75" s="300"/>
      <c r="E75" s="300"/>
      <c r="F75" s="684" t="str">
        <f>IF(개요!$C$8="","-",개요!$C$8)</f>
        <v>흥국생명보험(지분증권), 미래컴퍼니</v>
      </c>
      <c r="G75" s="684" t="str">
        <f>IF(개요!$C$7="","-",개요!$C$7)</f>
        <v>포스코KAICI신기술사업투자조합제1호</v>
      </c>
      <c r="H75" s="302" t="str">
        <f>IFERROR(VLOOKUP($O75,종목정보tbl!$A$2:$V$471,$T$2,0),"-")</f>
        <v>-</v>
      </c>
      <c r="I75" s="302" t="str">
        <f>IFERROR(VLOOKUP($O75,종목정보tbl!$A$2:$V$471,$T$3,0),"-")</f>
        <v>-</v>
      </c>
      <c r="J75" s="302" t="str">
        <f>IFERROR(VLOOKUP(VLOOKUP($O75,종목정보tbl!$A$2:$V$471,$T$4,0),종목코드tbl!$A$2:$D$37,2,0),"-")</f>
        <v>-</v>
      </c>
      <c r="K75" s="302" t="str">
        <f>IFERROR(VLOOKUP($O75,종목정보tbl!$A$2:$V$471,$T$5,0),"-")</f>
        <v>-</v>
      </c>
      <c r="L75" s="300"/>
      <c r="M75" s="301" t="str">
        <f>IFERROR(VLOOKUP($O75,종목정보tbl!$A$2:$V$471,$T$6,0),"-")</f>
        <v>-</v>
      </c>
      <c r="N75" s="302" t="str">
        <f>IFERROR(VLOOKUP($O75,종목정보tbl!$A$2:$V$471,$T$7,0),"-")</f>
        <v>-</v>
      </c>
      <c r="O75" s="276" t="str">
        <f t="array" ref="O75">IFERROR(SMALL(IF(종목정보tbl!$B$1:$B$500=2,종목정보tbl!$A$1:$A$500,""),P75),"")</f>
        <v/>
      </c>
      <c r="P75" s="303">
        <v>67</v>
      </c>
    </row>
    <row r="76" spans="2:16" outlineLevel="1">
      <c r="B76" s="300"/>
      <c r="C76" s="301">
        <f t="shared" ca="1" si="1"/>
        <v>45534</v>
      </c>
      <c r="D76" s="300"/>
      <c r="E76" s="300"/>
      <c r="F76" s="684" t="str">
        <f>IF(개요!$C$8="","-",개요!$C$8)</f>
        <v>흥국생명보험(지분증권), 미래컴퍼니</v>
      </c>
      <c r="G76" s="684" t="str">
        <f>IF(개요!$C$7="","-",개요!$C$7)</f>
        <v>포스코KAICI신기술사업투자조합제1호</v>
      </c>
      <c r="H76" s="302" t="str">
        <f>IFERROR(VLOOKUP($O76,종목정보tbl!$A$2:$V$471,$T$2,0),"-")</f>
        <v>-</v>
      </c>
      <c r="I76" s="302" t="str">
        <f>IFERROR(VLOOKUP($O76,종목정보tbl!$A$2:$V$471,$T$3,0),"-")</f>
        <v>-</v>
      </c>
      <c r="J76" s="302" t="str">
        <f>IFERROR(VLOOKUP(VLOOKUP($O76,종목정보tbl!$A$2:$V$471,$T$4,0),종목코드tbl!$A$2:$D$37,2,0),"-")</f>
        <v>-</v>
      </c>
      <c r="K76" s="302" t="str">
        <f>IFERROR(VLOOKUP($O76,종목정보tbl!$A$2:$V$471,$T$5,0),"-")</f>
        <v>-</v>
      </c>
      <c r="L76" s="300"/>
      <c r="M76" s="301" t="str">
        <f>IFERROR(VLOOKUP($O76,종목정보tbl!$A$2:$V$471,$T$6,0),"-")</f>
        <v>-</v>
      </c>
      <c r="N76" s="302" t="str">
        <f>IFERROR(VLOOKUP($O76,종목정보tbl!$A$2:$V$471,$T$7,0),"-")</f>
        <v>-</v>
      </c>
      <c r="O76" s="276" t="str">
        <f t="array" ref="O76">IFERROR(SMALL(IF(종목정보tbl!$B$1:$B$500=2,종목정보tbl!$A$1:$A$500,""),P76),"")</f>
        <v/>
      </c>
      <c r="P76" s="176">
        <v>68</v>
      </c>
    </row>
    <row r="77" spans="2:16" outlineLevel="1">
      <c r="B77" s="300"/>
      <c r="C77" s="301">
        <f t="shared" ca="1" si="1"/>
        <v>45534</v>
      </c>
      <c r="D77" s="300"/>
      <c r="E77" s="300"/>
      <c r="F77" s="684" t="str">
        <f>IF(개요!$C$8="","-",개요!$C$8)</f>
        <v>흥국생명보험(지분증권), 미래컴퍼니</v>
      </c>
      <c r="G77" s="684" t="str">
        <f>IF(개요!$C$7="","-",개요!$C$7)</f>
        <v>포스코KAICI신기술사업투자조합제1호</v>
      </c>
      <c r="H77" s="302" t="str">
        <f>IFERROR(VLOOKUP($O77,종목정보tbl!$A$2:$V$471,$T$2,0),"-")</f>
        <v>-</v>
      </c>
      <c r="I77" s="302" t="str">
        <f>IFERROR(VLOOKUP($O77,종목정보tbl!$A$2:$V$471,$T$3,0),"-")</f>
        <v>-</v>
      </c>
      <c r="J77" s="302" t="str">
        <f>IFERROR(VLOOKUP(VLOOKUP($O77,종목정보tbl!$A$2:$V$471,$T$4,0),종목코드tbl!$A$2:$D$37,2,0),"-")</f>
        <v>-</v>
      </c>
      <c r="K77" s="302" t="str">
        <f>IFERROR(VLOOKUP($O77,종목정보tbl!$A$2:$V$471,$T$5,0),"-")</f>
        <v>-</v>
      </c>
      <c r="L77" s="300"/>
      <c r="M77" s="301" t="str">
        <f>IFERROR(VLOOKUP($O77,종목정보tbl!$A$2:$V$471,$T$6,0),"-")</f>
        <v>-</v>
      </c>
      <c r="N77" s="302" t="str">
        <f>IFERROR(VLOOKUP($O77,종목정보tbl!$A$2:$V$471,$T$7,0),"-")</f>
        <v>-</v>
      </c>
      <c r="O77" s="276" t="str">
        <f t="array" ref="O77">IFERROR(SMALL(IF(종목정보tbl!$B$1:$B$500=2,종목정보tbl!$A$1:$A$500,""),P77),"")</f>
        <v/>
      </c>
      <c r="P77" s="303">
        <v>69</v>
      </c>
    </row>
    <row r="78" spans="2:16" outlineLevel="1">
      <c r="B78" s="300"/>
      <c r="C78" s="301">
        <f t="shared" ca="1" si="1"/>
        <v>45534</v>
      </c>
      <c r="D78" s="300"/>
      <c r="E78" s="300"/>
      <c r="F78" s="684" t="str">
        <f>IF(개요!$C$8="","-",개요!$C$8)</f>
        <v>흥국생명보험(지분증권), 미래컴퍼니</v>
      </c>
      <c r="G78" s="684" t="str">
        <f>IF(개요!$C$7="","-",개요!$C$7)</f>
        <v>포스코KAICI신기술사업투자조합제1호</v>
      </c>
      <c r="H78" s="302" t="str">
        <f>IFERROR(VLOOKUP($O78,종목정보tbl!$A$2:$V$471,$T$2,0),"-")</f>
        <v>-</v>
      </c>
      <c r="I78" s="302" t="str">
        <f>IFERROR(VLOOKUP($O78,종목정보tbl!$A$2:$V$471,$T$3,0),"-")</f>
        <v>-</v>
      </c>
      <c r="J78" s="302" t="str">
        <f>IFERROR(VLOOKUP(VLOOKUP($O78,종목정보tbl!$A$2:$V$471,$T$4,0),종목코드tbl!$A$2:$D$37,2,0),"-")</f>
        <v>-</v>
      </c>
      <c r="K78" s="302" t="str">
        <f>IFERROR(VLOOKUP($O78,종목정보tbl!$A$2:$V$471,$T$5,0),"-")</f>
        <v>-</v>
      </c>
      <c r="L78" s="300"/>
      <c r="M78" s="301" t="str">
        <f>IFERROR(VLOOKUP($O78,종목정보tbl!$A$2:$V$471,$T$6,0),"-")</f>
        <v>-</v>
      </c>
      <c r="N78" s="302" t="str">
        <f>IFERROR(VLOOKUP($O78,종목정보tbl!$A$2:$V$471,$T$7,0),"-")</f>
        <v>-</v>
      </c>
      <c r="O78" s="276" t="str">
        <f t="array" ref="O78">IFERROR(SMALL(IF(종목정보tbl!$B$1:$B$500=2,종목정보tbl!$A$1:$A$500,""),P78),"")</f>
        <v/>
      </c>
      <c r="P78" s="176">
        <v>70</v>
      </c>
    </row>
    <row r="79" spans="2:16" outlineLevel="1">
      <c r="B79" s="300"/>
      <c r="C79" s="301">
        <f t="shared" ca="1" si="1"/>
        <v>45534</v>
      </c>
      <c r="D79" s="300"/>
      <c r="E79" s="300"/>
      <c r="F79" s="684" t="str">
        <f>IF(개요!$C$8="","-",개요!$C$8)</f>
        <v>흥국생명보험(지분증권), 미래컴퍼니</v>
      </c>
      <c r="G79" s="684" t="str">
        <f>IF(개요!$C$7="","-",개요!$C$7)</f>
        <v>포스코KAICI신기술사업투자조합제1호</v>
      </c>
      <c r="H79" s="302" t="str">
        <f>IFERROR(VLOOKUP($O79,종목정보tbl!$A$2:$V$471,$T$2,0),"-")</f>
        <v>-</v>
      </c>
      <c r="I79" s="302" t="str">
        <f>IFERROR(VLOOKUP($O79,종목정보tbl!$A$2:$V$471,$T$3,0),"-")</f>
        <v>-</v>
      </c>
      <c r="J79" s="302" t="str">
        <f>IFERROR(VLOOKUP(VLOOKUP($O79,종목정보tbl!$A$2:$V$471,$T$4,0),종목코드tbl!$A$2:$D$37,2,0),"-")</f>
        <v>-</v>
      </c>
      <c r="K79" s="302" t="str">
        <f>IFERROR(VLOOKUP($O79,종목정보tbl!$A$2:$V$471,$T$5,0),"-")</f>
        <v>-</v>
      </c>
      <c r="L79" s="300"/>
      <c r="M79" s="301" t="str">
        <f>IFERROR(VLOOKUP($O79,종목정보tbl!$A$2:$V$471,$T$6,0),"-")</f>
        <v>-</v>
      </c>
      <c r="N79" s="302" t="str">
        <f>IFERROR(VLOOKUP($O79,종목정보tbl!$A$2:$V$471,$T$7,0),"-")</f>
        <v>-</v>
      </c>
      <c r="O79" s="276" t="str">
        <f t="array" ref="O79">IFERROR(SMALL(IF(종목정보tbl!$B$1:$B$500=2,종목정보tbl!$A$1:$A$500,""),P79),"")</f>
        <v/>
      </c>
      <c r="P79" s="303">
        <v>71</v>
      </c>
    </row>
    <row r="80" spans="2:16" outlineLevel="1">
      <c r="B80" s="300"/>
      <c r="C80" s="301">
        <f t="shared" ca="1" si="1"/>
        <v>45534</v>
      </c>
      <c r="D80" s="300"/>
      <c r="E80" s="300"/>
      <c r="F80" s="684" t="str">
        <f>IF(개요!$C$8="","-",개요!$C$8)</f>
        <v>흥국생명보험(지분증권), 미래컴퍼니</v>
      </c>
      <c r="G80" s="684" t="str">
        <f>IF(개요!$C$7="","-",개요!$C$7)</f>
        <v>포스코KAICI신기술사업투자조합제1호</v>
      </c>
      <c r="H80" s="302" t="str">
        <f>IFERROR(VLOOKUP($O80,종목정보tbl!$A$2:$V$471,$T$2,0),"-")</f>
        <v>-</v>
      </c>
      <c r="I80" s="302" t="str">
        <f>IFERROR(VLOOKUP($O80,종목정보tbl!$A$2:$V$471,$T$3,0),"-")</f>
        <v>-</v>
      </c>
      <c r="J80" s="302" t="str">
        <f>IFERROR(VLOOKUP(VLOOKUP($O80,종목정보tbl!$A$2:$V$471,$T$4,0),종목코드tbl!$A$2:$D$37,2,0),"-")</f>
        <v>-</v>
      </c>
      <c r="K80" s="302" t="str">
        <f>IFERROR(VLOOKUP($O80,종목정보tbl!$A$2:$V$471,$T$5,0),"-")</f>
        <v>-</v>
      </c>
      <c r="L80" s="300"/>
      <c r="M80" s="301" t="str">
        <f>IFERROR(VLOOKUP($O80,종목정보tbl!$A$2:$V$471,$T$6,0),"-")</f>
        <v>-</v>
      </c>
      <c r="N80" s="302" t="str">
        <f>IFERROR(VLOOKUP($O80,종목정보tbl!$A$2:$V$471,$T$7,0),"-")</f>
        <v>-</v>
      </c>
      <c r="O80" s="276" t="str">
        <f t="array" ref="O80">IFERROR(SMALL(IF(종목정보tbl!$B$1:$B$500=2,종목정보tbl!$A$1:$A$500,""),P80),"")</f>
        <v/>
      </c>
      <c r="P80" s="176">
        <v>72</v>
      </c>
    </row>
    <row r="81" spans="2:16" outlineLevel="1">
      <c r="B81" s="300"/>
      <c r="C81" s="301">
        <f t="shared" ca="1" si="1"/>
        <v>45534</v>
      </c>
      <c r="D81" s="300"/>
      <c r="E81" s="300"/>
      <c r="F81" s="684" t="str">
        <f>IF(개요!$C$8="","-",개요!$C$8)</f>
        <v>흥국생명보험(지분증권), 미래컴퍼니</v>
      </c>
      <c r="G81" s="684" t="str">
        <f>IF(개요!$C$7="","-",개요!$C$7)</f>
        <v>포스코KAICI신기술사업투자조합제1호</v>
      </c>
      <c r="H81" s="302" t="str">
        <f>IFERROR(VLOOKUP($O81,종목정보tbl!$A$2:$V$471,$T$2,0),"-")</f>
        <v>-</v>
      </c>
      <c r="I81" s="302" t="str">
        <f>IFERROR(VLOOKUP($O81,종목정보tbl!$A$2:$V$471,$T$3,0),"-")</f>
        <v>-</v>
      </c>
      <c r="J81" s="302" t="str">
        <f>IFERROR(VLOOKUP(VLOOKUP($O81,종목정보tbl!$A$2:$V$471,$T$4,0),종목코드tbl!$A$2:$D$37,2,0),"-")</f>
        <v>-</v>
      </c>
      <c r="K81" s="302" t="str">
        <f>IFERROR(VLOOKUP($O81,종목정보tbl!$A$2:$V$471,$T$5,0),"-")</f>
        <v>-</v>
      </c>
      <c r="L81" s="300"/>
      <c r="M81" s="301" t="str">
        <f>IFERROR(VLOOKUP($O81,종목정보tbl!$A$2:$V$471,$T$6,0),"-")</f>
        <v>-</v>
      </c>
      <c r="N81" s="302" t="str">
        <f>IFERROR(VLOOKUP($O81,종목정보tbl!$A$2:$V$471,$T$7,0),"-")</f>
        <v>-</v>
      </c>
      <c r="O81" s="276" t="str">
        <f t="array" ref="O81">IFERROR(SMALL(IF(종목정보tbl!$B$1:$B$500=2,종목정보tbl!$A$1:$A$500,""),P81),"")</f>
        <v/>
      </c>
      <c r="P81" s="303">
        <v>73</v>
      </c>
    </row>
    <row r="82" spans="2:16" outlineLevel="1">
      <c r="B82" s="300"/>
      <c r="C82" s="301">
        <f t="shared" ca="1" si="1"/>
        <v>45534</v>
      </c>
      <c r="D82" s="300"/>
      <c r="E82" s="300"/>
      <c r="F82" s="684" t="str">
        <f>IF(개요!$C$8="","-",개요!$C$8)</f>
        <v>흥국생명보험(지분증권), 미래컴퍼니</v>
      </c>
      <c r="G82" s="684" t="str">
        <f>IF(개요!$C$7="","-",개요!$C$7)</f>
        <v>포스코KAICI신기술사업투자조합제1호</v>
      </c>
      <c r="H82" s="302" t="str">
        <f>IFERROR(VLOOKUP($O82,종목정보tbl!$A$2:$V$471,$T$2,0),"-")</f>
        <v>-</v>
      </c>
      <c r="I82" s="302" t="str">
        <f>IFERROR(VLOOKUP($O82,종목정보tbl!$A$2:$V$471,$T$3,0),"-")</f>
        <v>-</v>
      </c>
      <c r="J82" s="302" t="str">
        <f>IFERROR(VLOOKUP(VLOOKUP($O82,종목정보tbl!$A$2:$V$471,$T$4,0),종목코드tbl!$A$2:$D$37,2,0),"-")</f>
        <v>-</v>
      </c>
      <c r="K82" s="302" t="str">
        <f>IFERROR(VLOOKUP($O82,종목정보tbl!$A$2:$V$471,$T$5,0),"-")</f>
        <v>-</v>
      </c>
      <c r="L82" s="300"/>
      <c r="M82" s="301" t="str">
        <f>IFERROR(VLOOKUP($O82,종목정보tbl!$A$2:$V$471,$T$6,0),"-")</f>
        <v>-</v>
      </c>
      <c r="N82" s="302" t="str">
        <f>IFERROR(VLOOKUP($O82,종목정보tbl!$A$2:$V$471,$T$7,0),"-")</f>
        <v>-</v>
      </c>
      <c r="O82" s="276" t="str">
        <f t="array" ref="O82">IFERROR(SMALL(IF(종목정보tbl!$B$1:$B$500=2,종목정보tbl!$A$1:$A$500,""),P82),"")</f>
        <v/>
      </c>
      <c r="P82" s="176">
        <v>74</v>
      </c>
    </row>
    <row r="83" spans="2:16" outlineLevel="1">
      <c r="B83" s="300"/>
      <c r="C83" s="301">
        <f t="shared" ca="1" si="1"/>
        <v>45534</v>
      </c>
      <c r="D83" s="300"/>
      <c r="E83" s="300"/>
      <c r="F83" s="684" t="str">
        <f>IF(개요!$C$8="","-",개요!$C$8)</f>
        <v>흥국생명보험(지분증권), 미래컴퍼니</v>
      </c>
      <c r="G83" s="684" t="str">
        <f>IF(개요!$C$7="","-",개요!$C$7)</f>
        <v>포스코KAICI신기술사업투자조합제1호</v>
      </c>
      <c r="H83" s="302" t="str">
        <f>IFERROR(VLOOKUP($O83,종목정보tbl!$A$2:$V$471,$T$2,0),"-")</f>
        <v>-</v>
      </c>
      <c r="I83" s="302" t="str">
        <f>IFERROR(VLOOKUP($O83,종목정보tbl!$A$2:$V$471,$T$3,0),"-")</f>
        <v>-</v>
      </c>
      <c r="J83" s="302" t="str">
        <f>IFERROR(VLOOKUP(VLOOKUP($O83,종목정보tbl!$A$2:$V$471,$T$4,0),종목코드tbl!$A$2:$D$37,2,0),"-")</f>
        <v>-</v>
      </c>
      <c r="K83" s="302" t="str">
        <f>IFERROR(VLOOKUP($O83,종목정보tbl!$A$2:$V$471,$T$5,0),"-")</f>
        <v>-</v>
      </c>
      <c r="L83" s="300"/>
      <c r="M83" s="301" t="str">
        <f>IFERROR(VLOOKUP($O83,종목정보tbl!$A$2:$V$471,$T$6,0),"-")</f>
        <v>-</v>
      </c>
      <c r="N83" s="302" t="str">
        <f>IFERROR(VLOOKUP($O83,종목정보tbl!$A$2:$V$471,$T$7,0),"-")</f>
        <v>-</v>
      </c>
      <c r="O83" s="276" t="str">
        <f t="array" ref="O83">IFERROR(SMALL(IF(종목정보tbl!$B$1:$B$500=2,종목정보tbl!$A$1:$A$500,""),P83),"")</f>
        <v/>
      </c>
      <c r="P83" s="303">
        <v>75</v>
      </c>
    </row>
    <row r="84" spans="2:16" outlineLevel="1">
      <c r="B84" s="300"/>
      <c r="C84" s="301">
        <f t="shared" ca="1" si="1"/>
        <v>45534</v>
      </c>
      <c r="D84" s="300"/>
      <c r="E84" s="300"/>
      <c r="F84" s="684" t="str">
        <f>IF(개요!$C$8="","-",개요!$C$8)</f>
        <v>흥국생명보험(지분증권), 미래컴퍼니</v>
      </c>
      <c r="G84" s="684" t="str">
        <f>IF(개요!$C$7="","-",개요!$C$7)</f>
        <v>포스코KAICI신기술사업투자조합제1호</v>
      </c>
      <c r="H84" s="302" t="str">
        <f>IFERROR(VLOOKUP($O84,종목정보tbl!$A$2:$V$471,$T$2,0),"-")</f>
        <v>-</v>
      </c>
      <c r="I84" s="302" t="str">
        <f>IFERROR(VLOOKUP($O84,종목정보tbl!$A$2:$V$471,$T$3,0),"-")</f>
        <v>-</v>
      </c>
      <c r="J84" s="302" t="str">
        <f>IFERROR(VLOOKUP(VLOOKUP($O84,종목정보tbl!$A$2:$V$471,$T$4,0),종목코드tbl!$A$2:$D$37,2,0),"-")</f>
        <v>-</v>
      </c>
      <c r="K84" s="302" t="str">
        <f>IFERROR(VLOOKUP($O84,종목정보tbl!$A$2:$V$471,$T$5,0),"-")</f>
        <v>-</v>
      </c>
      <c r="L84" s="300"/>
      <c r="M84" s="301" t="str">
        <f>IFERROR(VLOOKUP($O84,종목정보tbl!$A$2:$V$471,$T$6,0),"-")</f>
        <v>-</v>
      </c>
      <c r="N84" s="302" t="str">
        <f>IFERROR(VLOOKUP($O84,종목정보tbl!$A$2:$V$471,$T$7,0),"-")</f>
        <v>-</v>
      </c>
      <c r="O84" s="276" t="str">
        <f t="array" ref="O84">IFERROR(SMALL(IF(종목정보tbl!$B$1:$B$500=2,종목정보tbl!$A$1:$A$500,""),P84),"")</f>
        <v/>
      </c>
      <c r="P84" s="176">
        <v>76</v>
      </c>
    </row>
    <row r="85" spans="2:16" outlineLevel="1">
      <c r="B85" s="300"/>
      <c r="C85" s="301">
        <f t="shared" ca="1" si="1"/>
        <v>45534</v>
      </c>
      <c r="D85" s="300"/>
      <c r="E85" s="300"/>
      <c r="F85" s="684" t="str">
        <f>IF(개요!$C$8="","-",개요!$C$8)</f>
        <v>흥국생명보험(지분증권), 미래컴퍼니</v>
      </c>
      <c r="G85" s="684" t="str">
        <f>IF(개요!$C$7="","-",개요!$C$7)</f>
        <v>포스코KAICI신기술사업투자조합제1호</v>
      </c>
      <c r="H85" s="302" t="str">
        <f>IFERROR(VLOOKUP($O85,종목정보tbl!$A$2:$V$471,$T$2,0),"-")</f>
        <v>-</v>
      </c>
      <c r="I85" s="302" t="str">
        <f>IFERROR(VLOOKUP($O85,종목정보tbl!$A$2:$V$471,$T$3,0),"-")</f>
        <v>-</v>
      </c>
      <c r="J85" s="302" t="str">
        <f>IFERROR(VLOOKUP(VLOOKUP($O85,종목정보tbl!$A$2:$V$471,$T$4,0),종목코드tbl!$A$2:$D$37,2,0),"-")</f>
        <v>-</v>
      </c>
      <c r="K85" s="302" t="str">
        <f>IFERROR(VLOOKUP($O85,종목정보tbl!$A$2:$V$471,$T$5,0),"-")</f>
        <v>-</v>
      </c>
      <c r="L85" s="300"/>
      <c r="M85" s="301" t="str">
        <f>IFERROR(VLOOKUP($O85,종목정보tbl!$A$2:$V$471,$T$6,0),"-")</f>
        <v>-</v>
      </c>
      <c r="N85" s="302" t="str">
        <f>IFERROR(VLOOKUP($O85,종목정보tbl!$A$2:$V$471,$T$7,0),"-")</f>
        <v>-</v>
      </c>
      <c r="O85" s="276" t="str">
        <f t="array" ref="O85">IFERROR(SMALL(IF(종목정보tbl!$B$1:$B$500=2,종목정보tbl!$A$1:$A$500,""),P85),"")</f>
        <v/>
      </c>
      <c r="P85" s="303">
        <v>77</v>
      </c>
    </row>
    <row r="86" spans="2:16" outlineLevel="1">
      <c r="B86" s="300"/>
      <c r="C86" s="301">
        <f t="shared" ca="1" si="1"/>
        <v>45534</v>
      </c>
      <c r="D86" s="300"/>
      <c r="E86" s="300"/>
      <c r="F86" s="684" t="str">
        <f>IF(개요!$C$8="","-",개요!$C$8)</f>
        <v>흥국생명보험(지분증권), 미래컴퍼니</v>
      </c>
      <c r="G86" s="684" t="str">
        <f>IF(개요!$C$7="","-",개요!$C$7)</f>
        <v>포스코KAICI신기술사업투자조합제1호</v>
      </c>
      <c r="H86" s="302" t="str">
        <f>IFERROR(VLOOKUP($O86,종목정보tbl!$A$2:$V$471,$T$2,0),"-")</f>
        <v>-</v>
      </c>
      <c r="I86" s="302" t="str">
        <f>IFERROR(VLOOKUP($O86,종목정보tbl!$A$2:$V$471,$T$3,0),"-")</f>
        <v>-</v>
      </c>
      <c r="J86" s="302" t="str">
        <f>IFERROR(VLOOKUP(VLOOKUP($O86,종목정보tbl!$A$2:$V$471,$T$4,0),종목코드tbl!$A$2:$D$37,2,0),"-")</f>
        <v>-</v>
      </c>
      <c r="K86" s="302" t="str">
        <f>IFERROR(VLOOKUP($O86,종목정보tbl!$A$2:$V$471,$T$5,0),"-")</f>
        <v>-</v>
      </c>
      <c r="L86" s="300"/>
      <c r="M86" s="301" t="str">
        <f>IFERROR(VLOOKUP($O86,종목정보tbl!$A$2:$V$471,$T$6,0),"-")</f>
        <v>-</v>
      </c>
      <c r="N86" s="302" t="str">
        <f>IFERROR(VLOOKUP($O86,종목정보tbl!$A$2:$V$471,$T$7,0),"-")</f>
        <v>-</v>
      </c>
      <c r="O86" s="276" t="str">
        <f t="array" ref="O86">IFERROR(SMALL(IF(종목정보tbl!$B$1:$B$500=2,종목정보tbl!$A$1:$A$500,""),P86),"")</f>
        <v/>
      </c>
      <c r="P86" s="176">
        <v>78</v>
      </c>
    </row>
    <row r="87" spans="2:16" outlineLevel="1">
      <c r="B87" s="300"/>
      <c r="C87" s="301">
        <f t="shared" ca="1" si="1"/>
        <v>45534</v>
      </c>
      <c r="D87" s="300"/>
      <c r="E87" s="300"/>
      <c r="F87" s="684" t="str">
        <f>IF(개요!$C$8="","-",개요!$C$8)</f>
        <v>흥국생명보험(지분증권), 미래컴퍼니</v>
      </c>
      <c r="G87" s="684" t="str">
        <f>IF(개요!$C$7="","-",개요!$C$7)</f>
        <v>포스코KAICI신기술사업투자조합제1호</v>
      </c>
      <c r="H87" s="302" t="str">
        <f>IFERROR(VLOOKUP($O87,종목정보tbl!$A$2:$V$471,$T$2,0),"-")</f>
        <v>-</v>
      </c>
      <c r="I87" s="302" t="str">
        <f>IFERROR(VLOOKUP($O87,종목정보tbl!$A$2:$V$471,$T$3,0),"-")</f>
        <v>-</v>
      </c>
      <c r="J87" s="302" t="str">
        <f>IFERROR(VLOOKUP(VLOOKUP($O87,종목정보tbl!$A$2:$V$471,$T$4,0),종목코드tbl!$A$2:$D$37,2,0),"-")</f>
        <v>-</v>
      </c>
      <c r="K87" s="302" t="str">
        <f>IFERROR(VLOOKUP($O87,종목정보tbl!$A$2:$V$471,$T$5,0),"-")</f>
        <v>-</v>
      </c>
      <c r="L87" s="300"/>
      <c r="M87" s="301" t="str">
        <f>IFERROR(VLOOKUP($O87,종목정보tbl!$A$2:$V$471,$T$6,0),"-")</f>
        <v>-</v>
      </c>
      <c r="N87" s="302" t="str">
        <f>IFERROR(VLOOKUP($O87,종목정보tbl!$A$2:$V$471,$T$7,0),"-")</f>
        <v>-</v>
      </c>
      <c r="O87" s="276" t="str">
        <f t="array" ref="O87">IFERROR(SMALL(IF(종목정보tbl!$B$1:$B$500=2,종목정보tbl!$A$1:$A$500,""),P87),"")</f>
        <v/>
      </c>
      <c r="P87" s="303">
        <v>79</v>
      </c>
    </row>
    <row r="88" spans="2:16" outlineLevel="1">
      <c r="B88" s="300"/>
      <c r="C88" s="301">
        <f t="shared" ca="1" si="1"/>
        <v>45534</v>
      </c>
      <c r="D88" s="300"/>
      <c r="E88" s="300"/>
      <c r="F88" s="684" t="str">
        <f>IF(개요!$C$8="","-",개요!$C$8)</f>
        <v>흥국생명보험(지분증권), 미래컴퍼니</v>
      </c>
      <c r="G88" s="684" t="str">
        <f>IF(개요!$C$7="","-",개요!$C$7)</f>
        <v>포스코KAICI신기술사업투자조합제1호</v>
      </c>
      <c r="H88" s="302" t="str">
        <f>IFERROR(VLOOKUP($O88,종목정보tbl!$A$2:$V$471,$T$2,0),"-")</f>
        <v>-</v>
      </c>
      <c r="I88" s="302" t="str">
        <f>IFERROR(VLOOKUP($O88,종목정보tbl!$A$2:$V$471,$T$3,0),"-")</f>
        <v>-</v>
      </c>
      <c r="J88" s="302" t="str">
        <f>IFERROR(VLOOKUP(VLOOKUP($O88,종목정보tbl!$A$2:$V$471,$T$4,0),종목코드tbl!$A$2:$D$37,2,0),"-")</f>
        <v>-</v>
      </c>
      <c r="K88" s="302" t="str">
        <f>IFERROR(VLOOKUP($O88,종목정보tbl!$A$2:$V$471,$T$5,0),"-")</f>
        <v>-</v>
      </c>
      <c r="L88" s="300"/>
      <c r="M88" s="301" t="str">
        <f>IFERROR(VLOOKUP($O88,종목정보tbl!$A$2:$V$471,$T$6,0),"-")</f>
        <v>-</v>
      </c>
      <c r="N88" s="302" t="str">
        <f>IFERROR(VLOOKUP($O88,종목정보tbl!$A$2:$V$471,$T$7,0),"-")</f>
        <v>-</v>
      </c>
      <c r="O88" s="276" t="str">
        <f t="array" ref="O88">IFERROR(SMALL(IF(종목정보tbl!$B$1:$B$500=2,종목정보tbl!$A$1:$A$500,""),P88),"")</f>
        <v/>
      </c>
      <c r="P88" s="176">
        <v>80</v>
      </c>
    </row>
    <row r="89" spans="2:16" outlineLevel="1">
      <c r="B89" s="300"/>
      <c r="C89" s="301">
        <f t="shared" ca="1" si="1"/>
        <v>45534</v>
      </c>
      <c r="D89" s="300"/>
      <c r="E89" s="300"/>
      <c r="F89" s="684" t="str">
        <f>IF(개요!$C$8="","-",개요!$C$8)</f>
        <v>흥국생명보험(지분증권), 미래컴퍼니</v>
      </c>
      <c r="G89" s="684" t="str">
        <f>IF(개요!$C$7="","-",개요!$C$7)</f>
        <v>포스코KAICI신기술사업투자조합제1호</v>
      </c>
      <c r="H89" s="302" t="str">
        <f>IFERROR(VLOOKUP($O89,종목정보tbl!$A$2:$V$471,$T$2,0),"-")</f>
        <v>-</v>
      </c>
      <c r="I89" s="302" t="str">
        <f>IFERROR(VLOOKUP($O89,종목정보tbl!$A$2:$V$471,$T$3,0),"-")</f>
        <v>-</v>
      </c>
      <c r="J89" s="302" t="str">
        <f>IFERROR(VLOOKUP(VLOOKUP($O89,종목정보tbl!$A$2:$V$471,$T$4,0),종목코드tbl!$A$2:$D$37,2,0),"-")</f>
        <v>-</v>
      </c>
      <c r="K89" s="302" t="str">
        <f>IFERROR(VLOOKUP($O89,종목정보tbl!$A$2:$V$471,$T$5,0),"-")</f>
        <v>-</v>
      </c>
      <c r="L89" s="300"/>
      <c r="M89" s="301" t="str">
        <f>IFERROR(VLOOKUP($O89,종목정보tbl!$A$2:$V$471,$T$6,0),"-")</f>
        <v>-</v>
      </c>
      <c r="N89" s="302" t="str">
        <f>IFERROR(VLOOKUP($O89,종목정보tbl!$A$2:$V$471,$T$7,0),"-")</f>
        <v>-</v>
      </c>
      <c r="O89" s="276" t="str">
        <f t="array" ref="O89">IFERROR(SMALL(IF(종목정보tbl!$B$1:$B$500=2,종목정보tbl!$A$1:$A$500,""),P89),"")</f>
        <v/>
      </c>
      <c r="P89" s="303">
        <v>81</v>
      </c>
    </row>
    <row r="90" spans="2:16" outlineLevel="1">
      <c r="B90" s="300"/>
      <c r="C90" s="301">
        <f t="shared" ca="1" si="1"/>
        <v>45534</v>
      </c>
      <c r="D90" s="300"/>
      <c r="E90" s="300"/>
      <c r="F90" s="684" t="str">
        <f>IF(개요!$C$8="","-",개요!$C$8)</f>
        <v>흥국생명보험(지분증권), 미래컴퍼니</v>
      </c>
      <c r="G90" s="684" t="str">
        <f>IF(개요!$C$7="","-",개요!$C$7)</f>
        <v>포스코KAICI신기술사업투자조합제1호</v>
      </c>
      <c r="H90" s="302" t="str">
        <f>IFERROR(VLOOKUP($O90,종목정보tbl!$A$2:$V$471,$T$2,0),"-")</f>
        <v>-</v>
      </c>
      <c r="I90" s="302" t="str">
        <f>IFERROR(VLOOKUP($O90,종목정보tbl!$A$2:$V$471,$T$3,0),"-")</f>
        <v>-</v>
      </c>
      <c r="J90" s="302" t="str">
        <f>IFERROR(VLOOKUP(VLOOKUP($O90,종목정보tbl!$A$2:$V$471,$T$4,0),종목코드tbl!$A$2:$D$37,2,0),"-")</f>
        <v>-</v>
      </c>
      <c r="K90" s="302" t="str">
        <f>IFERROR(VLOOKUP($O90,종목정보tbl!$A$2:$V$471,$T$5,0),"-")</f>
        <v>-</v>
      </c>
      <c r="L90" s="300"/>
      <c r="M90" s="301" t="str">
        <f>IFERROR(VLOOKUP($O90,종목정보tbl!$A$2:$V$471,$T$6,0),"-")</f>
        <v>-</v>
      </c>
      <c r="N90" s="302" t="str">
        <f>IFERROR(VLOOKUP($O90,종목정보tbl!$A$2:$V$471,$T$7,0),"-")</f>
        <v>-</v>
      </c>
      <c r="O90" s="276" t="str">
        <f t="array" ref="O90">IFERROR(SMALL(IF(종목정보tbl!$B$1:$B$500=2,종목정보tbl!$A$1:$A$500,""),P90),"")</f>
        <v/>
      </c>
      <c r="P90" s="176">
        <v>82</v>
      </c>
    </row>
    <row r="91" spans="2:16" outlineLevel="1">
      <c r="B91" s="300"/>
      <c r="C91" s="301">
        <f t="shared" ca="1" si="1"/>
        <v>45534</v>
      </c>
      <c r="D91" s="300"/>
      <c r="E91" s="300"/>
      <c r="F91" s="684" t="str">
        <f>IF(개요!$C$8="","-",개요!$C$8)</f>
        <v>흥국생명보험(지분증권), 미래컴퍼니</v>
      </c>
      <c r="G91" s="684" t="str">
        <f>IF(개요!$C$7="","-",개요!$C$7)</f>
        <v>포스코KAICI신기술사업투자조합제1호</v>
      </c>
      <c r="H91" s="302" t="str">
        <f>IFERROR(VLOOKUP($O91,종목정보tbl!$A$2:$V$471,$T$2,0),"-")</f>
        <v>-</v>
      </c>
      <c r="I91" s="302" t="str">
        <f>IFERROR(VLOOKUP($O91,종목정보tbl!$A$2:$V$471,$T$3,0),"-")</f>
        <v>-</v>
      </c>
      <c r="J91" s="302" t="str">
        <f>IFERROR(VLOOKUP(VLOOKUP($O91,종목정보tbl!$A$2:$V$471,$T$4,0),종목코드tbl!$A$2:$D$37,2,0),"-")</f>
        <v>-</v>
      </c>
      <c r="K91" s="302" t="str">
        <f>IFERROR(VLOOKUP($O91,종목정보tbl!$A$2:$V$471,$T$5,0),"-")</f>
        <v>-</v>
      </c>
      <c r="L91" s="300"/>
      <c r="M91" s="301" t="str">
        <f>IFERROR(VLOOKUP($O91,종목정보tbl!$A$2:$V$471,$T$6,0),"-")</f>
        <v>-</v>
      </c>
      <c r="N91" s="302" t="str">
        <f>IFERROR(VLOOKUP($O91,종목정보tbl!$A$2:$V$471,$T$7,0),"-")</f>
        <v>-</v>
      </c>
      <c r="O91" s="276" t="str">
        <f t="array" ref="O91">IFERROR(SMALL(IF(종목정보tbl!$B$1:$B$500=2,종목정보tbl!$A$1:$A$500,""),P91),"")</f>
        <v/>
      </c>
      <c r="P91" s="303">
        <v>83</v>
      </c>
    </row>
    <row r="92" spans="2:16" outlineLevel="1">
      <c r="B92" s="300"/>
      <c r="C92" s="301">
        <f t="shared" ca="1" si="1"/>
        <v>45534</v>
      </c>
      <c r="D92" s="300"/>
      <c r="E92" s="300"/>
      <c r="F92" s="684" t="str">
        <f>IF(개요!$C$8="","-",개요!$C$8)</f>
        <v>흥국생명보험(지분증권), 미래컴퍼니</v>
      </c>
      <c r="G92" s="684" t="str">
        <f>IF(개요!$C$7="","-",개요!$C$7)</f>
        <v>포스코KAICI신기술사업투자조합제1호</v>
      </c>
      <c r="H92" s="302" t="str">
        <f>IFERROR(VLOOKUP($O92,종목정보tbl!$A$2:$V$471,$T$2,0),"-")</f>
        <v>-</v>
      </c>
      <c r="I92" s="302" t="str">
        <f>IFERROR(VLOOKUP($O92,종목정보tbl!$A$2:$V$471,$T$3,0),"-")</f>
        <v>-</v>
      </c>
      <c r="J92" s="302" t="str">
        <f>IFERROR(VLOOKUP(VLOOKUP($O92,종목정보tbl!$A$2:$V$471,$T$4,0),종목코드tbl!$A$2:$D$37,2,0),"-")</f>
        <v>-</v>
      </c>
      <c r="K92" s="302" t="str">
        <f>IFERROR(VLOOKUP($O92,종목정보tbl!$A$2:$V$471,$T$5,0),"-")</f>
        <v>-</v>
      </c>
      <c r="L92" s="300"/>
      <c r="M92" s="301" t="str">
        <f>IFERROR(VLOOKUP($O92,종목정보tbl!$A$2:$V$471,$T$6,0),"-")</f>
        <v>-</v>
      </c>
      <c r="N92" s="302" t="str">
        <f>IFERROR(VLOOKUP($O92,종목정보tbl!$A$2:$V$471,$T$7,0),"-")</f>
        <v>-</v>
      </c>
      <c r="O92" s="276" t="str">
        <f t="array" ref="O92">IFERROR(SMALL(IF(종목정보tbl!$B$1:$B$500=2,종목정보tbl!$A$1:$A$500,""),P92),"")</f>
        <v/>
      </c>
      <c r="P92" s="176">
        <v>84</v>
      </c>
    </row>
    <row r="93" spans="2:16" outlineLevel="1">
      <c r="B93" s="300"/>
      <c r="C93" s="301">
        <f t="shared" ca="1" si="1"/>
        <v>45534</v>
      </c>
      <c r="D93" s="300"/>
      <c r="E93" s="300"/>
      <c r="F93" s="684" t="str">
        <f>IF(개요!$C$8="","-",개요!$C$8)</f>
        <v>흥국생명보험(지분증권), 미래컴퍼니</v>
      </c>
      <c r="G93" s="684" t="str">
        <f>IF(개요!$C$7="","-",개요!$C$7)</f>
        <v>포스코KAICI신기술사업투자조합제1호</v>
      </c>
      <c r="H93" s="302" t="str">
        <f>IFERROR(VLOOKUP($O93,종목정보tbl!$A$2:$V$471,$T$2,0),"-")</f>
        <v>-</v>
      </c>
      <c r="I93" s="302" t="str">
        <f>IFERROR(VLOOKUP($O93,종목정보tbl!$A$2:$V$471,$T$3,0),"-")</f>
        <v>-</v>
      </c>
      <c r="J93" s="302" t="str">
        <f>IFERROR(VLOOKUP(VLOOKUP($O93,종목정보tbl!$A$2:$V$471,$T$4,0),종목코드tbl!$A$2:$D$37,2,0),"-")</f>
        <v>-</v>
      </c>
      <c r="K93" s="302" t="str">
        <f>IFERROR(VLOOKUP($O93,종목정보tbl!$A$2:$V$471,$T$5,0),"-")</f>
        <v>-</v>
      </c>
      <c r="L93" s="300"/>
      <c r="M93" s="301" t="str">
        <f>IFERROR(VLOOKUP($O93,종목정보tbl!$A$2:$V$471,$T$6,0),"-")</f>
        <v>-</v>
      </c>
      <c r="N93" s="302" t="str">
        <f>IFERROR(VLOOKUP($O93,종목정보tbl!$A$2:$V$471,$T$7,0),"-")</f>
        <v>-</v>
      </c>
      <c r="O93" s="276" t="str">
        <f t="array" ref="O93">IFERROR(SMALL(IF(종목정보tbl!$B$1:$B$500=2,종목정보tbl!$A$1:$A$500,""),P93),"")</f>
        <v/>
      </c>
      <c r="P93" s="303">
        <v>85</v>
      </c>
    </row>
    <row r="94" spans="2:16" outlineLevel="1">
      <c r="B94" s="300"/>
      <c r="C94" s="301">
        <f t="shared" ca="1" si="1"/>
        <v>45534</v>
      </c>
      <c r="D94" s="300"/>
      <c r="E94" s="300"/>
      <c r="F94" s="684" t="str">
        <f>IF(개요!$C$8="","-",개요!$C$8)</f>
        <v>흥국생명보험(지분증권), 미래컴퍼니</v>
      </c>
      <c r="G94" s="684" t="str">
        <f>IF(개요!$C$7="","-",개요!$C$7)</f>
        <v>포스코KAICI신기술사업투자조합제1호</v>
      </c>
      <c r="H94" s="302" t="str">
        <f>IFERROR(VLOOKUP($O94,종목정보tbl!$A$2:$V$471,$T$2,0),"-")</f>
        <v>-</v>
      </c>
      <c r="I94" s="302" t="str">
        <f>IFERROR(VLOOKUP($O94,종목정보tbl!$A$2:$V$471,$T$3,0),"-")</f>
        <v>-</v>
      </c>
      <c r="J94" s="302" t="str">
        <f>IFERROR(VLOOKUP(VLOOKUP($O94,종목정보tbl!$A$2:$V$471,$T$4,0),종목코드tbl!$A$2:$D$37,2,0),"-")</f>
        <v>-</v>
      </c>
      <c r="K94" s="302" t="str">
        <f>IFERROR(VLOOKUP($O94,종목정보tbl!$A$2:$V$471,$T$5,0),"-")</f>
        <v>-</v>
      </c>
      <c r="L94" s="300"/>
      <c r="M94" s="301" t="str">
        <f>IFERROR(VLOOKUP($O94,종목정보tbl!$A$2:$V$471,$T$6,0),"-")</f>
        <v>-</v>
      </c>
      <c r="N94" s="302" t="str">
        <f>IFERROR(VLOOKUP($O94,종목정보tbl!$A$2:$V$471,$T$7,0),"-")</f>
        <v>-</v>
      </c>
      <c r="O94" s="276" t="str">
        <f t="array" ref="O94">IFERROR(SMALL(IF(종목정보tbl!$B$1:$B$500=2,종목정보tbl!$A$1:$A$500,""),P94),"")</f>
        <v/>
      </c>
      <c r="P94" s="176">
        <v>86</v>
      </c>
    </row>
    <row r="95" spans="2:16" outlineLevel="1">
      <c r="B95" s="300"/>
      <c r="C95" s="301">
        <f t="shared" ca="1" si="1"/>
        <v>45534</v>
      </c>
      <c r="D95" s="300"/>
      <c r="E95" s="300"/>
      <c r="F95" s="684" t="str">
        <f>IF(개요!$C$8="","-",개요!$C$8)</f>
        <v>흥국생명보험(지분증권), 미래컴퍼니</v>
      </c>
      <c r="G95" s="684" t="str">
        <f>IF(개요!$C$7="","-",개요!$C$7)</f>
        <v>포스코KAICI신기술사업투자조합제1호</v>
      </c>
      <c r="H95" s="302" t="str">
        <f>IFERROR(VLOOKUP($O95,종목정보tbl!$A$2:$V$471,$T$2,0),"-")</f>
        <v>-</v>
      </c>
      <c r="I95" s="302" t="str">
        <f>IFERROR(VLOOKUP($O95,종목정보tbl!$A$2:$V$471,$T$3,0),"-")</f>
        <v>-</v>
      </c>
      <c r="J95" s="302" t="str">
        <f>IFERROR(VLOOKUP(VLOOKUP($O95,종목정보tbl!$A$2:$V$471,$T$4,0),종목코드tbl!$A$2:$D$37,2,0),"-")</f>
        <v>-</v>
      </c>
      <c r="K95" s="302" t="str">
        <f>IFERROR(VLOOKUP($O95,종목정보tbl!$A$2:$V$471,$T$5,0),"-")</f>
        <v>-</v>
      </c>
      <c r="L95" s="300"/>
      <c r="M95" s="301" t="str">
        <f>IFERROR(VLOOKUP($O95,종목정보tbl!$A$2:$V$471,$T$6,0),"-")</f>
        <v>-</v>
      </c>
      <c r="N95" s="302" t="str">
        <f>IFERROR(VLOOKUP($O95,종목정보tbl!$A$2:$V$471,$T$7,0),"-")</f>
        <v>-</v>
      </c>
      <c r="O95" s="276" t="str">
        <f t="array" ref="O95">IFERROR(SMALL(IF(종목정보tbl!$B$1:$B$500=2,종목정보tbl!$A$1:$A$500,""),P95),"")</f>
        <v/>
      </c>
      <c r="P95" s="303">
        <v>87</v>
      </c>
    </row>
    <row r="96" spans="2:16" outlineLevel="1">
      <c r="B96" s="300"/>
      <c r="C96" s="301">
        <f t="shared" ca="1" si="1"/>
        <v>45534</v>
      </c>
      <c r="D96" s="300"/>
      <c r="E96" s="300"/>
      <c r="F96" s="684" t="str">
        <f>IF(개요!$C$8="","-",개요!$C$8)</f>
        <v>흥국생명보험(지분증권), 미래컴퍼니</v>
      </c>
      <c r="G96" s="684" t="str">
        <f>IF(개요!$C$7="","-",개요!$C$7)</f>
        <v>포스코KAICI신기술사업투자조합제1호</v>
      </c>
      <c r="H96" s="302" t="str">
        <f>IFERROR(VLOOKUP($O96,종목정보tbl!$A$2:$V$471,$T$2,0),"-")</f>
        <v>-</v>
      </c>
      <c r="I96" s="302" t="str">
        <f>IFERROR(VLOOKUP($O96,종목정보tbl!$A$2:$V$471,$T$3,0),"-")</f>
        <v>-</v>
      </c>
      <c r="J96" s="302" t="str">
        <f>IFERROR(VLOOKUP(VLOOKUP($O96,종목정보tbl!$A$2:$V$471,$T$4,0),종목코드tbl!$A$2:$D$37,2,0),"-")</f>
        <v>-</v>
      </c>
      <c r="K96" s="302" t="str">
        <f>IFERROR(VLOOKUP($O96,종목정보tbl!$A$2:$V$471,$T$5,0),"-")</f>
        <v>-</v>
      </c>
      <c r="L96" s="300"/>
      <c r="M96" s="301" t="str">
        <f>IFERROR(VLOOKUP($O96,종목정보tbl!$A$2:$V$471,$T$6,0),"-")</f>
        <v>-</v>
      </c>
      <c r="N96" s="302" t="str">
        <f>IFERROR(VLOOKUP($O96,종목정보tbl!$A$2:$V$471,$T$7,0),"-")</f>
        <v>-</v>
      </c>
      <c r="O96" s="276" t="str">
        <f t="array" ref="O96">IFERROR(SMALL(IF(종목정보tbl!$B$1:$B$500=2,종목정보tbl!$A$1:$A$500,""),P96),"")</f>
        <v/>
      </c>
      <c r="P96" s="176">
        <v>88</v>
      </c>
    </row>
    <row r="97" spans="2:16" outlineLevel="1">
      <c r="B97" s="300"/>
      <c r="C97" s="301">
        <f t="shared" ca="1" si="1"/>
        <v>45534</v>
      </c>
      <c r="D97" s="300"/>
      <c r="E97" s="300"/>
      <c r="F97" s="684" t="str">
        <f>IF(개요!$C$8="","-",개요!$C$8)</f>
        <v>흥국생명보험(지분증권), 미래컴퍼니</v>
      </c>
      <c r="G97" s="684" t="str">
        <f>IF(개요!$C$7="","-",개요!$C$7)</f>
        <v>포스코KAICI신기술사업투자조합제1호</v>
      </c>
      <c r="H97" s="302" t="str">
        <f>IFERROR(VLOOKUP($O97,종목정보tbl!$A$2:$V$471,$T$2,0),"-")</f>
        <v>-</v>
      </c>
      <c r="I97" s="302" t="str">
        <f>IFERROR(VLOOKUP($O97,종목정보tbl!$A$2:$V$471,$T$3,0),"-")</f>
        <v>-</v>
      </c>
      <c r="J97" s="302" t="str">
        <f>IFERROR(VLOOKUP(VLOOKUP($O97,종목정보tbl!$A$2:$V$471,$T$4,0),종목코드tbl!$A$2:$D$37,2,0),"-")</f>
        <v>-</v>
      </c>
      <c r="K97" s="302" t="str">
        <f>IFERROR(VLOOKUP($O97,종목정보tbl!$A$2:$V$471,$T$5,0),"-")</f>
        <v>-</v>
      </c>
      <c r="L97" s="300"/>
      <c r="M97" s="301" t="str">
        <f>IFERROR(VLOOKUP($O97,종목정보tbl!$A$2:$V$471,$T$6,0),"-")</f>
        <v>-</v>
      </c>
      <c r="N97" s="302" t="str">
        <f>IFERROR(VLOOKUP($O97,종목정보tbl!$A$2:$V$471,$T$7,0),"-")</f>
        <v>-</v>
      </c>
      <c r="O97" s="276" t="str">
        <f t="array" ref="O97">IFERROR(SMALL(IF(종목정보tbl!$B$1:$B$500=2,종목정보tbl!$A$1:$A$500,""),P97),"")</f>
        <v/>
      </c>
      <c r="P97" s="303">
        <v>89</v>
      </c>
    </row>
    <row r="98" spans="2:16" outlineLevel="1">
      <c r="B98" s="300"/>
      <c r="C98" s="301">
        <f t="shared" ca="1" si="1"/>
        <v>45534</v>
      </c>
      <c r="D98" s="300"/>
      <c r="E98" s="300"/>
      <c r="F98" s="684" t="str">
        <f>IF(개요!$C$8="","-",개요!$C$8)</f>
        <v>흥국생명보험(지분증권), 미래컴퍼니</v>
      </c>
      <c r="G98" s="684" t="str">
        <f>IF(개요!$C$7="","-",개요!$C$7)</f>
        <v>포스코KAICI신기술사업투자조합제1호</v>
      </c>
      <c r="H98" s="302" t="str">
        <f>IFERROR(VLOOKUP($O98,종목정보tbl!$A$2:$V$471,$T$2,0),"-")</f>
        <v>-</v>
      </c>
      <c r="I98" s="302" t="str">
        <f>IFERROR(VLOOKUP($O98,종목정보tbl!$A$2:$V$471,$T$3,0),"-")</f>
        <v>-</v>
      </c>
      <c r="J98" s="302" t="str">
        <f>IFERROR(VLOOKUP(VLOOKUP($O98,종목정보tbl!$A$2:$V$471,$T$4,0),종목코드tbl!$A$2:$D$37,2,0),"-")</f>
        <v>-</v>
      </c>
      <c r="K98" s="302" t="str">
        <f>IFERROR(VLOOKUP($O98,종목정보tbl!$A$2:$V$471,$T$5,0),"-")</f>
        <v>-</v>
      </c>
      <c r="L98" s="300"/>
      <c r="M98" s="301" t="str">
        <f>IFERROR(VLOOKUP($O98,종목정보tbl!$A$2:$V$471,$T$6,0),"-")</f>
        <v>-</v>
      </c>
      <c r="N98" s="302" t="str">
        <f>IFERROR(VLOOKUP($O98,종목정보tbl!$A$2:$V$471,$T$7,0),"-")</f>
        <v>-</v>
      </c>
      <c r="O98" s="276" t="str">
        <f t="array" ref="O98">IFERROR(SMALL(IF(종목정보tbl!$B$1:$B$500=2,종목정보tbl!$A$1:$A$500,""),P98),"")</f>
        <v/>
      </c>
      <c r="P98" s="176">
        <v>90</v>
      </c>
    </row>
    <row r="99" spans="2:16" outlineLevel="1">
      <c r="B99" s="300"/>
      <c r="C99" s="301">
        <f t="shared" ca="1" si="1"/>
        <v>45534</v>
      </c>
      <c r="D99" s="300"/>
      <c r="E99" s="300"/>
      <c r="F99" s="684" t="str">
        <f>IF(개요!$C$8="","-",개요!$C$8)</f>
        <v>흥국생명보험(지분증권), 미래컴퍼니</v>
      </c>
      <c r="G99" s="684" t="str">
        <f>IF(개요!$C$7="","-",개요!$C$7)</f>
        <v>포스코KAICI신기술사업투자조합제1호</v>
      </c>
      <c r="H99" s="302" t="str">
        <f>IFERROR(VLOOKUP($O99,종목정보tbl!$A$2:$V$471,$T$2,0),"-")</f>
        <v>-</v>
      </c>
      <c r="I99" s="302" t="str">
        <f>IFERROR(VLOOKUP($O99,종목정보tbl!$A$2:$V$471,$T$3,0),"-")</f>
        <v>-</v>
      </c>
      <c r="J99" s="302" t="str">
        <f>IFERROR(VLOOKUP(VLOOKUP($O99,종목정보tbl!$A$2:$V$471,$T$4,0),종목코드tbl!$A$2:$D$37,2,0),"-")</f>
        <v>-</v>
      </c>
      <c r="K99" s="302" t="str">
        <f>IFERROR(VLOOKUP($O99,종목정보tbl!$A$2:$V$471,$T$5,0),"-")</f>
        <v>-</v>
      </c>
      <c r="L99" s="300"/>
      <c r="M99" s="301" t="str">
        <f>IFERROR(VLOOKUP($O99,종목정보tbl!$A$2:$V$471,$T$6,0),"-")</f>
        <v>-</v>
      </c>
      <c r="N99" s="302" t="str">
        <f>IFERROR(VLOOKUP($O99,종목정보tbl!$A$2:$V$471,$T$7,0),"-")</f>
        <v>-</v>
      </c>
      <c r="O99" s="276" t="str">
        <f t="array" ref="O99">IFERROR(SMALL(IF(종목정보tbl!$B$1:$B$500=2,종목정보tbl!$A$1:$A$500,""),P99),"")</f>
        <v/>
      </c>
      <c r="P99" s="303">
        <v>91</v>
      </c>
    </row>
    <row r="100" spans="2:16" outlineLevel="1">
      <c r="B100" s="300"/>
      <c r="C100" s="301">
        <f t="shared" ca="1" si="1"/>
        <v>45534</v>
      </c>
      <c r="D100" s="300"/>
      <c r="E100" s="300"/>
      <c r="F100" s="684" t="str">
        <f>IF(개요!$C$8="","-",개요!$C$8)</f>
        <v>흥국생명보험(지분증권), 미래컴퍼니</v>
      </c>
      <c r="G100" s="684" t="str">
        <f>IF(개요!$C$7="","-",개요!$C$7)</f>
        <v>포스코KAICI신기술사업투자조합제1호</v>
      </c>
      <c r="H100" s="302" t="str">
        <f>IFERROR(VLOOKUP($O100,종목정보tbl!$A$2:$V$471,$T$2,0),"-")</f>
        <v>-</v>
      </c>
      <c r="I100" s="302" t="str">
        <f>IFERROR(VLOOKUP($O100,종목정보tbl!$A$2:$V$471,$T$3,0),"-")</f>
        <v>-</v>
      </c>
      <c r="J100" s="302" t="str">
        <f>IFERROR(VLOOKUP(VLOOKUP($O100,종목정보tbl!$A$2:$V$471,$T$4,0),종목코드tbl!$A$2:$D$37,2,0),"-")</f>
        <v>-</v>
      </c>
      <c r="K100" s="302" t="str">
        <f>IFERROR(VLOOKUP($O100,종목정보tbl!$A$2:$V$471,$T$5,0),"-")</f>
        <v>-</v>
      </c>
      <c r="L100" s="300"/>
      <c r="M100" s="301" t="str">
        <f>IFERROR(VLOOKUP($O100,종목정보tbl!$A$2:$V$471,$T$6,0),"-")</f>
        <v>-</v>
      </c>
      <c r="N100" s="302" t="str">
        <f>IFERROR(VLOOKUP($O100,종목정보tbl!$A$2:$V$471,$T$7,0),"-")</f>
        <v>-</v>
      </c>
      <c r="O100" s="276" t="str">
        <f t="array" ref="O100">IFERROR(SMALL(IF(종목정보tbl!$B$1:$B$500=2,종목정보tbl!$A$1:$A$500,""),P100),"")</f>
        <v/>
      </c>
      <c r="P100" s="176">
        <v>92</v>
      </c>
    </row>
    <row r="101" spans="2:16" outlineLevel="1">
      <c r="B101" s="300"/>
      <c r="C101" s="301">
        <f t="shared" ca="1" si="1"/>
        <v>45534</v>
      </c>
      <c r="D101" s="300"/>
      <c r="E101" s="300"/>
      <c r="F101" s="684" t="str">
        <f>IF(개요!$C$8="","-",개요!$C$8)</f>
        <v>흥국생명보험(지분증권), 미래컴퍼니</v>
      </c>
      <c r="G101" s="684" t="str">
        <f>IF(개요!$C$7="","-",개요!$C$7)</f>
        <v>포스코KAICI신기술사업투자조합제1호</v>
      </c>
      <c r="H101" s="302" t="str">
        <f>IFERROR(VLOOKUP($O101,종목정보tbl!$A$2:$V$471,$T$2,0),"-")</f>
        <v>-</v>
      </c>
      <c r="I101" s="302" t="str">
        <f>IFERROR(VLOOKUP($O101,종목정보tbl!$A$2:$V$471,$T$3,0),"-")</f>
        <v>-</v>
      </c>
      <c r="J101" s="302" t="str">
        <f>IFERROR(VLOOKUP(VLOOKUP($O101,종목정보tbl!$A$2:$V$471,$T$4,0),종목코드tbl!$A$2:$D$37,2,0),"-")</f>
        <v>-</v>
      </c>
      <c r="K101" s="302" t="str">
        <f>IFERROR(VLOOKUP($O101,종목정보tbl!$A$2:$V$471,$T$5,0),"-")</f>
        <v>-</v>
      </c>
      <c r="L101" s="300"/>
      <c r="M101" s="301" t="str">
        <f>IFERROR(VLOOKUP($O101,종목정보tbl!$A$2:$V$471,$T$6,0),"-")</f>
        <v>-</v>
      </c>
      <c r="N101" s="302" t="str">
        <f>IFERROR(VLOOKUP($O101,종목정보tbl!$A$2:$V$471,$T$7,0),"-")</f>
        <v>-</v>
      </c>
      <c r="O101" s="276" t="str">
        <f t="array" ref="O101">IFERROR(SMALL(IF(종목정보tbl!$B$1:$B$500=2,종목정보tbl!$A$1:$A$500,""),P101),"")</f>
        <v/>
      </c>
      <c r="P101" s="303">
        <v>93</v>
      </c>
    </row>
    <row r="102" spans="2:16" outlineLevel="1">
      <c r="B102" s="300"/>
      <c r="C102" s="301">
        <f t="shared" ca="1" si="1"/>
        <v>45534</v>
      </c>
      <c r="D102" s="300"/>
      <c r="E102" s="300"/>
      <c r="F102" s="684" t="str">
        <f>IF(개요!$C$8="","-",개요!$C$8)</f>
        <v>흥국생명보험(지분증권), 미래컴퍼니</v>
      </c>
      <c r="G102" s="684" t="str">
        <f>IF(개요!$C$7="","-",개요!$C$7)</f>
        <v>포스코KAICI신기술사업투자조합제1호</v>
      </c>
      <c r="H102" s="302" t="str">
        <f>IFERROR(VLOOKUP($O102,종목정보tbl!$A$2:$V$471,$T$2,0),"-")</f>
        <v>-</v>
      </c>
      <c r="I102" s="302" t="str">
        <f>IFERROR(VLOOKUP($O102,종목정보tbl!$A$2:$V$471,$T$3,0),"-")</f>
        <v>-</v>
      </c>
      <c r="J102" s="302" t="str">
        <f>IFERROR(VLOOKUP(VLOOKUP($O102,종목정보tbl!$A$2:$V$471,$T$4,0),종목코드tbl!$A$2:$D$37,2,0),"-")</f>
        <v>-</v>
      </c>
      <c r="K102" s="302" t="str">
        <f>IFERROR(VLOOKUP($O102,종목정보tbl!$A$2:$V$471,$T$5,0),"-")</f>
        <v>-</v>
      </c>
      <c r="L102" s="300"/>
      <c r="M102" s="301" t="str">
        <f>IFERROR(VLOOKUP($O102,종목정보tbl!$A$2:$V$471,$T$6,0),"-")</f>
        <v>-</v>
      </c>
      <c r="N102" s="302" t="str">
        <f>IFERROR(VLOOKUP($O102,종목정보tbl!$A$2:$V$471,$T$7,0),"-")</f>
        <v>-</v>
      </c>
      <c r="O102" s="276" t="str">
        <f t="array" ref="O102">IFERROR(SMALL(IF(종목정보tbl!$B$1:$B$500=2,종목정보tbl!$A$1:$A$500,""),P102),"")</f>
        <v/>
      </c>
      <c r="P102" s="176">
        <v>94</v>
      </c>
    </row>
    <row r="103" spans="2:16" outlineLevel="1">
      <c r="B103" s="300"/>
      <c r="C103" s="301">
        <f t="shared" ca="1" si="1"/>
        <v>45534</v>
      </c>
      <c r="D103" s="300"/>
      <c r="E103" s="300"/>
      <c r="F103" s="684" t="str">
        <f>IF(개요!$C$8="","-",개요!$C$8)</f>
        <v>흥국생명보험(지분증권), 미래컴퍼니</v>
      </c>
      <c r="G103" s="684" t="str">
        <f>IF(개요!$C$7="","-",개요!$C$7)</f>
        <v>포스코KAICI신기술사업투자조합제1호</v>
      </c>
      <c r="H103" s="302" t="str">
        <f>IFERROR(VLOOKUP($O103,종목정보tbl!$A$2:$V$471,$T$2,0),"-")</f>
        <v>-</v>
      </c>
      <c r="I103" s="302" t="str">
        <f>IFERROR(VLOOKUP($O103,종목정보tbl!$A$2:$V$471,$T$3,0),"-")</f>
        <v>-</v>
      </c>
      <c r="J103" s="302" t="str">
        <f>IFERROR(VLOOKUP(VLOOKUP($O103,종목정보tbl!$A$2:$V$471,$T$4,0),종목코드tbl!$A$2:$D$37,2,0),"-")</f>
        <v>-</v>
      </c>
      <c r="K103" s="302" t="str">
        <f>IFERROR(VLOOKUP($O103,종목정보tbl!$A$2:$V$471,$T$5,0),"-")</f>
        <v>-</v>
      </c>
      <c r="L103" s="300"/>
      <c r="M103" s="301" t="str">
        <f>IFERROR(VLOOKUP($O103,종목정보tbl!$A$2:$V$471,$T$6,0),"-")</f>
        <v>-</v>
      </c>
      <c r="N103" s="302" t="str">
        <f>IFERROR(VLOOKUP($O103,종목정보tbl!$A$2:$V$471,$T$7,0),"-")</f>
        <v>-</v>
      </c>
      <c r="O103" s="276" t="str">
        <f t="array" ref="O103">IFERROR(SMALL(IF(종목정보tbl!$B$1:$B$500=2,종목정보tbl!$A$1:$A$500,""),P103),"")</f>
        <v/>
      </c>
      <c r="P103" s="303">
        <v>95</v>
      </c>
    </row>
    <row r="104" spans="2:16" outlineLevel="1">
      <c r="B104" s="300"/>
      <c r="C104" s="301">
        <f t="shared" ca="1" si="1"/>
        <v>45534</v>
      </c>
      <c r="D104" s="300"/>
      <c r="E104" s="300"/>
      <c r="F104" s="684" t="str">
        <f>IF(개요!$C$8="","-",개요!$C$8)</f>
        <v>흥국생명보험(지분증권), 미래컴퍼니</v>
      </c>
      <c r="G104" s="684" t="str">
        <f>IF(개요!$C$7="","-",개요!$C$7)</f>
        <v>포스코KAICI신기술사업투자조합제1호</v>
      </c>
      <c r="H104" s="302" t="str">
        <f>IFERROR(VLOOKUP($O104,종목정보tbl!$A$2:$V$471,$T$2,0),"-")</f>
        <v>-</v>
      </c>
      <c r="I104" s="302" t="str">
        <f>IFERROR(VLOOKUP($O104,종목정보tbl!$A$2:$V$471,$T$3,0),"-")</f>
        <v>-</v>
      </c>
      <c r="J104" s="302" t="str">
        <f>IFERROR(VLOOKUP(VLOOKUP($O104,종목정보tbl!$A$2:$V$471,$T$4,0),종목코드tbl!$A$2:$D$37,2,0),"-")</f>
        <v>-</v>
      </c>
      <c r="K104" s="302" t="str">
        <f>IFERROR(VLOOKUP($O104,종목정보tbl!$A$2:$V$471,$T$5,0),"-")</f>
        <v>-</v>
      </c>
      <c r="L104" s="300"/>
      <c r="M104" s="301" t="str">
        <f>IFERROR(VLOOKUP($O104,종목정보tbl!$A$2:$V$471,$T$6,0),"-")</f>
        <v>-</v>
      </c>
      <c r="N104" s="302" t="str">
        <f>IFERROR(VLOOKUP($O104,종목정보tbl!$A$2:$V$471,$T$7,0),"-")</f>
        <v>-</v>
      </c>
      <c r="O104" s="276" t="str">
        <f t="array" ref="O104">IFERROR(SMALL(IF(종목정보tbl!$B$1:$B$500=2,종목정보tbl!$A$1:$A$500,""),P104),"")</f>
        <v/>
      </c>
      <c r="P104" s="176">
        <v>96</v>
      </c>
    </row>
    <row r="105" spans="2:16" outlineLevel="1">
      <c r="B105" s="300"/>
      <c r="C105" s="301">
        <f t="shared" ca="1" si="1"/>
        <v>45534</v>
      </c>
      <c r="D105" s="300"/>
      <c r="E105" s="300"/>
      <c r="F105" s="684" t="str">
        <f>IF(개요!$C$8="","-",개요!$C$8)</f>
        <v>흥국생명보험(지분증권), 미래컴퍼니</v>
      </c>
      <c r="G105" s="684" t="str">
        <f>IF(개요!$C$7="","-",개요!$C$7)</f>
        <v>포스코KAICI신기술사업투자조합제1호</v>
      </c>
      <c r="H105" s="302" t="str">
        <f>IFERROR(VLOOKUP($O105,종목정보tbl!$A$2:$V$471,$T$2,0),"-")</f>
        <v>-</v>
      </c>
      <c r="I105" s="302" t="str">
        <f>IFERROR(VLOOKUP($O105,종목정보tbl!$A$2:$V$471,$T$3,0),"-")</f>
        <v>-</v>
      </c>
      <c r="J105" s="302" t="str">
        <f>IFERROR(VLOOKUP(VLOOKUP($O105,종목정보tbl!$A$2:$V$471,$T$4,0),종목코드tbl!$A$2:$D$37,2,0),"-")</f>
        <v>-</v>
      </c>
      <c r="K105" s="302" t="str">
        <f>IFERROR(VLOOKUP($O105,종목정보tbl!$A$2:$V$471,$T$5,0),"-")</f>
        <v>-</v>
      </c>
      <c r="L105" s="300"/>
      <c r="M105" s="301" t="str">
        <f>IFERROR(VLOOKUP($O105,종목정보tbl!$A$2:$V$471,$T$6,0),"-")</f>
        <v>-</v>
      </c>
      <c r="N105" s="302" t="str">
        <f>IFERROR(VLOOKUP($O105,종목정보tbl!$A$2:$V$471,$T$7,0),"-")</f>
        <v>-</v>
      </c>
      <c r="O105" s="276" t="str">
        <f t="array" ref="O105">IFERROR(SMALL(IF(종목정보tbl!$B$1:$B$500=2,종목정보tbl!$A$1:$A$500,""),P105),"")</f>
        <v/>
      </c>
      <c r="P105" s="303">
        <v>97</v>
      </c>
    </row>
    <row r="106" spans="2:16" outlineLevel="1">
      <c r="B106" s="300"/>
      <c r="C106" s="301">
        <f t="shared" ca="1" si="1"/>
        <v>45534</v>
      </c>
      <c r="D106" s="300"/>
      <c r="E106" s="300"/>
      <c r="F106" s="684" t="str">
        <f>IF(개요!$C$8="","-",개요!$C$8)</f>
        <v>흥국생명보험(지분증권), 미래컴퍼니</v>
      </c>
      <c r="G106" s="684" t="str">
        <f>IF(개요!$C$7="","-",개요!$C$7)</f>
        <v>포스코KAICI신기술사업투자조합제1호</v>
      </c>
      <c r="H106" s="302" t="str">
        <f>IFERROR(VLOOKUP($O106,종목정보tbl!$A$2:$V$471,$T$2,0),"-")</f>
        <v>-</v>
      </c>
      <c r="I106" s="302" t="str">
        <f>IFERROR(VLOOKUP($O106,종목정보tbl!$A$2:$V$471,$T$3,0),"-")</f>
        <v>-</v>
      </c>
      <c r="J106" s="302" t="str">
        <f>IFERROR(VLOOKUP(VLOOKUP($O106,종목정보tbl!$A$2:$V$471,$T$4,0),종목코드tbl!$A$2:$D$37,2,0),"-")</f>
        <v>-</v>
      </c>
      <c r="K106" s="302" t="str">
        <f>IFERROR(VLOOKUP($O106,종목정보tbl!$A$2:$V$471,$T$5,0),"-")</f>
        <v>-</v>
      </c>
      <c r="L106" s="300"/>
      <c r="M106" s="301" t="str">
        <f>IFERROR(VLOOKUP($O106,종목정보tbl!$A$2:$V$471,$T$6,0),"-")</f>
        <v>-</v>
      </c>
      <c r="N106" s="302" t="str">
        <f>IFERROR(VLOOKUP($O106,종목정보tbl!$A$2:$V$471,$T$7,0),"-")</f>
        <v>-</v>
      </c>
      <c r="O106" s="276" t="str">
        <f t="array" ref="O106">IFERROR(SMALL(IF(종목정보tbl!$B$1:$B$500=2,종목정보tbl!$A$1:$A$500,""),P106),"")</f>
        <v/>
      </c>
      <c r="P106" s="176">
        <v>98</v>
      </c>
    </row>
    <row r="107" spans="2:16" outlineLevel="1">
      <c r="B107" s="300"/>
      <c r="C107" s="301">
        <f t="shared" ca="1" si="1"/>
        <v>45534</v>
      </c>
      <c r="D107" s="300"/>
      <c r="E107" s="300"/>
      <c r="F107" s="684" t="str">
        <f>IF(개요!$C$8="","-",개요!$C$8)</f>
        <v>흥국생명보험(지분증권), 미래컴퍼니</v>
      </c>
      <c r="G107" s="684" t="str">
        <f>IF(개요!$C$7="","-",개요!$C$7)</f>
        <v>포스코KAICI신기술사업투자조합제1호</v>
      </c>
      <c r="H107" s="302" t="str">
        <f>IFERROR(VLOOKUP($O107,종목정보tbl!$A$2:$V$471,$T$2,0),"-")</f>
        <v>-</v>
      </c>
      <c r="I107" s="302" t="str">
        <f>IFERROR(VLOOKUP($O107,종목정보tbl!$A$2:$V$471,$T$3,0),"-")</f>
        <v>-</v>
      </c>
      <c r="J107" s="302" t="str">
        <f>IFERROR(VLOOKUP(VLOOKUP($O107,종목정보tbl!$A$2:$V$471,$T$4,0),종목코드tbl!$A$2:$D$37,2,0),"-")</f>
        <v>-</v>
      </c>
      <c r="K107" s="302" t="str">
        <f>IFERROR(VLOOKUP($O107,종목정보tbl!$A$2:$V$471,$T$5,0),"-")</f>
        <v>-</v>
      </c>
      <c r="L107" s="300"/>
      <c r="M107" s="301" t="str">
        <f>IFERROR(VLOOKUP($O107,종목정보tbl!$A$2:$V$471,$T$6,0),"-")</f>
        <v>-</v>
      </c>
      <c r="N107" s="302" t="str">
        <f>IFERROR(VLOOKUP($O107,종목정보tbl!$A$2:$V$471,$T$7,0),"-")</f>
        <v>-</v>
      </c>
      <c r="O107" s="276" t="str">
        <f t="array" ref="O107">IFERROR(SMALL(IF(종목정보tbl!$B$1:$B$500=2,종목정보tbl!$A$1:$A$500,""),P107),"")</f>
        <v/>
      </c>
      <c r="P107" s="303">
        <v>99</v>
      </c>
    </row>
    <row r="108" spans="2:16" outlineLevel="1">
      <c r="B108" s="300"/>
      <c r="C108" s="301">
        <f t="shared" ca="1" si="1"/>
        <v>45534</v>
      </c>
      <c r="D108" s="300"/>
      <c r="E108" s="300"/>
      <c r="F108" s="684" t="str">
        <f>IF(개요!$C$8="","-",개요!$C$8)</f>
        <v>흥국생명보험(지분증권), 미래컴퍼니</v>
      </c>
      <c r="G108" s="684" t="str">
        <f>IF(개요!$C$7="","-",개요!$C$7)</f>
        <v>포스코KAICI신기술사업투자조합제1호</v>
      </c>
      <c r="H108" s="302" t="str">
        <f>IFERROR(VLOOKUP($O108,종목정보tbl!$A$2:$V$471,$T$2,0),"-")</f>
        <v>-</v>
      </c>
      <c r="I108" s="302" t="str">
        <f>IFERROR(VLOOKUP($O108,종목정보tbl!$A$2:$V$471,$T$3,0),"-")</f>
        <v>-</v>
      </c>
      <c r="J108" s="302" t="str">
        <f>IFERROR(VLOOKUP(VLOOKUP($O108,종목정보tbl!$A$2:$V$471,$T$4,0),종목코드tbl!$A$2:$D$37,2,0),"-")</f>
        <v>-</v>
      </c>
      <c r="K108" s="302" t="str">
        <f>IFERROR(VLOOKUP($O108,종목정보tbl!$A$2:$V$471,$T$5,0),"-")</f>
        <v>-</v>
      </c>
      <c r="L108" s="300"/>
      <c r="M108" s="301" t="str">
        <f>IFERROR(VLOOKUP($O108,종목정보tbl!$A$2:$V$471,$T$6,0),"-")</f>
        <v>-</v>
      </c>
      <c r="N108" s="302" t="str">
        <f>IFERROR(VLOOKUP($O108,종목정보tbl!$A$2:$V$471,$T$7,0),"-")</f>
        <v>-</v>
      </c>
      <c r="O108" s="276" t="str">
        <f t="array" ref="O108">IFERROR(SMALL(IF(종목정보tbl!$B$1:$B$500=2,종목정보tbl!$A$1:$A$500,""),P108),"")</f>
        <v/>
      </c>
      <c r="P108" s="176">
        <v>100</v>
      </c>
    </row>
    <row r="109" spans="2:16" outlineLevel="1">
      <c r="B109" s="300"/>
      <c r="C109" s="301">
        <f t="shared" ca="1" si="1"/>
        <v>45534</v>
      </c>
      <c r="D109" s="300"/>
      <c r="E109" s="300"/>
      <c r="F109" s="684" t="str">
        <f>IF(개요!$C$8="","-",개요!$C$8)</f>
        <v>흥국생명보험(지분증권), 미래컴퍼니</v>
      </c>
      <c r="G109" s="684" t="str">
        <f>IF(개요!$C$7="","-",개요!$C$7)</f>
        <v>포스코KAICI신기술사업투자조합제1호</v>
      </c>
      <c r="H109" s="302" t="str">
        <f>IFERROR(VLOOKUP($O109,종목정보tbl!$A$2:$V$471,$T$2,0),"-")</f>
        <v>-</v>
      </c>
      <c r="I109" s="302" t="str">
        <f>IFERROR(VLOOKUP($O109,종목정보tbl!$A$2:$V$471,$T$3,0),"-")</f>
        <v>-</v>
      </c>
      <c r="J109" s="302" t="str">
        <f>IFERROR(VLOOKUP(VLOOKUP($O109,종목정보tbl!$A$2:$V$471,$T$4,0),종목코드tbl!$A$2:$D$37,2,0),"-")</f>
        <v>-</v>
      </c>
      <c r="K109" s="302" t="str">
        <f>IFERROR(VLOOKUP($O109,종목정보tbl!$A$2:$V$471,$T$5,0),"-")</f>
        <v>-</v>
      </c>
      <c r="L109" s="300"/>
      <c r="M109" s="301" t="str">
        <f>IFERROR(VLOOKUP($O109,종목정보tbl!$A$2:$V$471,$T$6,0),"-")</f>
        <v>-</v>
      </c>
      <c r="N109" s="302" t="str">
        <f>IFERROR(VLOOKUP($O109,종목정보tbl!$A$2:$V$471,$T$7,0),"-")</f>
        <v>-</v>
      </c>
      <c r="O109" s="276" t="str">
        <f t="array" ref="O109">IFERROR(SMALL(IF(종목정보tbl!$B$1:$B$500=2,종목정보tbl!$A$1:$A$500,""),P109),"")</f>
        <v/>
      </c>
      <c r="P109" s="303">
        <v>101</v>
      </c>
    </row>
    <row r="110" spans="2:16" outlineLevel="1">
      <c r="B110" s="300"/>
      <c r="C110" s="301">
        <f t="shared" ca="1" si="1"/>
        <v>45534</v>
      </c>
      <c r="D110" s="300"/>
      <c r="E110" s="300"/>
      <c r="F110" s="684" t="str">
        <f>IF(개요!$C$8="","-",개요!$C$8)</f>
        <v>흥국생명보험(지분증권), 미래컴퍼니</v>
      </c>
      <c r="G110" s="684" t="str">
        <f>IF(개요!$C$7="","-",개요!$C$7)</f>
        <v>포스코KAICI신기술사업투자조합제1호</v>
      </c>
      <c r="H110" s="302" t="str">
        <f>IFERROR(VLOOKUP($O110,종목정보tbl!$A$2:$V$471,$T$2,0),"-")</f>
        <v>-</v>
      </c>
      <c r="I110" s="302" t="str">
        <f>IFERROR(VLOOKUP($O110,종목정보tbl!$A$2:$V$471,$T$3,0),"-")</f>
        <v>-</v>
      </c>
      <c r="J110" s="302" t="str">
        <f>IFERROR(VLOOKUP(VLOOKUP($O110,종목정보tbl!$A$2:$V$471,$T$4,0),종목코드tbl!$A$2:$D$37,2,0),"-")</f>
        <v>-</v>
      </c>
      <c r="K110" s="302" t="str">
        <f>IFERROR(VLOOKUP($O110,종목정보tbl!$A$2:$V$471,$T$5,0),"-")</f>
        <v>-</v>
      </c>
      <c r="L110" s="300"/>
      <c r="M110" s="301" t="str">
        <f>IFERROR(VLOOKUP($O110,종목정보tbl!$A$2:$V$471,$T$6,0),"-")</f>
        <v>-</v>
      </c>
      <c r="N110" s="302" t="str">
        <f>IFERROR(VLOOKUP($O110,종목정보tbl!$A$2:$V$471,$T$7,0),"-")</f>
        <v>-</v>
      </c>
      <c r="O110" s="276" t="str">
        <f t="array" ref="O110">IFERROR(SMALL(IF(종목정보tbl!$B$1:$B$500=2,종목정보tbl!$A$1:$A$500,""),P110),"")</f>
        <v/>
      </c>
      <c r="P110" s="176">
        <v>102</v>
      </c>
    </row>
    <row r="111" spans="2:16" outlineLevel="1">
      <c r="B111" s="300"/>
      <c r="C111" s="301">
        <f t="shared" ca="1" si="1"/>
        <v>45534</v>
      </c>
      <c r="D111" s="300"/>
      <c r="E111" s="300"/>
      <c r="F111" s="684" t="str">
        <f>IF(개요!$C$8="","-",개요!$C$8)</f>
        <v>흥국생명보험(지분증권), 미래컴퍼니</v>
      </c>
      <c r="G111" s="684" t="str">
        <f>IF(개요!$C$7="","-",개요!$C$7)</f>
        <v>포스코KAICI신기술사업투자조합제1호</v>
      </c>
      <c r="H111" s="302" t="str">
        <f>IFERROR(VLOOKUP($O111,종목정보tbl!$A$2:$V$471,$T$2,0),"-")</f>
        <v>-</v>
      </c>
      <c r="I111" s="302" t="str">
        <f>IFERROR(VLOOKUP($O111,종목정보tbl!$A$2:$V$471,$T$3,0),"-")</f>
        <v>-</v>
      </c>
      <c r="J111" s="302" t="str">
        <f>IFERROR(VLOOKUP(VLOOKUP($O111,종목정보tbl!$A$2:$V$471,$T$4,0),종목코드tbl!$A$2:$D$37,2,0),"-")</f>
        <v>-</v>
      </c>
      <c r="K111" s="302" t="str">
        <f>IFERROR(VLOOKUP($O111,종목정보tbl!$A$2:$V$471,$T$5,0),"-")</f>
        <v>-</v>
      </c>
      <c r="L111" s="300"/>
      <c r="M111" s="301" t="str">
        <f>IFERROR(VLOOKUP($O111,종목정보tbl!$A$2:$V$471,$T$6,0),"-")</f>
        <v>-</v>
      </c>
      <c r="N111" s="302" t="str">
        <f>IFERROR(VLOOKUP($O111,종목정보tbl!$A$2:$V$471,$T$7,0),"-")</f>
        <v>-</v>
      </c>
      <c r="O111" s="276" t="str">
        <f t="array" ref="O111">IFERROR(SMALL(IF(종목정보tbl!$B$1:$B$500=2,종목정보tbl!$A$1:$A$500,""),P111),"")</f>
        <v/>
      </c>
      <c r="P111" s="303">
        <v>103</v>
      </c>
    </row>
    <row r="112" spans="2:16" outlineLevel="1">
      <c r="B112" s="300"/>
      <c r="C112" s="301">
        <f t="shared" ca="1" si="1"/>
        <v>45534</v>
      </c>
      <c r="D112" s="300"/>
      <c r="E112" s="300"/>
      <c r="F112" s="684" t="str">
        <f>IF(개요!$C$8="","-",개요!$C$8)</f>
        <v>흥국생명보험(지분증권), 미래컴퍼니</v>
      </c>
      <c r="G112" s="684" t="str">
        <f>IF(개요!$C$7="","-",개요!$C$7)</f>
        <v>포스코KAICI신기술사업투자조합제1호</v>
      </c>
      <c r="H112" s="302" t="str">
        <f>IFERROR(VLOOKUP($O112,종목정보tbl!$A$2:$V$471,$T$2,0),"-")</f>
        <v>-</v>
      </c>
      <c r="I112" s="302" t="str">
        <f>IFERROR(VLOOKUP($O112,종목정보tbl!$A$2:$V$471,$T$3,0),"-")</f>
        <v>-</v>
      </c>
      <c r="J112" s="302" t="str">
        <f>IFERROR(VLOOKUP(VLOOKUP($O112,종목정보tbl!$A$2:$V$471,$T$4,0),종목코드tbl!$A$2:$D$37,2,0),"-")</f>
        <v>-</v>
      </c>
      <c r="K112" s="302" t="str">
        <f>IFERROR(VLOOKUP($O112,종목정보tbl!$A$2:$V$471,$T$5,0),"-")</f>
        <v>-</v>
      </c>
      <c r="L112" s="300"/>
      <c r="M112" s="301" t="str">
        <f>IFERROR(VLOOKUP($O112,종목정보tbl!$A$2:$V$471,$T$6,0),"-")</f>
        <v>-</v>
      </c>
      <c r="N112" s="302" t="str">
        <f>IFERROR(VLOOKUP($O112,종목정보tbl!$A$2:$V$471,$T$7,0),"-")</f>
        <v>-</v>
      </c>
      <c r="O112" s="276" t="str">
        <f t="array" ref="O112">IFERROR(SMALL(IF(종목정보tbl!$B$1:$B$500=2,종목정보tbl!$A$1:$A$500,""),P112),"")</f>
        <v/>
      </c>
      <c r="P112" s="176">
        <v>104</v>
      </c>
    </row>
    <row r="113" spans="2:16" outlineLevel="1">
      <c r="B113" s="300"/>
      <c r="C113" s="301">
        <f t="shared" ca="1" si="1"/>
        <v>45534</v>
      </c>
      <c r="D113" s="300"/>
      <c r="E113" s="300"/>
      <c r="F113" s="684" t="str">
        <f>IF(개요!$C$8="","-",개요!$C$8)</f>
        <v>흥국생명보험(지분증권), 미래컴퍼니</v>
      </c>
      <c r="G113" s="684" t="str">
        <f>IF(개요!$C$7="","-",개요!$C$7)</f>
        <v>포스코KAICI신기술사업투자조합제1호</v>
      </c>
      <c r="H113" s="302" t="str">
        <f>IFERROR(VLOOKUP($O113,종목정보tbl!$A$2:$V$471,$T$2,0),"-")</f>
        <v>-</v>
      </c>
      <c r="I113" s="302" t="str">
        <f>IFERROR(VLOOKUP($O113,종목정보tbl!$A$2:$V$471,$T$3,0),"-")</f>
        <v>-</v>
      </c>
      <c r="J113" s="302" t="str">
        <f>IFERROR(VLOOKUP(VLOOKUP($O113,종목정보tbl!$A$2:$V$471,$T$4,0),종목코드tbl!$A$2:$D$37,2,0),"-")</f>
        <v>-</v>
      </c>
      <c r="K113" s="302" t="str">
        <f>IFERROR(VLOOKUP($O113,종목정보tbl!$A$2:$V$471,$T$5,0),"-")</f>
        <v>-</v>
      </c>
      <c r="L113" s="300"/>
      <c r="M113" s="301" t="str">
        <f>IFERROR(VLOOKUP($O113,종목정보tbl!$A$2:$V$471,$T$6,0),"-")</f>
        <v>-</v>
      </c>
      <c r="N113" s="302" t="str">
        <f>IFERROR(VLOOKUP($O113,종목정보tbl!$A$2:$V$471,$T$7,0),"-")</f>
        <v>-</v>
      </c>
      <c r="O113" s="276" t="str">
        <f t="array" ref="O113">IFERROR(SMALL(IF(종목정보tbl!$B$1:$B$500=2,종목정보tbl!$A$1:$A$500,""),P113),"")</f>
        <v/>
      </c>
      <c r="P113" s="303">
        <v>105</v>
      </c>
    </row>
    <row r="114" spans="2:16" outlineLevel="1">
      <c r="B114" s="300"/>
      <c r="C114" s="301">
        <f t="shared" ca="1" si="1"/>
        <v>45534</v>
      </c>
      <c r="D114" s="300"/>
      <c r="E114" s="300"/>
      <c r="F114" s="684" t="str">
        <f>IF(개요!$C$8="","-",개요!$C$8)</f>
        <v>흥국생명보험(지분증권), 미래컴퍼니</v>
      </c>
      <c r="G114" s="684" t="str">
        <f>IF(개요!$C$7="","-",개요!$C$7)</f>
        <v>포스코KAICI신기술사업투자조합제1호</v>
      </c>
      <c r="H114" s="302" t="str">
        <f>IFERROR(VLOOKUP($O114,종목정보tbl!$A$2:$V$471,$T$2,0),"-")</f>
        <v>-</v>
      </c>
      <c r="I114" s="302" t="str">
        <f>IFERROR(VLOOKUP($O114,종목정보tbl!$A$2:$V$471,$T$3,0),"-")</f>
        <v>-</v>
      </c>
      <c r="J114" s="302" t="str">
        <f>IFERROR(VLOOKUP(VLOOKUP($O114,종목정보tbl!$A$2:$V$471,$T$4,0),종목코드tbl!$A$2:$D$37,2,0),"-")</f>
        <v>-</v>
      </c>
      <c r="K114" s="302" t="str">
        <f>IFERROR(VLOOKUP($O114,종목정보tbl!$A$2:$V$471,$T$5,0),"-")</f>
        <v>-</v>
      </c>
      <c r="L114" s="300"/>
      <c r="M114" s="301" t="str">
        <f>IFERROR(VLOOKUP($O114,종목정보tbl!$A$2:$V$471,$T$6,0),"-")</f>
        <v>-</v>
      </c>
      <c r="N114" s="302" t="str">
        <f>IFERROR(VLOOKUP($O114,종목정보tbl!$A$2:$V$471,$T$7,0),"-")</f>
        <v>-</v>
      </c>
      <c r="O114" s="276" t="str">
        <f t="array" ref="O114">IFERROR(SMALL(IF(종목정보tbl!$B$1:$B$500=2,종목정보tbl!$A$1:$A$500,""),P114),"")</f>
        <v/>
      </c>
      <c r="P114" s="176">
        <v>106</v>
      </c>
    </row>
    <row r="115" spans="2:16" outlineLevel="1">
      <c r="B115" s="300"/>
      <c r="C115" s="301">
        <f t="shared" ca="1" si="1"/>
        <v>45534</v>
      </c>
      <c r="D115" s="300"/>
      <c r="E115" s="300"/>
      <c r="F115" s="684" t="str">
        <f>IF(개요!$C$8="","-",개요!$C$8)</f>
        <v>흥국생명보험(지분증권), 미래컴퍼니</v>
      </c>
      <c r="G115" s="684" t="str">
        <f>IF(개요!$C$7="","-",개요!$C$7)</f>
        <v>포스코KAICI신기술사업투자조합제1호</v>
      </c>
      <c r="H115" s="302" t="str">
        <f>IFERROR(VLOOKUP($O115,종목정보tbl!$A$2:$V$471,$T$2,0),"-")</f>
        <v>-</v>
      </c>
      <c r="I115" s="302" t="str">
        <f>IFERROR(VLOOKUP($O115,종목정보tbl!$A$2:$V$471,$T$3,0),"-")</f>
        <v>-</v>
      </c>
      <c r="J115" s="302" t="str">
        <f>IFERROR(VLOOKUP(VLOOKUP($O115,종목정보tbl!$A$2:$V$471,$T$4,0),종목코드tbl!$A$2:$D$37,2,0),"-")</f>
        <v>-</v>
      </c>
      <c r="K115" s="302" t="str">
        <f>IFERROR(VLOOKUP($O115,종목정보tbl!$A$2:$V$471,$T$5,0),"-")</f>
        <v>-</v>
      </c>
      <c r="L115" s="300"/>
      <c r="M115" s="301" t="str">
        <f>IFERROR(VLOOKUP($O115,종목정보tbl!$A$2:$V$471,$T$6,0),"-")</f>
        <v>-</v>
      </c>
      <c r="N115" s="302" t="str">
        <f>IFERROR(VLOOKUP($O115,종목정보tbl!$A$2:$V$471,$T$7,0),"-")</f>
        <v>-</v>
      </c>
      <c r="O115" s="276" t="str">
        <f t="array" ref="O115">IFERROR(SMALL(IF(종목정보tbl!$B$1:$B$500=2,종목정보tbl!$A$1:$A$500,""),P115),"")</f>
        <v/>
      </c>
      <c r="P115" s="303">
        <v>107</v>
      </c>
    </row>
    <row r="116" spans="2:16" outlineLevel="1">
      <c r="B116" s="300"/>
      <c r="C116" s="301">
        <f t="shared" ca="1" si="1"/>
        <v>45534</v>
      </c>
      <c r="D116" s="300"/>
      <c r="E116" s="300"/>
      <c r="F116" s="684" t="str">
        <f>IF(개요!$C$8="","-",개요!$C$8)</f>
        <v>흥국생명보험(지분증권), 미래컴퍼니</v>
      </c>
      <c r="G116" s="684" t="str">
        <f>IF(개요!$C$7="","-",개요!$C$7)</f>
        <v>포스코KAICI신기술사업투자조합제1호</v>
      </c>
      <c r="H116" s="302" t="str">
        <f>IFERROR(VLOOKUP($O116,종목정보tbl!$A$2:$V$471,$T$2,0),"-")</f>
        <v>-</v>
      </c>
      <c r="I116" s="302" t="str">
        <f>IFERROR(VLOOKUP($O116,종목정보tbl!$A$2:$V$471,$T$3,0),"-")</f>
        <v>-</v>
      </c>
      <c r="J116" s="302" t="str">
        <f>IFERROR(VLOOKUP(VLOOKUP($O116,종목정보tbl!$A$2:$V$471,$T$4,0),종목코드tbl!$A$2:$D$37,2,0),"-")</f>
        <v>-</v>
      </c>
      <c r="K116" s="302" t="str">
        <f>IFERROR(VLOOKUP($O116,종목정보tbl!$A$2:$V$471,$T$5,0),"-")</f>
        <v>-</v>
      </c>
      <c r="L116" s="300"/>
      <c r="M116" s="301" t="str">
        <f>IFERROR(VLOOKUP($O116,종목정보tbl!$A$2:$V$471,$T$6,0),"-")</f>
        <v>-</v>
      </c>
      <c r="N116" s="302" t="str">
        <f>IFERROR(VLOOKUP($O116,종목정보tbl!$A$2:$V$471,$T$7,0),"-")</f>
        <v>-</v>
      </c>
      <c r="O116" s="276" t="str">
        <f t="array" ref="O116">IFERROR(SMALL(IF(종목정보tbl!$B$1:$B$500=2,종목정보tbl!$A$1:$A$500,""),P116),"")</f>
        <v/>
      </c>
      <c r="P116" s="176">
        <v>108</v>
      </c>
    </row>
    <row r="117" spans="2:16" outlineLevel="1">
      <c r="B117" s="300"/>
      <c r="C117" s="301">
        <f t="shared" ca="1" si="1"/>
        <v>45534</v>
      </c>
      <c r="D117" s="300"/>
      <c r="E117" s="300"/>
      <c r="F117" s="684" t="str">
        <f>IF(개요!$C$8="","-",개요!$C$8)</f>
        <v>흥국생명보험(지분증권), 미래컴퍼니</v>
      </c>
      <c r="G117" s="684" t="str">
        <f>IF(개요!$C$7="","-",개요!$C$7)</f>
        <v>포스코KAICI신기술사업투자조합제1호</v>
      </c>
      <c r="H117" s="302" t="str">
        <f>IFERROR(VLOOKUP($O117,종목정보tbl!$A$2:$V$471,$T$2,0),"-")</f>
        <v>-</v>
      </c>
      <c r="I117" s="302" t="str">
        <f>IFERROR(VLOOKUP($O117,종목정보tbl!$A$2:$V$471,$T$3,0),"-")</f>
        <v>-</v>
      </c>
      <c r="J117" s="302" t="str">
        <f>IFERROR(VLOOKUP(VLOOKUP($O117,종목정보tbl!$A$2:$V$471,$T$4,0),종목코드tbl!$A$2:$D$37,2,0),"-")</f>
        <v>-</v>
      </c>
      <c r="K117" s="302" t="str">
        <f>IFERROR(VLOOKUP($O117,종목정보tbl!$A$2:$V$471,$T$5,0),"-")</f>
        <v>-</v>
      </c>
      <c r="L117" s="300"/>
      <c r="M117" s="301" t="str">
        <f>IFERROR(VLOOKUP($O117,종목정보tbl!$A$2:$V$471,$T$6,0),"-")</f>
        <v>-</v>
      </c>
      <c r="N117" s="302" t="str">
        <f>IFERROR(VLOOKUP($O117,종목정보tbl!$A$2:$V$471,$T$7,0),"-")</f>
        <v>-</v>
      </c>
      <c r="O117" s="276" t="str">
        <f t="array" ref="O117">IFERROR(SMALL(IF(종목정보tbl!$B$1:$B$500=2,종목정보tbl!$A$1:$A$500,""),P117),"")</f>
        <v/>
      </c>
      <c r="P117" s="303">
        <v>109</v>
      </c>
    </row>
    <row r="118" spans="2:16" outlineLevel="1">
      <c r="B118" s="300"/>
      <c r="C118" s="301">
        <f t="shared" ca="1" si="1"/>
        <v>45534</v>
      </c>
      <c r="D118" s="300"/>
      <c r="E118" s="300"/>
      <c r="F118" s="684" t="str">
        <f>IF(개요!$C$8="","-",개요!$C$8)</f>
        <v>흥국생명보험(지분증권), 미래컴퍼니</v>
      </c>
      <c r="G118" s="684" t="str">
        <f>IF(개요!$C$7="","-",개요!$C$7)</f>
        <v>포스코KAICI신기술사업투자조합제1호</v>
      </c>
      <c r="H118" s="302" t="str">
        <f>IFERROR(VLOOKUP($O118,종목정보tbl!$A$2:$V$471,$T$2,0),"-")</f>
        <v>-</v>
      </c>
      <c r="I118" s="302" t="str">
        <f>IFERROR(VLOOKUP($O118,종목정보tbl!$A$2:$V$471,$T$3,0),"-")</f>
        <v>-</v>
      </c>
      <c r="J118" s="302" t="str">
        <f>IFERROR(VLOOKUP(VLOOKUP($O118,종목정보tbl!$A$2:$V$471,$T$4,0),종목코드tbl!$A$2:$D$37,2,0),"-")</f>
        <v>-</v>
      </c>
      <c r="K118" s="302" t="str">
        <f>IFERROR(VLOOKUP($O118,종목정보tbl!$A$2:$V$471,$T$5,0),"-")</f>
        <v>-</v>
      </c>
      <c r="L118" s="300"/>
      <c r="M118" s="301" t="str">
        <f>IFERROR(VLOOKUP($O118,종목정보tbl!$A$2:$V$471,$T$6,0),"-")</f>
        <v>-</v>
      </c>
      <c r="N118" s="302" t="str">
        <f>IFERROR(VLOOKUP($O118,종목정보tbl!$A$2:$V$471,$T$7,0),"-")</f>
        <v>-</v>
      </c>
      <c r="O118" s="276" t="str">
        <f t="array" ref="O118">IFERROR(SMALL(IF(종목정보tbl!$B$1:$B$500=2,종목정보tbl!$A$1:$A$500,""),P118),"")</f>
        <v/>
      </c>
      <c r="P118" s="176">
        <v>110</v>
      </c>
    </row>
    <row r="119" spans="2:16" outlineLevel="1">
      <c r="B119" s="300"/>
      <c r="C119" s="301">
        <f t="shared" ca="1" si="1"/>
        <v>45534</v>
      </c>
      <c r="D119" s="300"/>
      <c r="E119" s="300"/>
      <c r="F119" s="684" t="str">
        <f>IF(개요!$C$8="","-",개요!$C$8)</f>
        <v>흥국생명보험(지분증권), 미래컴퍼니</v>
      </c>
      <c r="G119" s="684" t="str">
        <f>IF(개요!$C$7="","-",개요!$C$7)</f>
        <v>포스코KAICI신기술사업투자조합제1호</v>
      </c>
      <c r="H119" s="302" t="str">
        <f>IFERROR(VLOOKUP($O119,종목정보tbl!$A$2:$V$471,$T$2,0),"-")</f>
        <v>-</v>
      </c>
      <c r="I119" s="302" t="str">
        <f>IFERROR(VLOOKUP($O119,종목정보tbl!$A$2:$V$471,$T$3,0),"-")</f>
        <v>-</v>
      </c>
      <c r="J119" s="302" t="str">
        <f>IFERROR(VLOOKUP(VLOOKUP($O119,종목정보tbl!$A$2:$V$471,$T$4,0),종목코드tbl!$A$2:$D$37,2,0),"-")</f>
        <v>-</v>
      </c>
      <c r="K119" s="302" t="str">
        <f>IFERROR(VLOOKUP($O119,종목정보tbl!$A$2:$V$471,$T$5,0),"-")</f>
        <v>-</v>
      </c>
      <c r="L119" s="300"/>
      <c r="M119" s="301" t="str">
        <f>IFERROR(VLOOKUP($O119,종목정보tbl!$A$2:$V$471,$T$6,0),"-")</f>
        <v>-</v>
      </c>
      <c r="N119" s="302" t="str">
        <f>IFERROR(VLOOKUP($O119,종목정보tbl!$A$2:$V$471,$T$7,0),"-")</f>
        <v>-</v>
      </c>
      <c r="O119" s="276" t="str">
        <f t="array" ref="O119">IFERROR(SMALL(IF(종목정보tbl!$B$1:$B$500=2,종목정보tbl!$A$1:$A$500,""),P119),"")</f>
        <v/>
      </c>
      <c r="P119" s="303">
        <v>111</v>
      </c>
    </row>
    <row r="120" spans="2:16" outlineLevel="1">
      <c r="B120" s="300"/>
      <c r="C120" s="301">
        <f t="shared" ca="1" si="1"/>
        <v>45534</v>
      </c>
      <c r="D120" s="300"/>
      <c r="E120" s="300"/>
      <c r="F120" s="684" t="str">
        <f>IF(개요!$C$8="","-",개요!$C$8)</f>
        <v>흥국생명보험(지분증권), 미래컴퍼니</v>
      </c>
      <c r="G120" s="684" t="str">
        <f>IF(개요!$C$7="","-",개요!$C$7)</f>
        <v>포스코KAICI신기술사업투자조합제1호</v>
      </c>
      <c r="H120" s="302" t="str">
        <f>IFERROR(VLOOKUP($O120,종목정보tbl!$A$2:$V$471,$T$2,0),"-")</f>
        <v>-</v>
      </c>
      <c r="I120" s="302" t="str">
        <f>IFERROR(VLOOKUP($O120,종목정보tbl!$A$2:$V$471,$T$3,0),"-")</f>
        <v>-</v>
      </c>
      <c r="J120" s="302" t="str">
        <f>IFERROR(VLOOKUP(VLOOKUP($O120,종목정보tbl!$A$2:$V$471,$T$4,0),종목코드tbl!$A$2:$D$37,2,0),"-")</f>
        <v>-</v>
      </c>
      <c r="K120" s="302" t="str">
        <f>IFERROR(VLOOKUP($O120,종목정보tbl!$A$2:$V$471,$T$5,0),"-")</f>
        <v>-</v>
      </c>
      <c r="L120" s="300"/>
      <c r="M120" s="301" t="str">
        <f>IFERROR(VLOOKUP($O120,종목정보tbl!$A$2:$V$471,$T$6,0),"-")</f>
        <v>-</v>
      </c>
      <c r="N120" s="302" t="str">
        <f>IFERROR(VLOOKUP($O120,종목정보tbl!$A$2:$V$471,$T$7,0),"-")</f>
        <v>-</v>
      </c>
      <c r="O120" s="276" t="str">
        <f t="array" ref="O120">IFERROR(SMALL(IF(종목정보tbl!$B$1:$B$500=2,종목정보tbl!$A$1:$A$500,""),P120),"")</f>
        <v/>
      </c>
      <c r="P120" s="176">
        <v>112</v>
      </c>
    </row>
    <row r="121" spans="2:16" outlineLevel="1">
      <c r="B121" s="300"/>
      <c r="C121" s="301">
        <f t="shared" ca="1" si="1"/>
        <v>45534</v>
      </c>
      <c r="D121" s="300"/>
      <c r="E121" s="300"/>
      <c r="F121" s="684" t="str">
        <f>IF(개요!$C$8="","-",개요!$C$8)</f>
        <v>흥국생명보험(지분증권), 미래컴퍼니</v>
      </c>
      <c r="G121" s="684" t="str">
        <f>IF(개요!$C$7="","-",개요!$C$7)</f>
        <v>포스코KAICI신기술사업투자조합제1호</v>
      </c>
      <c r="H121" s="302" t="str">
        <f>IFERROR(VLOOKUP($O121,종목정보tbl!$A$2:$V$471,$T$2,0),"-")</f>
        <v>-</v>
      </c>
      <c r="I121" s="302" t="str">
        <f>IFERROR(VLOOKUP($O121,종목정보tbl!$A$2:$V$471,$T$3,0),"-")</f>
        <v>-</v>
      </c>
      <c r="J121" s="302" t="str">
        <f>IFERROR(VLOOKUP(VLOOKUP($O121,종목정보tbl!$A$2:$V$471,$T$4,0),종목코드tbl!$A$2:$D$37,2,0),"-")</f>
        <v>-</v>
      </c>
      <c r="K121" s="302" t="str">
        <f>IFERROR(VLOOKUP($O121,종목정보tbl!$A$2:$V$471,$T$5,0),"-")</f>
        <v>-</v>
      </c>
      <c r="L121" s="300"/>
      <c r="M121" s="301" t="str">
        <f>IFERROR(VLOOKUP($O121,종목정보tbl!$A$2:$V$471,$T$6,0),"-")</f>
        <v>-</v>
      </c>
      <c r="N121" s="302" t="str">
        <f>IFERROR(VLOOKUP($O121,종목정보tbl!$A$2:$V$471,$T$7,0),"-")</f>
        <v>-</v>
      </c>
      <c r="O121" s="276" t="str">
        <f t="array" ref="O121">IFERROR(SMALL(IF(종목정보tbl!$B$1:$B$500=2,종목정보tbl!$A$1:$A$500,""),P121),"")</f>
        <v/>
      </c>
      <c r="P121" s="303">
        <v>113</v>
      </c>
    </row>
    <row r="122" spans="2:16" outlineLevel="1">
      <c r="B122" s="300"/>
      <c r="C122" s="301">
        <f t="shared" ca="1" si="1"/>
        <v>45534</v>
      </c>
      <c r="D122" s="300"/>
      <c r="E122" s="300"/>
      <c r="F122" s="684" t="str">
        <f>IF(개요!$C$8="","-",개요!$C$8)</f>
        <v>흥국생명보험(지분증권), 미래컴퍼니</v>
      </c>
      <c r="G122" s="684" t="str">
        <f>IF(개요!$C$7="","-",개요!$C$7)</f>
        <v>포스코KAICI신기술사업투자조합제1호</v>
      </c>
      <c r="H122" s="302" t="str">
        <f>IFERROR(VLOOKUP($O122,종목정보tbl!$A$2:$V$471,$T$2,0),"-")</f>
        <v>-</v>
      </c>
      <c r="I122" s="302" t="str">
        <f>IFERROR(VLOOKUP($O122,종목정보tbl!$A$2:$V$471,$T$3,0),"-")</f>
        <v>-</v>
      </c>
      <c r="J122" s="302" t="str">
        <f>IFERROR(VLOOKUP(VLOOKUP($O122,종목정보tbl!$A$2:$V$471,$T$4,0),종목코드tbl!$A$2:$D$37,2,0),"-")</f>
        <v>-</v>
      </c>
      <c r="K122" s="302" t="str">
        <f>IFERROR(VLOOKUP($O122,종목정보tbl!$A$2:$V$471,$T$5,0),"-")</f>
        <v>-</v>
      </c>
      <c r="L122" s="300"/>
      <c r="M122" s="301" t="str">
        <f>IFERROR(VLOOKUP($O122,종목정보tbl!$A$2:$V$471,$T$6,0),"-")</f>
        <v>-</v>
      </c>
      <c r="N122" s="302" t="str">
        <f>IFERROR(VLOOKUP($O122,종목정보tbl!$A$2:$V$471,$T$7,0),"-")</f>
        <v>-</v>
      </c>
      <c r="O122" s="276" t="str">
        <f t="array" ref="O122">IFERROR(SMALL(IF(종목정보tbl!$B$1:$B$500=2,종목정보tbl!$A$1:$A$500,""),P122),"")</f>
        <v/>
      </c>
      <c r="P122" s="176">
        <v>114</v>
      </c>
    </row>
    <row r="123" spans="2:16" outlineLevel="1">
      <c r="B123" s="300"/>
      <c r="C123" s="301">
        <f t="shared" ca="1" si="1"/>
        <v>45534</v>
      </c>
      <c r="D123" s="300"/>
      <c r="E123" s="300"/>
      <c r="F123" s="684" t="str">
        <f>IF(개요!$C$8="","-",개요!$C$8)</f>
        <v>흥국생명보험(지분증권), 미래컴퍼니</v>
      </c>
      <c r="G123" s="684" t="str">
        <f>IF(개요!$C$7="","-",개요!$C$7)</f>
        <v>포스코KAICI신기술사업투자조합제1호</v>
      </c>
      <c r="H123" s="302" t="str">
        <f>IFERROR(VLOOKUP($O123,종목정보tbl!$A$2:$V$471,$T$2,0),"-")</f>
        <v>-</v>
      </c>
      <c r="I123" s="302" t="str">
        <f>IFERROR(VLOOKUP($O123,종목정보tbl!$A$2:$V$471,$T$3,0),"-")</f>
        <v>-</v>
      </c>
      <c r="J123" s="302" t="str">
        <f>IFERROR(VLOOKUP(VLOOKUP($O123,종목정보tbl!$A$2:$V$471,$T$4,0),종목코드tbl!$A$2:$D$37,2,0),"-")</f>
        <v>-</v>
      </c>
      <c r="K123" s="302" t="str">
        <f>IFERROR(VLOOKUP($O123,종목정보tbl!$A$2:$V$471,$T$5,0),"-")</f>
        <v>-</v>
      </c>
      <c r="L123" s="300"/>
      <c r="M123" s="301" t="str">
        <f>IFERROR(VLOOKUP($O123,종목정보tbl!$A$2:$V$471,$T$6,0),"-")</f>
        <v>-</v>
      </c>
      <c r="N123" s="302" t="str">
        <f>IFERROR(VLOOKUP($O123,종목정보tbl!$A$2:$V$471,$T$7,0),"-")</f>
        <v>-</v>
      </c>
      <c r="O123" s="276" t="str">
        <f t="array" ref="O123">IFERROR(SMALL(IF(종목정보tbl!$B$1:$B$500=2,종목정보tbl!$A$1:$A$500,""),P123),"")</f>
        <v/>
      </c>
      <c r="P123" s="303">
        <v>115</v>
      </c>
    </row>
    <row r="124" spans="2:16" outlineLevel="1">
      <c r="B124" s="300"/>
      <c r="C124" s="301">
        <f t="shared" ca="1" si="1"/>
        <v>45534</v>
      </c>
      <c r="D124" s="300"/>
      <c r="E124" s="300"/>
      <c r="F124" s="684" t="str">
        <f>IF(개요!$C$8="","-",개요!$C$8)</f>
        <v>흥국생명보험(지분증권), 미래컴퍼니</v>
      </c>
      <c r="G124" s="684" t="str">
        <f>IF(개요!$C$7="","-",개요!$C$7)</f>
        <v>포스코KAICI신기술사업투자조합제1호</v>
      </c>
      <c r="H124" s="302" t="str">
        <f>IFERROR(VLOOKUP($O124,종목정보tbl!$A$2:$V$471,$T$2,0),"-")</f>
        <v>-</v>
      </c>
      <c r="I124" s="302" t="str">
        <f>IFERROR(VLOOKUP($O124,종목정보tbl!$A$2:$V$471,$T$3,0),"-")</f>
        <v>-</v>
      </c>
      <c r="J124" s="302" t="str">
        <f>IFERROR(VLOOKUP(VLOOKUP($O124,종목정보tbl!$A$2:$V$471,$T$4,0),종목코드tbl!$A$2:$D$37,2,0),"-")</f>
        <v>-</v>
      </c>
      <c r="K124" s="302" t="str">
        <f>IFERROR(VLOOKUP($O124,종목정보tbl!$A$2:$V$471,$T$5,0),"-")</f>
        <v>-</v>
      </c>
      <c r="L124" s="300"/>
      <c r="M124" s="301" t="str">
        <f>IFERROR(VLOOKUP($O124,종목정보tbl!$A$2:$V$471,$T$6,0),"-")</f>
        <v>-</v>
      </c>
      <c r="N124" s="302" t="str">
        <f>IFERROR(VLOOKUP($O124,종목정보tbl!$A$2:$V$471,$T$7,0),"-")</f>
        <v>-</v>
      </c>
      <c r="O124" s="276" t="str">
        <f t="array" ref="O124">IFERROR(SMALL(IF(종목정보tbl!$B$1:$B$500=2,종목정보tbl!$A$1:$A$500,""),P124),"")</f>
        <v/>
      </c>
      <c r="P124" s="176">
        <v>116</v>
      </c>
    </row>
    <row r="125" spans="2:16" outlineLevel="1">
      <c r="B125" s="300"/>
      <c r="C125" s="301">
        <f t="shared" ca="1" si="1"/>
        <v>45534</v>
      </c>
      <c r="D125" s="300"/>
      <c r="E125" s="300"/>
      <c r="F125" s="684" t="str">
        <f>IF(개요!$C$8="","-",개요!$C$8)</f>
        <v>흥국생명보험(지분증권), 미래컴퍼니</v>
      </c>
      <c r="G125" s="684" t="str">
        <f>IF(개요!$C$7="","-",개요!$C$7)</f>
        <v>포스코KAICI신기술사업투자조합제1호</v>
      </c>
      <c r="H125" s="302" t="str">
        <f>IFERROR(VLOOKUP($O125,종목정보tbl!$A$2:$V$471,$T$2,0),"-")</f>
        <v>-</v>
      </c>
      <c r="I125" s="302" t="str">
        <f>IFERROR(VLOOKUP($O125,종목정보tbl!$A$2:$V$471,$T$3,0),"-")</f>
        <v>-</v>
      </c>
      <c r="J125" s="302" t="str">
        <f>IFERROR(VLOOKUP(VLOOKUP($O125,종목정보tbl!$A$2:$V$471,$T$4,0),종목코드tbl!$A$2:$D$37,2,0),"-")</f>
        <v>-</v>
      </c>
      <c r="K125" s="302" t="str">
        <f>IFERROR(VLOOKUP($O125,종목정보tbl!$A$2:$V$471,$T$5,0),"-")</f>
        <v>-</v>
      </c>
      <c r="L125" s="300"/>
      <c r="M125" s="301" t="str">
        <f>IFERROR(VLOOKUP($O125,종목정보tbl!$A$2:$V$471,$T$6,0),"-")</f>
        <v>-</v>
      </c>
      <c r="N125" s="302" t="str">
        <f>IFERROR(VLOOKUP($O125,종목정보tbl!$A$2:$V$471,$T$7,0),"-")</f>
        <v>-</v>
      </c>
      <c r="O125" s="276" t="str">
        <f t="array" ref="O125">IFERROR(SMALL(IF(종목정보tbl!$B$1:$B$500=2,종목정보tbl!$A$1:$A$500,""),P125),"")</f>
        <v/>
      </c>
      <c r="P125" s="303">
        <v>117</v>
      </c>
    </row>
    <row r="126" spans="2:16" outlineLevel="1">
      <c r="B126" s="300"/>
      <c r="C126" s="301">
        <f t="shared" ca="1" si="1"/>
        <v>45534</v>
      </c>
      <c r="D126" s="300"/>
      <c r="E126" s="300"/>
      <c r="F126" s="684" t="str">
        <f>IF(개요!$C$8="","-",개요!$C$8)</f>
        <v>흥국생명보험(지분증권), 미래컴퍼니</v>
      </c>
      <c r="G126" s="684" t="str">
        <f>IF(개요!$C$7="","-",개요!$C$7)</f>
        <v>포스코KAICI신기술사업투자조합제1호</v>
      </c>
      <c r="H126" s="302" t="str">
        <f>IFERROR(VLOOKUP($O126,종목정보tbl!$A$2:$V$471,$T$2,0),"-")</f>
        <v>-</v>
      </c>
      <c r="I126" s="302" t="str">
        <f>IFERROR(VLOOKUP($O126,종목정보tbl!$A$2:$V$471,$T$3,0),"-")</f>
        <v>-</v>
      </c>
      <c r="J126" s="302" t="str">
        <f>IFERROR(VLOOKUP(VLOOKUP($O126,종목정보tbl!$A$2:$V$471,$T$4,0),종목코드tbl!$A$2:$D$37,2,0),"-")</f>
        <v>-</v>
      </c>
      <c r="K126" s="302" t="str">
        <f>IFERROR(VLOOKUP($O126,종목정보tbl!$A$2:$V$471,$T$5,0),"-")</f>
        <v>-</v>
      </c>
      <c r="L126" s="300"/>
      <c r="M126" s="301" t="str">
        <f>IFERROR(VLOOKUP($O126,종목정보tbl!$A$2:$V$471,$T$6,0),"-")</f>
        <v>-</v>
      </c>
      <c r="N126" s="302" t="str">
        <f>IFERROR(VLOOKUP($O126,종목정보tbl!$A$2:$V$471,$T$7,0),"-")</f>
        <v>-</v>
      </c>
      <c r="O126" s="276" t="str">
        <f t="array" ref="O126">IFERROR(SMALL(IF(종목정보tbl!$B$1:$B$500=2,종목정보tbl!$A$1:$A$500,""),P126),"")</f>
        <v/>
      </c>
      <c r="P126" s="176">
        <v>118</v>
      </c>
    </row>
    <row r="127" spans="2:16" outlineLevel="1">
      <c r="B127" s="300"/>
      <c r="C127" s="301">
        <f t="shared" ca="1" si="1"/>
        <v>45534</v>
      </c>
      <c r="D127" s="300"/>
      <c r="E127" s="300"/>
      <c r="F127" s="684" t="str">
        <f>IF(개요!$C$8="","-",개요!$C$8)</f>
        <v>흥국생명보험(지분증권), 미래컴퍼니</v>
      </c>
      <c r="G127" s="684" t="str">
        <f>IF(개요!$C$7="","-",개요!$C$7)</f>
        <v>포스코KAICI신기술사업투자조합제1호</v>
      </c>
      <c r="H127" s="302" t="str">
        <f>IFERROR(VLOOKUP($O127,종목정보tbl!$A$2:$V$471,$T$2,0),"-")</f>
        <v>-</v>
      </c>
      <c r="I127" s="302" t="str">
        <f>IFERROR(VLOOKUP($O127,종목정보tbl!$A$2:$V$471,$T$3,0),"-")</f>
        <v>-</v>
      </c>
      <c r="J127" s="302" t="str">
        <f>IFERROR(VLOOKUP(VLOOKUP($O127,종목정보tbl!$A$2:$V$471,$T$4,0),종목코드tbl!$A$2:$D$37,2,0),"-")</f>
        <v>-</v>
      </c>
      <c r="K127" s="302" t="str">
        <f>IFERROR(VLOOKUP($O127,종목정보tbl!$A$2:$V$471,$T$5,0),"-")</f>
        <v>-</v>
      </c>
      <c r="L127" s="300"/>
      <c r="M127" s="301" t="str">
        <f>IFERROR(VLOOKUP($O127,종목정보tbl!$A$2:$V$471,$T$6,0),"-")</f>
        <v>-</v>
      </c>
      <c r="N127" s="302" t="str">
        <f>IFERROR(VLOOKUP($O127,종목정보tbl!$A$2:$V$471,$T$7,0),"-")</f>
        <v>-</v>
      </c>
      <c r="O127" s="276" t="str">
        <f t="array" ref="O127">IFERROR(SMALL(IF(종목정보tbl!$B$1:$B$500=2,종목정보tbl!$A$1:$A$500,""),P127),"")</f>
        <v/>
      </c>
      <c r="P127" s="303">
        <v>119</v>
      </c>
    </row>
    <row r="128" spans="2:16" outlineLevel="1">
      <c r="B128" s="300"/>
      <c r="C128" s="301">
        <f t="shared" ca="1" si="1"/>
        <v>45534</v>
      </c>
      <c r="D128" s="300"/>
      <c r="E128" s="300"/>
      <c r="F128" s="684" t="str">
        <f>IF(개요!$C$8="","-",개요!$C$8)</f>
        <v>흥국생명보험(지분증권), 미래컴퍼니</v>
      </c>
      <c r="G128" s="684" t="str">
        <f>IF(개요!$C$7="","-",개요!$C$7)</f>
        <v>포스코KAICI신기술사업투자조합제1호</v>
      </c>
      <c r="H128" s="302" t="str">
        <f>IFERROR(VLOOKUP($O128,종목정보tbl!$A$2:$V$471,$T$2,0),"-")</f>
        <v>-</v>
      </c>
      <c r="I128" s="302" t="str">
        <f>IFERROR(VLOOKUP($O128,종목정보tbl!$A$2:$V$471,$T$3,0),"-")</f>
        <v>-</v>
      </c>
      <c r="J128" s="302" t="str">
        <f>IFERROR(VLOOKUP(VLOOKUP($O128,종목정보tbl!$A$2:$V$471,$T$4,0),종목코드tbl!$A$2:$D$37,2,0),"-")</f>
        <v>-</v>
      </c>
      <c r="K128" s="302" t="str">
        <f>IFERROR(VLOOKUP($O128,종목정보tbl!$A$2:$V$471,$T$5,0),"-")</f>
        <v>-</v>
      </c>
      <c r="L128" s="300"/>
      <c r="M128" s="301" t="str">
        <f>IFERROR(VLOOKUP($O128,종목정보tbl!$A$2:$V$471,$T$6,0),"-")</f>
        <v>-</v>
      </c>
      <c r="N128" s="302" t="str">
        <f>IFERROR(VLOOKUP($O128,종목정보tbl!$A$2:$V$471,$T$7,0),"-")</f>
        <v>-</v>
      </c>
      <c r="O128" s="276" t="str">
        <f t="array" ref="O128">IFERROR(SMALL(IF(종목정보tbl!$B$1:$B$500=2,종목정보tbl!$A$1:$A$500,""),P128),"")</f>
        <v/>
      </c>
      <c r="P128" s="176">
        <v>120</v>
      </c>
    </row>
    <row r="129" spans="2:16" outlineLevel="1">
      <c r="B129" s="300"/>
      <c r="C129" s="301">
        <f t="shared" ca="1" si="1"/>
        <v>45534</v>
      </c>
      <c r="D129" s="300"/>
      <c r="E129" s="300"/>
      <c r="F129" s="684" t="str">
        <f>IF(개요!$C$8="","-",개요!$C$8)</f>
        <v>흥국생명보험(지분증권), 미래컴퍼니</v>
      </c>
      <c r="G129" s="684" t="str">
        <f>IF(개요!$C$7="","-",개요!$C$7)</f>
        <v>포스코KAICI신기술사업투자조합제1호</v>
      </c>
      <c r="H129" s="302" t="str">
        <f>IFERROR(VLOOKUP($O129,종목정보tbl!$A$2:$V$471,$T$2,0),"-")</f>
        <v>-</v>
      </c>
      <c r="I129" s="302" t="str">
        <f>IFERROR(VLOOKUP($O129,종목정보tbl!$A$2:$V$471,$T$3,0),"-")</f>
        <v>-</v>
      </c>
      <c r="J129" s="302" t="str">
        <f>IFERROR(VLOOKUP(VLOOKUP($O129,종목정보tbl!$A$2:$V$471,$T$4,0),종목코드tbl!$A$2:$D$37,2,0),"-")</f>
        <v>-</v>
      </c>
      <c r="K129" s="302" t="str">
        <f>IFERROR(VLOOKUP($O129,종목정보tbl!$A$2:$V$471,$T$5,0),"-")</f>
        <v>-</v>
      </c>
      <c r="L129" s="300"/>
      <c r="M129" s="301" t="str">
        <f>IFERROR(VLOOKUP($O129,종목정보tbl!$A$2:$V$471,$T$6,0),"-")</f>
        <v>-</v>
      </c>
      <c r="N129" s="302" t="str">
        <f>IFERROR(VLOOKUP($O129,종목정보tbl!$A$2:$V$471,$T$7,0),"-")</f>
        <v>-</v>
      </c>
      <c r="O129" s="276" t="str">
        <f t="array" ref="O129">IFERROR(SMALL(IF(종목정보tbl!$B$1:$B$500=2,종목정보tbl!$A$1:$A$500,""),P129),"")</f>
        <v/>
      </c>
      <c r="P129" s="303">
        <v>121</v>
      </c>
    </row>
    <row r="130" spans="2:16" outlineLevel="1">
      <c r="B130" s="300"/>
      <c r="C130" s="301">
        <f t="shared" ca="1" si="1"/>
        <v>45534</v>
      </c>
      <c r="D130" s="300"/>
      <c r="E130" s="300"/>
      <c r="F130" s="684" t="str">
        <f>IF(개요!$C$8="","-",개요!$C$8)</f>
        <v>흥국생명보험(지분증권), 미래컴퍼니</v>
      </c>
      <c r="G130" s="684" t="str">
        <f>IF(개요!$C$7="","-",개요!$C$7)</f>
        <v>포스코KAICI신기술사업투자조합제1호</v>
      </c>
      <c r="H130" s="302" t="str">
        <f>IFERROR(VLOOKUP($O130,종목정보tbl!$A$2:$V$471,$T$2,0),"-")</f>
        <v>-</v>
      </c>
      <c r="I130" s="302" t="str">
        <f>IFERROR(VLOOKUP($O130,종목정보tbl!$A$2:$V$471,$T$3,0),"-")</f>
        <v>-</v>
      </c>
      <c r="J130" s="302" t="str">
        <f>IFERROR(VLOOKUP(VLOOKUP($O130,종목정보tbl!$A$2:$V$471,$T$4,0),종목코드tbl!$A$2:$D$37,2,0),"-")</f>
        <v>-</v>
      </c>
      <c r="K130" s="302" t="str">
        <f>IFERROR(VLOOKUP($O130,종목정보tbl!$A$2:$V$471,$T$5,0),"-")</f>
        <v>-</v>
      </c>
      <c r="L130" s="300"/>
      <c r="M130" s="301" t="str">
        <f>IFERROR(VLOOKUP($O130,종목정보tbl!$A$2:$V$471,$T$6,0),"-")</f>
        <v>-</v>
      </c>
      <c r="N130" s="302" t="str">
        <f>IFERROR(VLOOKUP($O130,종목정보tbl!$A$2:$V$471,$T$7,0),"-")</f>
        <v>-</v>
      </c>
      <c r="O130" s="276" t="str">
        <f t="array" ref="O130">IFERROR(SMALL(IF(종목정보tbl!$B$1:$B$500=2,종목정보tbl!$A$1:$A$500,""),P130),"")</f>
        <v/>
      </c>
      <c r="P130" s="176">
        <v>122</v>
      </c>
    </row>
    <row r="131" spans="2:16" outlineLevel="1">
      <c r="B131" s="300"/>
      <c r="C131" s="301">
        <f t="shared" ca="1" si="1"/>
        <v>45534</v>
      </c>
      <c r="D131" s="300"/>
      <c r="E131" s="300"/>
      <c r="F131" s="684" t="str">
        <f>IF(개요!$C$8="","-",개요!$C$8)</f>
        <v>흥국생명보험(지분증권), 미래컴퍼니</v>
      </c>
      <c r="G131" s="684" t="str">
        <f>IF(개요!$C$7="","-",개요!$C$7)</f>
        <v>포스코KAICI신기술사업투자조합제1호</v>
      </c>
      <c r="H131" s="302" t="str">
        <f>IFERROR(VLOOKUP($O131,종목정보tbl!$A$2:$V$471,$T$2,0),"-")</f>
        <v>-</v>
      </c>
      <c r="I131" s="302" t="str">
        <f>IFERROR(VLOOKUP($O131,종목정보tbl!$A$2:$V$471,$T$3,0),"-")</f>
        <v>-</v>
      </c>
      <c r="J131" s="302" t="str">
        <f>IFERROR(VLOOKUP(VLOOKUP($O131,종목정보tbl!$A$2:$V$471,$T$4,0),종목코드tbl!$A$2:$D$37,2,0),"-")</f>
        <v>-</v>
      </c>
      <c r="K131" s="302" t="str">
        <f>IFERROR(VLOOKUP($O131,종목정보tbl!$A$2:$V$471,$T$5,0),"-")</f>
        <v>-</v>
      </c>
      <c r="L131" s="300"/>
      <c r="M131" s="301" t="str">
        <f>IFERROR(VLOOKUP($O131,종목정보tbl!$A$2:$V$471,$T$6,0),"-")</f>
        <v>-</v>
      </c>
      <c r="N131" s="302" t="str">
        <f>IFERROR(VLOOKUP($O131,종목정보tbl!$A$2:$V$471,$T$7,0),"-")</f>
        <v>-</v>
      </c>
      <c r="O131" s="276" t="str">
        <f t="array" ref="O131">IFERROR(SMALL(IF(종목정보tbl!$B$1:$B$500=2,종목정보tbl!$A$1:$A$500,""),P131),"")</f>
        <v/>
      </c>
      <c r="P131" s="303">
        <v>123</v>
      </c>
    </row>
    <row r="132" spans="2:16" outlineLevel="1">
      <c r="B132" s="300"/>
      <c r="C132" s="301">
        <f t="shared" ca="1" si="1"/>
        <v>45534</v>
      </c>
      <c r="D132" s="300"/>
      <c r="E132" s="300"/>
      <c r="F132" s="684" t="str">
        <f>IF(개요!$C$8="","-",개요!$C$8)</f>
        <v>흥국생명보험(지분증권), 미래컴퍼니</v>
      </c>
      <c r="G132" s="684" t="str">
        <f>IF(개요!$C$7="","-",개요!$C$7)</f>
        <v>포스코KAICI신기술사업투자조합제1호</v>
      </c>
      <c r="H132" s="302" t="str">
        <f>IFERROR(VLOOKUP($O132,종목정보tbl!$A$2:$V$471,$T$2,0),"-")</f>
        <v>-</v>
      </c>
      <c r="I132" s="302" t="str">
        <f>IFERROR(VLOOKUP($O132,종목정보tbl!$A$2:$V$471,$T$3,0),"-")</f>
        <v>-</v>
      </c>
      <c r="J132" s="302" t="str">
        <f>IFERROR(VLOOKUP(VLOOKUP($O132,종목정보tbl!$A$2:$V$471,$T$4,0),종목코드tbl!$A$2:$D$37,2,0),"-")</f>
        <v>-</v>
      </c>
      <c r="K132" s="302" t="str">
        <f>IFERROR(VLOOKUP($O132,종목정보tbl!$A$2:$V$471,$T$5,0),"-")</f>
        <v>-</v>
      </c>
      <c r="L132" s="300"/>
      <c r="M132" s="301" t="str">
        <f>IFERROR(VLOOKUP($O132,종목정보tbl!$A$2:$V$471,$T$6,0),"-")</f>
        <v>-</v>
      </c>
      <c r="N132" s="302" t="str">
        <f>IFERROR(VLOOKUP($O132,종목정보tbl!$A$2:$V$471,$T$7,0),"-")</f>
        <v>-</v>
      </c>
      <c r="O132" s="276" t="str">
        <f t="array" ref="O132">IFERROR(SMALL(IF(종목정보tbl!$B$1:$B$500=2,종목정보tbl!$A$1:$A$500,""),P132),"")</f>
        <v/>
      </c>
      <c r="P132" s="176">
        <v>124</v>
      </c>
    </row>
    <row r="133" spans="2:16" outlineLevel="1">
      <c r="B133" s="300"/>
      <c r="C133" s="301">
        <f t="shared" ca="1" si="1"/>
        <v>45534</v>
      </c>
      <c r="D133" s="300"/>
      <c r="E133" s="300"/>
      <c r="F133" s="684" t="str">
        <f>IF(개요!$C$8="","-",개요!$C$8)</f>
        <v>흥국생명보험(지분증권), 미래컴퍼니</v>
      </c>
      <c r="G133" s="684" t="str">
        <f>IF(개요!$C$7="","-",개요!$C$7)</f>
        <v>포스코KAICI신기술사업투자조합제1호</v>
      </c>
      <c r="H133" s="302" t="str">
        <f>IFERROR(VLOOKUP($O133,종목정보tbl!$A$2:$V$471,$T$2,0),"-")</f>
        <v>-</v>
      </c>
      <c r="I133" s="302" t="str">
        <f>IFERROR(VLOOKUP($O133,종목정보tbl!$A$2:$V$471,$T$3,0),"-")</f>
        <v>-</v>
      </c>
      <c r="J133" s="302" t="str">
        <f>IFERROR(VLOOKUP(VLOOKUP($O133,종목정보tbl!$A$2:$V$471,$T$4,0),종목코드tbl!$A$2:$D$37,2,0),"-")</f>
        <v>-</v>
      </c>
      <c r="K133" s="302" t="str">
        <f>IFERROR(VLOOKUP($O133,종목정보tbl!$A$2:$V$471,$T$5,0),"-")</f>
        <v>-</v>
      </c>
      <c r="L133" s="300"/>
      <c r="M133" s="301" t="str">
        <f>IFERROR(VLOOKUP($O133,종목정보tbl!$A$2:$V$471,$T$6,0),"-")</f>
        <v>-</v>
      </c>
      <c r="N133" s="302" t="str">
        <f>IFERROR(VLOOKUP($O133,종목정보tbl!$A$2:$V$471,$T$7,0),"-")</f>
        <v>-</v>
      </c>
      <c r="O133" s="276" t="str">
        <f t="array" ref="O133">IFERROR(SMALL(IF(종목정보tbl!$B$1:$B$500=2,종목정보tbl!$A$1:$A$500,""),P133),"")</f>
        <v/>
      </c>
      <c r="P133" s="303">
        <v>125</v>
      </c>
    </row>
    <row r="134" spans="2:16" outlineLevel="1">
      <c r="B134" s="300"/>
      <c r="C134" s="301">
        <f t="shared" ca="1" si="1"/>
        <v>45534</v>
      </c>
      <c r="D134" s="300"/>
      <c r="E134" s="300"/>
      <c r="F134" s="684" t="str">
        <f>IF(개요!$C$8="","-",개요!$C$8)</f>
        <v>흥국생명보험(지분증권), 미래컴퍼니</v>
      </c>
      <c r="G134" s="684" t="str">
        <f>IF(개요!$C$7="","-",개요!$C$7)</f>
        <v>포스코KAICI신기술사업투자조합제1호</v>
      </c>
      <c r="H134" s="302" t="str">
        <f>IFERROR(VLOOKUP($O134,종목정보tbl!$A$2:$V$471,$T$2,0),"-")</f>
        <v>-</v>
      </c>
      <c r="I134" s="302" t="str">
        <f>IFERROR(VLOOKUP($O134,종목정보tbl!$A$2:$V$471,$T$3,0),"-")</f>
        <v>-</v>
      </c>
      <c r="J134" s="302" t="str">
        <f>IFERROR(VLOOKUP(VLOOKUP($O134,종목정보tbl!$A$2:$V$471,$T$4,0),종목코드tbl!$A$2:$D$37,2,0),"-")</f>
        <v>-</v>
      </c>
      <c r="K134" s="302" t="str">
        <f>IFERROR(VLOOKUP($O134,종목정보tbl!$A$2:$V$471,$T$5,0),"-")</f>
        <v>-</v>
      </c>
      <c r="L134" s="300"/>
      <c r="M134" s="301" t="str">
        <f>IFERROR(VLOOKUP($O134,종목정보tbl!$A$2:$V$471,$T$6,0),"-")</f>
        <v>-</v>
      </c>
      <c r="N134" s="302" t="str">
        <f>IFERROR(VLOOKUP($O134,종목정보tbl!$A$2:$V$471,$T$7,0),"-")</f>
        <v>-</v>
      </c>
      <c r="O134" s="276" t="str">
        <f t="array" ref="O134">IFERROR(SMALL(IF(종목정보tbl!$B$1:$B$500=2,종목정보tbl!$A$1:$A$500,""),P134),"")</f>
        <v/>
      </c>
      <c r="P134" s="176">
        <v>126</v>
      </c>
    </row>
    <row r="135" spans="2:16" outlineLevel="1">
      <c r="B135" s="300"/>
      <c r="C135" s="301">
        <f t="shared" ca="1" si="1"/>
        <v>45534</v>
      </c>
      <c r="D135" s="300"/>
      <c r="E135" s="300"/>
      <c r="F135" s="684" t="str">
        <f>IF(개요!$C$8="","-",개요!$C$8)</f>
        <v>흥국생명보험(지분증권), 미래컴퍼니</v>
      </c>
      <c r="G135" s="684" t="str">
        <f>IF(개요!$C$7="","-",개요!$C$7)</f>
        <v>포스코KAICI신기술사업투자조합제1호</v>
      </c>
      <c r="H135" s="302" t="str">
        <f>IFERROR(VLOOKUP($O135,종목정보tbl!$A$2:$V$471,$T$2,0),"-")</f>
        <v>-</v>
      </c>
      <c r="I135" s="302" t="str">
        <f>IFERROR(VLOOKUP($O135,종목정보tbl!$A$2:$V$471,$T$3,0),"-")</f>
        <v>-</v>
      </c>
      <c r="J135" s="302" t="str">
        <f>IFERROR(VLOOKUP(VLOOKUP($O135,종목정보tbl!$A$2:$V$471,$T$4,0),종목코드tbl!$A$2:$D$37,2,0),"-")</f>
        <v>-</v>
      </c>
      <c r="K135" s="302" t="str">
        <f>IFERROR(VLOOKUP($O135,종목정보tbl!$A$2:$V$471,$T$5,0),"-")</f>
        <v>-</v>
      </c>
      <c r="L135" s="300"/>
      <c r="M135" s="301" t="str">
        <f>IFERROR(VLOOKUP($O135,종목정보tbl!$A$2:$V$471,$T$6,0),"-")</f>
        <v>-</v>
      </c>
      <c r="N135" s="302" t="str">
        <f>IFERROR(VLOOKUP($O135,종목정보tbl!$A$2:$V$471,$T$7,0),"-")</f>
        <v>-</v>
      </c>
      <c r="O135" s="276" t="str">
        <f t="array" ref="O135">IFERROR(SMALL(IF(종목정보tbl!$B$1:$B$500=2,종목정보tbl!$A$1:$A$500,""),P135),"")</f>
        <v/>
      </c>
      <c r="P135" s="303">
        <v>127</v>
      </c>
    </row>
    <row r="136" spans="2:16" outlineLevel="1">
      <c r="B136" s="300"/>
      <c r="C136" s="301">
        <f t="shared" ca="1" si="1"/>
        <v>45534</v>
      </c>
      <c r="D136" s="300"/>
      <c r="E136" s="300"/>
      <c r="F136" s="684" t="str">
        <f>IF(개요!$C$8="","-",개요!$C$8)</f>
        <v>흥국생명보험(지분증권), 미래컴퍼니</v>
      </c>
      <c r="G136" s="684" t="str">
        <f>IF(개요!$C$7="","-",개요!$C$7)</f>
        <v>포스코KAICI신기술사업투자조합제1호</v>
      </c>
      <c r="H136" s="302" t="str">
        <f>IFERROR(VLOOKUP($O136,종목정보tbl!$A$2:$V$471,$T$2,0),"-")</f>
        <v>-</v>
      </c>
      <c r="I136" s="302" t="str">
        <f>IFERROR(VLOOKUP($O136,종목정보tbl!$A$2:$V$471,$T$3,0),"-")</f>
        <v>-</v>
      </c>
      <c r="J136" s="302" t="str">
        <f>IFERROR(VLOOKUP(VLOOKUP($O136,종목정보tbl!$A$2:$V$471,$T$4,0),종목코드tbl!$A$2:$D$37,2,0),"-")</f>
        <v>-</v>
      </c>
      <c r="K136" s="302" t="str">
        <f>IFERROR(VLOOKUP($O136,종목정보tbl!$A$2:$V$471,$T$5,0),"-")</f>
        <v>-</v>
      </c>
      <c r="L136" s="300"/>
      <c r="M136" s="301" t="str">
        <f>IFERROR(VLOOKUP($O136,종목정보tbl!$A$2:$V$471,$T$6,0),"-")</f>
        <v>-</v>
      </c>
      <c r="N136" s="302" t="str">
        <f>IFERROR(VLOOKUP($O136,종목정보tbl!$A$2:$V$471,$T$7,0),"-")</f>
        <v>-</v>
      </c>
      <c r="O136" s="276" t="str">
        <f t="array" ref="O136">IFERROR(SMALL(IF(종목정보tbl!$B$1:$B$500=2,종목정보tbl!$A$1:$A$500,""),P136),"")</f>
        <v/>
      </c>
      <c r="P136" s="176">
        <v>128</v>
      </c>
    </row>
    <row r="137" spans="2:16" outlineLevel="1">
      <c r="B137" s="300"/>
      <c r="C137" s="301">
        <f t="shared" ca="1" si="1"/>
        <v>45534</v>
      </c>
      <c r="D137" s="300"/>
      <c r="E137" s="300"/>
      <c r="F137" s="684" t="str">
        <f>IF(개요!$C$8="","-",개요!$C$8)</f>
        <v>흥국생명보험(지분증권), 미래컴퍼니</v>
      </c>
      <c r="G137" s="684" t="str">
        <f>IF(개요!$C$7="","-",개요!$C$7)</f>
        <v>포스코KAICI신기술사업투자조합제1호</v>
      </c>
      <c r="H137" s="302" t="str">
        <f>IFERROR(VLOOKUP($O137,종목정보tbl!$A$2:$V$471,$T$2,0),"-")</f>
        <v>-</v>
      </c>
      <c r="I137" s="302" t="str">
        <f>IFERROR(VLOOKUP($O137,종목정보tbl!$A$2:$V$471,$T$3,0),"-")</f>
        <v>-</v>
      </c>
      <c r="J137" s="302" t="str">
        <f>IFERROR(VLOOKUP(VLOOKUP($O137,종목정보tbl!$A$2:$V$471,$T$4,0),종목코드tbl!$A$2:$D$37,2,0),"-")</f>
        <v>-</v>
      </c>
      <c r="K137" s="302" t="str">
        <f>IFERROR(VLOOKUP($O137,종목정보tbl!$A$2:$V$471,$T$5,0),"-")</f>
        <v>-</v>
      </c>
      <c r="L137" s="300"/>
      <c r="M137" s="301" t="str">
        <f>IFERROR(VLOOKUP($O137,종목정보tbl!$A$2:$V$471,$T$6,0),"-")</f>
        <v>-</v>
      </c>
      <c r="N137" s="302" t="str">
        <f>IFERROR(VLOOKUP($O137,종목정보tbl!$A$2:$V$471,$T$7,0),"-")</f>
        <v>-</v>
      </c>
      <c r="O137" s="276" t="str">
        <f t="array" ref="O137">IFERROR(SMALL(IF(종목정보tbl!$B$1:$B$500=2,종목정보tbl!$A$1:$A$500,""),P137),"")</f>
        <v/>
      </c>
      <c r="P137" s="303">
        <v>129</v>
      </c>
    </row>
    <row r="138" spans="2:16" outlineLevel="1">
      <c r="B138" s="300"/>
      <c r="C138" s="301">
        <f t="shared" ref="C138:C202" ca="1" si="2">TODAY()</f>
        <v>45534</v>
      </c>
      <c r="D138" s="300"/>
      <c r="E138" s="300"/>
      <c r="F138" s="684" t="str">
        <f>IF(개요!$C$8="","-",개요!$C$8)</f>
        <v>흥국생명보험(지분증권), 미래컴퍼니</v>
      </c>
      <c r="G138" s="684" t="str">
        <f>IF(개요!$C$7="","-",개요!$C$7)</f>
        <v>포스코KAICI신기술사업투자조합제1호</v>
      </c>
      <c r="H138" s="302" t="str">
        <f>IFERROR(VLOOKUP($O138,종목정보tbl!$A$2:$V$471,$T$2,0),"-")</f>
        <v>-</v>
      </c>
      <c r="I138" s="302" t="str">
        <f>IFERROR(VLOOKUP($O138,종목정보tbl!$A$2:$V$471,$T$3,0),"-")</f>
        <v>-</v>
      </c>
      <c r="J138" s="302" t="str">
        <f>IFERROR(VLOOKUP(VLOOKUP($O138,종목정보tbl!$A$2:$V$471,$T$4,0),종목코드tbl!$A$2:$D$37,2,0),"-")</f>
        <v>-</v>
      </c>
      <c r="K138" s="302" t="str">
        <f>IFERROR(VLOOKUP($O138,종목정보tbl!$A$2:$V$471,$T$5,0),"-")</f>
        <v>-</v>
      </c>
      <c r="L138" s="300"/>
      <c r="M138" s="301" t="str">
        <f>IFERROR(VLOOKUP($O138,종목정보tbl!$A$2:$V$471,$T$6,0),"-")</f>
        <v>-</v>
      </c>
      <c r="N138" s="302" t="str">
        <f>IFERROR(VLOOKUP($O138,종목정보tbl!$A$2:$V$471,$T$7,0),"-")</f>
        <v>-</v>
      </c>
      <c r="O138" s="276" t="str">
        <f t="array" ref="O138">IFERROR(SMALL(IF(종목정보tbl!$B$1:$B$500=2,종목정보tbl!$A$1:$A$500,""),P138),"")</f>
        <v/>
      </c>
      <c r="P138" s="176">
        <v>130</v>
      </c>
    </row>
    <row r="139" spans="2:16" outlineLevel="1">
      <c r="B139" s="300"/>
      <c r="C139" s="301">
        <f t="shared" ca="1" si="2"/>
        <v>45534</v>
      </c>
      <c r="D139" s="300"/>
      <c r="E139" s="300"/>
      <c r="F139" s="684" t="str">
        <f>IF(개요!$C$8="","-",개요!$C$8)</f>
        <v>흥국생명보험(지분증권), 미래컴퍼니</v>
      </c>
      <c r="G139" s="684" t="str">
        <f>IF(개요!$C$7="","-",개요!$C$7)</f>
        <v>포스코KAICI신기술사업투자조합제1호</v>
      </c>
      <c r="H139" s="302" t="str">
        <f>IFERROR(VLOOKUP($O139,종목정보tbl!$A$2:$V$471,$T$2,0),"-")</f>
        <v>-</v>
      </c>
      <c r="I139" s="302" t="str">
        <f>IFERROR(VLOOKUP($O139,종목정보tbl!$A$2:$V$471,$T$3,0),"-")</f>
        <v>-</v>
      </c>
      <c r="J139" s="302" t="str">
        <f>IFERROR(VLOOKUP(VLOOKUP($O139,종목정보tbl!$A$2:$V$471,$T$4,0),종목코드tbl!$A$2:$D$37,2,0),"-")</f>
        <v>-</v>
      </c>
      <c r="K139" s="302" t="str">
        <f>IFERROR(VLOOKUP($O139,종목정보tbl!$A$2:$V$471,$T$5,0),"-")</f>
        <v>-</v>
      </c>
      <c r="L139" s="300"/>
      <c r="M139" s="301" t="str">
        <f>IFERROR(VLOOKUP($O139,종목정보tbl!$A$2:$V$471,$T$6,0),"-")</f>
        <v>-</v>
      </c>
      <c r="N139" s="302" t="str">
        <f>IFERROR(VLOOKUP($O139,종목정보tbl!$A$2:$V$471,$T$7,0),"-")</f>
        <v>-</v>
      </c>
      <c r="O139" s="276" t="str">
        <f t="array" ref="O139">IFERROR(SMALL(IF(종목정보tbl!$B$1:$B$500=2,종목정보tbl!$A$1:$A$500,""),P139),"")</f>
        <v/>
      </c>
      <c r="P139" s="303">
        <v>131</v>
      </c>
    </row>
    <row r="140" spans="2:16" outlineLevel="1">
      <c r="B140" s="300"/>
      <c r="C140" s="301">
        <f t="shared" ca="1" si="2"/>
        <v>45534</v>
      </c>
      <c r="D140" s="300"/>
      <c r="E140" s="300"/>
      <c r="F140" s="684" t="str">
        <f>IF(개요!$C$8="","-",개요!$C$8)</f>
        <v>흥국생명보험(지분증권), 미래컴퍼니</v>
      </c>
      <c r="G140" s="684" t="str">
        <f>IF(개요!$C$7="","-",개요!$C$7)</f>
        <v>포스코KAICI신기술사업투자조합제1호</v>
      </c>
      <c r="H140" s="302" t="str">
        <f>IFERROR(VLOOKUP($O140,종목정보tbl!$A$2:$V$471,$T$2,0),"-")</f>
        <v>-</v>
      </c>
      <c r="I140" s="302" t="str">
        <f>IFERROR(VLOOKUP($O140,종목정보tbl!$A$2:$V$471,$T$3,0),"-")</f>
        <v>-</v>
      </c>
      <c r="J140" s="302" t="str">
        <f>IFERROR(VLOOKUP(VLOOKUP($O140,종목정보tbl!$A$2:$V$471,$T$4,0),종목코드tbl!$A$2:$D$37,2,0),"-")</f>
        <v>-</v>
      </c>
      <c r="K140" s="302" t="str">
        <f>IFERROR(VLOOKUP($O140,종목정보tbl!$A$2:$V$471,$T$5,0),"-")</f>
        <v>-</v>
      </c>
      <c r="L140" s="300"/>
      <c r="M140" s="301" t="str">
        <f>IFERROR(VLOOKUP($O140,종목정보tbl!$A$2:$V$471,$T$6,0),"-")</f>
        <v>-</v>
      </c>
      <c r="N140" s="302" t="str">
        <f>IFERROR(VLOOKUP($O140,종목정보tbl!$A$2:$V$471,$T$7,0),"-")</f>
        <v>-</v>
      </c>
      <c r="O140" s="276" t="str">
        <f t="array" ref="O140">IFERROR(SMALL(IF(종목정보tbl!$B$1:$B$500=2,종목정보tbl!$A$1:$A$500,""),P140),"")</f>
        <v/>
      </c>
      <c r="P140" s="176">
        <v>132</v>
      </c>
    </row>
    <row r="141" spans="2:16" outlineLevel="1">
      <c r="B141" s="300"/>
      <c r="C141" s="301">
        <f t="shared" ca="1" si="2"/>
        <v>45534</v>
      </c>
      <c r="D141" s="300"/>
      <c r="E141" s="300"/>
      <c r="F141" s="684" t="str">
        <f>IF(개요!$C$8="","-",개요!$C$8)</f>
        <v>흥국생명보험(지분증권), 미래컴퍼니</v>
      </c>
      <c r="G141" s="684" t="str">
        <f>IF(개요!$C$7="","-",개요!$C$7)</f>
        <v>포스코KAICI신기술사업투자조합제1호</v>
      </c>
      <c r="H141" s="302" t="str">
        <f>IFERROR(VLOOKUP($O141,종목정보tbl!$A$2:$V$471,$T$2,0),"-")</f>
        <v>-</v>
      </c>
      <c r="I141" s="302" t="str">
        <f>IFERROR(VLOOKUP($O141,종목정보tbl!$A$2:$V$471,$T$3,0),"-")</f>
        <v>-</v>
      </c>
      <c r="J141" s="302" t="str">
        <f>IFERROR(VLOOKUP(VLOOKUP($O141,종목정보tbl!$A$2:$V$471,$T$4,0),종목코드tbl!$A$2:$D$37,2,0),"-")</f>
        <v>-</v>
      </c>
      <c r="K141" s="302" t="str">
        <f>IFERROR(VLOOKUP($O141,종목정보tbl!$A$2:$V$471,$T$5,0),"-")</f>
        <v>-</v>
      </c>
      <c r="L141" s="300"/>
      <c r="M141" s="301" t="str">
        <f>IFERROR(VLOOKUP($O141,종목정보tbl!$A$2:$V$471,$T$6,0),"-")</f>
        <v>-</v>
      </c>
      <c r="N141" s="302" t="str">
        <f>IFERROR(VLOOKUP($O141,종목정보tbl!$A$2:$V$471,$T$7,0),"-")</f>
        <v>-</v>
      </c>
      <c r="O141" s="276" t="str">
        <f t="array" ref="O141">IFERROR(SMALL(IF(종목정보tbl!$B$1:$B$500=2,종목정보tbl!$A$1:$A$500,""),P141),"")</f>
        <v/>
      </c>
      <c r="P141" s="303">
        <v>133</v>
      </c>
    </row>
    <row r="142" spans="2:16" outlineLevel="1">
      <c r="B142" s="300"/>
      <c r="C142" s="301">
        <f t="shared" ca="1" si="2"/>
        <v>45534</v>
      </c>
      <c r="D142" s="300"/>
      <c r="E142" s="300"/>
      <c r="F142" s="684" t="str">
        <f>IF(개요!$C$8="","-",개요!$C$8)</f>
        <v>흥국생명보험(지분증권), 미래컴퍼니</v>
      </c>
      <c r="G142" s="684" t="str">
        <f>IF(개요!$C$7="","-",개요!$C$7)</f>
        <v>포스코KAICI신기술사업투자조합제1호</v>
      </c>
      <c r="H142" s="302" t="str">
        <f>IFERROR(VLOOKUP($O142,종목정보tbl!$A$2:$V$471,$T$2,0),"-")</f>
        <v>-</v>
      </c>
      <c r="I142" s="302" t="str">
        <f>IFERROR(VLOOKUP($O142,종목정보tbl!$A$2:$V$471,$T$3,0),"-")</f>
        <v>-</v>
      </c>
      <c r="J142" s="302" t="str">
        <f>IFERROR(VLOOKUP(VLOOKUP($O142,종목정보tbl!$A$2:$V$471,$T$4,0),종목코드tbl!$A$2:$D$37,2,0),"-")</f>
        <v>-</v>
      </c>
      <c r="K142" s="302" t="str">
        <f>IFERROR(VLOOKUP($O142,종목정보tbl!$A$2:$V$471,$T$5,0),"-")</f>
        <v>-</v>
      </c>
      <c r="L142" s="300"/>
      <c r="M142" s="301" t="str">
        <f>IFERROR(VLOOKUP($O142,종목정보tbl!$A$2:$V$471,$T$6,0),"-")</f>
        <v>-</v>
      </c>
      <c r="N142" s="302" t="str">
        <f>IFERROR(VLOOKUP($O142,종목정보tbl!$A$2:$V$471,$T$7,0),"-")</f>
        <v>-</v>
      </c>
      <c r="O142" s="276" t="str">
        <f t="array" ref="O142">IFERROR(SMALL(IF(종목정보tbl!$B$1:$B$500=2,종목정보tbl!$A$1:$A$500,""),P142),"")</f>
        <v/>
      </c>
      <c r="P142" s="176">
        <v>134</v>
      </c>
    </row>
    <row r="143" spans="2:16" outlineLevel="1">
      <c r="B143" s="300"/>
      <c r="C143" s="301">
        <f t="shared" ca="1" si="2"/>
        <v>45534</v>
      </c>
      <c r="D143" s="300"/>
      <c r="E143" s="300"/>
      <c r="F143" s="684" t="str">
        <f>IF(개요!$C$8="","-",개요!$C$8)</f>
        <v>흥국생명보험(지분증권), 미래컴퍼니</v>
      </c>
      <c r="G143" s="684" t="str">
        <f>IF(개요!$C$7="","-",개요!$C$7)</f>
        <v>포스코KAICI신기술사업투자조합제1호</v>
      </c>
      <c r="H143" s="302" t="str">
        <f>IFERROR(VLOOKUP($O143,종목정보tbl!$A$2:$V$471,$T$2,0),"-")</f>
        <v>-</v>
      </c>
      <c r="I143" s="302" t="str">
        <f>IFERROR(VLOOKUP($O143,종목정보tbl!$A$2:$V$471,$T$3,0),"-")</f>
        <v>-</v>
      </c>
      <c r="J143" s="302" t="str">
        <f>IFERROR(VLOOKUP(VLOOKUP($O143,종목정보tbl!$A$2:$V$471,$T$4,0),종목코드tbl!$A$2:$D$37,2,0),"-")</f>
        <v>-</v>
      </c>
      <c r="K143" s="302" t="str">
        <f>IFERROR(VLOOKUP($O143,종목정보tbl!$A$2:$V$471,$T$5,0),"-")</f>
        <v>-</v>
      </c>
      <c r="L143" s="300"/>
      <c r="M143" s="301" t="str">
        <f>IFERROR(VLOOKUP($O143,종목정보tbl!$A$2:$V$471,$T$6,0),"-")</f>
        <v>-</v>
      </c>
      <c r="N143" s="302" t="str">
        <f>IFERROR(VLOOKUP($O143,종목정보tbl!$A$2:$V$471,$T$7,0),"-")</f>
        <v>-</v>
      </c>
      <c r="O143" s="276" t="str">
        <f t="array" ref="O143">IFERROR(SMALL(IF(종목정보tbl!$B$1:$B$500=2,종목정보tbl!$A$1:$A$500,""),P143),"")</f>
        <v/>
      </c>
      <c r="P143" s="303">
        <v>135</v>
      </c>
    </row>
    <row r="144" spans="2:16" outlineLevel="1">
      <c r="B144" s="300"/>
      <c r="C144" s="301">
        <f t="shared" ca="1" si="2"/>
        <v>45534</v>
      </c>
      <c r="D144" s="300"/>
      <c r="E144" s="300"/>
      <c r="F144" s="684" t="str">
        <f>IF(개요!$C$8="","-",개요!$C$8)</f>
        <v>흥국생명보험(지분증권), 미래컴퍼니</v>
      </c>
      <c r="G144" s="684" t="str">
        <f>IF(개요!$C$7="","-",개요!$C$7)</f>
        <v>포스코KAICI신기술사업투자조합제1호</v>
      </c>
      <c r="H144" s="302" t="str">
        <f>IFERROR(VLOOKUP($O144,종목정보tbl!$A$2:$V$471,$T$2,0),"-")</f>
        <v>-</v>
      </c>
      <c r="I144" s="302" t="str">
        <f>IFERROR(VLOOKUP($O144,종목정보tbl!$A$2:$V$471,$T$3,0),"-")</f>
        <v>-</v>
      </c>
      <c r="J144" s="302" t="str">
        <f>IFERROR(VLOOKUP(VLOOKUP($O144,종목정보tbl!$A$2:$V$471,$T$4,0),종목코드tbl!$A$2:$D$37,2,0),"-")</f>
        <v>-</v>
      </c>
      <c r="K144" s="302" t="str">
        <f>IFERROR(VLOOKUP($O144,종목정보tbl!$A$2:$V$471,$T$5,0),"-")</f>
        <v>-</v>
      </c>
      <c r="L144" s="300"/>
      <c r="M144" s="301" t="str">
        <f>IFERROR(VLOOKUP($O144,종목정보tbl!$A$2:$V$471,$T$6,0),"-")</f>
        <v>-</v>
      </c>
      <c r="N144" s="302" t="str">
        <f>IFERROR(VLOOKUP($O144,종목정보tbl!$A$2:$V$471,$T$7,0),"-")</f>
        <v>-</v>
      </c>
      <c r="O144" s="276" t="str">
        <f t="array" ref="O144">IFERROR(SMALL(IF(종목정보tbl!$B$1:$B$500=2,종목정보tbl!$A$1:$A$500,""),P144),"")</f>
        <v/>
      </c>
      <c r="P144" s="176">
        <v>136</v>
      </c>
    </row>
    <row r="145" spans="2:16" outlineLevel="1">
      <c r="B145" s="300"/>
      <c r="C145" s="301">
        <f t="shared" ca="1" si="2"/>
        <v>45534</v>
      </c>
      <c r="D145" s="300"/>
      <c r="E145" s="300"/>
      <c r="F145" s="684" t="str">
        <f>IF(개요!$C$8="","-",개요!$C$8)</f>
        <v>흥국생명보험(지분증권), 미래컴퍼니</v>
      </c>
      <c r="G145" s="684" t="str">
        <f>IF(개요!$C$7="","-",개요!$C$7)</f>
        <v>포스코KAICI신기술사업투자조합제1호</v>
      </c>
      <c r="H145" s="302" t="str">
        <f>IFERROR(VLOOKUP($O145,종목정보tbl!$A$2:$V$471,$T$2,0),"-")</f>
        <v>-</v>
      </c>
      <c r="I145" s="302" t="str">
        <f>IFERROR(VLOOKUP($O145,종목정보tbl!$A$2:$V$471,$T$3,0),"-")</f>
        <v>-</v>
      </c>
      <c r="J145" s="302" t="str">
        <f>IFERROR(VLOOKUP(VLOOKUP($O145,종목정보tbl!$A$2:$V$471,$T$4,0),종목코드tbl!$A$2:$D$37,2,0),"-")</f>
        <v>-</v>
      </c>
      <c r="K145" s="302" t="str">
        <f>IFERROR(VLOOKUP($O145,종목정보tbl!$A$2:$V$471,$T$5,0),"-")</f>
        <v>-</v>
      </c>
      <c r="L145" s="300"/>
      <c r="M145" s="301" t="str">
        <f>IFERROR(VLOOKUP($O145,종목정보tbl!$A$2:$V$471,$T$6,0),"-")</f>
        <v>-</v>
      </c>
      <c r="N145" s="302" t="str">
        <f>IFERROR(VLOOKUP($O145,종목정보tbl!$A$2:$V$471,$T$7,0),"-")</f>
        <v>-</v>
      </c>
      <c r="O145" s="276" t="str">
        <f t="array" ref="O145">IFERROR(SMALL(IF(종목정보tbl!$B$1:$B$500=2,종목정보tbl!$A$1:$A$500,""),P145),"")</f>
        <v/>
      </c>
      <c r="P145" s="303">
        <v>137</v>
      </c>
    </row>
    <row r="146" spans="2:16" outlineLevel="1">
      <c r="B146" s="300"/>
      <c r="C146" s="301">
        <f t="shared" ca="1" si="2"/>
        <v>45534</v>
      </c>
      <c r="D146" s="300"/>
      <c r="E146" s="300"/>
      <c r="F146" s="684" t="str">
        <f>IF(개요!$C$8="","-",개요!$C$8)</f>
        <v>흥국생명보험(지분증권), 미래컴퍼니</v>
      </c>
      <c r="G146" s="684" t="str">
        <f>IF(개요!$C$7="","-",개요!$C$7)</f>
        <v>포스코KAICI신기술사업투자조합제1호</v>
      </c>
      <c r="H146" s="302" t="str">
        <f>IFERROR(VLOOKUP($O146,종목정보tbl!$A$2:$V$471,$T$2,0),"-")</f>
        <v>-</v>
      </c>
      <c r="I146" s="302" t="str">
        <f>IFERROR(VLOOKUP($O146,종목정보tbl!$A$2:$V$471,$T$3,0),"-")</f>
        <v>-</v>
      </c>
      <c r="J146" s="302" t="str">
        <f>IFERROR(VLOOKUP(VLOOKUP($O146,종목정보tbl!$A$2:$V$471,$T$4,0),종목코드tbl!$A$2:$D$37,2,0),"-")</f>
        <v>-</v>
      </c>
      <c r="K146" s="302" t="str">
        <f>IFERROR(VLOOKUP($O146,종목정보tbl!$A$2:$V$471,$T$5,0),"-")</f>
        <v>-</v>
      </c>
      <c r="L146" s="300"/>
      <c r="M146" s="301" t="str">
        <f>IFERROR(VLOOKUP($O146,종목정보tbl!$A$2:$V$471,$T$6,0),"-")</f>
        <v>-</v>
      </c>
      <c r="N146" s="302" t="str">
        <f>IFERROR(VLOOKUP($O146,종목정보tbl!$A$2:$V$471,$T$7,0),"-")</f>
        <v>-</v>
      </c>
      <c r="O146" s="276" t="str">
        <f t="array" ref="O146">IFERROR(SMALL(IF(종목정보tbl!$B$1:$B$500=2,종목정보tbl!$A$1:$A$500,""),P146),"")</f>
        <v/>
      </c>
      <c r="P146" s="176">
        <v>138</v>
      </c>
    </row>
    <row r="147" spans="2:16" outlineLevel="1">
      <c r="B147" s="300"/>
      <c r="C147" s="301">
        <f t="shared" ca="1" si="2"/>
        <v>45534</v>
      </c>
      <c r="D147" s="300"/>
      <c r="E147" s="300"/>
      <c r="F147" s="684" t="str">
        <f>IF(개요!$C$8="","-",개요!$C$8)</f>
        <v>흥국생명보험(지분증권), 미래컴퍼니</v>
      </c>
      <c r="G147" s="684" t="str">
        <f>IF(개요!$C$7="","-",개요!$C$7)</f>
        <v>포스코KAICI신기술사업투자조합제1호</v>
      </c>
      <c r="H147" s="302" t="str">
        <f>IFERROR(VLOOKUP($O147,종목정보tbl!$A$2:$V$471,$T$2,0),"-")</f>
        <v>-</v>
      </c>
      <c r="I147" s="302" t="str">
        <f>IFERROR(VLOOKUP($O147,종목정보tbl!$A$2:$V$471,$T$3,0),"-")</f>
        <v>-</v>
      </c>
      <c r="J147" s="302" t="str">
        <f>IFERROR(VLOOKUP(VLOOKUP($O147,종목정보tbl!$A$2:$V$471,$T$4,0),종목코드tbl!$A$2:$D$37,2,0),"-")</f>
        <v>-</v>
      </c>
      <c r="K147" s="302" t="str">
        <f>IFERROR(VLOOKUP($O147,종목정보tbl!$A$2:$V$471,$T$5,0),"-")</f>
        <v>-</v>
      </c>
      <c r="L147" s="300"/>
      <c r="M147" s="301" t="str">
        <f>IFERROR(VLOOKUP($O147,종목정보tbl!$A$2:$V$471,$T$6,0),"-")</f>
        <v>-</v>
      </c>
      <c r="N147" s="302" t="str">
        <f>IFERROR(VLOOKUP($O147,종목정보tbl!$A$2:$V$471,$T$7,0),"-")</f>
        <v>-</v>
      </c>
      <c r="O147" s="276" t="str">
        <f t="array" ref="O147">IFERROR(SMALL(IF(종목정보tbl!$B$1:$B$500=2,종목정보tbl!$A$1:$A$500,""),P147),"")</f>
        <v/>
      </c>
      <c r="P147" s="303">
        <v>139</v>
      </c>
    </row>
    <row r="148" spans="2:16" outlineLevel="1">
      <c r="B148" s="300"/>
      <c r="C148" s="301">
        <f t="shared" ca="1" si="2"/>
        <v>45534</v>
      </c>
      <c r="D148" s="300"/>
      <c r="E148" s="300"/>
      <c r="F148" s="684" t="str">
        <f>IF(개요!$C$8="","-",개요!$C$8)</f>
        <v>흥국생명보험(지분증권), 미래컴퍼니</v>
      </c>
      <c r="G148" s="684" t="str">
        <f>IF(개요!$C$7="","-",개요!$C$7)</f>
        <v>포스코KAICI신기술사업투자조합제1호</v>
      </c>
      <c r="H148" s="302" t="str">
        <f>IFERROR(VLOOKUP($O148,종목정보tbl!$A$2:$V$471,$T$2,0),"-")</f>
        <v>-</v>
      </c>
      <c r="I148" s="302" t="str">
        <f>IFERROR(VLOOKUP($O148,종목정보tbl!$A$2:$V$471,$T$3,0),"-")</f>
        <v>-</v>
      </c>
      <c r="J148" s="302" t="str">
        <f>IFERROR(VLOOKUP(VLOOKUP($O148,종목정보tbl!$A$2:$V$471,$T$4,0),종목코드tbl!$A$2:$D$37,2,0),"-")</f>
        <v>-</v>
      </c>
      <c r="K148" s="302" t="str">
        <f>IFERROR(VLOOKUP($O148,종목정보tbl!$A$2:$V$471,$T$5,0),"-")</f>
        <v>-</v>
      </c>
      <c r="L148" s="300"/>
      <c r="M148" s="301" t="str">
        <f>IFERROR(VLOOKUP($O148,종목정보tbl!$A$2:$V$471,$T$6,0),"-")</f>
        <v>-</v>
      </c>
      <c r="N148" s="302" t="str">
        <f>IFERROR(VLOOKUP($O148,종목정보tbl!$A$2:$V$471,$T$7,0),"-")</f>
        <v>-</v>
      </c>
      <c r="O148" s="276" t="str">
        <f t="array" ref="O148">IFERROR(SMALL(IF(종목정보tbl!$B$1:$B$500=2,종목정보tbl!$A$1:$A$500,""),P148),"")</f>
        <v/>
      </c>
      <c r="P148" s="176">
        <v>140</v>
      </c>
    </row>
    <row r="149" spans="2:16" outlineLevel="1">
      <c r="B149" s="300"/>
      <c r="C149" s="301">
        <f t="shared" ca="1" si="2"/>
        <v>45534</v>
      </c>
      <c r="D149" s="300"/>
      <c r="E149" s="300"/>
      <c r="F149" s="684" t="str">
        <f>IF(개요!$C$8="","-",개요!$C$8)</f>
        <v>흥국생명보험(지분증권), 미래컴퍼니</v>
      </c>
      <c r="G149" s="684" t="str">
        <f>IF(개요!$C$7="","-",개요!$C$7)</f>
        <v>포스코KAICI신기술사업투자조합제1호</v>
      </c>
      <c r="H149" s="302" t="str">
        <f>IFERROR(VLOOKUP($O149,종목정보tbl!$A$2:$V$471,$T$2,0),"-")</f>
        <v>-</v>
      </c>
      <c r="I149" s="302" t="str">
        <f>IFERROR(VLOOKUP($O149,종목정보tbl!$A$2:$V$471,$T$3,0),"-")</f>
        <v>-</v>
      </c>
      <c r="J149" s="302" t="str">
        <f>IFERROR(VLOOKUP(VLOOKUP($O149,종목정보tbl!$A$2:$V$471,$T$4,0),종목코드tbl!$A$2:$D$37,2,0),"-")</f>
        <v>-</v>
      </c>
      <c r="K149" s="302" t="str">
        <f>IFERROR(VLOOKUP($O149,종목정보tbl!$A$2:$V$471,$T$5,0),"-")</f>
        <v>-</v>
      </c>
      <c r="L149" s="300"/>
      <c r="M149" s="301" t="str">
        <f>IFERROR(VLOOKUP($O149,종목정보tbl!$A$2:$V$471,$T$6,0),"-")</f>
        <v>-</v>
      </c>
      <c r="N149" s="302" t="str">
        <f>IFERROR(VLOOKUP($O149,종목정보tbl!$A$2:$V$471,$T$7,0),"-")</f>
        <v>-</v>
      </c>
      <c r="O149" s="276" t="str">
        <f t="array" ref="O149">IFERROR(SMALL(IF(종목정보tbl!$B$1:$B$500=2,종목정보tbl!$A$1:$A$500,""),P149),"")</f>
        <v/>
      </c>
      <c r="P149" s="303">
        <v>141</v>
      </c>
    </row>
    <row r="150" spans="2:16" outlineLevel="1">
      <c r="B150" s="300"/>
      <c r="C150" s="301">
        <f t="shared" ca="1" si="2"/>
        <v>45534</v>
      </c>
      <c r="D150" s="300"/>
      <c r="E150" s="300"/>
      <c r="F150" s="684" t="str">
        <f>IF(개요!$C$8="","-",개요!$C$8)</f>
        <v>흥국생명보험(지분증권), 미래컴퍼니</v>
      </c>
      <c r="G150" s="684" t="str">
        <f>IF(개요!$C$7="","-",개요!$C$7)</f>
        <v>포스코KAICI신기술사업투자조합제1호</v>
      </c>
      <c r="H150" s="302" t="str">
        <f>IFERROR(VLOOKUP($O150,종목정보tbl!$A$2:$V$471,$T$2,0),"-")</f>
        <v>-</v>
      </c>
      <c r="I150" s="302" t="str">
        <f>IFERROR(VLOOKUP($O150,종목정보tbl!$A$2:$V$471,$T$3,0),"-")</f>
        <v>-</v>
      </c>
      <c r="J150" s="302" t="str">
        <f>IFERROR(VLOOKUP(VLOOKUP($O150,종목정보tbl!$A$2:$V$471,$T$4,0),종목코드tbl!$A$2:$D$37,2,0),"-")</f>
        <v>-</v>
      </c>
      <c r="K150" s="302" t="str">
        <f>IFERROR(VLOOKUP($O150,종목정보tbl!$A$2:$V$471,$T$5,0),"-")</f>
        <v>-</v>
      </c>
      <c r="L150" s="300"/>
      <c r="M150" s="301" t="str">
        <f>IFERROR(VLOOKUP($O150,종목정보tbl!$A$2:$V$471,$T$6,0),"-")</f>
        <v>-</v>
      </c>
      <c r="N150" s="302" t="str">
        <f>IFERROR(VLOOKUP($O150,종목정보tbl!$A$2:$V$471,$T$7,0),"-")</f>
        <v>-</v>
      </c>
      <c r="O150" s="276" t="str">
        <f t="array" ref="O150">IFERROR(SMALL(IF(종목정보tbl!$B$1:$B$500=2,종목정보tbl!$A$1:$A$500,""),P150),"")</f>
        <v/>
      </c>
      <c r="P150" s="176">
        <v>142</v>
      </c>
    </row>
    <row r="151" spans="2:16" outlineLevel="1">
      <c r="B151" s="300"/>
      <c r="C151" s="301">
        <f t="shared" ca="1" si="2"/>
        <v>45534</v>
      </c>
      <c r="D151" s="300"/>
      <c r="E151" s="300"/>
      <c r="F151" s="684" t="str">
        <f>IF(개요!$C$8="","-",개요!$C$8)</f>
        <v>흥국생명보험(지분증권), 미래컴퍼니</v>
      </c>
      <c r="G151" s="684" t="str">
        <f>IF(개요!$C$7="","-",개요!$C$7)</f>
        <v>포스코KAICI신기술사업투자조합제1호</v>
      </c>
      <c r="H151" s="302" t="str">
        <f>IFERROR(VLOOKUP($O151,종목정보tbl!$A$2:$V$471,$T$2,0),"-")</f>
        <v>-</v>
      </c>
      <c r="I151" s="302" t="str">
        <f>IFERROR(VLOOKUP($O151,종목정보tbl!$A$2:$V$471,$T$3,0),"-")</f>
        <v>-</v>
      </c>
      <c r="J151" s="302" t="str">
        <f>IFERROR(VLOOKUP(VLOOKUP($O151,종목정보tbl!$A$2:$V$471,$T$4,0),종목코드tbl!$A$2:$D$37,2,0),"-")</f>
        <v>-</v>
      </c>
      <c r="K151" s="302" t="str">
        <f>IFERROR(VLOOKUP($O151,종목정보tbl!$A$2:$V$471,$T$5,0),"-")</f>
        <v>-</v>
      </c>
      <c r="L151" s="300"/>
      <c r="M151" s="301" t="str">
        <f>IFERROR(VLOOKUP($O151,종목정보tbl!$A$2:$V$471,$T$6,0),"-")</f>
        <v>-</v>
      </c>
      <c r="N151" s="302" t="str">
        <f>IFERROR(VLOOKUP($O151,종목정보tbl!$A$2:$V$471,$T$7,0),"-")</f>
        <v>-</v>
      </c>
      <c r="O151" s="276" t="str">
        <f t="array" ref="O151">IFERROR(SMALL(IF(종목정보tbl!$B$1:$B$500=2,종목정보tbl!$A$1:$A$500,""),P151),"")</f>
        <v/>
      </c>
      <c r="P151" s="303">
        <v>143</v>
      </c>
    </row>
    <row r="152" spans="2:16" outlineLevel="1">
      <c r="B152" s="300"/>
      <c r="C152" s="301">
        <f t="shared" ca="1" si="2"/>
        <v>45534</v>
      </c>
      <c r="D152" s="300"/>
      <c r="E152" s="300"/>
      <c r="F152" s="684" t="str">
        <f>IF(개요!$C$8="","-",개요!$C$8)</f>
        <v>흥국생명보험(지분증권), 미래컴퍼니</v>
      </c>
      <c r="G152" s="684" t="str">
        <f>IF(개요!$C$7="","-",개요!$C$7)</f>
        <v>포스코KAICI신기술사업투자조합제1호</v>
      </c>
      <c r="H152" s="302" t="str">
        <f>IFERROR(VLOOKUP($O152,종목정보tbl!$A$2:$V$471,$T$2,0),"-")</f>
        <v>-</v>
      </c>
      <c r="I152" s="302" t="str">
        <f>IFERROR(VLOOKUP($O152,종목정보tbl!$A$2:$V$471,$T$3,0),"-")</f>
        <v>-</v>
      </c>
      <c r="J152" s="302" t="str">
        <f>IFERROR(VLOOKUP(VLOOKUP($O152,종목정보tbl!$A$2:$V$471,$T$4,0),종목코드tbl!$A$2:$D$37,2,0),"-")</f>
        <v>-</v>
      </c>
      <c r="K152" s="302" t="str">
        <f>IFERROR(VLOOKUP($O152,종목정보tbl!$A$2:$V$471,$T$5,0),"-")</f>
        <v>-</v>
      </c>
      <c r="L152" s="300"/>
      <c r="M152" s="301" t="str">
        <f>IFERROR(VLOOKUP($O152,종목정보tbl!$A$2:$V$471,$T$6,0),"-")</f>
        <v>-</v>
      </c>
      <c r="N152" s="302" t="str">
        <f>IFERROR(VLOOKUP($O152,종목정보tbl!$A$2:$V$471,$T$7,0),"-")</f>
        <v>-</v>
      </c>
      <c r="O152" s="276" t="str">
        <f t="array" ref="O152">IFERROR(SMALL(IF(종목정보tbl!$B$1:$B$500=2,종목정보tbl!$A$1:$A$500,""),P152),"")</f>
        <v/>
      </c>
      <c r="P152" s="176">
        <v>144</v>
      </c>
    </row>
    <row r="153" spans="2:16" outlineLevel="1">
      <c r="B153" s="300"/>
      <c r="C153" s="301">
        <f t="shared" ca="1" si="2"/>
        <v>45534</v>
      </c>
      <c r="D153" s="300"/>
      <c r="E153" s="300"/>
      <c r="F153" s="684" t="str">
        <f>IF(개요!$C$8="","-",개요!$C$8)</f>
        <v>흥국생명보험(지분증권), 미래컴퍼니</v>
      </c>
      <c r="G153" s="684" t="str">
        <f>IF(개요!$C$7="","-",개요!$C$7)</f>
        <v>포스코KAICI신기술사업투자조합제1호</v>
      </c>
      <c r="H153" s="302" t="str">
        <f>IFERROR(VLOOKUP($O153,종목정보tbl!$A$2:$V$471,$T$2,0),"-")</f>
        <v>-</v>
      </c>
      <c r="I153" s="302" t="str">
        <f>IFERROR(VLOOKUP($O153,종목정보tbl!$A$2:$V$471,$T$3,0),"-")</f>
        <v>-</v>
      </c>
      <c r="J153" s="302" t="str">
        <f>IFERROR(VLOOKUP(VLOOKUP($O153,종목정보tbl!$A$2:$V$471,$T$4,0),종목코드tbl!$A$2:$D$37,2,0),"-")</f>
        <v>-</v>
      </c>
      <c r="K153" s="302" t="str">
        <f>IFERROR(VLOOKUP($O153,종목정보tbl!$A$2:$V$471,$T$5,0),"-")</f>
        <v>-</v>
      </c>
      <c r="L153" s="300"/>
      <c r="M153" s="301" t="str">
        <f>IFERROR(VLOOKUP($O153,종목정보tbl!$A$2:$V$471,$T$6,0),"-")</f>
        <v>-</v>
      </c>
      <c r="N153" s="302" t="str">
        <f>IFERROR(VLOOKUP($O153,종목정보tbl!$A$2:$V$471,$T$7,0),"-")</f>
        <v>-</v>
      </c>
      <c r="O153" s="276" t="str">
        <f t="array" ref="O153">IFERROR(SMALL(IF(종목정보tbl!$B$1:$B$500=2,종목정보tbl!$A$1:$A$500,""),P153),"")</f>
        <v/>
      </c>
      <c r="P153" s="303">
        <v>145</v>
      </c>
    </row>
    <row r="154" spans="2:16" outlineLevel="1">
      <c r="B154" s="300"/>
      <c r="C154" s="301">
        <f t="shared" ca="1" si="2"/>
        <v>45534</v>
      </c>
      <c r="D154" s="300"/>
      <c r="E154" s="300"/>
      <c r="F154" s="684" t="str">
        <f>IF(개요!$C$8="","-",개요!$C$8)</f>
        <v>흥국생명보험(지분증권), 미래컴퍼니</v>
      </c>
      <c r="G154" s="684" t="str">
        <f>IF(개요!$C$7="","-",개요!$C$7)</f>
        <v>포스코KAICI신기술사업투자조합제1호</v>
      </c>
      <c r="H154" s="302" t="str">
        <f>IFERROR(VLOOKUP($O154,종목정보tbl!$A$2:$V$471,$T$2,0),"-")</f>
        <v>-</v>
      </c>
      <c r="I154" s="302" t="str">
        <f>IFERROR(VLOOKUP($O154,종목정보tbl!$A$2:$V$471,$T$3,0),"-")</f>
        <v>-</v>
      </c>
      <c r="J154" s="302" t="str">
        <f>IFERROR(VLOOKUP(VLOOKUP($O154,종목정보tbl!$A$2:$V$471,$T$4,0),종목코드tbl!$A$2:$D$37,2,0),"-")</f>
        <v>-</v>
      </c>
      <c r="K154" s="302" t="str">
        <f>IFERROR(VLOOKUP($O154,종목정보tbl!$A$2:$V$471,$T$5,0),"-")</f>
        <v>-</v>
      </c>
      <c r="L154" s="300"/>
      <c r="M154" s="301" t="str">
        <f>IFERROR(VLOOKUP($O154,종목정보tbl!$A$2:$V$471,$T$6,0),"-")</f>
        <v>-</v>
      </c>
      <c r="N154" s="302" t="str">
        <f>IFERROR(VLOOKUP($O154,종목정보tbl!$A$2:$V$471,$T$7,0),"-")</f>
        <v>-</v>
      </c>
      <c r="O154" s="276" t="str">
        <f t="array" ref="O154">IFERROR(SMALL(IF(종목정보tbl!$B$1:$B$500=2,종목정보tbl!$A$1:$A$500,""),P154),"")</f>
        <v/>
      </c>
      <c r="P154" s="176">
        <v>146</v>
      </c>
    </row>
    <row r="155" spans="2:16" outlineLevel="1">
      <c r="B155" s="300"/>
      <c r="C155" s="301">
        <f t="shared" ca="1" si="2"/>
        <v>45534</v>
      </c>
      <c r="D155" s="300"/>
      <c r="E155" s="300"/>
      <c r="F155" s="684" t="str">
        <f>IF(개요!$C$8="","-",개요!$C$8)</f>
        <v>흥국생명보험(지분증권), 미래컴퍼니</v>
      </c>
      <c r="G155" s="684" t="str">
        <f>IF(개요!$C$7="","-",개요!$C$7)</f>
        <v>포스코KAICI신기술사업투자조합제1호</v>
      </c>
      <c r="H155" s="302" t="str">
        <f>IFERROR(VLOOKUP($O155,종목정보tbl!$A$2:$V$471,$T$2,0),"-")</f>
        <v>-</v>
      </c>
      <c r="I155" s="302" t="str">
        <f>IFERROR(VLOOKUP($O155,종목정보tbl!$A$2:$V$471,$T$3,0),"-")</f>
        <v>-</v>
      </c>
      <c r="J155" s="302" t="str">
        <f>IFERROR(VLOOKUP(VLOOKUP($O155,종목정보tbl!$A$2:$V$471,$T$4,0),종목코드tbl!$A$2:$D$37,2,0),"-")</f>
        <v>-</v>
      </c>
      <c r="K155" s="302" t="str">
        <f>IFERROR(VLOOKUP($O155,종목정보tbl!$A$2:$V$471,$T$5,0),"-")</f>
        <v>-</v>
      </c>
      <c r="L155" s="300"/>
      <c r="M155" s="301" t="str">
        <f>IFERROR(VLOOKUP($O155,종목정보tbl!$A$2:$V$471,$T$6,0),"-")</f>
        <v>-</v>
      </c>
      <c r="N155" s="302" t="str">
        <f>IFERROR(VLOOKUP($O155,종목정보tbl!$A$2:$V$471,$T$7,0),"-")</f>
        <v>-</v>
      </c>
      <c r="O155" s="276" t="str">
        <f t="array" ref="O155">IFERROR(SMALL(IF(종목정보tbl!$B$1:$B$500=2,종목정보tbl!$A$1:$A$500,""),P155),"")</f>
        <v/>
      </c>
      <c r="P155" s="303">
        <v>147</v>
      </c>
    </row>
    <row r="156" spans="2:16" outlineLevel="1">
      <c r="B156" s="300"/>
      <c r="C156" s="301">
        <f t="shared" ca="1" si="2"/>
        <v>45534</v>
      </c>
      <c r="D156" s="300"/>
      <c r="E156" s="300"/>
      <c r="F156" s="684" t="str">
        <f>IF(개요!$C$8="","-",개요!$C$8)</f>
        <v>흥국생명보험(지분증권), 미래컴퍼니</v>
      </c>
      <c r="G156" s="684" t="str">
        <f>IF(개요!$C$7="","-",개요!$C$7)</f>
        <v>포스코KAICI신기술사업투자조합제1호</v>
      </c>
      <c r="H156" s="302" t="str">
        <f>IFERROR(VLOOKUP($O156,종목정보tbl!$A$2:$V$471,$T$2,0),"-")</f>
        <v>-</v>
      </c>
      <c r="I156" s="302" t="str">
        <f>IFERROR(VLOOKUP($O156,종목정보tbl!$A$2:$V$471,$T$3,0),"-")</f>
        <v>-</v>
      </c>
      <c r="J156" s="302" t="str">
        <f>IFERROR(VLOOKUP(VLOOKUP($O156,종목정보tbl!$A$2:$V$471,$T$4,0),종목코드tbl!$A$2:$D$37,2,0),"-")</f>
        <v>-</v>
      </c>
      <c r="K156" s="302" t="str">
        <f>IFERROR(VLOOKUP($O156,종목정보tbl!$A$2:$V$471,$T$5,0),"-")</f>
        <v>-</v>
      </c>
      <c r="L156" s="300"/>
      <c r="M156" s="301" t="str">
        <f>IFERROR(VLOOKUP($O156,종목정보tbl!$A$2:$V$471,$T$6,0),"-")</f>
        <v>-</v>
      </c>
      <c r="N156" s="302" t="str">
        <f>IFERROR(VLOOKUP($O156,종목정보tbl!$A$2:$V$471,$T$7,0),"-")</f>
        <v>-</v>
      </c>
      <c r="O156" s="276" t="str">
        <f t="array" ref="O156">IFERROR(SMALL(IF(종목정보tbl!$B$1:$B$500=2,종목정보tbl!$A$1:$A$500,""),P156),"")</f>
        <v/>
      </c>
      <c r="P156" s="176">
        <v>148</v>
      </c>
    </row>
    <row r="157" spans="2:16" outlineLevel="1">
      <c r="B157" s="300"/>
      <c r="C157" s="301">
        <f t="shared" ca="1" si="2"/>
        <v>45534</v>
      </c>
      <c r="D157" s="300"/>
      <c r="E157" s="300"/>
      <c r="F157" s="684" t="str">
        <f>IF(개요!$C$8="","-",개요!$C$8)</f>
        <v>흥국생명보험(지분증권), 미래컴퍼니</v>
      </c>
      <c r="G157" s="684" t="str">
        <f>IF(개요!$C$7="","-",개요!$C$7)</f>
        <v>포스코KAICI신기술사업투자조합제1호</v>
      </c>
      <c r="H157" s="302" t="str">
        <f>IFERROR(VLOOKUP($O157,종목정보tbl!$A$2:$V$471,$T$2,0),"-")</f>
        <v>-</v>
      </c>
      <c r="I157" s="302" t="str">
        <f>IFERROR(VLOOKUP($O157,종목정보tbl!$A$2:$V$471,$T$3,0),"-")</f>
        <v>-</v>
      </c>
      <c r="J157" s="302" t="str">
        <f>IFERROR(VLOOKUP(VLOOKUP($O157,종목정보tbl!$A$2:$V$471,$T$4,0),종목코드tbl!$A$2:$D$37,2,0),"-")</f>
        <v>-</v>
      </c>
      <c r="K157" s="302" t="str">
        <f>IFERROR(VLOOKUP($O157,종목정보tbl!$A$2:$V$471,$T$5,0),"-")</f>
        <v>-</v>
      </c>
      <c r="L157" s="300"/>
      <c r="M157" s="301" t="str">
        <f>IFERROR(VLOOKUP($O157,종목정보tbl!$A$2:$V$471,$T$6,0),"-")</f>
        <v>-</v>
      </c>
      <c r="N157" s="302" t="str">
        <f>IFERROR(VLOOKUP($O157,종목정보tbl!$A$2:$V$471,$T$7,0),"-")</f>
        <v>-</v>
      </c>
      <c r="O157" s="276" t="str">
        <f t="array" ref="O157">IFERROR(SMALL(IF(종목정보tbl!$B$1:$B$500=2,종목정보tbl!$A$1:$A$500,""),P157),"")</f>
        <v/>
      </c>
      <c r="P157" s="303">
        <v>149</v>
      </c>
    </row>
    <row r="158" spans="2:16" outlineLevel="1">
      <c r="B158" s="300"/>
      <c r="C158" s="301">
        <f t="shared" ca="1" si="2"/>
        <v>45534</v>
      </c>
      <c r="D158" s="300"/>
      <c r="E158" s="300"/>
      <c r="F158" s="684" t="str">
        <f>IF(개요!$C$8="","-",개요!$C$8)</f>
        <v>흥국생명보험(지분증권), 미래컴퍼니</v>
      </c>
      <c r="G158" s="684" t="str">
        <f>IF(개요!$C$7="","-",개요!$C$7)</f>
        <v>포스코KAICI신기술사업투자조합제1호</v>
      </c>
      <c r="H158" s="302" t="str">
        <f>IFERROR(VLOOKUP($O158,종목정보tbl!$A$2:$V$471,$T$2,0),"-")</f>
        <v>-</v>
      </c>
      <c r="I158" s="302" t="str">
        <f>IFERROR(VLOOKUP($O158,종목정보tbl!$A$2:$V$471,$T$3,0),"-")</f>
        <v>-</v>
      </c>
      <c r="J158" s="302" t="str">
        <f>IFERROR(VLOOKUP(VLOOKUP($O158,종목정보tbl!$A$2:$V$471,$T$4,0),종목코드tbl!$A$2:$D$37,2,0),"-")</f>
        <v>-</v>
      </c>
      <c r="K158" s="302" t="str">
        <f>IFERROR(VLOOKUP($O158,종목정보tbl!$A$2:$V$471,$T$5,0),"-")</f>
        <v>-</v>
      </c>
      <c r="L158" s="300"/>
      <c r="M158" s="301" t="str">
        <f>IFERROR(VLOOKUP($O158,종목정보tbl!$A$2:$V$471,$T$6,0),"-")</f>
        <v>-</v>
      </c>
      <c r="N158" s="302" t="str">
        <f>IFERROR(VLOOKUP($O158,종목정보tbl!$A$2:$V$471,$T$7,0),"-")</f>
        <v>-</v>
      </c>
      <c r="O158" s="276" t="str">
        <f t="array" ref="O158">IFERROR(SMALL(IF(종목정보tbl!$B$1:$B$500=2,종목정보tbl!$A$1:$A$500,""),P158),"")</f>
        <v/>
      </c>
      <c r="P158" s="176">
        <v>150</v>
      </c>
    </row>
    <row r="159" spans="2:16" outlineLevel="1">
      <c r="B159" s="300"/>
      <c r="C159" s="301">
        <f t="shared" ca="1" si="2"/>
        <v>45534</v>
      </c>
      <c r="D159" s="300"/>
      <c r="E159" s="300"/>
      <c r="F159" s="684" t="str">
        <f>IF(개요!$C$8="","-",개요!$C$8)</f>
        <v>흥국생명보험(지분증권), 미래컴퍼니</v>
      </c>
      <c r="G159" s="684" t="str">
        <f>IF(개요!$C$7="","-",개요!$C$7)</f>
        <v>포스코KAICI신기술사업투자조합제1호</v>
      </c>
      <c r="H159" s="302" t="str">
        <f>IFERROR(VLOOKUP($O159,종목정보tbl!$A$2:$V$471,$T$2,0),"-")</f>
        <v>-</v>
      </c>
      <c r="I159" s="302" t="str">
        <f>IFERROR(VLOOKUP($O159,종목정보tbl!$A$2:$V$471,$T$3,0),"-")</f>
        <v>-</v>
      </c>
      <c r="J159" s="302" t="str">
        <f>IFERROR(VLOOKUP(VLOOKUP($O159,종목정보tbl!$A$2:$V$471,$T$4,0),종목코드tbl!$A$2:$D$37,2,0),"-")</f>
        <v>-</v>
      </c>
      <c r="K159" s="302" t="str">
        <f>IFERROR(VLOOKUP($O159,종목정보tbl!$A$2:$V$471,$T$5,0),"-")</f>
        <v>-</v>
      </c>
      <c r="L159" s="300"/>
      <c r="M159" s="301" t="str">
        <f>IFERROR(VLOOKUP($O159,종목정보tbl!$A$2:$V$471,$T$6,0),"-")</f>
        <v>-</v>
      </c>
      <c r="N159" s="302" t="str">
        <f>IFERROR(VLOOKUP($O159,종목정보tbl!$A$2:$V$471,$T$7,0),"-")</f>
        <v>-</v>
      </c>
      <c r="O159" s="276" t="str">
        <f t="array" ref="O159">IFERROR(SMALL(IF(종목정보tbl!$B$1:$B$500=2,종목정보tbl!$A$1:$A$500,""),P159),"")</f>
        <v/>
      </c>
      <c r="P159" s="303">
        <v>151</v>
      </c>
    </row>
    <row r="160" spans="2:16" outlineLevel="1">
      <c r="B160" s="300"/>
      <c r="C160" s="301">
        <f t="shared" ca="1" si="2"/>
        <v>45534</v>
      </c>
      <c r="D160" s="300"/>
      <c r="E160" s="300"/>
      <c r="F160" s="684" t="str">
        <f>IF(개요!$C$8="","-",개요!$C$8)</f>
        <v>흥국생명보험(지분증권), 미래컴퍼니</v>
      </c>
      <c r="G160" s="684" t="str">
        <f>IF(개요!$C$7="","-",개요!$C$7)</f>
        <v>포스코KAICI신기술사업투자조합제1호</v>
      </c>
      <c r="H160" s="302" t="str">
        <f>IFERROR(VLOOKUP($O160,종목정보tbl!$A$2:$V$471,$T$2,0),"-")</f>
        <v>-</v>
      </c>
      <c r="I160" s="302" t="str">
        <f>IFERROR(VLOOKUP($O160,종목정보tbl!$A$2:$V$471,$T$3,0),"-")</f>
        <v>-</v>
      </c>
      <c r="J160" s="302" t="str">
        <f>IFERROR(VLOOKUP(VLOOKUP($O160,종목정보tbl!$A$2:$V$471,$T$4,0),종목코드tbl!$A$2:$D$37,2,0),"-")</f>
        <v>-</v>
      </c>
      <c r="K160" s="302" t="str">
        <f>IFERROR(VLOOKUP($O160,종목정보tbl!$A$2:$V$471,$T$5,0),"-")</f>
        <v>-</v>
      </c>
      <c r="L160" s="300"/>
      <c r="M160" s="301" t="str">
        <f>IFERROR(VLOOKUP($O160,종목정보tbl!$A$2:$V$471,$T$6,0),"-")</f>
        <v>-</v>
      </c>
      <c r="N160" s="302" t="str">
        <f>IFERROR(VLOOKUP($O160,종목정보tbl!$A$2:$V$471,$T$7,0),"-")</f>
        <v>-</v>
      </c>
      <c r="O160" s="276" t="str">
        <f t="array" ref="O160">IFERROR(SMALL(IF(종목정보tbl!$B$1:$B$500=2,종목정보tbl!$A$1:$A$500,""),P160),"")</f>
        <v/>
      </c>
      <c r="P160" s="176">
        <v>152</v>
      </c>
    </row>
    <row r="161" spans="2:16" outlineLevel="1">
      <c r="B161" s="300"/>
      <c r="C161" s="301">
        <f t="shared" ca="1" si="2"/>
        <v>45534</v>
      </c>
      <c r="D161" s="300"/>
      <c r="E161" s="300"/>
      <c r="F161" s="684" t="str">
        <f>IF(개요!$C$8="","-",개요!$C$8)</f>
        <v>흥국생명보험(지분증권), 미래컴퍼니</v>
      </c>
      <c r="G161" s="684" t="str">
        <f>IF(개요!$C$7="","-",개요!$C$7)</f>
        <v>포스코KAICI신기술사업투자조합제1호</v>
      </c>
      <c r="H161" s="302" t="str">
        <f>IFERROR(VLOOKUP($O161,종목정보tbl!$A$2:$V$471,$T$2,0),"-")</f>
        <v>-</v>
      </c>
      <c r="I161" s="302" t="str">
        <f>IFERROR(VLOOKUP($O161,종목정보tbl!$A$2:$V$471,$T$3,0),"-")</f>
        <v>-</v>
      </c>
      <c r="J161" s="302" t="str">
        <f>IFERROR(VLOOKUP(VLOOKUP($O161,종목정보tbl!$A$2:$V$471,$T$4,0),종목코드tbl!$A$2:$D$37,2,0),"-")</f>
        <v>-</v>
      </c>
      <c r="K161" s="302" t="str">
        <f>IFERROR(VLOOKUP($O161,종목정보tbl!$A$2:$V$471,$T$5,0),"-")</f>
        <v>-</v>
      </c>
      <c r="L161" s="300"/>
      <c r="M161" s="301" t="str">
        <f>IFERROR(VLOOKUP($O161,종목정보tbl!$A$2:$V$471,$T$6,0),"-")</f>
        <v>-</v>
      </c>
      <c r="N161" s="302" t="str">
        <f>IFERROR(VLOOKUP($O161,종목정보tbl!$A$2:$V$471,$T$7,0),"-")</f>
        <v>-</v>
      </c>
      <c r="O161" s="276" t="str">
        <f t="array" ref="O161">IFERROR(SMALL(IF(종목정보tbl!$B$1:$B$500=2,종목정보tbl!$A$1:$A$500,""),P161),"")</f>
        <v/>
      </c>
      <c r="P161" s="303">
        <v>153</v>
      </c>
    </row>
    <row r="162" spans="2:16" outlineLevel="1">
      <c r="B162" s="300"/>
      <c r="C162" s="301">
        <f t="shared" ca="1" si="2"/>
        <v>45534</v>
      </c>
      <c r="D162" s="300"/>
      <c r="E162" s="300"/>
      <c r="F162" s="684" t="str">
        <f>IF(개요!$C$8="","-",개요!$C$8)</f>
        <v>흥국생명보험(지분증권), 미래컴퍼니</v>
      </c>
      <c r="G162" s="684" t="str">
        <f>IF(개요!$C$7="","-",개요!$C$7)</f>
        <v>포스코KAICI신기술사업투자조합제1호</v>
      </c>
      <c r="H162" s="302" t="str">
        <f>IFERROR(VLOOKUP($O162,종목정보tbl!$A$2:$V$471,$T$2,0),"-")</f>
        <v>-</v>
      </c>
      <c r="I162" s="302" t="str">
        <f>IFERROR(VLOOKUP($O162,종목정보tbl!$A$2:$V$471,$T$3,0),"-")</f>
        <v>-</v>
      </c>
      <c r="J162" s="302" t="str">
        <f>IFERROR(VLOOKUP(VLOOKUP($O162,종목정보tbl!$A$2:$V$471,$T$4,0),종목코드tbl!$A$2:$D$37,2,0),"-")</f>
        <v>-</v>
      </c>
      <c r="K162" s="302" t="str">
        <f>IFERROR(VLOOKUP($O162,종목정보tbl!$A$2:$V$471,$T$5,0),"-")</f>
        <v>-</v>
      </c>
      <c r="L162" s="300"/>
      <c r="M162" s="301" t="str">
        <f>IFERROR(VLOOKUP($O162,종목정보tbl!$A$2:$V$471,$T$6,0),"-")</f>
        <v>-</v>
      </c>
      <c r="N162" s="302" t="str">
        <f>IFERROR(VLOOKUP($O162,종목정보tbl!$A$2:$V$471,$T$7,0),"-")</f>
        <v>-</v>
      </c>
      <c r="O162" s="276" t="str">
        <f t="array" ref="O162">IFERROR(SMALL(IF(종목정보tbl!$B$1:$B$500=2,종목정보tbl!$A$1:$A$500,""),P162),"")</f>
        <v/>
      </c>
      <c r="P162" s="176">
        <v>154</v>
      </c>
    </row>
    <row r="163" spans="2:16" outlineLevel="1">
      <c r="B163" s="300"/>
      <c r="C163" s="301">
        <f t="shared" ca="1" si="2"/>
        <v>45534</v>
      </c>
      <c r="D163" s="300"/>
      <c r="E163" s="300"/>
      <c r="F163" s="684" t="str">
        <f>IF(개요!$C$8="","-",개요!$C$8)</f>
        <v>흥국생명보험(지분증권), 미래컴퍼니</v>
      </c>
      <c r="G163" s="684" t="str">
        <f>IF(개요!$C$7="","-",개요!$C$7)</f>
        <v>포스코KAICI신기술사업투자조합제1호</v>
      </c>
      <c r="H163" s="302" t="str">
        <f>IFERROR(VLOOKUP($O163,종목정보tbl!$A$2:$V$471,$T$2,0),"-")</f>
        <v>-</v>
      </c>
      <c r="I163" s="302" t="str">
        <f>IFERROR(VLOOKUP($O163,종목정보tbl!$A$2:$V$471,$T$3,0),"-")</f>
        <v>-</v>
      </c>
      <c r="J163" s="302" t="str">
        <f>IFERROR(VLOOKUP(VLOOKUP($O163,종목정보tbl!$A$2:$V$471,$T$4,0),종목코드tbl!$A$2:$D$37,2,0),"-")</f>
        <v>-</v>
      </c>
      <c r="K163" s="302" t="str">
        <f>IFERROR(VLOOKUP($O163,종목정보tbl!$A$2:$V$471,$T$5,0),"-")</f>
        <v>-</v>
      </c>
      <c r="L163" s="300"/>
      <c r="M163" s="301" t="str">
        <f>IFERROR(VLOOKUP($O163,종목정보tbl!$A$2:$V$471,$T$6,0),"-")</f>
        <v>-</v>
      </c>
      <c r="N163" s="302" t="str">
        <f>IFERROR(VLOOKUP($O163,종목정보tbl!$A$2:$V$471,$T$7,0),"-")</f>
        <v>-</v>
      </c>
      <c r="O163" s="276" t="str">
        <f t="array" ref="O163">IFERROR(SMALL(IF(종목정보tbl!$B$1:$B$500=2,종목정보tbl!$A$1:$A$500,""),P163),"")</f>
        <v/>
      </c>
      <c r="P163" s="303">
        <v>155</v>
      </c>
    </row>
    <row r="164" spans="2:16" outlineLevel="1">
      <c r="B164" s="300"/>
      <c r="C164" s="301">
        <f t="shared" ca="1" si="2"/>
        <v>45534</v>
      </c>
      <c r="D164" s="300"/>
      <c r="E164" s="300"/>
      <c r="F164" s="684" t="str">
        <f>IF(개요!$C$8="","-",개요!$C$8)</f>
        <v>흥국생명보험(지분증권), 미래컴퍼니</v>
      </c>
      <c r="G164" s="684" t="str">
        <f>IF(개요!$C$7="","-",개요!$C$7)</f>
        <v>포스코KAICI신기술사업투자조합제1호</v>
      </c>
      <c r="H164" s="302" t="str">
        <f>IFERROR(VLOOKUP($O164,종목정보tbl!$A$2:$V$471,$T$2,0),"-")</f>
        <v>-</v>
      </c>
      <c r="I164" s="302" t="str">
        <f>IFERROR(VLOOKUP($O164,종목정보tbl!$A$2:$V$471,$T$3,0),"-")</f>
        <v>-</v>
      </c>
      <c r="J164" s="302" t="str">
        <f>IFERROR(VLOOKUP(VLOOKUP($O164,종목정보tbl!$A$2:$V$471,$T$4,0),종목코드tbl!$A$2:$D$37,2,0),"-")</f>
        <v>-</v>
      </c>
      <c r="K164" s="302" t="str">
        <f>IFERROR(VLOOKUP($O164,종목정보tbl!$A$2:$V$471,$T$5,0),"-")</f>
        <v>-</v>
      </c>
      <c r="L164" s="300"/>
      <c r="M164" s="301" t="str">
        <f>IFERROR(VLOOKUP($O164,종목정보tbl!$A$2:$V$471,$T$6,0),"-")</f>
        <v>-</v>
      </c>
      <c r="N164" s="302" t="str">
        <f>IFERROR(VLOOKUP($O164,종목정보tbl!$A$2:$V$471,$T$7,0),"-")</f>
        <v>-</v>
      </c>
      <c r="O164" s="276" t="str">
        <f t="array" ref="O164">IFERROR(SMALL(IF(종목정보tbl!$B$1:$B$500=2,종목정보tbl!$A$1:$A$500,""),P164),"")</f>
        <v/>
      </c>
      <c r="P164" s="176">
        <v>156</v>
      </c>
    </row>
    <row r="165" spans="2:16" outlineLevel="1">
      <c r="B165" s="300"/>
      <c r="C165" s="301">
        <f t="shared" ca="1" si="2"/>
        <v>45534</v>
      </c>
      <c r="D165" s="300"/>
      <c r="E165" s="300"/>
      <c r="F165" s="684" t="str">
        <f>IF(개요!$C$8="","-",개요!$C$8)</f>
        <v>흥국생명보험(지분증권), 미래컴퍼니</v>
      </c>
      <c r="G165" s="684" t="str">
        <f>IF(개요!$C$7="","-",개요!$C$7)</f>
        <v>포스코KAICI신기술사업투자조합제1호</v>
      </c>
      <c r="H165" s="302" t="str">
        <f>IFERROR(VLOOKUP($O165,종목정보tbl!$A$2:$V$471,$T$2,0),"-")</f>
        <v>-</v>
      </c>
      <c r="I165" s="302" t="str">
        <f>IFERROR(VLOOKUP($O165,종목정보tbl!$A$2:$V$471,$T$3,0),"-")</f>
        <v>-</v>
      </c>
      <c r="J165" s="302" t="str">
        <f>IFERROR(VLOOKUP(VLOOKUP($O165,종목정보tbl!$A$2:$V$471,$T$4,0),종목코드tbl!$A$2:$D$37,2,0),"-")</f>
        <v>-</v>
      </c>
      <c r="K165" s="302" t="str">
        <f>IFERROR(VLOOKUP($O165,종목정보tbl!$A$2:$V$471,$T$5,0),"-")</f>
        <v>-</v>
      </c>
      <c r="L165" s="300"/>
      <c r="M165" s="301" t="str">
        <f>IFERROR(VLOOKUP($O165,종목정보tbl!$A$2:$V$471,$T$6,0),"-")</f>
        <v>-</v>
      </c>
      <c r="N165" s="302" t="str">
        <f>IFERROR(VLOOKUP($O165,종목정보tbl!$A$2:$V$471,$T$7,0),"-")</f>
        <v>-</v>
      </c>
      <c r="O165" s="276" t="str">
        <f t="array" ref="O165">IFERROR(SMALL(IF(종목정보tbl!$B$1:$B$500=2,종목정보tbl!$A$1:$A$500,""),P165),"")</f>
        <v/>
      </c>
      <c r="P165" s="303">
        <v>157</v>
      </c>
    </row>
    <row r="166" spans="2:16" outlineLevel="1">
      <c r="B166" s="300"/>
      <c r="C166" s="301">
        <f t="shared" ca="1" si="2"/>
        <v>45534</v>
      </c>
      <c r="D166" s="300"/>
      <c r="E166" s="300"/>
      <c r="F166" s="684" t="str">
        <f>IF(개요!$C$8="","-",개요!$C$8)</f>
        <v>흥국생명보험(지분증권), 미래컴퍼니</v>
      </c>
      <c r="G166" s="684" t="str">
        <f>IF(개요!$C$7="","-",개요!$C$7)</f>
        <v>포스코KAICI신기술사업투자조합제1호</v>
      </c>
      <c r="H166" s="302" t="str">
        <f>IFERROR(VLOOKUP($O166,종목정보tbl!$A$2:$V$471,$T$2,0),"-")</f>
        <v>-</v>
      </c>
      <c r="I166" s="302" t="str">
        <f>IFERROR(VLOOKUP($O166,종목정보tbl!$A$2:$V$471,$T$3,0),"-")</f>
        <v>-</v>
      </c>
      <c r="J166" s="302" t="str">
        <f>IFERROR(VLOOKUP(VLOOKUP($O166,종목정보tbl!$A$2:$V$471,$T$4,0),종목코드tbl!$A$2:$D$37,2,0),"-")</f>
        <v>-</v>
      </c>
      <c r="K166" s="302" t="str">
        <f>IFERROR(VLOOKUP($O166,종목정보tbl!$A$2:$V$471,$T$5,0),"-")</f>
        <v>-</v>
      </c>
      <c r="L166" s="300"/>
      <c r="M166" s="301" t="str">
        <f>IFERROR(VLOOKUP($O166,종목정보tbl!$A$2:$V$471,$T$6,0),"-")</f>
        <v>-</v>
      </c>
      <c r="N166" s="302" t="str">
        <f>IFERROR(VLOOKUP($O166,종목정보tbl!$A$2:$V$471,$T$7,0),"-")</f>
        <v>-</v>
      </c>
      <c r="O166" s="276" t="str">
        <f t="array" ref="O166">IFERROR(SMALL(IF(종목정보tbl!$B$1:$B$500=2,종목정보tbl!$A$1:$A$500,""),P166),"")</f>
        <v/>
      </c>
      <c r="P166" s="176">
        <v>158</v>
      </c>
    </row>
    <row r="167" spans="2:16" outlineLevel="1">
      <c r="B167" s="300"/>
      <c r="C167" s="301">
        <f t="shared" ca="1" si="2"/>
        <v>45534</v>
      </c>
      <c r="D167" s="300"/>
      <c r="E167" s="300"/>
      <c r="F167" s="684" t="str">
        <f>IF(개요!$C$8="","-",개요!$C$8)</f>
        <v>흥국생명보험(지분증권), 미래컴퍼니</v>
      </c>
      <c r="G167" s="684" t="str">
        <f>IF(개요!$C$7="","-",개요!$C$7)</f>
        <v>포스코KAICI신기술사업투자조합제1호</v>
      </c>
      <c r="H167" s="302" t="str">
        <f>IFERROR(VLOOKUP($O167,종목정보tbl!$A$2:$V$471,$T$2,0),"-")</f>
        <v>-</v>
      </c>
      <c r="I167" s="302" t="str">
        <f>IFERROR(VLOOKUP($O167,종목정보tbl!$A$2:$V$471,$T$3,0),"-")</f>
        <v>-</v>
      </c>
      <c r="J167" s="302" t="str">
        <f>IFERROR(VLOOKUP(VLOOKUP($O167,종목정보tbl!$A$2:$V$471,$T$4,0),종목코드tbl!$A$2:$D$37,2,0),"-")</f>
        <v>-</v>
      </c>
      <c r="K167" s="302" t="str">
        <f>IFERROR(VLOOKUP($O167,종목정보tbl!$A$2:$V$471,$T$5,0),"-")</f>
        <v>-</v>
      </c>
      <c r="L167" s="300"/>
      <c r="M167" s="301" t="str">
        <f>IFERROR(VLOOKUP($O167,종목정보tbl!$A$2:$V$471,$T$6,0),"-")</f>
        <v>-</v>
      </c>
      <c r="N167" s="302" t="str">
        <f>IFERROR(VLOOKUP($O167,종목정보tbl!$A$2:$V$471,$T$7,0),"-")</f>
        <v>-</v>
      </c>
      <c r="O167" s="276" t="str">
        <f t="array" ref="O167">IFERROR(SMALL(IF(종목정보tbl!$B$1:$B$500=2,종목정보tbl!$A$1:$A$500,""),P167),"")</f>
        <v/>
      </c>
      <c r="P167" s="303">
        <v>159</v>
      </c>
    </row>
    <row r="168" spans="2:16" outlineLevel="1">
      <c r="B168" s="300"/>
      <c r="C168" s="301">
        <f t="shared" ca="1" si="2"/>
        <v>45534</v>
      </c>
      <c r="D168" s="300"/>
      <c r="E168" s="300"/>
      <c r="F168" s="684" t="str">
        <f>IF(개요!$C$8="","-",개요!$C$8)</f>
        <v>흥국생명보험(지분증권), 미래컴퍼니</v>
      </c>
      <c r="G168" s="684" t="str">
        <f>IF(개요!$C$7="","-",개요!$C$7)</f>
        <v>포스코KAICI신기술사업투자조합제1호</v>
      </c>
      <c r="H168" s="302" t="str">
        <f>IFERROR(VLOOKUP($O168,종목정보tbl!$A$2:$V$471,$T$2,0),"-")</f>
        <v>-</v>
      </c>
      <c r="I168" s="302" t="str">
        <f>IFERROR(VLOOKUP($O168,종목정보tbl!$A$2:$V$471,$T$3,0),"-")</f>
        <v>-</v>
      </c>
      <c r="J168" s="302" t="str">
        <f>IFERROR(VLOOKUP(VLOOKUP($O168,종목정보tbl!$A$2:$V$471,$T$4,0),종목코드tbl!$A$2:$D$37,2,0),"-")</f>
        <v>-</v>
      </c>
      <c r="K168" s="302" t="str">
        <f>IFERROR(VLOOKUP($O168,종목정보tbl!$A$2:$V$471,$T$5,0),"-")</f>
        <v>-</v>
      </c>
      <c r="L168" s="300"/>
      <c r="M168" s="301" t="str">
        <f>IFERROR(VLOOKUP($O168,종목정보tbl!$A$2:$V$471,$T$6,0),"-")</f>
        <v>-</v>
      </c>
      <c r="N168" s="302" t="str">
        <f>IFERROR(VLOOKUP($O168,종목정보tbl!$A$2:$V$471,$T$7,0),"-")</f>
        <v>-</v>
      </c>
      <c r="O168" s="276" t="str">
        <f t="array" ref="O168">IFERROR(SMALL(IF(종목정보tbl!$B$1:$B$500=2,종목정보tbl!$A$1:$A$500,""),P168),"")</f>
        <v/>
      </c>
      <c r="P168" s="176">
        <v>160</v>
      </c>
    </row>
    <row r="169" spans="2:16" outlineLevel="1">
      <c r="B169" s="300"/>
      <c r="C169" s="301">
        <f t="shared" ca="1" si="2"/>
        <v>45534</v>
      </c>
      <c r="D169" s="300"/>
      <c r="E169" s="300"/>
      <c r="F169" s="684" t="str">
        <f>IF(개요!$C$8="","-",개요!$C$8)</f>
        <v>흥국생명보험(지분증권), 미래컴퍼니</v>
      </c>
      <c r="G169" s="684" t="str">
        <f>IF(개요!$C$7="","-",개요!$C$7)</f>
        <v>포스코KAICI신기술사업투자조합제1호</v>
      </c>
      <c r="H169" s="302" t="str">
        <f>IFERROR(VLOOKUP($O169,종목정보tbl!$A$2:$V$471,$T$2,0),"-")</f>
        <v>-</v>
      </c>
      <c r="I169" s="302" t="str">
        <f>IFERROR(VLOOKUP($O169,종목정보tbl!$A$2:$V$471,$T$3,0),"-")</f>
        <v>-</v>
      </c>
      <c r="J169" s="302" t="str">
        <f>IFERROR(VLOOKUP(VLOOKUP($O169,종목정보tbl!$A$2:$V$471,$T$4,0),종목코드tbl!$A$2:$D$37,2,0),"-")</f>
        <v>-</v>
      </c>
      <c r="K169" s="302" t="str">
        <f>IFERROR(VLOOKUP($O169,종목정보tbl!$A$2:$V$471,$T$5,0),"-")</f>
        <v>-</v>
      </c>
      <c r="L169" s="300"/>
      <c r="M169" s="301" t="str">
        <f>IFERROR(VLOOKUP($O169,종목정보tbl!$A$2:$V$471,$T$6,0),"-")</f>
        <v>-</v>
      </c>
      <c r="N169" s="302" t="str">
        <f>IFERROR(VLOOKUP($O169,종목정보tbl!$A$2:$V$471,$T$7,0),"-")</f>
        <v>-</v>
      </c>
      <c r="O169" s="276" t="str">
        <f t="array" ref="O169">IFERROR(SMALL(IF(종목정보tbl!$B$1:$B$500=2,종목정보tbl!$A$1:$A$500,""),P169),"")</f>
        <v/>
      </c>
      <c r="P169" s="303">
        <v>161</v>
      </c>
    </row>
    <row r="170" spans="2:16" outlineLevel="1">
      <c r="B170" s="300"/>
      <c r="C170" s="301">
        <f t="shared" ca="1" si="2"/>
        <v>45534</v>
      </c>
      <c r="D170" s="300"/>
      <c r="E170" s="300"/>
      <c r="F170" s="684" t="str">
        <f>IF(개요!$C$8="","-",개요!$C$8)</f>
        <v>흥국생명보험(지분증권), 미래컴퍼니</v>
      </c>
      <c r="G170" s="684" t="str">
        <f>IF(개요!$C$7="","-",개요!$C$7)</f>
        <v>포스코KAICI신기술사업투자조합제1호</v>
      </c>
      <c r="H170" s="302" t="str">
        <f>IFERROR(VLOOKUP($O170,종목정보tbl!$A$2:$V$471,$T$2,0),"-")</f>
        <v>-</v>
      </c>
      <c r="I170" s="302" t="str">
        <f>IFERROR(VLOOKUP($O170,종목정보tbl!$A$2:$V$471,$T$3,0),"-")</f>
        <v>-</v>
      </c>
      <c r="J170" s="302" t="str">
        <f>IFERROR(VLOOKUP(VLOOKUP($O170,종목정보tbl!$A$2:$V$471,$T$4,0),종목코드tbl!$A$2:$D$37,2,0),"-")</f>
        <v>-</v>
      </c>
      <c r="K170" s="302" t="str">
        <f>IFERROR(VLOOKUP($O170,종목정보tbl!$A$2:$V$471,$T$5,0),"-")</f>
        <v>-</v>
      </c>
      <c r="L170" s="300"/>
      <c r="M170" s="301" t="str">
        <f>IFERROR(VLOOKUP($O170,종목정보tbl!$A$2:$V$471,$T$6,0),"-")</f>
        <v>-</v>
      </c>
      <c r="N170" s="302" t="str">
        <f>IFERROR(VLOOKUP($O170,종목정보tbl!$A$2:$V$471,$T$7,0),"-")</f>
        <v>-</v>
      </c>
      <c r="O170" s="276" t="str">
        <f t="array" ref="O170">IFERROR(SMALL(IF(종목정보tbl!$B$1:$B$500=2,종목정보tbl!$A$1:$A$500,""),P170),"")</f>
        <v/>
      </c>
      <c r="P170" s="176">
        <v>162</v>
      </c>
    </row>
    <row r="171" spans="2:16" outlineLevel="1">
      <c r="B171" s="300"/>
      <c r="C171" s="301">
        <f t="shared" ca="1" si="2"/>
        <v>45534</v>
      </c>
      <c r="D171" s="300"/>
      <c r="E171" s="300"/>
      <c r="F171" s="684" t="str">
        <f>IF(개요!$C$8="","-",개요!$C$8)</f>
        <v>흥국생명보험(지분증권), 미래컴퍼니</v>
      </c>
      <c r="G171" s="684" t="str">
        <f>IF(개요!$C$7="","-",개요!$C$7)</f>
        <v>포스코KAICI신기술사업투자조합제1호</v>
      </c>
      <c r="H171" s="302" t="str">
        <f>IFERROR(VLOOKUP($O171,종목정보tbl!$A$2:$V$471,$T$2,0),"-")</f>
        <v>-</v>
      </c>
      <c r="I171" s="302" t="str">
        <f>IFERROR(VLOOKUP($O171,종목정보tbl!$A$2:$V$471,$T$3,0),"-")</f>
        <v>-</v>
      </c>
      <c r="J171" s="302" t="str">
        <f>IFERROR(VLOOKUP(VLOOKUP($O171,종목정보tbl!$A$2:$V$471,$T$4,0),종목코드tbl!$A$2:$D$37,2,0),"-")</f>
        <v>-</v>
      </c>
      <c r="K171" s="302" t="str">
        <f>IFERROR(VLOOKUP($O171,종목정보tbl!$A$2:$V$471,$T$5,0),"-")</f>
        <v>-</v>
      </c>
      <c r="L171" s="300"/>
      <c r="M171" s="301" t="str">
        <f>IFERROR(VLOOKUP($O171,종목정보tbl!$A$2:$V$471,$T$6,0),"-")</f>
        <v>-</v>
      </c>
      <c r="N171" s="302" t="str">
        <f>IFERROR(VLOOKUP($O171,종목정보tbl!$A$2:$V$471,$T$7,0),"-")</f>
        <v>-</v>
      </c>
      <c r="O171" s="276" t="str">
        <f t="array" ref="O171">IFERROR(SMALL(IF(종목정보tbl!$B$1:$B$500=2,종목정보tbl!$A$1:$A$500,""),P171),"")</f>
        <v/>
      </c>
      <c r="P171" s="303">
        <v>163</v>
      </c>
    </row>
    <row r="172" spans="2:16" outlineLevel="1">
      <c r="B172" s="300"/>
      <c r="C172" s="301">
        <f t="shared" ca="1" si="2"/>
        <v>45534</v>
      </c>
      <c r="D172" s="300"/>
      <c r="E172" s="300"/>
      <c r="F172" s="684" t="str">
        <f>IF(개요!$C$8="","-",개요!$C$8)</f>
        <v>흥국생명보험(지분증권), 미래컴퍼니</v>
      </c>
      <c r="G172" s="684" t="str">
        <f>IF(개요!$C$7="","-",개요!$C$7)</f>
        <v>포스코KAICI신기술사업투자조합제1호</v>
      </c>
      <c r="H172" s="302" t="str">
        <f>IFERROR(VLOOKUP($O172,종목정보tbl!$A$2:$V$471,$T$2,0),"-")</f>
        <v>-</v>
      </c>
      <c r="I172" s="302" t="str">
        <f>IFERROR(VLOOKUP($O172,종목정보tbl!$A$2:$V$471,$T$3,0),"-")</f>
        <v>-</v>
      </c>
      <c r="J172" s="302" t="str">
        <f>IFERROR(VLOOKUP(VLOOKUP($O172,종목정보tbl!$A$2:$V$471,$T$4,0),종목코드tbl!$A$2:$D$37,2,0),"-")</f>
        <v>-</v>
      </c>
      <c r="K172" s="302" t="str">
        <f>IFERROR(VLOOKUP($O172,종목정보tbl!$A$2:$V$471,$T$5,0),"-")</f>
        <v>-</v>
      </c>
      <c r="L172" s="300"/>
      <c r="M172" s="301" t="str">
        <f>IFERROR(VLOOKUP($O172,종목정보tbl!$A$2:$V$471,$T$6,0),"-")</f>
        <v>-</v>
      </c>
      <c r="N172" s="302" t="str">
        <f>IFERROR(VLOOKUP($O172,종목정보tbl!$A$2:$V$471,$T$7,0),"-")</f>
        <v>-</v>
      </c>
      <c r="O172" s="276" t="str">
        <f t="array" ref="O172">IFERROR(SMALL(IF(종목정보tbl!$B$1:$B$500=2,종목정보tbl!$A$1:$A$500,""),P172),"")</f>
        <v/>
      </c>
      <c r="P172" s="176">
        <v>164</v>
      </c>
    </row>
    <row r="173" spans="2:16" outlineLevel="1">
      <c r="B173" s="300"/>
      <c r="C173" s="301">
        <f t="shared" ca="1" si="2"/>
        <v>45534</v>
      </c>
      <c r="D173" s="300"/>
      <c r="E173" s="300"/>
      <c r="F173" s="684" t="str">
        <f>IF(개요!$C$8="","-",개요!$C$8)</f>
        <v>흥국생명보험(지분증권), 미래컴퍼니</v>
      </c>
      <c r="G173" s="684" t="str">
        <f>IF(개요!$C$7="","-",개요!$C$7)</f>
        <v>포스코KAICI신기술사업투자조합제1호</v>
      </c>
      <c r="H173" s="302" t="str">
        <f>IFERROR(VLOOKUP($O173,종목정보tbl!$A$2:$V$471,$T$2,0),"-")</f>
        <v>-</v>
      </c>
      <c r="I173" s="302" t="str">
        <f>IFERROR(VLOOKUP($O173,종목정보tbl!$A$2:$V$471,$T$3,0),"-")</f>
        <v>-</v>
      </c>
      <c r="J173" s="302" t="str">
        <f>IFERROR(VLOOKUP(VLOOKUP($O173,종목정보tbl!$A$2:$V$471,$T$4,0),종목코드tbl!$A$2:$D$37,2,0),"-")</f>
        <v>-</v>
      </c>
      <c r="K173" s="302" t="str">
        <f>IFERROR(VLOOKUP($O173,종목정보tbl!$A$2:$V$471,$T$5,0),"-")</f>
        <v>-</v>
      </c>
      <c r="L173" s="300"/>
      <c r="M173" s="301" t="str">
        <f>IFERROR(VLOOKUP($O173,종목정보tbl!$A$2:$V$471,$T$6,0),"-")</f>
        <v>-</v>
      </c>
      <c r="N173" s="302" t="str">
        <f>IFERROR(VLOOKUP($O173,종목정보tbl!$A$2:$V$471,$T$7,0),"-")</f>
        <v>-</v>
      </c>
      <c r="O173" s="276" t="str">
        <f t="array" ref="O173">IFERROR(SMALL(IF(종목정보tbl!$B$1:$B$500=2,종목정보tbl!$A$1:$A$500,""),P173),"")</f>
        <v/>
      </c>
      <c r="P173" s="303">
        <v>165</v>
      </c>
    </row>
    <row r="174" spans="2:16" outlineLevel="1">
      <c r="B174" s="300"/>
      <c r="C174" s="301">
        <f t="shared" ca="1" si="2"/>
        <v>45534</v>
      </c>
      <c r="D174" s="300"/>
      <c r="E174" s="300"/>
      <c r="F174" s="684" t="str">
        <f>IF(개요!$C$8="","-",개요!$C$8)</f>
        <v>흥국생명보험(지분증권), 미래컴퍼니</v>
      </c>
      <c r="G174" s="684" t="str">
        <f>IF(개요!$C$7="","-",개요!$C$7)</f>
        <v>포스코KAICI신기술사업투자조합제1호</v>
      </c>
      <c r="H174" s="302" t="str">
        <f>IFERROR(VLOOKUP($O174,종목정보tbl!$A$2:$V$471,$T$2,0),"-")</f>
        <v>-</v>
      </c>
      <c r="I174" s="302" t="str">
        <f>IFERROR(VLOOKUP($O174,종목정보tbl!$A$2:$V$471,$T$3,0),"-")</f>
        <v>-</v>
      </c>
      <c r="J174" s="302" t="str">
        <f>IFERROR(VLOOKUP(VLOOKUP($O174,종목정보tbl!$A$2:$V$471,$T$4,0),종목코드tbl!$A$2:$D$37,2,0),"-")</f>
        <v>-</v>
      </c>
      <c r="K174" s="302" t="str">
        <f>IFERROR(VLOOKUP($O174,종목정보tbl!$A$2:$V$471,$T$5,0),"-")</f>
        <v>-</v>
      </c>
      <c r="L174" s="300"/>
      <c r="M174" s="301" t="str">
        <f>IFERROR(VLOOKUP($O174,종목정보tbl!$A$2:$V$471,$T$6,0),"-")</f>
        <v>-</v>
      </c>
      <c r="N174" s="302" t="str">
        <f>IFERROR(VLOOKUP($O174,종목정보tbl!$A$2:$V$471,$T$7,0),"-")</f>
        <v>-</v>
      </c>
      <c r="O174" s="276" t="str">
        <f t="array" ref="O174">IFERROR(SMALL(IF(종목정보tbl!$B$1:$B$500=2,종목정보tbl!$A$1:$A$500,""),P174),"")</f>
        <v/>
      </c>
      <c r="P174" s="176">
        <v>166</v>
      </c>
    </row>
    <row r="175" spans="2:16" outlineLevel="1">
      <c r="B175" s="300"/>
      <c r="C175" s="301">
        <f t="shared" ca="1" si="2"/>
        <v>45534</v>
      </c>
      <c r="D175" s="300"/>
      <c r="E175" s="300"/>
      <c r="F175" s="684" t="str">
        <f>IF(개요!$C$8="","-",개요!$C$8)</f>
        <v>흥국생명보험(지분증권), 미래컴퍼니</v>
      </c>
      <c r="G175" s="684" t="str">
        <f>IF(개요!$C$7="","-",개요!$C$7)</f>
        <v>포스코KAICI신기술사업투자조합제1호</v>
      </c>
      <c r="H175" s="302" t="str">
        <f>IFERROR(VLOOKUP($O175,종목정보tbl!$A$2:$V$471,$T$2,0),"-")</f>
        <v>-</v>
      </c>
      <c r="I175" s="302" t="str">
        <f>IFERROR(VLOOKUP($O175,종목정보tbl!$A$2:$V$471,$T$3,0),"-")</f>
        <v>-</v>
      </c>
      <c r="J175" s="302" t="str">
        <f>IFERROR(VLOOKUP(VLOOKUP($O175,종목정보tbl!$A$2:$V$471,$T$4,0),종목코드tbl!$A$2:$D$37,2,0),"-")</f>
        <v>-</v>
      </c>
      <c r="K175" s="302" t="str">
        <f>IFERROR(VLOOKUP($O175,종목정보tbl!$A$2:$V$471,$T$5,0),"-")</f>
        <v>-</v>
      </c>
      <c r="L175" s="300"/>
      <c r="M175" s="301" t="str">
        <f>IFERROR(VLOOKUP($O175,종목정보tbl!$A$2:$V$471,$T$6,0),"-")</f>
        <v>-</v>
      </c>
      <c r="N175" s="302" t="str">
        <f>IFERROR(VLOOKUP($O175,종목정보tbl!$A$2:$V$471,$T$7,0),"-")</f>
        <v>-</v>
      </c>
      <c r="O175" s="276" t="str">
        <f t="array" ref="O175">IFERROR(SMALL(IF(종목정보tbl!$B$1:$B$500=2,종목정보tbl!$A$1:$A$500,""),P175),"")</f>
        <v/>
      </c>
      <c r="P175" s="303">
        <v>167</v>
      </c>
    </row>
    <row r="176" spans="2:16" outlineLevel="1">
      <c r="B176" s="300"/>
      <c r="C176" s="301">
        <f t="shared" ca="1" si="2"/>
        <v>45534</v>
      </c>
      <c r="D176" s="300"/>
      <c r="E176" s="300"/>
      <c r="F176" s="684" t="str">
        <f>IF(개요!$C$8="","-",개요!$C$8)</f>
        <v>흥국생명보험(지분증권), 미래컴퍼니</v>
      </c>
      <c r="G176" s="684" t="str">
        <f>IF(개요!$C$7="","-",개요!$C$7)</f>
        <v>포스코KAICI신기술사업투자조합제1호</v>
      </c>
      <c r="H176" s="302" t="str">
        <f>IFERROR(VLOOKUP($O176,종목정보tbl!$A$2:$V$471,$T$2,0),"-")</f>
        <v>-</v>
      </c>
      <c r="I176" s="302" t="str">
        <f>IFERROR(VLOOKUP($O176,종목정보tbl!$A$2:$V$471,$T$3,0),"-")</f>
        <v>-</v>
      </c>
      <c r="J176" s="302" t="str">
        <f>IFERROR(VLOOKUP(VLOOKUP($O176,종목정보tbl!$A$2:$V$471,$T$4,0),종목코드tbl!$A$2:$D$37,2,0),"-")</f>
        <v>-</v>
      </c>
      <c r="K176" s="302" t="str">
        <f>IFERROR(VLOOKUP($O176,종목정보tbl!$A$2:$V$471,$T$5,0),"-")</f>
        <v>-</v>
      </c>
      <c r="L176" s="300"/>
      <c r="M176" s="301" t="str">
        <f>IFERROR(VLOOKUP($O176,종목정보tbl!$A$2:$V$471,$T$6,0),"-")</f>
        <v>-</v>
      </c>
      <c r="N176" s="302" t="str">
        <f>IFERROR(VLOOKUP($O176,종목정보tbl!$A$2:$V$471,$T$7,0),"-")</f>
        <v>-</v>
      </c>
      <c r="O176" s="276" t="str">
        <f t="array" ref="O176">IFERROR(SMALL(IF(종목정보tbl!$B$1:$B$500=2,종목정보tbl!$A$1:$A$500,""),P176),"")</f>
        <v/>
      </c>
      <c r="P176" s="176">
        <v>168</v>
      </c>
    </row>
    <row r="177" spans="2:16" outlineLevel="1">
      <c r="B177" s="300"/>
      <c r="C177" s="301">
        <f t="shared" ca="1" si="2"/>
        <v>45534</v>
      </c>
      <c r="D177" s="300"/>
      <c r="E177" s="300"/>
      <c r="F177" s="684" t="str">
        <f>IF(개요!$C$8="","-",개요!$C$8)</f>
        <v>흥국생명보험(지분증권), 미래컴퍼니</v>
      </c>
      <c r="G177" s="684" t="str">
        <f>IF(개요!$C$7="","-",개요!$C$7)</f>
        <v>포스코KAICI신기술사업투자조합제1호</v>
      </c>
      <c r="H177" s="302" t="str">
        <f>IFERROR(VLOOKUP($O177,종목정보tbl!$A$2:$V$471,$T$2,0),"-")</f>
        <v>-</v>
      </c>
      <c r="I177" s="302" t="str">
        <f>IFERROR(VLOOKUP($O177,종목정보tbl!$A$2:$V$471,$T$3,0),"-")</f>
        <v>-</v>
      </c>
      <c r="J177" s="302" t="str">
        <f>IFERROR(VLOOKUP(VLOOKUP($O177,종목정보tbl!$A$2:$V$471,$T$4,0),종목코드tbl!$A$2:$D$37,2,0),"-")</f>
        <v>-</v>
      </c>
      <c r="K177" s="302" t="str">
        <f>IFERROR(VLOOKUP($O177,종목정보tbl!$A$2:$V$471,$T$5,0),"-")</f>
        <v>-</v>
      </c>
      <c r="L177" s="300"/>
      <c r="M177" s="301" t="str">
        <f>IFERROR(VLOOKUP($O177,종목정보tbl!$A$2:$V$471,$T$6,0),"-")</f>
        <v>-</v>
      </c>
      <c r="N177" s="302" t="str">
        <f>IFERROR(VLOOKUP($O177,종목정보tbl!$A$2:$V$471,$T$7,0),"-")</f>
        <v>-</v>
      </c>
      <c r="O177" s="276" t="str">
        <f t="array" ref="O177">IFERROR(SMALL(IF(종목정보tbl!$B$1:$B$500=2,종목정보tbl!$A$1:$A$500,""),P177),"")</f>
        <v/>
      </c>
      <c r="P177" s="303">
        <v>169</v>
      </c>
    </row>
    <row r="178" spans="2:16" outlineLevel="1">
      <c r="B178" s="300"/>
      <c r="C178" s="301">
        <f t="shared" ca="1" si="2"/>
        <v>45534</v>
      </c>
      <c r="D178" s="300"/>
      <c r="E178" s="300"/>
      <c r="F178" s="684" t="str">
        <f>IF(개요!$C$8="","-",개요!$C$8)</f>
        <v>흥국생명보험(지분증권), 미래컴퍼니</v>
      </c>
      <c r="G178" s="684" t="str">
        <f>IF(개요!$C$7="","-",개요!$C$7)</f>
        <v>포스코KAICI신기술사업투자조합제1호</v>
      </c>
      <c r="H178" s="302" t="str">
        <f>IFERROR(VLOOKUP($O178,종목정보tbl!$A$2:$V$471,$T$2,0),"-")</f>
        <v>-</v>
      </c>
      <c r="I178" s="302" t="str">
        <f>IFERROR(VLOOKUP($O178,종목정보tbl!$A$2:$V$471,$T$3,0),"-")</f>
        <v>-</v>
      </c>
      <c r="J178" s="302" t="str">
        <f>IFERROR(VLOOKUP(VLOOKUP($O178,종목정보tbl!$A$2:$V$471,$T$4,0),종목코드tbl!$A$2:$D$37,2,0),"-")</f>
        <v>-</v>
      </c>
      <c r="K178" s="302" t="str">
        <f>IFERROR(VLOOKUP($O178,종목정보tbl!$A$2:$V$471,$T$5,0),"-")</f>
        <v>-</v>
      </c>
      <c r="L178" s="300"/>
      <c r="M178" s="301" t="str">
        <f>IFERROR(VLOOKUP($O178,종목정보tbl!$A$2:$V$471,$T$6,0),"-")</f>
        <v>-</v>
      </c>
      <c r="N178" s="302" t="str">
        <f>IFERROR(VLOOKUP($O178,종목정보tbl!$A$2:$V$471,$T$7,0),"-")</f>
        <v>-</v>
      </c>
      <c r="O178" s="276" t="str">
        <f t="array" ref="O178">IFERROR(SMALL(IF(종목정보tbl!$B$1:$B$500=2,종목정보tbl!$A$1:$A$500,""),P178),"")</f>
        <v/>
      </c>
      <c r="P178" s="176">
        <v>170</v>
      </c>
    </row>
    <row r="179" spans="2:16" outlineLevel="1">
      <c r="B179" s="300"/>
      <c r="C179" s="301">
        <f t="shared" ca="1" si="2"/>
        <v>45534</v>
      </c>
      <c r="D179" s="300"/>
      <c r="E179" s="300"/>
      <c r="F179" s="684" t="str">
        <f>IF(개요!$C$8="","-",개요!$C$8)</f>
        <v>흥국생명보험(지분증권), 미래컴퍼니</v>
      </c>
      <c r="G179" s="684" t="str">
        <f>IF(개요!$C$7="","-",개요!$C$7)</f>
        <v>포스코KAICI신기술사업투자조합제1호</v>
      </c>
      <c r="H179" s="302" t="str">
        <f>IFERROR(VLOOKUP($O179,종목정보tbl!$A$2:$V$471,$T$2,0),"-")</f>
        <v>-</v>
      </c>
      <c r="I179" s="302" t="str">
        <f>IFERROR(VLOOKUP($O179,종목정보tbl!$A$2:$V$471,$T$3,0),"-")</f>
        <v>-</v>
      </c>
      <c r="J179" s="302" t="str">
        <f>IFERROR(VLOOKUP(VLOOKUP($O179,종목정보tbl!$A$2:$V$471,$T$4,0),종목코드tbl!$A$2:$D$37,2,0),"-")</f>
        <v>-</v>
      </c>
      <c r="K179" s="302" t="str">
        <f>IFERROR(VLOOKUP($O179,종목정보tbl!$A$2:$V$471,$T$5,0),"-")</f>
        <v>-</v>
      </c>
      <c r="L179" s="300"/>
      <c r="M179" s="301" t="str">
        <f>IFERROR(VLOOKUP($O179,종목정보tbl!$A$2:$V$471,$T$6,0),"-")</f>
        <v>-</v>
      </c>
      <c r="N179" s="302" t="str">
        <f>IFERROR(VLOOKUP($O179,종목정보tbl!$A$2:$V$471,$T$7,0),"-")</f>
        <v>-</v>
      </c>
      <c r="O179" s="276" t="str">
        <f t="array" ref="O179">IFERROR(SMALL(IF(종목정보tbl!$B$1:$B$500=2,종목정보tbl!$A$1:$A$500,""),P179),"")</f>
        <v/>
      </c>
      <c r="P179" s="303">
        <v>171</v>
      </c>
    </row>
    <row r="180" spans="2:16" outlineLevel="1">
      <c r="B180" s="300"/>
      <c r="C180" s="301">
        <f t="shared" ca="1" si="2"/>
        <v>45534</v>
      </c>
      <c r="D180" s="300"/>
      <c r="E180" s="300"/>
      <c r="F180" s="684" t="str">
        <f>IF(개요!$C$8="","-",개요!$C$8)</f>
        <v>흥국생명보험(지분증권), 미래컴퍼니</v>
      </c>
      <c r="G180" s="684" t="str">
        <f>IF(개요!$C$7="","-",개요!$C$7)</f>
        <v>포스코KAICI신기술사업투자조합제1호</v>
      </c>
      <c r="H180" s="302" t="str">
        <f>IFERROR(VLOOKUP($O180,종목정보tbl!$A$2:$V$471,$T$2,0),"-")</f>
        <v>-</v>
      </c>
      <c r="I180" s="302" t="str">
        <f>IFERROR(VLOOKUP($O180,종목정보tbl!$A$2:$V$471,$T$3,0),"-")</f>
        <v>-</v>
      </c>
      <c r="J180" s="302" t="str">
        <f>IFERROR(VLOOKUP(VLOOKUP($O180,종목정보tbl!$A$2:$V$471,$T$4,0),종목코드tbl!$A$2:$D$37,2,0),"-")</f>
        <v>-</v>
      </c>
      <c r="K180" s="302" t="str">
        <f>IFERROR(VLOOKUP($O180,종목정보tbl!$A$2:$V$471,$T$5,0),"-")</f>
        <v>-</v>
      </c>
      <c r="L180" s="300"/>
      <c r="M180" s="301" t="str">
        <f>IFERROR(VLOOKUP($O180,종목정보tbl!$A$2:$V$471,$T$6,0),"-")</f>
        <v>-</v>
      </c>
      <c r="N180" s="302" t="str">
        <f>IFERROR(VLOOKUP($O180,종목정보tbl!$A$2:$V$471,$T$7,0),"-")</f>
        <v>-</v>
      </c>
      <c r="O180" s="276" t="str">
        <f t="array" ref="O180">IFERROR(SMALL(IF(종목정보tbl!$B$1:$B$500=2,종목정보tbl!$A$1:$A$500,""),P180),"")</f>
        <v/>
      </c>
      <c r="P180" s="176">
        <v>172</v>
      </c>
    </row>
    <row r="181" spans="2:16" outlineLevel="1">
      <c r="B181" s="300"/>
      <c r="C181" s="301">
        <f t="shared" ca="1" si="2"/>
        <v>45534</v>
      </c>
      <c r="D181" s="300"/>
      <c r="E181" s="300"/>
      <c r="F181" s="684" t="str">
        <f>IF(개요!$C$8="","-",개요!$C$8)</f>
        <v>흥국생명보험(지분증권), 미래컴퍼니</v>
      </c>
      <c r="G181" s="684" t="str">
        <f>IF(개요!$C$7="","-",개요!$C$7)</f>
        <v>포스코KAICI신기술사업투자조합제1호</v>
      </c>
      <c r="H181" s="302" t="str">
        <f>IFERROR(VLOOKUP($O181,종목정보tbl!$A$2:$V$471,$T$2,0),"-")</f>
        <v>-</v>
      </c>
      <c r="I181" s="302" t="str">
        <f>IFERROR(VLOOKUP($O181,종목정보tbl!$A$2:$V$471,$T$3,0),"-")</f>
        <v>-</v>
      </c>
      <c r="J181" s="302" t="str">
        <f>IFERROR(VLOOKUP(VLOOKUP($O181,종목정보tbl!$A$2:$V$471,$T$4,0),종목코드tbl!$A$2:$D$37,2,0),"-")</f>
        <v>-</v>
      </c>
      <c r="K181" s="302" t="str">
        <f>IFERROR(VLOOKUP($O181,종목정보tbl!$A$2:$V$471,$T$5,0),"-")</f>
        <v>-</v>
      </c>
      <c r="L181" s="300"/>
      <c r="M181" s="301" t="str">
        <f>IFERROR(VLOOKUP($O181,종목정보tbl!$A$2:$V$471,$T$6,0),"-")</f>
        <v>-</v>
      </c>
      <c r="N181" s="302" t="str">
        <f>IFERROR(VLOOKUP($O181,종목정보tbl!$A$2:$V$471,$T$7,0),"-")</f>
        <v>-</v>
      </c>
      <c r="O181" s="276" t="str">
        <f t="array" ref="O181">IFERROR(SMALL(IF(종목정보tbl!$B$1:$B$500=2,종목정보tbl!$A$1:$A$500,""),P181),"")</f>
        <v/>
      </c>
      <c r="P181" s="303">
        <v>173</v>
      </c>
    </row>
    <row r="182" spans="2:16" outlineLevel="1">
      <c r="B182" s="300"/>
      <c r="C182" s="301">
        <f t="shared" ca="1" si="2"/>
        <v>45534</v>
      </c>
      <c r="D182" s="300"/>
      <c r="E182" s="300"/>
      <c r="F182" s="684" t="str">
        <f>IF(개요!$C$8="","-",개요!$C$8)</f>
        <v>흥국생명보험(지분증권), 미래컴퍼니</v>
      </c>
      <c r="G182" s="684" t="str">
        <f>IF(개요!$C$7="","-",개요!$C$7)</f>
        <v>포스코KAICI신기술사업투자조합제1호</v>
      </c>
      <c r="H182" s="302" t="str">
        <f>IFERROR(VLOOKUP($O182,종목정보tbl!$A$2:$V$471,$T$2,0),"-")</f>
        <v>-</v>
      </c>
      <c r="I182" s="302" t="str">
        <f>IFERROR(VLOOKUP($O182,종목정보tbl!$A$2:$V$471,$T$3,0),"-")</f>
        <v>-</v>
      </c>
      <c r="J182" s="302" t="str">
        <f>IFERROR(VLOOKUP(VLOOKUP($O182,종목정보tbl!$A$2:$V$471,$T$4,0),종목코드tbl!$A$2:$D$37,2,0),"-")</f>
        <v>-</v>
      </c>
      <c r="K182" s="302" t="str">
        <f>IFERROR(VLOOKUP($O182,종목정보tbl!$A$2:$V$471,$T$5,0),"-")</f>
        <v>-</v>
      </c>
      <c r="L182" s="300"/>
      <c r="M182" s="301" t="str">
        <f>IFERROR(VLOOKUP($O182,종목정보tbl!$A$2:$V$471,$T$6,0),"-")</f>
        <v>-</v>
      </c>
      <c r="N182" s="302" t="str">
        <f>IFERROR(VLOOKUP($O182,종목정보tbl!$A$2:$V$471,$T$7,0),"-")</f>
        <v>-</v>
      </c>
      <c r="O182" s="276" t="str">
        <f t="array" ref="O182">IFERROR(SMALL(IF(종목정보tbl!$B$1:$B$500=2,종목정보tbl!$A$1:$A$500,""),P182),"")</f>
        <v/>
      </c>
      <c r="P182" s="176">
        <v>174</v>
      </c>
    </row>
    <row r="183" spans="2:16" outlineLevel="1">
      <c r="B183" s="300"/>
      <c r="C183" s="301">
        <f t="shared" ca="1" si="2"/>
        <v>45534</v>
      </c>
      <c r="D183" s="300"/>
      <c r="E183" s="300"/>
      <c r="F183" s="684" t="str">
        <f>IF(개요!$C$8="","-",개요!$C$8)</f>
        <v>흥국생명보험(지분증권), 미래컴퍼니</v>
      </c>
      <c r="G183" s="684" t="str">
        <f>IF(개요!$C$7="","-",개요!$C$7)</f>
        <v>포스코KAICI신기술사업투자조합제1호</v>
      </c>
      <c r="H183" s="302" t="str">
        <f>IFERROR(VLOOKUP($O183,종목정보tbl!$A$2:$V$471,$T$2,0),"-")</f>
        <v>-</v>
      </c>
      <c r="I183" s="302" t="str">
        <f>IFERROR(VLOOKUP($O183,종목정보tbl!$A$2:$V$471,$T$3,0),"-")</f>
        <v>-</v>
      </c>
      <c r="J183" s="302" t="str">
        <f>IFERROR(VLOOKUP(VLOOKUP($O183,종목정보tbl!$A$2:$V$471,$T$4,0),종목코드tbl!$A$2:$D$37,2,0),"-")</f>
        <v>-</v>
      </c>
      <c r="K183" s="302" t="str">
        <f>IFERROR(VLOOKUP($O183,종목정보tbl!$A$2:$V$471,$T$5,0),"-")</f>
        <v>-</v>
      </c>
      <c r="L183" s="300"/>
      <c r="M183" s="301" t="str">
        <f>IFERROR(VLOOKUP($O183,종목정보tbl!$A$2:$V$471,$T$6,0),"-")</f>
        <v>-</v>
      </c>
      <c r="N183" s="302" t="str">
        <f>IFERROR(VLOOKUP($O183,종목정보tbl!$A$2:$V$471,$T$7,0),"-")</f>
        <v>-</v>
      </c>
      <c r="O183" s="276" t="str">
        <f t="array" ref="O183">IFERROR(SMALL(IF(종목정보tbl!$B$1:$B$500=2,종목정보tbl!$A$1:$A$500,""),P183),"")</f>
        <v/>
      </c>
      <c r="P183" s="303">
        <v>175</v>
      </c>
    </row>
    <row r="184" spans="2:16" outlineLevel="1">
      <c r="B184" s="300"/>
      <c r="C184" s="301">
        <f t="shared" ca="1" si="2"/>
        <v>45534</v>
      </c>
      <c r="D184" s="300"/>
      <c r="E184" s="300"/>
      <c r="F184" s="684" t="str">
        <f>IF(개요!$C$8="","-",개요!$C$8)</f>
        <v>흥국생명보험(지분증권), 미래컴퍼니</v>
      </c>
      <c r="G184" s="684" t="str">
        <f>IF(개요!$C$7="","-",개요!$C$7)</f>
        <v>포스코KAICI신기술사업투자조합제1호</v>
      </c>
      <c r="H184" s="302" t="str">
        <f>IFERROR(VLOOKUP($O184,종목정보tbl!$A$2:$V$471,$T$2,0),"-")</f>
        <v>-</v>
      </c>
      <c r="I184" s="302" t="str">
        <f>IFERROR(VLOOKUP($O184,종목정보tbl!$A$2:$V$471,$T$3,0),"-")</f>
        <v>-</v>
      </c>
      <c r="J184" s="302" t="str">
        <f>IFERROR(VLOOKUP(VLOOKUP($O184,종목정보tbl!$A$2:$V$471,$T$4,0),종목코드tbl!$A$2:$D$37,2,0),"-")</f>
        <v>-</v>
      </c>
      <c r="K184" s="302" t="str">
        <f>IFERROR(VLOOKUP($O184,종목정보tbl!$A$2:$V$471,$T$5,0),"-")</f>
        <v>-</v>
      </c>
      <c r="L184" s="300"/>
      <c r="M184" s="301" t="str">
        <f>IFERROR(VLOOKUP($O184,종목정보tbl!$A$2:$V$471,$T$6,0),"-")</f>
        <v>-</v>
      </c>
      <c r="N184" s="302" t="str">
        <f>IFERROR(VLOOKUP($O184,종목정보tbl!$A$2:$V$471,$T$7,0),"-")</f>
        <v>-</v>
      </c>
      <c r="O184" s="276" t="str">
        <f t="array" ref="O184">IFERROR(SMALL(IF(종목정보tbl!$B$1:$B$500=2,종목정보tbl!$A$1:$A$500,""),P184),"")</f>
        <v/>
      </c>
      <c r="P184" s="176">
        <v>176</v>
      </c>
    </row>
    <row r="185" spans="2:16" outlineLevel="1">
      <c r="B185" s="300"/>
      <c r="C185" s="301">
        <f t="shared" ca="1" si="2"/>
        <v>45534</v>
      </c>
      <c r="D185" s="300"/>
      <c r="E185" s="300"/>
      <c r="F185" s="684" t="str">
        <f>IF(개요!$C$8="","-",개요!$C$8)</f>
        <v>흥국생명보험(지분증권), 미래컴퍼니</v>
      </c>
      <c r="G185" s="684" t="str">
        <f>IF(개요!$C$7="","-",개요!$C$7)</f>
        <v>포스코KAICI신기술사업투자조합제1호</v>
      </c>
      <c r="H185" s="302" t="str">
        <f>IFERROR(VLOOKUP($O185,종목정보tbl!$A$2:$V$471,$T$2,0),"-")</f>
        <v>-</v>
      </c>
      <c r="I185" s="302" t="str">
        <f>IFERROR(VLOOKUP($O185,종목정보tbl!$A$2:$V$471,$T$3,0),"-")</f>
        <v>-</v>
      </c>
      <c r="J185" s="302" t="str">
        <f>IFERROR(VLOOKUP(VLOOKUP($O185,종목정보tbl!$A$2:$V$471,$T$4,0),종목코드tbl!$A$2:$D$37,2,0),"-")</f>
        <v>-</v>
      </c>
      <c r="K185" s="302" t="str">
        <f>IFERROR(VLOOKUP($O185,종목정보tbl!$A$2:$V$471,$T$5,0),"-")</f>
        <v>-</v>
      </c>
      <c r="L185" s="300"/>
      <c r="M185" s="301" t="str">
        <f>IFERROR(VLOOKUP($O185,종목정보tbl!$A$2:$V$471,$T$6,0),"-")</f>
        <v>-</v>
      </c>
      <c r="N185" s="302" t="str">
        <f>IFERROR(VLOOKUP($O185,종목정보tbl!$A$2:$V$471,$T$7,0),"-")</f>
        <v>-</v>
      </c>
      <c r="O185" s="276" t="str">
        <f t="array" ref="O185">IFERROR(SMALL(IF(종목정보tbl!$B$1:$B$500=2,종목정보tbl!$A$1:$A$500,""),P185),"")</f>
        <v/>
      </c>
      <c r="P185" s="303">
        <v>177</v>
      </c>
    </row>
    <row r="186" spans="2:16" outlineLevel="1">
      <c r="B186" s="300"/>
      <c r="C186" s="301">
        <f t="shared" ca="1" si="2"/>
        <v>45534</v>
      </c>
      <c r="D186" s="300"/>
      <c r="E186" s="300"/>
      <c r="F186" s="684" t="str">
        <f>IF(개요!$C$8="","-",개요!$C$8)</f>
        <v>흥국생명보험(지분증권), 미래컴퍼니</v>
      </c>
      <c r="G186" s="684" t="str">
        <f>IF(개요!$C$7="","-",개요!$C$7)</f>
        <v>포스코KAICI신기술사업투자조합제1호</v>
      </c>
      <c r="H186" s="302" t="str">
        <f>IFERROR(VLOOKUP($O186,종목정보tbl!$A$2:$V$471,$T$2,0),"-")</f>
        <v>-</v>
      </c>
      <c r="I186" s="302" t="str">
        <f>IFERROR(VLOOKUP($O186,종목정보tbl!$A$2:$V$471,$T$3,0),"-")</f>
        <v>-</v>
      </c>
      <c r="J186" s="302" t="str">
        <f>IFERROR(VLOOKUP(VLOOKUP($O186,종목정보tbl!$A$2:$V$471,$T$4,0),종목코드tbl!$A$2:$D$37,2,0),"-")</f>
        <v>-</v>
      </c>
      <c r="K186" s="302" t="str">
        <f>IFERROR(VLOOKUP($O186,종목정보tbl!$A$2:$V$471,$T$5,0),"-")</f>
        <v>-</v>
      </c>
      <c r="L186" s="300"/>
      <c r="M186" s="301" t="str">
        <f>IFERROR(VLOOKUP($O186,종목정보tbl!$A$2:$V$471,$T$6,0),"-")</f>
        <v>-</v>
      </c>
      <c r="N186" s="302" t="str">
        <f>IFERROR(VLOOKUP($O186,종목정보tbl!$A$2:$V$471,$T$7,0),"-")</f>
        <v>-</v>
      </c>
      <c r="O186" s="276" t="str">
        <f t="array" ref="O186">IFERROR(SMALL(IF(종목정보tbl!$B$1:$B$500=2,종목정보tbl!$A$1:$A$500,""),P186),"")</f>
        <v/>
      </c>
      <c r="P186" s="176">
        <v>178</v>
      </c>
    </row>
    <row r="187" spans="2:16" outlineLevel="1">
      <c r="B187" s="300"/>
      <c r="C187" s="301">
        <f t="shared" ca="1" si="2"/>
        <v>45534</v>
      </c>
      <c r="D187" s="300"/>
      <c r="E187" s="300"/>
      <c r="F187" s="684" t="str">
        <f>IF(개요!$C$8="","-",개요!$C$8)</f>
        <v>흥국생명보험(지분증권), 미래컴퍼니</v>
      </c>
      <c r="G187" s="684" t="str">
        <f>IF(개요!$C$7="","-",개요!$C$7)</f>
        <v>포스코KAICI신기술사업투자조합제1호</v>
      </c>
      <c r="H187" s="302" t="str">
        <f>IFERROR(VLOOKUP($O187,종목정보tbl!$A$2:$V$471,$T$2,0),"-")</f>
        <v>-</v>
      </c>
      <c r="I187" s="302" t="str">
        <f>IFERROR(VLOOKUP($O187,종목정보tbl!$A$2:$V$471,$T$3,0),"-")</f>
        <v>-</v>
      </c>
      <c r="J187" s="302" t="str">
        <f>IFERROR(VLOOKUP(VLOOKUP($O187,종목정보tbl!$A$2:$V$471,$T$4,0),종목코드tbl!$A$2:$D$37,2,0),"-")</f>
        <v>-</v>
      </c>
      <c r="K187" s="302" t="str">
        <f>IFERROR(VLOOKUP($O187,종목정보tbl!$A$2:$V$471,$T$5,0),"-")</f>
        <v>-</v>
      </c>
      <c r="L187" s="300"/>
      <c r="M187" s="301" t="str">
        <f>IFERROR(VLOOKUP($O187,종목정보tbl!$A$2:$V$471,$T$6,0),"-")</f>
        <v>-</v>
      </c>
      <c r="N187" s="302" t="str">
        <f>IFERROR(VLOOKUP($O187,종목정보tbl!$A$2:$V$471,$T$7,0),"-")</f>
        <v>-</v>
      </c>
      <c r="O187" s="276" t="str">
        <f t="array" ref="O187">IFERROR(SMALL(IF(종목정보tbl!$B$1:$B$500=2,종목정보tbl!$A$1:$A$500,""),P187),"")</f>
        <v/>
      </c>
      <c r="P187" s="303">
        <v>179</v>
      </c>
    </row>
    <row r="188" spans="2:16" outlineLevel="1">
      <c r="B188" s="300"/>
      <c r="C188" s="301">
        <f t="shared" ca="1" si="2"/>
        <v>45534</v>
      </c>
      <c r="D188" s="300"/>
      <c r="E188" s="300"/>
      <c r="F188" s="684" t="str">
        <f>IF(개요!$C$8="","-",개요!$C$8)</f>
        <v>흥국생명보험(지분증권), 미래컴퍼니</v>
      </c>
      <c r="G188" s="684" t="str">
        <f>IF(개요!$C$7="","-",개요!$C$7)</f>
        <v>포스코KAICI신기술사업투자조합제1호</v>
      </c>
      <c r="H188" s="302" t="str">
        <f>IFERROR(VLOOKUP($O188,종목정보tbl!$A$2:$V$471,$T$2,0),"-")</f>
        <v>-</v>
      </c>
      <c r="I188" s="302" t="str">
        <f>IFERROR(VLOOKUP($O188,종목정보tbl!$A$2:$V$471,$T$3,0),"-")</f>
        <v>-</v>
      </c>
      <c r="J188" s="302" t="str">
        <f>IFERROR(VLOOKUP(VLOOKUP($O188,종목정보tbl!$A$2:$V$471,$T$4,0),종목코드tbl!$A$2:$D$37,2,0),"-")</f>
        <v>-</v>
      </c>
      <c r="K188" s="302" t="str">
        <f>IFERROR(VLOOKUP($O188,종목정보tbl!$A$2:$V$471,$T$5,0),"-")</f>
        <v>-</v>
      </c>
      <c r="L188" s="300"/>
      <c r="M188" s="301" t="str">
        <f>IFERROR(VLOOKUP($O188,종목정보tbl!$A$2:$V$471,$T$6,0),"-")</f>
        <v>-</v>
      </c>
      <c r="N188" s="302" t="str">
        <f>IFERROR(VLOOKUP($O188,종목정보tbl!$A$2:$V$471,$T$7,0),"-")</f>
        <v>-</v>
      </c>
      <c r="O188" s="276" t="str">
        <f t="array" ref="O188">IFERROR(SMALL(IF(종목정보tbl!$B$1:$B$500=2,종목정보tbl!$A$1:$A$500,""),P188),"")</f>
        <v/>
      </c>
      <c r="P188" s="176">
        <v>180</v>
      </c>
    </row>
    <row r="189" spans="2:16" outlineLevel="1">
      <c r="B189" s="300"/>
      <c r="C189" s="301">
        <f t="shared" ca="1" si="2"/>
        <v>45534</v>
      </c>
      <c r="D189" s="300"/>
      <c r="E189" s="300"/>
      <c r="F189" s="684" t="str">
        <f>IF(개요!$C$8="","-",개요!$C$8)</f>
        <v>흥국생명보험(지분증권), 미래컴퍼니</v>
      </c>
      <c r="G189" s="684" t="str">
        <f>IF(개요!$C$7="","-",개요!$C$7)</f>
        <v>포스코KAICI신기술사업투자조합제1호</v>
      </c>
      <c r="H189" s="302" t="str">
        <f>IFERROR(VLOOKUP($O189,종목정보tbl!$A$2:$V$471,$T$2,0),"-")</f>
        <v>-</v>
      </c>
      <c r="I189" s="302" t="str">
        <f>IFERROR(VLOOKUP($O189,종목정보tbl!$A$2:$V$471,$T$3,0),"-")</f>
        <v>-</v>
      </c>
      <c r="J189" s="302" t="str">
        <f>IFERROR(VLOOKUP(VLOOKUP($O189,종목정보tbl!$A$2:$V$471,$T$4,0),종목코드tbl!$A$2:$D$37,2,0),"-")</f>
        <v>-</v>
      </c>
      <c r="K189" s="302" t="str">
        <f>IFERROR(VLOOKUP($O189,종목정보tbl!$A$2:$V$471,$T$5,0),"-")</f>
        <v>-</v>
      </c>
      <c r="L189" s="300"/>
      <c r="M189" s="301" t="str">
        <f>IFERROR(VLOOKUP($O189,종목정보tbl!$A$2:$V$471,$T$6,0),"-")</f>
        <v>-</v>
      </c>
      <c r="N189" s="302" t="str">
        <f>IFERROR(VLOOKUP($O189,종목정보tbl!$A$2:$V$471,$T$7,0),"-")</f>
        <v>-</v>
      </c>
      <c r="O189" s="276" t="str">
        <f t="array" ref="O189">IFERROR(SMALL(IF(종목정보tbl!$B$1:$B$500=2,종목정보tbl!$A$1:$A$500,""),P189),"")</f>
        <v/>
      </c>
      <c r="P189" s="303">
        <v>181</v>
      </c>
    </row>
    <row r="190" spans="2:16" outlineLevel="1">
      <c r="B190" s="300"/>
      <c r="C190" s="301">
        <f t="shared" ca="1" si="2"/>
        <v>45534</v>
      </c>
      <c r="D190" s="300"/>
      <c r="E190" s="300"/>
      <c r="F190" s="684" t="str">
        <f>IF(개요!$C$8="","-",개요!$C$8)</f>
        <v>흥국생명보험(지분증권), 미래컴퍼니</v>
      </c>
      <c r="G190" s="684" t="str">
        <f>IF(개요!$C$7="","-",개요!$C$7)</f>
        <v>포스코KAICI신기술사업투자조합제1호</v>
      </c>
      <c r="H190" s="302" t="str">
        <f>IFERROR(VLOOKUP($O190,종목정보tbl!$A$2:$V$471,$T$2,0),"-")</f>
        <v>-</v>
      </c>
      <c r="I190" s="302" t="str">
        <f>IFERROR(VLOOKUP($O190,종목정보tbl!$A$2:$V$471,$T$3,0),"-")</f>
        <v>-</v>
      </c>
      <c r="J190" s="302" t="str">
        <f>IFERROR(VLOOKUP(VLOOKUP($O190,종목정보tbl!$A$2:$V$471,$T$4,0),종목코드tbl!$A$2:$D$37,2,0),"-")</f>
        <v>-</v>
      </c>
      <c r="K190" s="302" t="str">
        <f>IFERROR(VLOOKUP($O190,종목정보tbl!$A$2:$V$471,$T$5,0),"-")</f>
        <v>-</v>
      </c>
      <c r="L190" s="300"/>
      <c r="M190" s="301" t="str">
        <f>IFERROR(VLOOKUP($O190,종목정보tbl!$A$2:$V$471,$T$6,0),"-")</f>
        <v>-</v>
      </c>
      <c r="N190" s="302" t="str">
        <f>IFERROR(VLOOKUP($O190,종목정보tbl!$A$2:$V$471,$T$7,0),"-")</f>
        <v>-</v>
      </c>
      <c r="O190" s="276" t="str">
        <f t="array" ref="O190">IFERROR(SMALL(IF(종목정보tbl!$B$1:$B$500=2,종목정보tbl!$A$1:$A$500,""),P190),"")</f>
        <v/>
      </c>
      <c r="P190" s="176">
        <v>182</v>
      </c>
    </row>
    <row r="191" spans="2:16" outlineLevel="1">
      <c r="B191" s="300"/>
      <c r="C191" s="301">
        <f t="shared" ca="1" si="2"/>
        <v>45534</v>
      </c>
      <c r="D191" s="300"/>
      <c r="E191" s="300"/>
      <c r="F191" s="684" t="str">
        <f>IF(개요!$C$8="","-",개요!$C$8)</f>
        <v>흥국생명보험(지분증권), 미래컴퍼니</v>
      </c>
      <c r="G191" s="684" t="str">
        <f>IF(개요!$C$7="","-",개요!$C$7)</f>
        <v>포스코KAICI신기술사업투자조합제1호</v>
      </c>
      <c r="H191" s="302" t="str">
        <f>IFERROR(VLOOKUP($O191,종목정보tbl!$A$2:$V$471,$T$2,0),"-")</f>
        <v>-</v>
      </c>
      <c r="I191" s="302" t="str">
        <f>IFERROR(VLOOKUP($O191,종목정보tbl!$A$2:$V$471,$T$3,0),"-")</f>
        <v>-</v>
      </c>
      <c r="J191" s="302" t="str">
        <f>IFERROR(VLOOKUP(VLOOKUP($O191,종목정보tbl!$A$2:$V$471,$T$4,0),종목코드tbl!$A$2:$D$37,2,0),"-")</f>
        <v>-</v>
      </c>
      <c r="K191" s="302" t="str">
        <f>IFERROR(VLOOKUP($O191,종목정보tbl!$A$2:$V$471,$T$5,0),"-")</f>
        <v>-</v>
      </c>
      <c r="L191" s="300"/>
      <c r="M191" s="301" t="str">
        <f>IFERROR(VLOOKUP($O191,종목정보tbl!$A$2:$V$471,$T$6,0),"-")</f>
        <v>-</v>
      </c>
      <c r="N191" s="302" t="str">
        <f>IFERROR(VLOOKUP($O191,종목정보tbl!$A$2:$V$471,$T$7,0),"-")</f>
        <v>-</v>
      </c>
      <c r="O191" s="276" t="str">
        <f t="array" ref="O191">IFERROR(SMALL(IF(종목정보tbl!$B$1:$B$500=2,종목정보tbl!$A$1:$A$500,""),P191),"")</f>
        <v/>
      </c>
      <c r="P191" s="303">
        <v>183</v>
      </c>
    </row>
    <row r="192" spans="2:16" outlineLevel="1">
      <c r="B192" s="300"/>
      <c r="C192" s="301">
        <f t="shared" ca="1" si="2"/>
        <v>45534</v>
      </c>
      <c r="D192" s="300"/>
      <c r="E192" s="300"/>
      <c r="F192" s="684" t="str">
        <f>IF(개요!$C$8="","-",개요!$C$8)</f>
        <v>흥국생명보험(지분증권), 미래컴퍼니</v>
      </c>
      <c r="G192" s="684" t="str">
        <f>IF(개요!$C$7="","-",개요!$C$7)</f>
        <v>포스코KAICI신기술사업투자조합제1호</v>
      </c>
      <c r="H192" s="302" t="str">
        <f>IFERROR(VLOOKUP($O192,종목정보tbl!$A$2:$V$471,$T$2,0),"-")</f>
        <v>-</v>
      </c>
      <c r="I192" s="302" t="str">
        <f>IFERROR(VLOOKUP($O192,종목정보tbl!$A$2:$V$471,$T$3,0),"-")</f>
        <v>-</v>
      </c>
      <c r="J192" s="302" t="str">
        <f>IFERROR(VLOOKUP(VLOOKUP($O192,종목정보tbl!$A$2:$V$471,$T$4,0),종목코드tbl!$A$2:$D$37,2,0),"-")</f>
        <v>-</v>
      </c>
      <c r="K192" s="302" t="str">
        <f>IFERROR(VLOOKUP($O192,종목정보tbl!$A$2:$V$471,$T$5,0),"-")</f>
        <v>-</v>
      </c>
      <c r="L192" s="300"/>
      <c r="M192" s="301" t="str">
        <f>IFERROR(VLOOKUP($O192,종목정보tbl!$A$2:$V$471,$T$6,0),"-")</f>
        <v>-</v>
      </c>
      <c r="N192" s="302" t="str">
        <f>IFERROR(VLOOKUP($O192,종목정보tbl!$A$2:$V$471,$T$7,0),"-")</f>
        <v>-</v>
      </c>
      <c r="O192" s="276" t="str">
        <f t="array" ref="O192">IFERROR(SMALL(IF(종목정보tbl!$B$1:$B$500=2,종목정보tbl!$A$1:$A$500,""),P192),"")</f>
        <v/>
      </c>
      <c r="P192" s="176">
        <v>184</v>
      </c>
    </row>
    <row r="193" spans="2:16" outlineLevel="1">
      <c r="B193" s="300"/>
      <c r="C193" s="301">
        <f t="shared" ca="1" si="2"/>
        <v>45534</v>
      </c>
      <c r="D193" s="300"/>
      <c r="E193" s="300"/>
      <c r="F193" s="684" t="str">
        <f>IF(개요!$C$8="","-",개요!$C$8)</f>
        <v>흥국생명보험(지분증권), 미래컴퍼니</v>
      </c>
      <c r="G193" s="684" t="str">
        <f>IF(개요!$C$7="","-",개요!$C$7)</f>
        <v>포스코KAICI신기술사업투자조합제1호</v>
      </c>
      <c r="H193" s="302" t="str">
        <f>IFERROR(VLOOKUP($O193,종목정보tbl!$A$2:$V$471,$T$2,0),"-")</f>
        <v>-</v>
      </c>
      <c r="I193" s="302" t="str">
        <f>IFERROR(VLOOKUP($O193,종목정보tbl!$A$2:$V$471,$T$3,0),"-")</f>
        <v>-</v>
      </c>
      <c r="J193" s="302" t="str">
        <f>IFERROR(VLOOKUP(VLOOKUP($O193,종목정보tbl!$A$2:$V$471,$T$4,0),종목코드tbl!$A$2:$D$37,2,0),"-")</f>
        <v>-</v>
      </c>
      <c r="K193" s="302" t="str">
        <f>IFERROR(VLOOKUP($O193,종목정보tbl!$A$2:$V$471,$T$5,0),"-")</f>
        <v>-</v>
      </c>
      <c r="L193" s="300"/>
      <c r="M193" s="301" t="str">
        <f>IFERROR(VLOOKUP($O193,종목정보tbl!$A$2:$V$471,$T$6,0),"-")</f>
        <v>-</v>
      </c>
      <c r="N193" s="302" t="str">
        <f>IFERROR(VLOOKUP($O193,종목정보tbl!$A$2:$V$471,$T$7,0),"-")</f>
        <v>-</v>
      </c>
      <c r="O193" s="276" t="str">
        <f t="array" ref="O193">IFERROR(SMALL(IF(종목정보tbl!$B$1:$B$500=2,종목정보tbl!$A$1:$A$500,""),P193),"")</f>
        <v/>
      </c>
      <c r="P193" s="303">
        <v>185</v>
      </c>
    </row>
    <row r="194" spans="2:16" outlineLevel="1">
      <c r="B194" s="300"/>
      <c r="C194" s="301">
        <f t="shared" ca="1" si="2"/>
        <v>45534</v>
      </c>
      <c r="D194" s="300"/>
      <c r="E194" s="300"/>
      <c r="F194" s="684" t="str">
        <f>IF(개요!$C$8="","-",개요!$C$8)</f>
        <v>흥국생명보험(지분증권), 미래컴퍼니</v>
      </c>
      <c r="G194" s="684" t="str">
        <f>IF(개요!$C$7="","-",개요!$C$7)</f>
        <v>포스코KAICI신기술사업투자조합제1호</v>
      </c>
      <c r="H194" s="302" t="str">
        <f>IFERROR(VLOOKUP($O194,종목정보tbl!$A$2:$V$471,$T$2,0),"-")</f>
        <v>-</v>
      </c>
      <c r="I194" s="302" t="str">
        <f>IFERROR(VLOOKUP($O194,종목정보tbl!$A$2:$V$471,$T$3,0),"-")</f>
        <v>-</v>
      </c>
      <c r="J194" s="302" t="str">
        <f>IFERROR(VLOOKUP(VLOOKUP($O194,종목정보tbl!$A$2:$V$471,$T$4,0),종목코드tbl!$A$2:$D$37,2,0),"-")</f>
        <v>-</v>
      </c>
      <c r="K194" s="302" t="str">
        <f>IFERROR(VLOOKUP($O194,종목정보tbl!$A$2:$V$471,$T$5,0),"-")</f>
        <v>-</v>
      </c>
      <c r="L194" s="300"/>
      <c r="M194" s="301" t="str">
        <f>IFERROR(VLOOKUP($O194,종목정보tbl!$A$2:$V$471,$T$6,0),"-")</f>
        <v>-</v>
      </c>
      <c r="N194" s="302" t="str">
        <f>IFERROR(VLOOKUP($O194,종목정보tbl!$A$2:$V$471,$T$7,0),"-")</f>
        <v>-</v>
      </c>
      <c r="O194" s="276" t="str">
        <f t="array" ref="O194">IFERROR(SMALL(IF(종목정보tbl!$B$1:$B$500=2,종목정보tbl!$A$1:$A$500,""),P194),"")</f>
        <v/>
      </c>
      <c r="P194" s="176">
        <v>186</v>
      </c>
    </row>
    <row r="195" spans="2:16" outlineLevel="1">
      <c r="B195" s="300"/>
      <c r="C195" s="301">
        <f t="shared" ca="1" si="2"/>
        <v>45534</v>
      </c>
      <c r="D195" s="300"/>
      <c r="E195" s="300"/>
      <c r="F195" s="684" t="str">
        <f>IF(개요!$C$8="","-",개요!$C$8)</f>
        <v>흥국생명보험(지분증권), 미래컴퍼니</v>
      </c>
      <c r="G195" s="684" t="str">
        <f>IF(개요!$C$7="","-",개요!$C$7)</f>
        <v>포스코KAICI신기술사업투자조합제1호</v>
      </c>
      <c r="H195" s="302" t="str">
        <f>IFERROR(VLOOKUP($O195,종목정보tbl!$A$2:$V$471,$T$2,0),"-")</f>
        <v>-</v>
      </c>
      <c r="I195" s="302" t="str">
        <f>IFERROR(VLOOKUP($O195,종목정보tbl!$A$2:$V$471,$T$3,0),"-")</f>
        <v>-</v>
      </c>
      <c r="J195" s="302" t="str">
        <f>IFERROR(VLOOKUP(VLOOKUP($O195,종목정보tbl!$A$2:$V$471,$T$4,0),종목코드tbl!$A$2:$D$37,2,0),"-")</f>
        <v>-</v>
      </c>
      <c r="K195" s="302" t="str">
        <f>IFERROR(VLOOKUP($O195,종목정보tbl!$A$2:$V$471,$T$5,0),"-")</f>
        <v>-</v>
      </c>
      <c r="L195" s="300"/>
      <c r="M195" s="301" t="str">
        <f>IFERROR(VLOOKUP($O195,종목정보tbl!$A$2:$V$471,$T$6,0),"-")</f>
        <v>-</v>
      </c>
      <c r="N195" s="302" t="str">
        <f>IFERROR(VLOOKUP($O195,종목정보tbl!$A$2:$V$471,$T$7,0),"-")</f>
        <v>-</v>
      </c>
      <c r="O195" s="276" t="str">
        <f t="array" ref="O195">IFERROR(SMALL(IF(종목정보tbl!$B$1:$B$500=2,종목정보tbl!$A$1:$A$500,""),P195),"")</f>
        <v/>
      </c>
      <c r="P195" s="303">
        <v>187</v>
      </c>
    </row>
    <row r="196" spans="2:16" outlineLevel="1">
      <c r="B196" s="300"/>
      <c r="C196" s="301">
        <f t="shared" ca="1" si="2"/>
        <v>45534</v>
      </c>
      <c r="D196" s="300"/>
      <c r="E196" s="300"/>
      <c r="F196" s="684" t="str">
        <f>IF(개요!$C$8="","-",개요!$C$8)</f>
        <v>흥국생명보험(지분증권), 미래컴퍼니</v>
      </c>
      <c r="G196" s="684" t="str">
        <f>IF(개요!$C$7="","-",개요!$C$7)</f>
        <v>포스코KAICI신기술사업투자조합제1호</v>
      </c>
      <c r="H196" s="302" t="str">
        <f>IFERROR(VLOOKUP($O196,종목정보tbl!$A$2:$V$471,$T$2,0),"-")</f>
        <v>-</v>
      </c>
      <c r="I196" s="302" t="str">
        <f>IFERROR(VLOOKUP($O196,종목정보tbl!$A$2:$V$471,$T$3,0),"-")</f>
        <v>-</v>
      </c>
      <c r="J196" s="302" t="str">
        <f>IFERROR(VLOOKUP(VLOOKUP($O196,종목정보tbl!$A$2:$V$471,$T$4,0),종목코드tbl!$A$2:$D$37,2,0),"-")</f>
        <v>-</v>
      </c>
      <c r="K196" s="302" t="str">
        <f>IFERROR(VLOOKUP($O196,종목정보tbl!$A$2:$V$471,$T$5,0),"-")</f>
        <v>-</v>
      </c>
      <c r="L196" s="300"/>
      <c r="M196" s="301" t="str">
        <f>IFERROR(VLOOKUP($O196,종목정보tbl!$A$2:$V$471,$T$6,0),"-")</f>
        <v>-</v>
      </c>
      <c r="N196" s="302" t="str">
        <f>IFERROR(VLOOKUP($O196,종목정보tbl!$A$2:$V$471,$T$7,0),"-")</f>
        <v>-</v>
      </c>
      <c r="O196" s="276" t="str">
        <f t="array" ref="O196">IFERROR(SMALL(IF(종목정보tbl!$B$1:$B$500=2,종목정보tbl!$A$1:$A$500,""),P196),"")</f>
        <v/>
      </c>
      <c r="P196" s="176">
        <v>188</v>
      </c>
    </row>
    <row r="197" spans="2:16" outlineLevel="1">
      <c r="B197" s="300"/>
      <c r="C197" s="301">
        <f t="shared" ca="1" si="2"/>
        <v>45534</v>
      </c>
      <c r="D197" s="300"/>
      <c r="E197" s="300"/>
      <c r="F197" s="684" t="str">
        <f>IF(개요!$C$8="","-",개요!$C$8)</f>
        <v>흥국생명보험(지분증권), 미래컴퍼니</v>
      </c>
      <c r="G197" s="684" t="str">
        <f>IF(개요!$C$7="","-",개요!$C$7)</f>
        <v>포스코KAICI신기술사업투자조합제1호</v>
      </c>
      <c r="H197" s="302" t="str">
        <f>IFERROR(VLOOKUP($O197,종목정보tbl!$A$2:$V$471,$T$2,0),"-")</f>
        <v>-</v>
      </c>
      <c r="I197" s="302" t="str">
        <f>IFERROR(VLOOKUP($O197,종목정보tbl!$A$2:$V$471,$T$3,0),"-")</f>
        <v>-</v>
      </c>
      <c r="J197" s="302" t="str">
        <f>IFERROR(VLOOKUP(VLOOKUP($O197,종목정보tbl!$A$2:$V$471,$T$4,0),종목코드tbl!$A$2:$D$37,2,0),"-")</f>
        <v>-</v>
      </c>
      <c r="K197" s="302" t="str">
        <f>IFERROR(VLOOKUP($O197,종목정보tbl!$A$2:$V$471,$T$5,0),"-")</f>
        <v>-</v>
      </c>
      <c r="L197" s="300"/>
      <c r="M197" s="301" t="str">
        <f>IFERROR(VLOOKUP($O197,종목정보tbl!$A$2:$V$471,$T$6,0),"-")</f>
        <v>-</v>
      </c>
      <c r="N197" s="302" t="str">
        <f>IFERROR(VLOOKUP($O197,종목정보tbl!$A$2:$V$471,$T$7,0),"-")</f>
        <v>-</v>
      </c>
      <c r="O197" s="276" t="str">
        <f t="array" ref="O197">IFERROR(SMALL(IF(종목정보tbl!$B$1:$B$500=2,종목정보tbl!$A$1:$A$500,""),P197),"")</f>
        <v/>
      </c>
      <c r="P197" s="303">
        <v>189</v>
      </c>
    </row>
    <row r="198" spans="2:16" outlineLevel="1">
      <c r="B198" s="300"/>
      <c r="C198" s="301">
        <f t="shared" ca="1" si="2"/>
        <v>45534</v>
      </c>
      <c r="D198" s="300"/>
      <c r="E198" s="300"/>
      <c r="F198" s="684" t="str">
        <f>IF(개요!$C$8="","-",개요!$C$8)</f>
        <v>흥국생명보험(지분증권), 미래컴퍼니</v>
      </c>
      <c r="G198" s="684" t="str">
        <f>IF(개요!$C$7="","-",개요!$C$7)</f>
        <v>포스코KAICI신기술사업투자조합제1호</v>
      </c>
      <c r="H198" s="302" t="str">
        <f>IFERROR(VLOOKUP($O198,종목정보tbl!$A$2:$V$471,$T$2,0),"-")</f>
        <v>-</v>
      </c>
      <c r="I198" s="302" t="str">
        <f>IFERROR(VLOOKUP($O198,종목정보tbl!$A$2:$V$471,$T$3,0),"-")</f>
        <v>-</v>
      </c>
      <c r="J198" s="302" t="str">
        <f>IFERROR(VLOOKUP(VLOOKUP($O198,종목정보tbl!$A$2:$V$471,$T$4,0),종목코드tbl!$A$2:$D$37,2,0),"-")</f>
        <v>-</v>
      </c>
      <c r="K198" s="302" t="str">
        <f>IFERROR(VLOOKUP($O198,종목정보tbl!$A$2:$V$471,$T$5,0),"-")</f>
        <v>-</v>
      </c>
      <c r="L198" s="300"/>
      <c r="M198" s="301" t="str">
        <f>IFERROR(VLOOKUP($O198,종목정보tbl!$A$2:$V$471,$T$6,0),"-")</f>
        <v>-</v>
      </c>
      <c r="N198" s="302" t="str">
        <f>IFERROR(VLOOKUP($O198,종목정보tbl!$A$2:$V$471,$T$7,0),"-")</f>
        <v>-</v>
      </c>
      <c r="O198" s="276" t="str">
        <f t="array" ref="O198">IFERROR(SMALL(IF(종목정보tbl!$B$1:$B$500=2,종목정보tbl!$A$1:$A$500,""),P198),"")</f>
        <v/>
      </c>
      <c r="P198" s="176">
        <v>190</v>
      </c>
    </row>
    <row r="199" spans="2:16" outlineLevel="1">
      <c r="B199" s="300"/>
      <c r="C199" s="301">
        <f t="shared" ca="1" si="2"/>
        <v>45534</v>
      </c>
      <c r="D199" s="300"/>
      <c r="E199" s="300"/>
      <c r="F199" s="684" t="str">
        <f>IF(개요!$C$8="","-",개요!$C$8)</f>
        <v>흥국생명보험(지분증권), 미래컴퍼니</v>
      </c>
      <c r="G199" s="684" t="str">
        <f>IF(개요!$C$7="","-",개요!$C$7)</f>
        <v>포스코KAICI신기술사업투자조합제1호</v>
      </c>
      <c r="H199" s="302" t="str">
        <f>IFERROR(VLOOKUP($O199,종목정보tbl!$A$2:$V$471,$T$2,0),"-")</f>
        <v>-</v>
      </c>
      <c r="I199" s="302" t="str">
        <f>IFERROR(VLOOKUP($O199,종목정보tbl!$A$2:$V$471,$T$3,0),"-")</f>
        <v>-</v>
      </c>
      <c r="J199" s="302" t="str">
        <f>IFERROR(VLOOKUP(VLOOKUP($O199,종목정보tbl!$A$2:$V$471,$T$4,0),종목코드tbl!$A$2:$D$37,2,0),"-")</f>
        <v>-</v>
      </c>
      <c r="K199" s="302" t="str">
        <f>IFERROR(VLOOKUP($O199,종목정보tbl!$A$2:$V$471,$T$5,0),"-")</f>
        <v>-</v>
      </c>
      <c r="L199" s="300"/>
      <c r="M199" s="301" t="str">
        <f>IFERROR(VLOOKUP($O199,종목정보tbl!$A$2:$V$471,$T$6,0),"-")</f>
        <v>-</v>
      </c>
      <c r="N199" s="302" t="str">
        <f>IFERROR(VLOOKUP($O199,종목정보tbl!$A$2:$V$471,$T$7,0),"-")</f>
        <v>-</v>
      </c>
      <c r="O199" s="276" t="str">
        <f t="array" ref="O199">IFERROR(SMALL(IF(종목정보tbl!$B$1:$B$500=2,종목정보tbl!$A$1:$A$500,""),P199),"")</f>
        <v/>
      </c>
      <c r="P199" s="303">
        <v>191</v>
      </c>
    </row>
    <row r="200" spans="2:16" outlineLevel="1">
      <c r="B200" s="300"/>
      <c r="C200" s="301">
        <f t="shared" ca="1" si="2"/>
        <v>45534</v>
      </c>
      <c r="D200" s="300"/>
      <c r="E200" s="300"/>
      <c r="F200" s="684" t="str">
        <f>IF(개요!$C$8="","-",개요!$C$8)</f>
        <v>흥국생명보험(지분증권), 미래컴퍼니</v>
      </c>
      <c r="G200" s="684" t="str">
        <f>IF(개요!$C$7="","-",개요!$C$7)</f>
        <v>포스코KAICI신기술사업투자조합제1호</v>
      </c>
      <c r="H200" s="302" t="str">
        <f>IFERROR(VLOOKUP($O200,종목정보tbl!$A$2:$V$471,$T$2,0),"-")</f>
        <v>-</v>
      </c>
      <c r="I200" s="302" t="str">
        <f>IFERROR(VLOOKUP($O200,종목정보tbl!$A$2:$V$471,$T$3,0),"-")</f>
        <v>-</v>
      </c>
      <c r="J200" s="302" t="str">
        <f>IFERROR(VLOOKUP(VLOOKUP($O200,종목정보tbl!$A$2:$V$471,$T$4,0),종목코드tbl!$A$2:$D$37,2,0),"-")</f>
        <v>-</v>
      </c>
      <c r="K200" s="302" t="str">
        <f>IFERROR(VLOOKUP($O200,종목정보tbl!$A$2:$V$471,$T$5,0),"-")</f>
        <v>-</v>
      </c>
      <c r="L200" s="300"/>
      <c r="M200" s="301" t="str">
        <f>IFERROR(VLOOKUP($O200,종목정보tbl!$A$2:$V$471,$T$6,0),"-")</f>
        <v>-</v>
      </c>
      <c r="N200" s="302" t="str">
        <f>IFERROR(VLOOKUP($O200,종목정보tbl!$A$2:$V$471,$T$7,0),"-")</f>
        <v>-</v>
      </c>
      <c r="O200" s="276" t="str">
        <f t="array" ref="O200">IFERROR(SMALL(IF(종목정보tbl!$B$1:$B$500=2,종목정보tbl!$A$1:$A$500,""),P200),"")</f>
        <v/>
      </c>
      <c r="P200" s="176">
        <v>192</v>
      </c>
    </row>
    <row r="201" spans="2:16" outlineLevel="1">
      <c r="B201" s="300"/>
      <c r="C201" s="301">
        <f t="shared" ca="1" si="2"/>
        <v>45534</v>
      </c>
      <c r="D201" s="300"/>
      <c r="E201" s="300"/>
      <c r="F201" s="684" t="str">
        <f>IF(개요!$C$8="","-",개요!$C$8)</f>
        <v>흥국생명보험(지분증권), 미래컴퍼니</v>
      </c>
      <c r="G201" s="684" t="str">
        <f>IF(개요!$C$7="","-",개요!$C$7)</f>
        <v>포스코KAICI신기술사업투자조합제1호</v>
      </c>
      <c r="H201" s="302" t="str">
        <f>IFERROR(VLOOKUP($O201,종목정보tbl!$A$2:$V$471,$T$2,0),"-")</f>
        <v>-</v>
      </c>
      <c r="I201" s="302" t="str">
        <f>IFERROR(VLOOKUP($O201,종목정보tbl!$A$2:$V$471,$T$3,0),"-")</f>
        <v>-</v>
      </c>
      <c r="J201" s="302" t="str">
        <f>IFERROR(VLOOKUP(VLOOKUP($O201,종목정보tbl!$A$2:$V$471,$T$4,0),종목코드tbl!$A$2:$D$37,2,0),"-")</f>
        <v>-</v>
      </c>
      <c r="K201" s="302" t="str">
        <f>IFERROR(VLOOKUP($O201,종목정보tbl!$A$2:$V$471,$T$5,0),"-")</f>
        <v>-</v>
      </c>
      <c r="L201" s="300"/>
      <c r="M201" s="301" t="str">
        <f>IFERROR(VLOOKUP($O201,종목정보tbl!$A$2:$V$471,$T$6,0),"-")</f>
        <v>-</v>
      </c>
      <c r="N201" s="302" t="str">
        <f>IFERROR(VLOOKUP($O201,종목정보tbl!$A$2:$V$471,$T$7,0),"-")</f>
        <v>-</v>
      </c>
      <c r="O201" s="276" t="str">
        <f t="array" ref="O201">IFERROR(SMALL(IF(종목정보tbl!$B$1:$B$500=2,종목정보tbl!$A$1:$A$500,""),P201),"")</f>
        <v/>
      </c>
      <c r="P201" s="303">
        <v>193</v>
      </c>
    </row>
    <row r="202" spans="2:16" outlineLevel="1">
      <c r="B202" s="300"/>
      <c r="C202" s="301">
        <f t="shared" ca="1" si="2"/>
        <v>45534</v>
      </c>
      <c r="D202" s="300"/>
      <c r="E202" s="300"/>
      <c r="F202" s="684" t="str">
        <f>IF(개요!$C$8="","-",개요!$C$8)</f>
        <v>흥국생명보험(지분증권), 미래컴퍼니</v>
      </c>
      <c r="G202" s="684" t="str">
        <f>IF(개요!$C$7="","-",개요!$C$7)</f>
        <v>포스코KAICI신기술사업투자조합제1호</v>
      </c>
      <c r="H202" s="302" t="str">
        <f>IFERROR(VLOOKUP($O202,종목정보tbl!$A$2:$V$471,$T$2,0),"-")</f>
        <v>-</v>
      </c>
      <c r="I202" s="302" t="str">
        <f>IFERROR(VLOOKUP($O202,종목정보tbl!$A$2:$V$471,$T$3,0),"-")</f>
        <v>-</v>
      </c>
      <c r="J202" s="302" t="str">
        <f>IFERROR(VLOOKUP(VLOOKUP($O202,종목정보tbl!$A$2:$V$471,$T$4,0),종목코드tbl!$A$2:$D$37,2,0),"-")</f>
        <v>-</v>
      </c>
      <c r="K202" s="302" t="str">
        <f>IFERROR(VLOOKUP($O202,종목정보tbl!$A$2:$V$471,$T$5,0),"-")</f>
        <v>-</v>
      </c>
      <c r="L202" s="300"/>
      <c r="M202" s="301" t="str">
        <f>IFERROR(VLOOKUP($O202,종목정보tbl!$A$2:$V$471,$T$6,0),"-")</f>
        <v>-</v>
      </c>
      <c r="N202" s="302" t="str">
        <f>IFERROR(VLOOKUP($O202,종목정보tbl!$A$2:$V$471,$T$7,0),"-")</f>
        <v>-</v>
      </c>
      <c r="O202" s="276" t="str">
        <f t="array" ref="O202">IFERROR(SMALL(IF(종목정보tbl!$B$1:$B$500=2,종목정보tbl!$A$1:$A$500,""),P202),"")</f>
        <v/>
      </c>
      <c r="P202" s="176">
        <v>194</v>
      </c>
    </row>
    <row r="203" spans="2:16" outlineLevel="1">
      <c r="B203" s="300"/>
      <c r="C203" s="301">
        <f t="shared" ref="C203:C208" ca="1" si="3">TODAY()</f>
        <v>45534</v>
      </c>
      <c r="D203" s="300"/>
      <c r="E203" s="300"/>
      <c r="F203" s="684" t="str">
        <f>IF(개요!$C$8="","-",개요!$C$8)</f>
        <v>흥국생명보험(지분증권), 미래컴퍼니</v>
      </c>
      <c r="G203" s="684" t="str">
        <f>IF(개요!$C$7="","-",개요!$C$7)</f>
        <v>포스코KAICI신기술사업투자조합제1호</v>
      </c>
      <c r="H203" s="302" t="str">
        <f>IFERROR(VLOOKUP($O203,종목정보tbl!$A$2:$V$471,$T$2,0),"-")</f>
        <v>-</v>
      </c>
      <c r="I203" s="302" t="str">
        <f>IFERROR(VLOOKUP($O203,종목정보tbl!$A$2:$V$471,$T$3,0),"-")</f>
        <v>-</v>
      </c>
      <c r="J203" s="302" t="str">
        <f>IFERROR(VLOOKUP(VLOOKUP($O203,종목정보tbl!$A$2:$V$471,$T$4,0),종목코드tbl!$A$2:$D$37,2,0),"-")</f>
        <v>-</v>
      </c>
      <c r="K203" s="302" t="str">
        <f>IFERROR(VLOOKUP($O203,종목정보tbl!$A$2:$V$471,$T$5,0),"-")</f>
        <v>-</v>
      </c>
      <c r="L203" s="300"/>
      <c r="M203" s="301" t="str">
        <f>IFERROR(VLOOKUP($O203,종목정보tbl!$A$2:$V$471,$T$6,0),"-")</f>
        <v>-</v>
      </c>
      <c r="N203" s="302" t="str">
        <f>IFERROR(VLOOKUP($O203,종목정보tbl!$A$2:$V$471,$T$7,0),"-")</f>
        <v>-</v>
      </c>
      <c r="O203" s="276" t="str">
        <f t="array" ref="O203">IFERROR(SMALL(IF(종목정보tbl!$B$1:$B$500=2,종목정보tbl!$A$1:$A$500,""),P203),"")</f>
        <v/>
      </c>
      <c r="P203" s="303">
        <v>195</v>
      </c>
    </row>
    <row r="204" spans="2:16" outlineLevel="1">
      <c r="B204" s="300"/>
      <c r="C204" s="301">
        <f t="shared" ca="1" si="3"/>
        <v>45534</v>
      </c>
      <c r="D204" s="300"/>
      <c r="E204" s="300"/>
      <c r="F204" s="684" t="str">
        <f>IF(개요!$C$8="","-",개요!$C$8)</f>
        <v>흥국생명보험(지분증권), 미래컴퍼니</v>
      </c>
      <c r="G204" s="684" t="str">
        <f>IF(개요!$C$7="","-",개요!$C$7)</f>
        <v>포스코KAICI신기술사업투자조합제1호</v>
      </c>
      <c r="H204" s="302" t="str">
        <f>IFERROR(VLOOKUP($O204,종목정보tbl!$A$2:$V$471,$T$2,0),"-")</f>
        <v>-</v>
      </c>
      <c r="I204" s="302" t="str">
        <f>IFERROR(VLOOKUP($O204,종목정보tbl!$A$2:$V$471,$T$3,0),"-")</f>
        <v>-</v>
      </c>
      <c r="J204" s="302" t="str">
        <f>IFERROR(VLOOKUP(VLOOKUP($O204,종목정보tbl!$A$2:$V$471,$T$4,0),종목코드tbl!$A$2:$D$37,2,0),"-")</f>
        <v>-</v>
      </c>
      <c r="K204" s="302" t="str">
        <f>IFERROR(VLOOKUP($O204,종목정보tbl!$A$2:$V$471,$T$5,0),"-")</f>
        <v>-</v>
      </c>
      <c r="L204" s="300"/>
      <c r="M204" s="301" t="str">
        <f>IFERROR(VLOOKUP($O204,종목정보tbl!$A$2:$V$471,$T$6,0),"-")</f>
        <v>-</v>
      </c>
      <c r="N204" s="302" t="str">
        <f>IFERROR(VLOOKUP($O204,종목정보tbl!$A$2:$V$471,$T$7,0),"-")</f>
        <v>-</v>
      </c>
      <c r="O204" s="276" t="str">
        <f t="array" ref="O204">IFERROR(SMALL(IF(종목정보tbl!$B$1:$B$500=2,종목정보tbl!$A$1:$A$500,""),P204),"")</f>
        <v/>
      </c>
      <c r="P204" s="176">
        <v>196</v>
      </c>
    </row>
    <row r="205" spans="2:16" outlineLevel="1">
      <c r="B205" s="300"/>
      <c r="C205" s="301">
        <f t="shared" ca="1" si="3"/>
        <v>45534</v>
      </c>
      <c r="D205" s="300"/>
      <c r="E205" s="300"/>
      <c r="F205" s="684" t="str">
        <f>IF(개요!$C$8="","-",개요!$C$8)</f>
        <v>흥국생명보험(지분증권), 미래컴퍼니</v>
      </c>
      <c r="G205" s="684" t="str">
        <f>IF(개요!$C$7="","-",개요!$C$7)</f>
        <v>포스코KAICI신기술사업투자조합제1호</v>
      </c>
      <c r="H205" s="302" t="str">
        <f>IFERROR(VLOOKUP($O205,종목정보tbl!$A$2:$V$471,$T$2,0),"-")</f>
        <v>-</v>
      </c>
      <c r="I205" s="302" t="str">
        <f>IFERROR(VLOOKUP($O205,종목정보tbl!$A$2:$V$471,$T$3,0),"-")</f>
        <v>-</v>
      </c>
      <c r="J205" s="302" t="str">
        <f>IFERROR(VLOOKUP(VLOOKUP($O205,종목정보tbl!$A$2:$V$471,$T$4,0),종목코드tbl!$A$2:$D$37,2,0),"-")</f>
        <v>-</v>
      </c>
      <c r="K205" s="302" t="str">
        <f>IFERROR(VLOOKUP($O205,종목정보tbl!$A$2:$V$471,$T$5,0),"-")</f>
        <v>-</v>
      </c>
      <c r="L205" s="300"/>
      <c r="M205" s="301" t="str">
        <f>IFERROR(VLOOKUP($O205,종목정보tbl!$A$2:$V$471,$T$6,0),"-")</f>
        <v>-</v>
      </c>
      <c r="N205" s="302" t="str">
        <f>IFERROR(VLOOKUP($O205,종목정보tbl!$A$2:$V$471,$T$7,0),"-")</f>
        <v>-</v>
      </c>
      <c r="O205" s="276" t="str">
        <f t="array" ref="O205">IFERROR(SMALL(IF(종목정보tbl!$B$1:$B$500=2,종목정보tbl!$A$1:$A$500,""),P205),"")</f>
        <v/>
      </c>
      <c r="P205" s="303">
        <v>197</v>
      </c>
    </row>
    <row r="206" spans="2:16" outlineLevel="1">
      <c r="B206" s="300"/>
      <c r="C206" s="301">
        <f t="shared" ca="1" si="3"/>
        <v>45534</v>
      </c>
      <c r="D206" s="300"/>
      <c r="E206" s="300"/>
      <c r="F206" s="684" t="str">
        <f>IF(개요!$C$8="","-",개요!$C$8)</f>
        <v>흥국생명보험(지분증권), 미래컴퍼니</v>
      </c>
      <c r="G206" s="684" t="str">
        <f>IF(개요!$C$7="","-",개요!$C$7)</f>
        <v>포스코KAICI신기술사업투자조합제1호</v>
      </c>
      <c r="H206" s="302" t="str">
        <f>IFERROR(VLOOKUP($O206,종목정보tbl!$A$2:$V$471,$T$2,0),"-")</f>
        <v>-</v>
      </c>
      <c r="I206" s="302" t="str">
        <f>IFERROR(VLOOKUP($O206,종목정보tbl!$A$2:$V$471,$T$3,0),"-")</f>
        <v>-</v>
      </c>
      <c r="J206" s="302" t="str">
        <f>IFERROR(VLOOKUP(VLOOKUP($O206,종목정보tbl!$A$2:$V$471,$T$4,0),종목코드tbl!$A$2:$D$37,2,0),"-")</f>
        <v>-</v>
      </c>
      <c r="K206" s="302" t="str">
        <f>IFERROR(VLOOKUP($O206,종목정보tbl!$A$2:$V$471,$T$5,0),"-")</f>
        <v>-</v>
      </c>
      <c r="L206" s="300"/>
      <c r="M206" s="301" t="str">
        <f>IFERROR(VLOOKUP($O206,종목정보tbl!$A$2:$V$471,$T$6,0),"-")</f>
        <v>-</v>
      </c>
      <c r="N206" s="302" t="str">
        <f>IFERROR(VLOOKUP($O206,종목정보tbl!$A$2:$V$471,$T$7,0),"-")</f>
        <v>-</v>
      </c>
      <c r="O206" s="276" t="str">
        <f t="array" ref="O206">IFERROR(SMALL(IF(종목정보tbl!$B$1:$B$500=2,종목정보tbl!$A$1:$A$500,""),P206),"")</f>
        <v/>
      </c>
      <c r="P206" s="176">
        <v>198</v>
      </c>
    </row>
    <row r="207" spans="2:16" outlineLevel="1">
      <c r="B207" s="300"/>
      <c r="C207" s="301">
        <f t="shared" ca="1" si="3"/>
        <v>45534</v>
      </c>
      <c r="D207" s="300"/>
      <c r="E207" s="300"/>
      <c r="F207" s="684" t="str">
        <f>IF(개요!$C$8="","-",개요!$C$8)</f>
        <v>흥국생명보험(지분증권), 미래컴퍼니</v>
      </c>
      <c r="G207" s="684" t="str">
        <f>IF(개요!$C$7="","-",개요!$C$7)</f>
        <v>포스코KAICI신기술사업투자조합제1호</v>
      </c>
      <c r="H207" s="302" t="str">
        <f>IFERROR(VLOOKUP($O207,종목정보tbl!$A$2:$V$471,$T$2,0),"-")</f>
        <v>-</v>
      </c>
      <c r="I207" s="302" t="str">
        <f>IFERROR(VLOOKUP($O207,종목정보tbl!$A$2:$V$471,$T$3,0),"-")</f>
        <v>-</v>
      </c>
      <c r="J207" s="302" t="str">
        <f>IFERROR(VLOOKUP(VLOOKUP($O207,종목정보tbl!$A$2:$V$471,$T$4,0),종목코드tbl!$A$2:$D$37,2,0),"-")</f>
        <v>-</v>
      </c>
      <c r="K207" s="302" t="str">
        <f>IFERROR(VLOOKUP($O207,종목정보tbl!$A$2:$V$471,$T$5,0),"-")</f>
        <v>-</v>
      </c>
      <c r="L207" s="300"/>
      <c r="M207" s="301" t="str">
        <f>IFERROR(VLOOKUP($O207,종목정보tbl!$A$2:$V$471,$T$6,0),"-")</f>
        <v>-</v>
      </c>
      <c r="N207" s="302" t="str">
        <f>IFERROR(VLOOKUP($O207,종목정보tbl!$A$2:$V$471,$T$7,0),"-")</f>
        <v>-</v>
      </c>
      <c r="O207" s="276" t="str">
        <f t="array" ref="O207">IFERROR(SMALL(IF(종목정보tbl!$B$1:$B$500=2,종목정보tbl!$A$1:$A$500,""),P207),"")</f>
        <v/>
      </c>
      <c r="P207" s="303">
        <v>199</v>
      </c>
    </row>
    <row r="208" spans="2:16" outlineLevel="1">
      <c r="B208" s="300"/>
      <c r="C208" s="301">
        <f t="shared" ca="1" si="3"/>
        <v>45534</v>
      </c>
      <c r="D208" s="300"/>
      <c r="E208" s="300"/>
      <c r="F208" s="684" t="str">
        <f>IF(개요!$C$8="","-",개요!$C$8)</f>
        <v>흥국생명보험(지분증권), 미래컴퍼니</v>
      </c>
      <c r="G208" s="684" t="str">
        <f>IF(개요!$C$7="","-",개요!$C$7)</f>
        <v>포스코KAICI신기술사업투자조합제1호</v>
      </c>
      <c r="H208" s="302" t="str">
        <f>IFERROR(VLOOKUP($O208,종목정보tbl!$A$2:$V$471,$T$2,0),"-")</f>
        <v>-</v>
      </c>
      <c r="I208" s="302" t="str">
        <f>IFERROR(VLOOKUP($O208,종목정보tbl!$A$2:$V$471,$T$3,0),"-")</f>
        <v>-</v>
      </c>
      <c r="J208" s="302" t="str">
        <f>IFERROR(VLOOKUP(VLOOKUP($O208,종목정보tbl!$A$2:$V$471,$T$4,0),종목코드tbl!$A$2:$D$37,2,0),"-")</f>
        <v>-</v>
      </c>
      <c r="K208" s="302" t="str">
        <f>IFERROR(VLOOKUP($O208,종목정보tbl!$A$2:$V$471,$T$5,0),"-")</f>
        <v>-</v>
      </c>
      <c r="L208" s="300"/>
      <c r="M208" s="301" t="str">
        <f>IFERROR(VLOOKUP($O208,종목정보tbl!$A$2:$V$471,$T$6,0),"-")</f>
        <v>-</v>
      </c>
      <c r="N208" s="302" t="str">
        <f>IFERROR(VLOOKUP($O208,종목정보tbl!$A$2:$V$471,$T$7,0),"-")</f>
        <v>-</v>
      </c>
      <c r="O208" s="276" t="str">
        <f t="array" ref="O208">IFERROR(SMALL(IF(종목정보tbl!$B$1:$B$500=2,종목정보tbl!$A$1:$A$500,""),P208),"")</f>
        <v/>
      </c>
      <c r="P208" s="176">
        <v>200</v>
      </c>
    </row>
  </sheetData>
  <autoFilter ref="B8:N8"/>
  <phoneticPr fontId="7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1" tint="4.9989318521683403E-2"/>
  </sheetPr>
  <dimension ref="A1"/>
  <sheetViews>
    <sheetView showGridLines="0" zoomScale="70" zoomScaleNormal="70" workbookViewId="0"/>
  </sheetViews>
  <sheetFormatPr defaultRowHeight="16.5"/>
  <cols>
    <col min="1" max="16384" width="8.88671875" style="269"/>
  </cols>
  <sheetData/>
  <phoneticPr fontId="7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4" tint="0.79998168889431442"/>
  </sheetPr>
  <dimension ref="B1:J73"/>
  <sheetViews>
    <sheetView showGridLines="0" zoomScale="70" zoomScaleNormal="70" workbookViewId="0"/>
  </sheetViews>
  <sheetFormatPr defaultColWidth="8.88671875" defaultRowHeight="13.5"/>
  <cols>
    <col min="1" max="2" width="2" style="225" customWidth="1"/>
    <col min="3" max="9" width="30.77734375" style="225" customWidth="1"/>
    <col min="10" max="10" width="44.5546875" style="225" customWidth="1"/>
    <col min="11" max="16384" width="8.88671875" style="225"/>
  </cols>
  <sheetData>
    <row r="1" spans="2:10" ht="6.75" customHeight="1">
      <c r="B1" s="172"/>
      <c r="C1" s="172"/>
      <c r="D1" s="172"/>
      <c r="E1" s="172"/>
      <c r="F1" s="172"/>
      <c r="G1" s="172"/>
      <c r="H1" s="172"/>
      <c r="I1" s="172"/>
      <c r="J1" s="172"/>
    </row>
    <row r="2" spans="2:10" ht="20.25">
      <c r="B2" s="143" t="s">
        <v>858</v>
      </c>
      <c r="C2" s="172"/>
      <c r="D2" s="172"/>
      <c r="E2" s="172"/>
      <c r="F2" s="172"/>
      <c r="G2" s="172"/>
      <c r="H2" s="172"/>
      <c r="I2" s="172"/>
      <c r="J2" s="172"/>
    </row>
    <row r="3" spans="2:10">
      <c r="B3" s="172"/>
      <c r="C3" s="172"/>
      <c r="D3" s="172"/>
      <c r="E3" s="172"/>
      <c r="F3" s="172"/>
      <c r="G3" s="172"/>
      <c r="H3" s="172"/>
      <c r="I3" s="172"/>
      <c r="J3" s="172"/>
    </row>
    <row r="4" spans="2:10" ht="17.25">
      <c r="B4" s="226" t="s">
        <v>867</v>
      </c>
      <c r="C4" s="172"/>
      <c r="D4" s="172"/>
      <c r="E4" s="172"/>
      <c r="F4" s="172"/>
      <c r="G4" s="172"/>
      <c r="H4" s="172"/>
      <c r="I4" s="172"/>
      <c r="J4" s="172"/>
    </row>
    <row r="5" spans="2:10">
      <c r="B5" s="172"/>
      <c r="C5" s="227" t="s">
        <v>868</v>
      </c>
      <c r="D5" s="228"/>
      <c r="E5" s="172"/>
      <c r="F5" s="172"/>
      <c r="G5" s="172"/>
      <c r="H5" s="172"/>
      <c r="I5" s="172"/>
      <c r="J5" s="172"/>
    </row>
    <row r="6" spans="2:10">
      <c r="B6" s="172"/>
      <c r="C6" s="227" t="s">
        <v>869</v>
      </c>
      <c r="D6" s="228"/>
      <c r="E6" s="172"/>
      <c r="F6" s="172"/>
      <c r="G6" s="172"/>
      <c r="H6" s="172"/>
      <c r="I6" s="172"/>
      <c r="J6" s="172"/>
    </row>
    <row r="7" spans="2:10">
      <c r="B7" s="172"/>
      <c r="C7" s="227" t="s">
        <v>870</v>
      </c>
      <c r="D7" s="228"/>
      <c r="E7" s="172"/>
      <c r="F7" s="172"/>
      <c r="G7" s="172"/>
      <c r="H7" s="172"/>
      <c r="I7" s="172"/>
      <c r="J7" s="172"/>
    </row>
    <row r="8" spans="2:10">
      <c r="B8" s="172"/>
      <c r="C8" s="227" t="s">
        <v>871</v>
      </c>
      <c r="D8" s="228"/>
      <c r="E8" s="172"/>
      <c r="F8" s="172"/>
      <c r="G8" s="172"/>
      <c r="H8" s="172"/>
      <c r="I8" s="172"/>
      <c r="J8" s="172"/>
    </row>
    <row r="9" spans="2:10">
      <c r="B9" s="142"/>
      <c r="C9" s="229"/>
      <c r="D9" s="230"/>
      <c r="E9" s="142"/>
      <c r="F9" s="142"/>
      <c r="G9" s="142"/>
      <c r="H9" s="142"/>
      <c r="I9" s="142"/>
      <c r="J9" s="142"/>
    </row>
    <row r="10" spans="2:10">
      <c r="B10" s="142"/>
      <c r="C10" s="229"/>
      <c r="D10" s="230"/>
      <c r="E10" s="142"/>
      <c r="F10" s="142"/>
      <c r="G10" s="142"/>
      <c r="H10" s="142"/>
      <c r="I10" s="142"/>
      <c r="J10" s="142"/>
    </row>
    <row r="11" spans="2:10" ht="17.25">
      <c r="B11" s="226" t="s">
        <v>872</v>
      </c>
      <c r="C11" s="172"/>
      <c r="D11" s="172"/>
      <c r="E11" s="172"/>
      <c r="F11" s="172"/>
      <c r="G11" s="172"/>
      <c r="H11" s="178"/>
      <c r="I11" s="172"/>
      <c r="J11" s="172"/>
    </row>
    <row r="12" spans="2:10" ht="16.5">
      <c r="B12" s="172"/>
      <c r="C12" s="231" t="s">
        <v>873</v>
      </c>
      <c r="D12" s="232" t="s">
        <v>874</v>
      </c>
      <c r="E12" s="232" t="s">
        <v>875</v>
      </c>
      <c r="F12" s="232" t="s">
        <v>876</v>
      </c>
      <c r="G12" s="172"/>
      <c r="H12" s="178"/>
      <c r="I12" s="172"/>
      <c r="J12" s="172"/>
    </row>
    <row r="13" spans="2:10" ht="16.5">
      <c r="B13" s="172"/>
      <c r="C13" s="227" t="s">
        <v>877</v>
      </c>
      <c r="D13" s="233"/>
      <c r="E13" s="233"/>
      <c r="F13" s="233"/>
      <c r="G13" s="172"/>
      <c r="H13" s="178"/>
      <c r="I13" s="172"/>
      <c r="J13" s="172"/>
    </row>
    <row r="14" spans="2:10">
      <c r="B14" s="172"/>
      <c r="C14" s="227" t="s">
        <v>878</v>
      </c>
      <c r="D14" s="228"/>
      <c r="E14" s="228"/>
      <c r="F14" s="228"/>
      <c r="G14" s="172"/>
      <c r="H14" s="172"/>
      <c r="I14" s="172"/>
      <c r="J14" s="172"/>
    </row>
    <row r="15" spans="2:10">
      <c r="B15" s="172"/>
      <c r="C15" s="227" t="s">
        <v>879</v>
      </c>
      <c r="D15" s="228"/>
      <c r="E15" s="228"/>
      <c r="F15" s="228"/>
      <c r="G15" s="172"/>
      <c r="H15" s="172"/>
      <c r="I15" s="172"/>
      <c r="J15" s="172"/>
    </row>
    <row r="16" spans="2:10">
      <c r="B16" s="172"/>
      <c r="C16" s="227" t="s">
        <v>880</v>
      </c>
      <c r="D16" s="234" t="s">
        <v>881</v>
      </c>
      <c r="E16" s="235"/>
      <c r="F16" s="235"/>
      <c r="G16" s="172"/>
      <c r="H16" s="172"/>
      <c r="I16" s="172"/>
      <c r="J16" s="172"/>
    </row>
    <row r="17" spans="2:10">
      <c r="B17" s="142"/>
      <c r="C17" s="229"/>
      <c r="D17" s="230"/>
      <c r="E17" s="142"/>
      <c r="F17" s="142"/>
      <c r="G17" s="142"/>
      <c r="H17" s="142"/>
      <c r="I17" s="142"/>
      <c r="J17" s="142"/>
    </row>
    <row r="18" spans="2:10">
      <c r="B18" s="142"/>
      <c r="C18" s="229"/>
      <c r="D18" s="230"/>
      <c r="E18" s="142"/>
      <c r="F18" s="142"/>
      <c r="G18" s="142"/>
      <c r="H18" s="142"/>
      <c r="I18" s="142"/>
      <c r="J18" s="142"/>
    </row>
    <row r="19" spans="2:10" ht="17.25">
      <c r="B19" s="226" t="s">
        <v>882</v>
      </c>
      <c r="C19" s="172"/>
      <c r="D19" s="172"/>
      <c r="E19" s="172"/>
      <c r="F19" s="172"/>
      <c r="G19" s="172"/>
      <c r="H19" s="172"/>
      <c r="I19" s="172"/>
      <c r="J19" s="172"/>
    </row>
    <row r="20" spans="2:10">
      <c r="B20" s="172"/>
      <c r="C20" s="231" t="s">
        <v>883</v>
      </c>
      <c r="D20" s="232" t="s">
        <v>884</v>
      </c>
      <c r="E20" s="172"/>
      <c r="F20" s="172"/>
      <c r="G20" s="172"/>
      <c r="H20" s="172"/>
      <c r="I20" s="172"/>
      <c r="J20" s="172"/>
    </row>
    <row r="21" spans="2:10">
      <c r="B21" s="172"/>
      <c r="C21" s="236" t="s">
        <v>885</v>
      </c>
      <c r="D21" s="237" t="str">
        <f>개요!$C$7</f>
        <v>포스코KAICI신기술사업투자조합제1호</v>
      </c>
      <c r="E21" s="172"/>
      <c r="F21" s="172"/>
      <c r="G21" s="172"/>
      <c r="H21" s="172"/>
      <c r="I21" s="172"/>
      <c r="J21" s="172"/>
    </row>
    <row r="22" spans="2:10">
      <c r="B22" s="172"/>
      <c r="C22" s="236" t="s">
        <v>886</v>
      </c>
      <c r="D22" s="238" t="s">
        <v>887</v>
      </c>
      <c r="E22" s="172"/>
      <c r="F22" s="172"/>
      <c r="G22" s="172"/>
      <c r="H22" s="172"/>
      <c r="I22" s="172"/>
      <c r="J22" s="172"/>
    </row>
    <row r="23" spans="2:10">
      <c r="B23" s="172"/>
      <c r="C23" s="236" t="s">
        <v>888</v>
      </c>
      <c r="D23" s="238" t="s">
        <v>889</v>
      </c>
      <c r="E23" s="172"/>
      <c r="F23" s="172"/>
      <c r="G23" s="172"/>
      <c r="H23" s="172"/>
      <c r="I23" s="172"/>
      <c r="J23" s="172"/>
    </row>
    <row r="24" spans="2:10" ht="16.5">
      <c r="B24" s="172"/>
      <c r="C24" s="236" t="s">
        <v>83</v>
      </c>
      <c r="D24" s="238" t="s">
        <v>890</v>
      </c>
      <c r="E24" s="172"/>
      <c r="F24" s="178"/>
      <c r="G24" s="172"/>
      <c r="H24" s="178"/>
      <c r="I24" s="178"/>
      <c r="J24" s="172"/>
    </row>
    <row r="25" spans="2:10" ht="16.5">
      <c r="B25" s="172"/>
      <c r="C25" s="227" t="s">
        <v>891</v>
      </c>
      <c r="D25" s="239">
        <f>NAV!$C$7</f>
        <v>45473</v>
      </c>
      <c r="E25" s="172"/>
      <c r="F25" s="178"/>
      <c r="G25" s="172"/>
      <c r="H25" s="178"/>
      <c r="I25" s="178"/>
      <c r="J25" s="172"/>
    </row>
    <row r="26" spans="2:10" ht="16.5">
      <c r="B26" s="172"/>
      <c r="C26" s="227" t="s">
        <v>892</v>
      </c>
      <c r="D26" s="240" t="s">
        <v>863</v>
      </c>
      <c r="E26" s="172"/>
      <c r="F26" s="178"/>
      <c r="G26" s="172"/>
      <c r="H26" s="178"/>
      <c r="I26" s="178"/>
      <c r="J26" s="172"/>
    </row>
    <row r="27" spans="2:10" ht="16.5">
      <c r="B27" s="172"/>
      <c r="C27" s="227" t="s">
        <v>960</v>
      </c>
      <c r="D27" s="241" t="str">
        <f>IF(MRC_별첨!$C$15="NO","해당사항 없음","적용됨")</f>
        <v>적용됨</v>
      </c>
      <c r="E27" s="172"/>
      <c r="F27" s="178"/>
      <c r="G27" s="172"/>
      <c r="H27" s="178"/>
      <c r="I27" s="178"/>
      <c r="J27" s="172"/>
    </row>
    <row r="28" spans="2:10" ht="16.5">
      <c r="B28" s="172"/>
      <c r="C28" s="227" t="s">
        <v>961</v>
      </c>
      <c r="D28" s="241" t="str">
        <f>IF(MRC_별첨!$C$16="NO","해당사항 없음","적용됨")</f>
        <v>적용됨</v>
      </c>
      <c r="E28" s="172"/>
      <c r="F28" s="178"/>
      <c r="G28" s="172"/>
      <c r="H28" s="178"/>
      <c r="I28" s="178"/>
      <c r="J28" s="172"/>
    </row>
    <row r="29" spans="2:10" ht="16.5">
      <c r="B29" s="172"/>
      <c r="C29" s="227" t="s">
        <v>893</v>
      </c>
      <c r="D29" s="242">
        <f>MRC_별첨!D102</f>
        <v>0</v>
      </c>
      <c r="E29" s="172"/>
      <c r="F29" s="172"/>
      <c r="G29" s="172"/>
      <c r="H29" s="178"/>
      <c r="I29" s="178"/>
      <c r="J29" s="172"/>
    </row>
    <row r="30" spans="2:10" ht="16.5">
      <c r="B30" s="172"/>
      <c r="C30" s="172"/>
      <c r="D30" s="172"/>
      <c r="E30" s="172"/>
      <c r="F30" s="172"/>
      <c r="G30" s="172"/>
      <c r="H30" s="178"/>
      <c r="I30" s="178"/>
      <c r="J30" s="172"/>
    </row>
    <row r="31" spans="2:10" ht="16.5">
      <c r="B31" s="172"/>
      <c r="C31" s="172"/>
      <c r="D31" s="172"/>
      <c r="E31" s="172"/>
      <c r="F31" s="172"/>
      <c r="G31" s="172"/>
      <c r="H31" s="178"/>
      <c r="I31" s="178"/>
      <c r="J31" s="172"/>
    </row>
    <row r="32" spans="2:10" ht="17.25">
      <c r="B32" s="226" t="s">
        <v>894</v>
      </c>
      <c r="C32" s="172"/>
      <c r="D32" s="172"/>
      <c r="E32" s="172"/>
      <c r="F32" s="172"/>
      <c r="G32" s="172"/>
      <c r="H32" s="178"/>
      <c r="I32" s="178"/>
      <c r="J32" s="172"/>
    </row>
    <row r="33" spans="2:10">
      <c r="B33" s="172"/>
      <c r="C33" s="243" t="s">
        <v>883</v>
      </c>
      <c r="D33" s="232" t="s">
        <v>884</v>
      </c>
      <c r="E33" s="172"/>
      <c r="F33" s="172"/>
      <c r="G33" s="172"/>
      <c r="H33" s="172"/>
      <c r="I33" s="172"/>
      <c r="J33" s="172"/>
    </row>
    <row r="34" spans="2:10">
      <c r="B34" s="172"/>
      <c r="C34" s="227" t="s">
        <v>895</v>
      </c>
      <c r="D34" s="244">
        <f>개요!$C$9</f>
        <v>0</v>
      </c>
      <c r="E34" s="172"/>
      <c r="F34" s="172"/>
      <c r="G34" s="172"/>
      <c r="H34" s="172"/>
      <c r="I34" s="172"/>
      <c r="J34" s="172"/>
    </row>
    <row r="35" spans="2:10">
      <c r="B35" s="172"/>
      <c r="C35" s="227" t="s">
        <v>896</v>
      </c>
      <c r="D35" s="245">
        <f>NAV!$E$36</f>
        <v>25871686234</v>
      </c>
      <c r="E35" s="246" t="str">
        <f>NAV!$C$9</f>
        <v>KRW</v>
      </c>
      <c r="F35" s="172"/>
      <c r="G35" s="172"/>
      <c r="H35" s="172"/>
      <c r="I35" s="172"/>
      <c r="J35" s="172"/>
    </row>
    <row r="36" spans="2:10">
      <c r="B36" s="172"/>
      <c r="C36" s="227" t="s">
        <v>897</v>
      </c>
      <c r="D36" s="241" t="s">
        <v>898</v>
      </c>
      <c r="E36" s="246" t="str">
        <f>NAV!$C$9</f>
        <v>KRW</v>
      </c>
      <c r="F36" s="247"/>
      <c r="G36" s="172"/>
      <c r="H36" s="172"/>
      <c r="I36" s="172"/>
      <c r="J36" s="172"/>
    </row>
    <row r="37" spans="2:10">
      <c r="B37" s="172"/>
      <c r="C37" s="227" t="s">
        <v>899</v>
      </c>
      <c r="D37" s="241" t="s">
        <v>900</v>
      </c>
      <c r="E37" s="246" t="str">
        <f>NAV!$C$9</f>
        <v>KRW</v>
      </c>
      <c r="F37" s="248"/>
      <c r="G37" s="172"/>
      <c r="H37" s="172"/>
      <c r="I37" s="172"/>
      <c r="J37" s="172"/>
    </row>
    <row r="38" spans="2:10">
      <c r="B38" s="172"/>
      <c r="C38" s="172"/>
      <c r="D38" s="172"/>
      <c r="E38" s="172"/>
      <c r="F38" s="172"/>
      <c r="G38" s="172"/>
      <c r="H38" s="172"/>
      <c r="I38" s="172"/>
      <c r="J38" s="172"/>
    </row>
    <row r="39" spans="2:10">
      <c r="B39" s="172"/>
      <c r="C39" s="172"/>
      <c r="D39" s="172"/>
      <c r="E39" s="172"/>
      <c r="F39" s="172"/>
      <c r="G39" s="172"/>
      <c r="H39" s="172"/>
      <c r="I39" s="172"/>
      <c r="J39" s="172"/>
    </row>
    <row r="40" spans="2:10" ht="17.25">
      <c r="B40" s="226" t="s">
        <v>901</v>
      </c>
      <c r="C40" s="172"/>
      <c r="D40" s="172"/>
      <c r="E40" s="172"/>
      <c r="F40" s="178"/>
      <c r="G40" s="178"/>
      <c r="H40" s="178"/>
      <c r="I40" s="178"/>
      <c r="J40" s="172"/>
    </row>
    <row r="41" spans="2:10">
      <c r="B41" s="172"/>
      <c r="C41" s="231" t="s">
        <v>873</v>
      </c>
      <c r="D41" s="231" t="s">
        <v>902</v>
      </c>
      <c r="E41" s="231" t="s">
        <v>903</v>
      </c>
      <c r="F41" s="172"/>
      <c r="G41" s="172"/>
      <c r="H41" s="172"/>
      <c r="I41" s="172"/>
      <c r="J41" s="172"/>
    </row>
    <row r="42" spans="2:10">
      <c r="B42" s="172"/>
      <c r="C42" s="227" t="s">
        <v>904</v>
      </c>
      <c r="D42" s="249">
        <f>MRC_별첨!$D$102</f>
        <v>0</v>
      </c>
      <c r="E42" s="848" t="str">
        <f>IF(MRC_별첨!$D$107="유의적 차이 없음","검토 담당자의 검토 결과 특이사항 없음","확인 필요")</f>
        <v>검토 담당자의 검토 결과 특이사항 없음</v>
      </c>
      <c r="F42" s="172"/>
      <c r="G42" s="172"/>
      <c r="H42" s="172"/>
      <c r="I42" s="172"/>
      <c r="J42" s="172"/>
    </row>
    <row r="43" spans="2:10">
      <c r="B43" s="172"/>
      <c r="C43" s="227" t="s">
        <v>905</v>
      </c>
      <c r="D43" s="249">
        <f>MRC_별첨!$D$101</f>
        <v>2.4639701175238096</v>
      </c>
      <c r="E43" s="849"/>
      <c r="F43" s="172"/>
      <c r="G43" s="172"/>
      <c r="H43" s="172"/>
      <c r="I43" s="172"/>
      <c r="J43" s="172"/>
    </row>
    <row r="44" spans="2:10">
      <c r="B44" s="172"/>
      <c r="C44" s="227" t="s">
        <v>906</v>
      </c>
      <c r="D44" s="250">
        <f>D43-D42</f>
        <v>2.4639701175238096</v>
      </c>
      <c r="E44" s="849"/>
      <c r="F44" s="172"/>
      <c r="G44" s="172"/>
      <c r="H44" s="172"/>
      <c r="I44" s="172"/>
      <c r="J44" s="172"/>
    </row>
    <row r="45" spans="2:10">
      <c r="B45" s="172"/>
      <c r="C45" s="227" t="s">
        <v>907</v>
      </c>
      <c r="D45" s="251">
        <f>IFERROR(D44/D42,0)</f>
        <v>0</v>
      </c>
      <c r="E45" s="850"/>
      <c r="F45" s="252"/>
      <c r="G45" s="172"/>
      <c r="H45" s="172"/>
      <c r="I45" s="172"/>
      <c r="J45" s="172"/>
    </row>
    <row r="46" spans="2:10" ht="16.5">
      <c r="B46" s="172"/>
      <c r="C46" s="253"/>
      <c r="D46" s="178"/>
      <c r="E46" s="178"/>
      <c r="F46" s="178"/>
      <c r="G46" s="178"/>
      <c r="H46" s="172"/>
      <c r="I46" s="172"/>
      <c r="J46" s="172"/>
    </row>
    <row r="47" spans="2:10">
      <c r="B47" s="172"/>
      <c r="C47" s="172"/>
      <c r="D47" s="172"/>
      <c r="E47" s="172"/>
      <c r="F47" s="172"/>
      <c r="G47" s="172"/>
      <c r="H47" s="172"/>
      <c r="I47" s="172"/>
      <c r="J47" s="172"/>
    </row>
    <row r="48" spans="2:10" ht="17.25">
      <c r="B48" s="254" t="s">
        <v>908</v>
      </c>
      <c r="C48" s="255"/>
      <c r="D48" s="255"/>
      <c r="E48" s="255"/>
      <c r="F48" s="255"/>
      <c r="G48" s="255"/>
      <c r="H48" s="178"/>
      <c r="I48" s="178"/>
      <c r="J48" s="178"/>
    </row>
    <row r="49" spans="2:10">
      <c r="B49" s="172"/>
      <c r="C49" s="256" t="s">
        <v>979</v>
      </c>
      <c r="D49" s="256" t="s">
        <v>909</v>
      </c>
      <c r="E49" s="256" t="s">
        <v>980</v>
      </c>
      <c r="F49" s="256" t="s">
        <v>281</v>
      </c>
      <c r="G49" s="256" t="s">
        <v>910</v>
      </c>
      <c r="H49" s="172"/>
      <c r="I49" s="172"/>
      <c r="J49" s="172"/>
    </row>
    <row r="50" spans="2:10">
      <c r="B50" s="172"/>
      <c r="C50" s="257">
        <f>$D$42</f>
        <v>0</v>
      </c>
      <c r="D50" s="257">
        <v>0</v>
      </c>
      <c r="E50" s="257">
        <f>C50-D50</f>
        <v>0</v>
      </c>
      <c r="F50" s="258">
        <f>IFERROR(E50/D50,0)</f>
        <v>0</v>
      </c>
      <c r="G50" s="259">
        <v>0.1</v>
      </c>
      <c r="H50" s="172"/>
      <c r="I50" s="172"/>
      <c r="J50" s="172"/>
    </row>
    <row r="51" spans="2:10">
      <c r="B51" s="172"/>
      <c r="C51" s="172"/>
      <c r="D51" s="172"/>
      <c r="E51" s="172"/>
      <c r="F51" s="172"/>
      <c r="G51" s="172"/>
      <c r="H51" s="172"/>
      <c r="I51" s="172"/>
      <c r="J51" s="172"/>
    </row>
    <row r="52" spans="2:10">
      <c r="B52" s="172"/>
      <c r="C52" s="232" t="s">
        <v>911</v>
      </c>
      <c r="D52" s="232" t="s">
        <v>912</v>
      </c>
      <c r="E52" s="232" t="s">
        <v>913</v>
      </c>
      <c r="F52" s="232" t="s">
        <v>914</v>
      </c>
      <c r="G52" s="232" t="s">
        <v>915</v>
      </c>
      <c r="H52" s="260" t="s">
        <v>916</v>
      </c>
      <c r="I52" s="261" t="s">
        <v>917</v>
      </c>
      <c r="J52" s="172"/>
    </row>
    <row r="53" spans="2:10" ht="147.75" customHeight="1">
      <c r="B53" s="172"/>
      <c r="C53" s="228" t="s">
        <v>918</v>
      </c>
      <c r="D53" s="262" t="s">
        <v>919</v>
      </c>
      <c r="E53" s="263" t="str">
        <f>IF(IF(F50&lt;0,F50*-1,F50)&gt;=G50,"초과함","초과하지 않음")</f>
        <v>초과하지 않음</v>
      </c>
      <c r="F53" s="262" t="s">
        <v>920</v>
      </c>
      <c r="G53" s="264" t="s">
        <v>921</v>
      </c>
      <c r="H53" s="262" t="s">
        <v>922</v>
      </c>
      <c r="I53" s="265" t="s">
        <v>923</v>
      </c>
      <c r="J53" s="172"/>
    </row>
    <row r="54" spans="2:10">
      <c r="B54" s="172"/>
      <c r="C54" s="266" t="s">
        <v>864</v>
      </c>
      <c r="D54" s="172"/>
      <c r="E54" s="172"/>
      <c r="F54" s="172"/>
      <c r="G54" s="172"/>
      <c r="H54" s="172"/>
      <c r="I54" s="172"/>
      <c r="J54" s="172"/>
    </row>
    <row r="55" spans="2:10">
      <c r="B55" s="172"/>
      <c r="C55" s="172"/>
      <c r="D55" s="172"/>
      <c r="E55" s="172"/>
      <c r="F55" s="172"/>
      <c r="G55" s="172"/>
      <c r="H55" s="172"/>
      <c r="I55" s="172"/>
      <c r="J55" s="172"/>
    </row>
    <row r="56" spans="2:10" ht="17.25">
      <c r="B56" s="254" t="s">
        <v>924</v>
      </c>
      <c r="C56" s="172"/>
      <c r="D56" s="172"/>
      <c r="E56" s="172"/>
      <c r="F56" s="172"/>
      <c r="G56" s="172"/>
      <c r="H56" s="172"/>
      <c r="I56" s="172"/>
      <c r="J56" s="172"/>
    </row>
    <row r="57" spans="2:10" ht="16.5">
      <c r="B57" s="178"/>
      <c r="C57" s="851" t="s">
        <v>873</v>
      </c>
      <c r="D57" s="851"/>
      <c r="E57" s="851" t="s">
        <v>925</v>
      </c>
      <c r="F57" s="851"/>
      <c r="G57" s="852" t="s">
        <v>926</v>
      </c>
      <c r="H57" s="852"/>
      <c r="I57" s="267" t="s">
        <v>927</v>
      </c>
      <c r="J57" s="172"/>
    </row>
    <row r="58" spans="2:10" ht="54" customHeight="1">
      <c r="B58" s="178"/>
      <c r="C58" s="853" t="s">
        <v>928</v>
      </c>
      <c r="D58" s="853"/>
      <c r="E58" s="854" t="s">
        <v>929</v>
      </c>
      <c r="F58" s="854"/>
      <c r="G58" s="855" t="s">
        <v>930</v>
      </c>
      <c r="H58" s="855"/>
      <c r="I58" s="268" t="s">
        <v>931</v>
      </c>
      <c r="J58" s="172"/>
    </row>
    <row r="59" spans="2:10" ht="135.75" customHeight="1">
      <c r="B59" s="178"/>
      <c r="C59" s="853"/>
      <c r="D59" s="853"/>
      <c r="E59" s="854" t="s">
        <v>932</v>
      </c>
      <c r="F59" s="854"/>
      <c r="G59" s="855" t="s">
        <v>933</v>
      </c>
      <c r="H59" s="855"/>
      <c r="I59" s="268" t="s">
        <v>931</v>
      </c>
      <c r="J59" s="172"/>
    </row>
    <row r="60" spans="2:10" ht="86.25" customHeight="1">
      <c r="B60" s="178"/>
      <c r="C60" s="853" t="s">
        <v>934</v>
      </c>
      <c r="D60" s="853"/>
      <c r="E60" s="854" t="s">
        <v>935</v>
      </c>
      <c r="F60" s="854"/>
      <c r="G60" s="856" t="s">
        <v>936</v>
      </c>
      <c r="H60" s="856"/>
      <c r="I60" s="268" t="s">
        <v>865</v>
      </c>
      <c r="J60" s="172"/>
    </row>
    <row r="61" spans="2:10" ht="79.5" customHeight="1">
      <c r="B61" s="178"/>
      <c r="C61" s="853" t="s">
        <v>937</v>
      </c>
      <c r="D61" s="853"/>
      <c r="E61" s="857" t="s">
        <v>938</v>
      </c>
      <c r="F61" s="857"/>
      <c r="G61" s="858" t="s">
        <v>3605</v>
      </c>
      <c r="H61" s="858"/>
      <c r="I61" s="268" t="s">
        <v>865</v>
      </c>
      <c r="J61" s="172"/>
    </row>
    <row r="62" spans="2:10" ht="61.5" customHeight="1">
      <c r="B62" s="178"/>
      <c r="C62" s="853" t="s">
        <v>939</v>
      </c>
      <c r="D62" s="853"/>
      <c r="E62" s="859" t="s">
        <v>940</v>
      </c>
      <c r="F62" s="859"/>
      <c r="G62" s="860" t="s">
        <v>941</v>
      </c>
      <c r="H62" s="860"/>
      <c r="I62" s="268" t="s">
        <v>865</v>
      </c>
      <c r="J62" s="172"/>
    </row>
    <row r="63" spans="2:10" ht="53.25" customHeight="1">
      <c r="B63" s="178"/>
      <c r="C63" s="853"/>
      <c r="D63" s="853"/>
      <c r="E63" s="859" t="s">
        <v>942</v>
      </c>
      <c r="F63" s="859"/>
      <c r="G63" s="861" t="s">
        <v>943</v>
      </c>
      <c r="H63" s="861"/>
      <c r="I63" s="268" t="s">
        <v>865</v>
      </c>
      <c r="J63" s="172"/>
    </row>
    <row r="64" spans="2:10" ht="54" customHeight="1">
      <c r="B64" s="178"/>
      <c r="C64" s="853"/>
      <c r="D64" s="853"/>
      <c r="E64" s="859" t="s">
        <v>944</v>
      </c>
      <c r="F64" s="859"/>
      <c r="G64" s="862" t="s">
        <v>866</v>
      </c>
      <c r="H64" s="862"/>
      <c r="I64" s="268" t="s">
        <v>865</v>
      </c>
      <c r="J64" s="172"/>
    </row>
    <row r="65" spans="2:10" ht="54" customHeight="1">
      <c r="B65" s="178"/>
      <c r="C65" s="853"/>
      <c r="D65" s="853"/>
      <c r="E65" s="859" t="s">
        <v>945</v>
      </c>
      <c r="F65" s="859"/>
      <c r="G65" s="856" t="s">
        <v>946</v>
      </c>
      <c r="H65" s="856"/>
      <c r="I65" s="268" t="s">
        <v>865</v>
      </c>
      <c r="J65" s="252"/>
    </row>
    <row r="66" spans="2:10" ht="68.25" customHeight="1">
      <c r="B66" s="178"/>
      <c r="C66" s="853" t="s">
        <v>947</v>
      </c>
      <c r="D66" s="853" t="s">
        <v>948</v>
      </c>
      <c r="E66" s="857" t="s">
        <v>949</v>
      </c>
      <c r="F66" s="859"/>
      <c r="G66" s="863" t="s">
        <v>950</v>
      </c>
      <c r="H66" s="863"/>
      <c r="I66" s="268" t="s">
        <v>865</v>
      </c>
      <c r="J66" s="172"/>
    </row>
    <row r="67" spans="2:10" ht="68.25" customHeight="1">
      <c r="B67" s="178"/>
      <c r="C67" s="853"/>
      <c r="D67" s="853"/>
      <c r="E67" s="857" t="s">
        <v>951</v>
      </c>
      <c r="F67" s="859"/>
      <c r="G67" s="863" t="s">
        <v>952</v>
      </c>
      <c r="H67" s="863"/>
      <c r="I67" s="268" t="s">
        <v>865</v>
      </c>
      <c r="J67" s="172"/>
    </row>
    <row r="68" spans="2:10" ht="54" customHeight="1">
      <c r="B68" s="178"/>
      <c r="C68" s="853"/>
      <c r="D68" s="853"/>
      <c r="E68" s="854" t="s">
        <v>953</v>
      </c>
      <c r="F68" s="854"/>
      <c r="G68" s="864" t="s">
        <v>954</v>
      </c>
      <c r="H68" s="864"/>
      <c r="I68" s="268" t="s">
        <v>865</v>
      </c>
      <c r="J68" s="172"/>
    </row>
    <row r="69" spans="2:10" ht="51.75" customHeight="1">
      <c r="B69" s="178"/>
      <c r="C69" s="853"/>
      <c r="D69" s="853"/>
      <c r="E69" s="854" t="s">
        <v>955</v>
      </c>
      <c r="F69" s="854"/>
      <c r="G69" s="863" t="s">
        <v>956</v>
      </c>
      <c r="H69" s="863"/>
      <c r="I69" s="268" t="s">
        <v>865</v>
      </c>
      <c r="J69" s="172"/>
    </row>
    <row r="70" spans="2:10" ht="54" customHeight="1">
      <c r="B70" s="178"/>
      <c r="C70" s="853" t="s">
        <v>957</v>
      </c>
      <c r="D70" s="853"/>
      <c r="E70" s="854" t="s">
        <v>958</v>
      </c>
      <c r="F70" s="854"/>
      <c r="G70" s="860" t="s">
        <v>959</v>
      </c>
      <c r="H70" s="860"/>
      <c r="I70" s="268" t="s">
        <v>865</v>
      </c>
      <c r="J70" s="172"/>
    </row>
    <row r="71" spans="2:10">
      <c r="B71" s="172"/>
      <c r="C71" s="172"/>
      <c r="D71" s="172"/>
      <c r="E71" s="172"/>
      <c r="F71" s="172"/>
      <c r="G71" s="172"/>
      <c r="H71" s="172"/>
      <c r="I71" s="172"/>
      <c r="J71" s="172"/>
    </row>
    <row r="72" spans="2:10">
      <c r="B72" s="172"/>
      <c r="C72" s="172"/>
      <c r="D72" s="172"/>
      <c r="E72" s="172"/>
      <c r="F72" s="172"/>
      <c r="G72" s="172"/>
      <c r="H72" s="172"/>
      <c r="I72" s="172"/>
      <c r="J72" s="172"/>
    </row>
    <row r="73" spans="2:10">
      <c r="B73" s="172"/>
      <c r="C73" s="172"/>
      <c r="D73" s="172"/>
      <c r="E73" s="172"/>
      <c r="F73" s="172"/>
      <c r="G73" s="172"/>
      <c r="H73" s="172"/>
      <c r="I73" s="172"/>
      <c r="J73" s="172"/>
    </row>
  </sheetData>
  <mergeCells count="37">
    <mergeCell ref="C70:D70"/>
    <mergeCell ref="E70:F70"/>
    <mergeCell ref="G70:H70"/>
    <mergeCell ref="C66:C69"/>
    <mergeCell ref="D66:D69"/>
    <mergeCell ref="E66:F66"/>
    <mergeCell ref="G66:H66"/>
    <mergeCell ref="E67:F67"/>
    <mergeCell ref="G67:H67"/>
    <mergeCell ref="E68:F68"/>
    <mergeCell ref="G68:H68"/>
    <mergeCell ref="E69:F69"/>
    <mergeCell ref="G69:H69"/>
    <mergeCell ref="C62:D65"/>
    <mergeCell ref="E62:F62"/>
    <mergeCell ref="G62:H62"/>
    <mergeCell ref="E63:F63"/>
    <mergeCell ref="G63:H63"/>
    <mergeCell ref="E64:F64"/>
    <mergeCell ref="G64:H64"/>
    <mergeCell ref="E65:F65"/>
    <mergeCell ref="G65:H65"/>
    <mergeCell ref="C60:D60"/>
    <mergeCell ref="E60:F60"/>
    <mergeCell ref="G60:H60"/>
    <mergeCell ref="C61:D61"/>
    <mergeCell ref="E61:F61"/>
    <mergeCell ref="G61:H61"/>
    <mergeCell ref="E42:E45"/>
    <mergeCell ref="C57:D57"/>
    <mergeCell ref="E57:F57"/>
    <mergeCell ref="G57:H57"/>
    <mergeCell ref="C58:D59"/>
    <mergeCell ref="E58:F58"/>
    <mergeCell ref="G58:H58"/>
    <mergeCell ref="E59:F59"/>
    <mergeCell ref="G59:H59"/>
  </mergeCells>
  <phoneticPr fontId="8" type="noConversion"/>
  <pageMargins left="0.7" right="0.7" top="0.75" bottom="0.75" header="0.3" footer="0.3"/>
  <ignoredErrors>
    <ignoredError sqref="D44" evalError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4" tint="0.79998168889431442"/>
  </sheetPr>
  <dimension ref="A1:L1222"/>
  <sheetViews>
    <sheetView showGridLines="0" zoomScale="70" zoomScaleNormal="70" workbookViewId="0"/>
  </sheetViews>
  <sheetFormatPr defaultColWidth="19.33203125" defaultRowHeight="13.5" outlineLevelRow="1"/>
  <cols>
    <col min="1" max="1" width="2.33203125" style="142" customWidth="1"/>
    <col min="2" max="12" width="18.77734375" style="172" customWidth="1"/>
    <col min="13" max="13" width="18.77734375" style="142" customWidth="1"/>
    <col min="14" max="16384" width="19.33203125" style="142"/>
  </cols>
  <sheetData>
    <row r="1" spans="2:12" ht="6.75" customHeight="1">
      <c r="B1" s="141"/>
      <c r="C1" s="142"/>
      <c r="D1" s="142"/>
      <c r="E1" s="142"/>
      <c r="F1" s="142"/>
      <c r="G1" s="142"/>
      <c r="H1" s="142"/>
      <c r="I1" s="142"/>
      <c r="J1" s="142"/>
      <c r="K1" s="142"/>
      <c r="L1" s="142"/>
    </row>
    <row r="2" spans="2:12" ht="20.25">
      <c r="B2" s="143" t="s">
        <v>963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</row>
    <row r="3" spans="2:12" s="146" customFormat="1">
      <c r="B3" s="144" t="s">
        <v>44</v>
      </c>
      <c r="C3" s="145"/>
      <c r="D3" s="145"/>
      <c r="E3" s="145"/>
      <c r="F3" s="145"/>
      <c r="G3" s="145"/>
      <c r="H3" s="145"/>
      <c r="I3" s="145"/>
      <c r="J3" s="145"/>
      <c r="K3" s="145"/>
      <c r="L3" s="145"/>
    </row>
    <row r="4" spans="2:12" s="146" customFormat="1">
      <c r="B4" s="147"/>
    </row>
    <row r="5" spans="2:12" s="146" customFormat="1">
      <c r="B5" s="148" t="s">
        <v>845</v>
      </c>
      <c r="C5" s="149"/>
      <c r="D5" s="149"/>
      <c r="E5" s="149"/>
      <c r="F5" s="149"/>
    </row>
    <row r="6" spans="2:12" s="146" customFormat="1">
      <c r="B6" s="150" t="s">
        <v>45</v>
      </c>
      <c r="C6" s="886" t="str">
        <f>보고서!$C$3</f>
        <v>포스코KAICI신기술사업투자조합제1호</v>
      </c>
      <c r="D6" s="887"/>
      <c r="E6" s="151"/>
      <c r="F6" s="152"/>
      <c r="G6" s="153"/>
    </row>
    <row r="7" spans="2:12" s="146" customFormat="1" ht="13.5" customHeight="1">
      <c r="B7" s="154" t="s">
        <v>850</v>
      </c>
      <c r="C7" s="888">
        <f>보고서!$C$4</f>
        <v>0</v>
      </c>
      <c r="D7" s="889"/>
      <c r="E7" s="151"/>
      <c r="F7" s="152"/>
      <c r="G7" s="153"/>
    </row>
    <row r="8" spans="2:12" s="146" customFormat="1">
      <c r="B8" s="154" t="s">
        <v>823</v>
      </c>
      <c r="C8" s="890">
        <f>보고서!$C$5</f>
        <v>45473</v>
      </c>
      <c r="D8" s="891"/>
      <c r="E8" s="151"/>
      <c r="F8" s="152"/>
      <c r="G8" s="153"/>
    </row>
    <row r="9" spans="2:12" s="146" customFormat="1">
      <c r="B9" s="154" t="s">
        <v>371</v>
      </c>
      <c r="C9" s="890">
        <f>보고서!$C$6</f>
        <v>45473</v>
      </c>
      <c r="D9" s="891"/>
      <c r="E9" s="151"/>
      <c r="F9" s="152"/>
      <c r="G9" s="153"/>
    </row>
    <row r="10" spans="2:12" s="146" customFormat="1">
      <c r="B10" s="154" t="s">
        <v>759</v>
      </c>
      <c r="C10" s="890">
        <f>보고서!$C$7</f>
        <v>1</v>
      </c>
      <c r="D10" s="892"/>
      <c r="E10" s="151"/>
      <c r="F10" s="152"/>
      <c r="G10" s="153"/>
    </row>
    <row r="11" spans="2:12" s="146" customFormat="1">
      <c r="B11" s="154" t="s">
        <v>861</v>
      </c>
      <c r="C11" s="902">
        <f>개요!$C$13</f>
        <v>10500000000</v>
      </c>
      <c r="D11" s="903"/>
      <c r="E11" s="151"/>
      <c r="F11" s="152"/>
      <c r="G11" s="153"/>
    </row>
    <row r="12" spans="2:12" s="146" customFormat="1">
      <c r="B12" s="154" t="s">
        <v>862</v>
      </c>
      <c r="C12" s="902">
        <f>개요!$C$14</f>
        <v>10500000000</v>
      </c>
      <c r="D12" s="903"/>
      <c r="E12" s="151"/>
      <c r="F12" s="152"/>
      <c r="G12" s="153"/>
    </row>
    <row r="13" spans="2:12" s="146" customFormat="1">
      <c r="B13" s="154" t="s">
        <v>854</v>
      </c>
      <c r="C13" s="893">
        <f>개요!$C$16</f>
        <v>1</v>
      </c>
      <c r="D13" s="894"/>
      <c r="E13" s="151"/>
      <c r="F13" s="152"/>
      <c r="G13" s="153"/>
    </row>
    <row r="14" spans="2:12" s="146" customFormat="1">
      <c r="B14" s="154" t="s">
        <v>853</v>
      </c>
      <c r="C14" s="895">
        <f>IFERROR($D$94,0)</f>
        <v>2.4639701175238096</v>
      </c>
      <c r="D14" s="896"/>
      <c r="E14" s="151"/>
      <c r="F14" s="152"/>
      <c r="G14" s="153"/>
    </row>
    <row r="15" spans="2:12" s="146" customFormat="1">
      <c r="B15" s="154" t="s">
        <v>824</v>
      </c>
      <c r="C15" s="897" t="str">
        <f>보고서!$C$10</f>
        <v>YES</v>
      </c>
      <c r="D15" s="892"/>
      <c r="E15" s="151"/>
      <c r="F15" s="152"/>
      <c r="G15" s="153"/>
    </row>
    <row r="16" spans="2:12" s="146" customFormat="1">
      <c r="B16" s="155" t="s">
        <v>962</v>
      </c>
      <c r="C16" s="898" t="str">
        <f>보고서!$C$11</f>
        <v>YES</v>
      </c>
      <c r="D16" s="899"/>
      <c r="E16" s="152"/>
      <c r="F16" s="152"/>
      <c r="G16" s="153"/>
    </row>
    <row r="17" spans="2:7" s="146" customFormat="1">
      <c r="B17" s="152"/>
      <c r="C17" s="152"/>
      <c r="D17" s="152"/>
      <c r="E17" s="152"/>
      <c r="F17" s="152"/>
      <c r="G17" s="153"/>
    </row>
    <row r="18" spans="2:7" s="146" customFormat="1">
      <c r="B18" s="152"/>
      <c r="C18" s="152"/>
      <c r="D18" s="152"/>
      <c r="E18" s="152"/>
      <c r="F18" s="152"/>
      <c r="G18" s="153"/>
    </row>
    <row r="19" spans="2:7" s="146" customFormat="1">
      <c r="B19" s="156" t="s">
        <v>836</v>
      </c>
      <c r="C19" s="152"/>
      <c r="D19" s="152"/>
      <c r="E19" s="152"/>
      <c r="F19" s="152"/>
      <c r="G19" s="153"/>
    </row>
    <row r="20" spans="2:7" s="146" customFormat="1">
      <c r="B20" s="150" t="s">
        <v>825</v>
      </c>
      <c r="C20" s="157" t="s">
        <v>826</v>
      </c>
      <c r="D20" s="158" t="s">
        <v>827</v>
      </c>
      <c r="E20" s="152"/>
      <c r="F20" s="152"/>
      <c r="G20" s="153"/>
    </row>
    <row r="21" spans="2:7" s="146" customFormat="1">
      <c r="B21" s="900">
        <f>$C$8</f>
        <v>45473</v>
      </c>
      <c r="C21" s="159" t="s">
        <v>55</v>
      </c>
      <c r="D21" s="160">
        <f>$D$92</f>
        <v>25871686234</v>
      </c>
      <c r="E21" s="152"/>
      <c r="F21" s="152"/>
      <c r="G21" s="153"/>
    </row>
    <row r="22" spans="2:7" s="146" customFormat="1">
      <c r="B22" s="901"/>
      <c r="C22" s="161" t="s">
        <v>56</v>
      </c>
      <c r="D22" s="162">
        <f>$D$94</f>
        <v>2.4639701175238096</v>
      </c>
      <c r="E22" s="152"/>
      <c r="F22" s="152"/>
      <c r="G22" s="153"/>
    </row>
    <row r="23" spans="2:7" s="146" customFormat="1">
      <c r="B23" s="152"/>
      <c r="C23" s="152"/>
      <c r="D23" s="152"/>
      <c r="E23" s="152"/>
      <c r="F23" s="152"/>
      <c r="G23" s="153"/>
    </row>
    <row r="24" spans="2:7" s="146" customFormat="1">
      <c r="B24" s="152"/>
      <c r="C24" s="152"/>
      <c r="D24" s="152"/>
      <c r="E24" s="152"/>
      <c r="F24" s="152"/>
      <c r="G24" s="153"/>
    </row>
    <row r="25" spans="2:7" s="146" customFormat="1">
      <c r="B25" s="156" t="s">
        <v>849</v>
      </c>
      <c r="C25" s="152"/>
      <c r="D25" s="152"/>
      <c r="E25" s="152"/>
      <c r="F25" s="152"/>
      <c r="G25" s="153"/>
    </row>
    <row r="26" spans="2:7" s="146" customFormat="1">
      <c r="B26" s="150" t="s">
        <v>828</v>
      </c>
      <c r="C26" s="157" t="s">
        <v>829</v>
      </c>
      <c r="D26" s="157" t="s">
        <v>235</v>
      </c>
      <c r="E26" s="157" t="s">
        <v>830</v>
      </c>
      <c r="F26" s="158" t="s">
        <v>198</v>
      </c>
      <c r="G26" s="153"/>
    </row>
    <row r="27" spans="2:7" s="146" customFormat="1">
      <c r="B27" s="163" t="str">
        <f>보고서!B21</f>
        <v>업무집행사원(GP)</v>
      </c>
      <c r="C27" s="164" t="str">
        <f>보고서!C21</f>
        <v>코리아에셋투자증권㈜</v>
      </c>
      <c r="D27" s="164">
        <f>보고서!D21</f>
        <v>50000000</v>
      </c>
      <c r="E27" s="164">
        <f>보고서!E21</f>
        <v>50000000</v>
      </c>
      <c r="F27" s="165">
        <f>보고서!F21/100</f>
        <v>4.7619047619047623E-3</v>
      </c>
      <c r="G27" s="153"/>
    </row>
    <row r="28" spans="2:7" s="146" customFormat="1">
      <c r="B28" s="163" t="str">
        <f>보고서!B22</f>
        <v>업무집행사원(GP)</v>
      </c>
      <c r="C28" s="164" t="str">
        <f>보고서!C22</f>
        <v>창인파트너스㈜</v>
      </c>
      <c r="D28" s="164">
        <f>보고서!D22</f>
        <v>50000000</v>
      </c>
      <c r="E28" s="164">
        <f>보고서!E22</f>
        <v>50000000</v>
      </c>
      <c r="F28" s="165">
        <f>보고서!F22/100</f>
        <v>4.7619047619047623E-3</v>
      </c>
      <c r="G28" s="153"/>
    </row>
    <row r="29" spans="2:7" s="146" customFormat="1">
      <c r="B29" s="163" t="str">
        <f>보고서!B23</f>
        <v>유한책임사원(LP)</v>
      </c>
      <c r="C29" s="164" t="str">
        <f>보고서!C23</f>
        <v>P펀드</v>
      </c>
      <c r="D29" s="164">
        <f>보고서!D23</f>
        <v>6000000000</v>
      </c>
      <c r="E29" s="164">
        <f>보고서!E23</f>
        <v>6000000000</v>
      </c>
      <c r="F29" s="165">
        <f>보고서!F23/100</f>
        <v>0.5714285714285714</v>
      </c>
    </row>
    <row r="30" spans="2:7" s="146" customFormat="1">
      <c r="B30" s="163" t="str">
        <f>보고서!B24</f>
        <v>유한책임사원(LP)</v>
      </c>
      <c r="C30" s="164" t="str">
        <f>보고서!C24</f>
        <v>M사</v>
      </c>
      <c r="D30" s="164">
        <f>보고서!D24</f>
        <v>1000000000</v>
      </c>
      <c r="E30" s="164">
        <f>보고서!E24</f>
        <v>1000000000</v>
      </c>
      <c r="F30" s="165">
        <f>보고서!F24/100</f>
        <v>9.5238095238095233E-2</v>
      </c>
    </row>
    <row r="31" spans="2:7" s="146" customFormat="1">
      <c r="B31" s="163" t="str">
        <f>보고서!B25</f>
        <v>유한책임사원(LP)</v>
      </c>
      <c r="C31" s="164" t="str">
        <f>보고서!C25</f>
        <v>흥국생명보험㈜</v>
      </c>
      <c r="D31" s="164">
        <f>보고서!D25</f>
        <v>1000000000</v>
      </c>
      <c r="E31" s="164">
        <f>보고서!E25</f>
        <v>1000000000</v>
      </c>
      <c r="F31" s="165">
        <f>보고서!F25/100</f>
        <v>9.5238095238095233E-2</v>
      </c>
    </row>
    <row r="32" spans="2:7" s="146" customFormat="1">
      <c r="B32" s="163" t="str">
        <f>보고서!B26</f>
        <v>유한책임사원(LP)</v>
      </c>
      <c r="C32" s="164" t="str">
        <f>보고서!C26</f>
        <v>M사</v>
      </c>
      <c r="D32" s="164">
        <f>보고서!D26</f>
        <v>1000000000</v>
      </c>
      <c r="E32" s="164">
        <f>보고서!E26</f>
        <v>1000000000</v>
      </c>
      <c r="F32" s="165">
        <f>보고서!F26/100</f>
        <v>9.5238095238095233E-2</v>
      </c>
    </row>
    <row r="33" spans="2:6" s="146" customFormat="1">
      <c r="B33" s="163" t="str">
        <f>보고서!B27</f>
        <v>유한책임사원(LP)</v>
      </c>
      <c r="C33" s="164" t="str">
        <f>보고서!C27</f>
        <v>김OO</v>
      </c>
      <c r="D33" s="164">
        <f>보고서!D27</f>
        <v>400000000</v>
      </c>
      <c r="E33" s="164">
        <f>보고서!E27</f>
        <v>400000000</v>
      </c>
      <c r="F33" s="165">
        <f>보고서!F27/100</f>
        <v>3.8095238095238099E-2</v>
      </c>
    </row>
    <row r="34" spans="2:6" s="146" customFormat="1">
      <c r="B34" s="163" t="str">
        <f>보고서!B28</f>
        <v>유한책임사원(LP)</v>
      </c>
      <c r="C34" s="164" t="str">
        <f>보고서!C28</f>
        <v>손OO</v>
      </c>
      <c r="D34" s="164">
        <f>보고서!D28</f>
        <v>250000000</v>
      </c>
      <c r="E34" s="164">
        <f>보고서!E28</f>
        <v>250000000</v>
      </c>
      <c r="F34" s="165">
        <f>보고서!F28/100</f>
        <v>2.3809523809523808E-2</v>
      </c>
    </row>
    <row r="35" spans="2:6" s="146" customFormat="1">
      <c r="B35" s="163" t="str">
        <f>보고서!B29</f>
        <v>유한책임사원(LP)</v>
      </c>
      <c r="C35" s="164" t="str">
        <f>보고서!C29</f>
        <v>임OO</v>
      </c>
      <c r="D35" s="164">
        <f>보고서!D29</f>
        <v>250000000</v>
      </c>
      <c r="E35" s="164">
        <f>보고서!E29</f>
        <v>250000000</v>
      </c>
      <c r="F35" s="165">
        <f>보고서!F29/100</f>
        <v>2.3809523809523808E-2</v>
      </c>
    </row>
    <row r="36" spans="2:6" s="146" customFormat="1">
      <c r="B36" s="163" t="str">
        <f>보고서!B30</f>
        <v>유한책임사원(LP)</v>
      </c>
      <c r="C36" s="164" t="str">
        <f>보고서!C30</f>
        <v>최OO</v>
      </c>
      <c r="D36" s="164">
        <f>보고서!D30</f>
        <v>250000000</v>
      </c>
      <c r="E36" s="164">
        <f>보고서!E30</f>
        <v>250000000</v>
      </c>
      <c r="F36" s="165">
        <f>보고서!F30/100</f>
        <v>2.3809523809523808E-2</v>
      </c>
    </row>
    <row r="37" spans="2:6" s="146" customFormat="1">
      <c r="B37" s="163" t="str">
        <f>보고서!B31</f>
        <v>유한책임사원(LP)</v>
      </c>
      <c r="C37" s="164" t="str">
        <f>보고서!C31</f>
        <v>한OO</v>
      </c>
      <c r="D37" s="164">
        <f>보고서!D31</f>
        <v>250000000</v>
      </c>
      <c r="E37" s="164">
        <f>보고서!E31</f>
        <v>250000000</v>
      </c>
      <c r="F37" s="165">
        <f>보고서!F31/100</f>
        <v>2.3809523809523808E-2</v>
      </c>
    </row>
    <row r="38" spans="2:6" s="146" customFormat="1">
      <c r="B38" s="163">
        <f>보고서!B32</f>
        <v>0</v>
      </c>
      <c r="C38" s="164">
        <f>보고서!C32</f>
        <v>0</v>
      </c>
      <c r="D38" s="164">
        <f>보고서!D32</f>
        <v>0</v>
      </c>
      <c r="E38" s="164">
        <f>보고서!E32</f>
        <v>0</v>
      </c>
      <c r="F38" s="165">
        <f>보고서!F32/100</f>
        <v>0</v>
      </c>
    </row>
    <row r="39" spans="2:6" s="146" customFormat="1">
      <c r="B39" s="163">
        <f>보고서!B33</f>
        <v>0</v>
      </c>
      <c r="C39" s="164">
        <f>보고서!C33</f>
        <v>0</v>
      </c>
      <c r="D39" s="164">
        <f>보고서!D33</f>
        <v>0</v>
      </c>
      <c r="E39" s="164">
        <f>보고서!E33</f>
        <v>0</v>
      </c>
      <c r="F39" s="165">
        <f>보고서!F33/100</f>
        <v>0</v>
      </c>
    </row>
    <row r="40" spans="2:6" s="146" customFormat="1">
      <c r="B40" s="163">
        <f>보고서!B34</f>
        <v>0</v>
      </c>
      <c r="C40" s="164">
        <f>보고서!C34</f>
        <v>0</v>
      </c>
      <c r="D40" s="164">
        <f>보고서!D34</f>
        <v>0</v>
      </c>
      <c r="E40" s="164">
        <f>보고서!E34</f>
        <v>0</v>
      </c>
      <c r="F40" s="165">
        <f>보고서!F34/100</f>
        <v>0</v>
      </c>
    </row>
    <row r="41" spans="2:6" s="146" customFormat="1">
      <c r="B41" s="163">
        <f>보고서!B35</f>
        <v>0</v>
      </c>
      <c r="C41" s="164">
        <f>보고서!C35</f>
        <v>0</v>
      </c>
      <c r="D41" s="164">
        <f>보고서!D35</f>
        <v>0</v>
      </c>
      <c r="E41" s="164">
        <f>보고서!E35</f>
        <v>0</v>
      </c>
      <c r="F41" s="165">
        <f>보고서!F35/100</f>
        <v>0</v>
      </c>
    </row>
    <row r="42" spans="2:6" s="146" customFormat="1">
      <c r="B42" s="163">
        <f>보고서!B36</f>
        <v>0</v>
      </c>
      <c r="C42" s="164">
        <f>보고서!C36</f>
        <v>0</v>
      </c>
      <c r="D42" s="164">
        <f>보고서!D36</f>
        <v>0</v>
      </c>
      <c r="E42" s="164">
        <f>보고서!E36</f>
        <v>0</v>
      </c>
      <c r="F42" s="165">
        <f>보고서!F36/100</f>
        <v>0</v>
      </c>
    </row>
    <row r="43" spans="2:6" s="146" customFormat="1">
      <c r="B43" s="163">
        <f>보고서!B37</f>
        <v>0</v>
      </c>
      <c r="C43" s="164">
        <f>보고서!C37</f>
        <v>0</v>
      </c>
      <c r="D43" s="164">
        <f>보고서!D37</f>
        <v>0</v>
      </c>
      <c r="E43" s="164">
        <f>보고서!E37</f>
        <v>0</v>
      </c>
      <c r="F43" s="165">
        <f>보고서!F37/100</f>
        <v>0</v>
      </c>
    </row>
    <row r="44" spans="2:6" s="146" customFormat="1">
      <c r="B44" s="163">
        <f>보고서!B38</f>
        <v>0</v>
      </c>
      <c r="C44" s="164">
        <f>보고서!C38</f>
        <v>0</v>
      </c>
      <c r="D44" s="164">
        <f>보고서!D38</f>
        <v>0</v>
      </c>
      <c r="E44" s="164">
        <f>보고서!E38</f>
        <v>0</v>
      </c>
      <c r="F44" s="165">
        <f>보고서!F38/100</f>
        <v>0</v>
      </c>
    </row>
    <row r="45" spans="2:6" s="146" customFormat="1">
      <c r="B45" s="163">
        <f>보고서!B39</f>
        <v>0</v>
      </c>
      <c r="C45" s="164">
        <f>보고서!C39</f>
        <v>0</v>
      </c>
      <c r="D45" s="164">
        <f>보고서!D39</f>
        <v>0</v>
      </c>
      <c r="E45" s="164">
        <f>보고서!E39</f>
        <v>0</v>
      </c>
      <c r="F45" s="165">
        <f>보고서!F39/100</f>
        <v>0</v>
      </c>
    </row>
    <row r="46" spans="2:6" s="146" customFormat="1">
      <c r="B46" s="163">
        <f>보고서!B40</f>
        <v>0</v>
      </c>
      <c r="C46" s="164">
        <f>보고서!C40</f>
        <v>0</v>
      </c>
      <c r="D46" s="164">
        <f>보고서!D40</f>
        <v>0</v>
      </c>
      <c r="E46" s="164">
        <f>보고서!E40</f>
        <v>0</v>
      </c>
      <c r="F46" s="165">
        <f>보고서!F40/100</f>
        <v>0</v>
      </c>
    </row>
    <row r="47" spans="2:6" s="146" customFormat="1">
      <c r="B47" s="163">
        <f>보고서!B41</f>
        <v>0</v>
      </c>
      <c r="C47" s="164">
        <f>보고서!C41</f>
        <v>0</v>
      </c>
      <c r="D47" s="164">
        <f>보고서!D41</f>
        <v>0</v>
      </c>
      <c r="E47" s="164">
        <f>보고서!E41</f>
        <v>0</v>
      </c>
      <c r="F47" s="165">
        <f>보고서!F41/100</f>
        <v>0</v>
      </c>
    </row>
    <row r="48" spans="2:6" s="146" customFormat="1">
      <c r="B48" s="163">
        <f>보고서!B42</f>
        <v>0</v>
      </c>
      <c r="C48" s="164">
        <f>보고서!C42</f>
        <v>0</v>
      </c>
      <c r="D48" s="164">
        <f>보고서!D42</f>
        <v>0</v>
      </c>
      <c r="E48" s="164">
        <f>보고서!E42</f>
        <v>0</v>
      </c>
      <c r="F48" s="165">
        <f>보고서!F42/100</f>
        <v>0</v>
      </c>
    </row>
    <row r="49" spans="2:6" s="146" customFormat="1">
      <c r="B49" s="163">
        <f>보고서!B43</f>
        <v>0</v>
      </c>
      <c r="C49" s="164">
        <f>보고서!C43</f>
        <v>0</v>
      </c>
      <c r="D49" s="164">
        <f>보고서!D43</f>
        <v>0</v>
      </c>
      <c r="E49" s="164">
        <f>보고서!E43</f>
        <v>0</v>
      </c>
      <c r="F49" s="165">
        <f>보고서!F43/100</f>
        <v>0</v>
      </c>
    </row>
    <row r="50" spans="2:6" s="146" customFormat="1">
      <c r="B50" s="163">
        <f>보고서!B44</f>
        <v>0</v>
      </c>
      <c r="C50" s="164">
        <f>보고서!C44</f>
        <v>0</v>
      </c>
      <c r="D50" s="164">
        <f>보고서!D44</f>
        <v>0</v>
      </c>
      <c r="E50" s="164">
        <f>보고서!E44</f>
        <v>0</v>
      </c>
      <c r="F50" s="165">
        <f>보고서!F44/100</f>
        <v>0</v>
      </c>
    </row>
    <row r="51" spans="2:6" s="146" customFormat="1">
      <c r="B51" s="163">
        <f>보고서!B45</f>
        <v>0</v>
      </c>
      <c r="C51" s="164">
        <f>보고서!C45</f>
        <v>0</v>
      </c>
      <c r="D51" s="164">
        <f>보고서!D45</f>
        <v>0</v>
      </c>
      <c r="E51" s="164">
        <f>보고서!E45</f>
        <v>0</v>
      </c>
      <c r="F51" s="165">
        <f>보고서!F45/100</f>
        <v>0</v>
      </c>
    </row>
    <row r="52" spans="2:6" s="146" customFormat="1">
      <c r="B52" s="163">
        <f>보고서!B46</f>
        <v>0</v>
      </c>
      <c r="C52" s="164">
        <f>보고서!C46</f>
        <v>0</v>
      </c>
      <c r="D52" s="164">
        <f>보고서!D46</f>
        <v>0</v>
      </c>
      <c r="E52" s="164">
        <f>보고서!E46</f>
        <v>0</v>
      </c>
      <c r="F52" s="165">
        <f>보고서!F46/100</f>
        <v>0</v>
      </c>
    </row>
    <row r="53" spans="2:6" s="146" customFormat="1">
      <c r="B53" s="163">
        <f>보고서!B47</f>
        <v>0</v>
      </c>
      <c r="C53" s="164">
        <f>보고서!C47</f>
        <v>0</v>
      </c>
      <c r="D53" s="164">
        <f>보고서!D47</f>
        <v>0</v>
      </c>
      <c r="E53" s="164">
        <f>보고서!E47</f>
        <v>0</v>
      </c>
      <c r="F53" s="165">
        <f>보고서!F47/100</f>
        <v>0</v>
      </c>
    </row>
    <row r="54" spans="2:6" s="146" customFormat="1">
      <c r="B54" s="163">
        <f>보고서!B48</f>
        <v>0</v>
      </c>
      <c r="C54" s="164">
        <f>보고서!C48</f>
        <v>0</v>
      </c>
      <c r="D54" s="164">
        <f>보고서!D48</f>
        <v>0</v>
      </c>
      <c r="E54" s="164">
        <f>보고서!E48</f>
        <v>0</v>
      </c>
      <c r="F54" s="165">
        <f>보고서!F48/100</f>
        <v>0</v>
      </c>
    </row>
    <row r="55" spans="2:6" s="146" customFormat="1">
      <c r="B55" s="163">
        <f>보고서!B49</f>
        <v>0</v>
      </c>
      <c r="C55" s="164">
        <f>보고서!C49</f>
        <v>0</v>
      </c>
      <c r="D55" s="164">
        <f>보고서!D49</f>
        <v>0</v>
      </c>
      <c r="E55" s="164">
        <f>보고서!E49</f>
        <v>0</v>
      </c>
      <c r="F55" s="165">
        <f>보고서!F49/100</f>
        <v>0</v>
      </c>
    </row>
    <row r="56" spans="2:6" s="146" customFormat="1">
      <c r="B56" s="163">
        <f>보고서!B50</f>
        <v>0</v>
      </c>
      <c r="C56" s="164">
        <f>보고서!C50</f>
        <v>0</v>
      </c>
      <c r="D56" s="164">
        <f>보고서!D50</f>
        <v>0</v>
      </c>
      <c r="E56" s="164">
        <f>보고서!E50</f>
        <v>0</v>
      </c>
      <c r="F56" s="165">
        <f>보고서!F50/100</f>
        <v>0</v>
      </c>
    </row>
    <row r="57" spans="2:6" s="146" customFormat="1">
      <c r="B57" s="163">
        <f>보고서!B51</f>
        <v>0</v>
      </c>
      <c r="C57" s="164">
        <f>보고서!C51</f>
        <v>0</v>
      </c>
      <c r="D57" s="164">
        <f>보고서!D51</f>
        <v>0</v>
      </c>
      <c r="E57" s="164">
        <f>보고서!E51</f>
        <v>0</v>
      </c>
      <c r="F57" s="165">
        <f>보고서!F51/100</f>
        <v>0</v>
      </c>
    </row>
    <row r="58" spans="2:6" s="146" customFormat="1">
      <c r="B58" s="163">
        <f>보고서!B52</f>
        <v>0</v>
      </c>
      <c r="C58" s="164">
        <f>보고서!C52</f>
        <v>0</v>
      </c>
      <c r="D58" s="164">
        <f>보고서!D52</f>
        <v>0</v>
      </c>
      <c r="E58" s="164">
        <f>보고서!E52</f>
        <v>0</v>
      </c>
      <c r="F58" s="165">
        <f>보고서!F52/100</f>
        <v>0</v>
      </c>
    </row>
    <row r="59" spans="2:6" s="146" customFormat="1">
      <c r="B59" s="163">
        <f>보고서!B53</f>
        <v>0</v>
      </c>
      <c r="C59" s="164">
        <f>보고서!C53</f>
        <v>0</v>
      </c>
      <c r="D59" s="164">
        <f>보고서!D53</f>
        <v>0</v>
      </c>
      <c r="E59" s="164">
        <f>보고서!E53</f>
        <v>0</v>
      </c>
      <c r="F59" s="165">
        <f>보고서!F53/100</f>
        <v>0</v>
      </c>
    </row>
    <row r="60" spans="2:6" s="146" customFormat="1">
      <c r="B60" s="163">
        <f>보고서!B54</f>
        <v>0</v>
      </c>
      <c r="C60" s="164">
        <f>보고서!C54</f>
        <v>0</v>
      </c>
      <c r="D60" s="164">
        <f>보고서!D54</f>
        <v>0</v>
      </c>
      <c r="E60" s="164">
        <f>보고서!E54</f>
        <v>0</v>
      </c>
      <c r="F60" s="165">
        <f>보고서!F54/100</f>
        <v>0</v>
      </c>
    </row>
    <row r="61" spans="2:6" s="146" customFormat="1">
      <c r="B61" s="163">
        <f>보고서!B55</f>
        <v>0</v>
      </c>
      <c r="C61" s="164">
        <f>보고서!C55</f>
        <v>0</v>
      </c>
      <c r="D61" s="164">
        <f>보고서!D55</f>
        <v>0</v>
      </c>
      <c r="E61" s="164">
        <f>보고서!E55</f>
        <v>0</v>
      </c>
      <c r="F61" s="165">
        <f>보고서!F55/100</f>
        <v>0</v>
      </c>
    </row>
    <row r="62" spans="2:6" s="146" customFormat="1">
      <c r="B62" s="163">
        <f>보고서!B56</f>
        <v>0</v>
      </c>
      <c r="C62" s="164">
        <f>보고서!C56</f>
        <v>0</v>
      </c>
      <c r="D62" s="164">
        <f>보고서!D56</f>
        <v>0</v>
      </c>
      <c r="E62" s="164">
        <f>보고서!E56</f>
        <v>0</v>
      </c>
      <c r="F62" s="165">
        <f>보고서!F56/100</f>
        <v>0</v>
      </c>
    </row>
    <row r="63" spans="2:6" s="146" customFormat="1">
      <c r="B63" s="163">
        <f>보고서!B57</f>
        <v>0</v>
      </c>
      <c r="C63" s="164">
        <f>보고서!C57</f>
        <v>0</v>
      </c>
      <c r="D63" s="164">
        <f>보고서!D57</f>
        <v>0</v>
      </c>
      <c r="E63" s="164">
        <f>보고서!E57</f>
        <v>0</v>
      </c>
      <c r="F63" s="165">
        <f>보고서!F57/100</f>
        <v>0</v>
      </c>
    </row>
    <row r="64" spans="2:6" s="146" customFormat="1">
      <c r="B64" s="163">
        <f>보고서!B58</f>
        <v>0</v>
      </c>
      <c r="C64" s="164">
        <f>보고서!C58</f>
        <v>0</v>
      </c>
      <c r="D64" s="164">
        <f>보고서!D58</f>
        <v>0</v>
      </c>
      <c r="E64" s="164">
        <f>보고서!E58</f>
        <v>0</v>
      </c>
      <c r="F64" s="165">
        <f>보고서!F58/100</f>
        <v>0</v>
      </c>
    </row>
    <row r="65" spans="2:12" s="146" customFormat="1">
      <c r="B65" s="163">
        <f>보고서!B59</f>
        <v>0</v>
      </c>
      <c r="C65" s="164">
        <f>보고서!C59</f>
        <v>0</v>
      </c>
      <c r="D65" s="164">
        <f>보고서!D59</f>
        <v>0</v>
      </c>
      <c r="E65" s="164">
        <f>보고서!E59</f>
        <v>0</v>
      </c>
      <c r="F65" s="165">
        <f>보고서!F59/100</f>
        <v>0</v>
      </c>
    </row>
    <row r="66" spans="2:12" s="146" customFormat="1">
      <c r="B66" s="163">
        <f>보고서!B60</f>
        <v>0</v>
      </c>
      <c r="C66" s="164">
        <f>보고서!C60</f>
        <v>0</v>
      </c>
      <c r="D66" s="164">
        <f>보고서!D60</f>
        <v>0</v>
      </c>
      <c r="E66" s="164">
        <f>보고서!E60</f>
        <v>0</v>
      </c>
      <c r="F66" s="165">
        <f>보고서!F60/100</f>
        <v>0</v>
      </c>
    </row>
    <row r="67" spans="2:12" s="146" customFormat="1">
      <c r="B67" s="163">
        <f>보고서!B61</f>
        <v>0</v>
      </c>
      <c r="C67" s="164">
        <f>보고서!C61</f>
        <v>0</v>
      </c>
      <c r="D67" s="164">
        <f>보고서!D61</f>
        <v>0</v>
      </c>
      <c r="E67" s="164">
        <f>보고서!E61</f>
        <v>0</v>
      </c>
      <c r="F67" s="165">
        <f>보고서!F61/100</f>
        <v>0</v>
      </c>
    </row>
    <row r="68" spans="2:12" s="146" customFormat="1">
      <c r="B68" s="163">
        <f>보고서!B62</f>
        <v>0</v>
      </c>
      <c r="C68" s="164">
        <f>보고서!C62</f>
        <v>0</v>
      </c>
      <c r="D68" s="164">
        <f>보고서!D62</f>
        <v>0</v>
      </c>
      <c r="E68" s="164">
        <f>보고서!E62</f>
        <v>0</v>
      </c>
      <c r="F68" s="165">
        <f>보고서!F62/100</f>
        <v>0</v>
      </c>
    </row>
    <row r="69" spans="2:12" s="146" customFormat="1">
      <c r="B69" s="163">
        <f>보고서!B63</f>
        <v>0</v>
      </c>
      <c r="C69" s="164">
        <f>보고서!C63</f>
        <v>0</v>
      </c>
      <c r="D69" s="164">
        <f>보고서!D63</f>
        <v>0</v>
      </c>
      <c r="E69" s="164">
        <f>보고서!E63</f>
        <v>0</v>
      </c>
      <c r="F69" s="165">
        <f>보고서!F63/100</f>
        <v>0</v>
      </c>
    </row>
    <row r="70" spans="2:12" s="146" customFormat="1">
      <c r="B70" s="163">
        <f>보고서!B64</f>
        <v>0</v>
      </c>
      <c r="C70" s="164">
        <f>보고서!C64</f>
        <v>0</v>
      </c>
      <c r="D70" s="164">
        <f>보고서!D64</f>
        <v>0</v>
      </c>
      <c r="E70" s="164">
        <f>보고서!E64</f>
        <v>0</v>
      </c>
      <c r="F70" s="165">
        <f>보고서!F64/100</f>
        <v>0</v>
      </c>
    </row>
    <row r="71" spans="2:12" s="146" customFormat="1">
      <c r="B71" s="163">
        <f>보고서!B65</f>
        <v>0</v>
      </c>
      <c r="C71" s="164">
        <f>보고서!C65</f>
        <v>0</v>
      </c>
      <c r="D71" s="164">
        <f>보고서!D65</f>
        <v>0</v>
      </c>
      <c r="E71" s="164">
        <f>보고서!E65</f>
        <v>0</v>
      </c>
      <c r="F71" s="165">
        <f>보고서!F65/100</f>
        <v>0</v>
      </c>
    </row>
    <row r="72" spans="2:12" s="146" customFormat="1">
      <c r="B72" s="163">
        <f>보고서!B66</f>
        <v>0</v>
      </c>
      <c r="C72" s="164">
        <f>보고서!C66</f>
        <v>0</v>
      </c>
      <c r="D72" s="164">
        <f>보고서!D66</f>
        <v>0</v>
      </c>
      <c r="E72" s="164">
        <f>보고서!E66</f>
        <v>0</v>
      </c>
      <c r="F72" s="165">
        <f>보고서!F66/100</f>
        <v>0</v>
      </c>
    </row>
    <row r="73" spans="2:12" s="146" customFormat="1">
      <c r="B73" s="163">
        <f>보고서!B67</f>
        <v>0</v>
      </c>
      <c r="C73" s="164">
        <f>보고서!C67</f>
        <v>0</v>
      </c>
      <c r="D73" s="164">
        <f>보고서!D67</f>
        <v>0</v>
      </c>
      <c r="E73" s="164">
        <f>보고서!E67</f>
        <v>0</v>
      </c>
      <c r="F73" s="165">
        <f>보고서!F67/100</f>
        <v>0</v>
      </c>
    </row>
    <row r="74" spans="2:12" s="146" customFormat="1">
      <c r="B74" s="163">
        <f>보고서!B68</f>
        <v>0</v>
      </c>
      <c r="C74" s="164">
        <f>보고서!C68</f>
        <v>0</v>
      </c>
      <c r="D74" s="164">
        <f>보고서!D68</f>
        <v>0</v>
      </c>
      <c r="E74" s="164">
        <f>보고서!E68</f>
        <v>0</v>
      </c>
      <c r="F74" s="165">
        <f>보고서!F68/100</f>
        <v>0</v>
      </c>
    </row>
    <row r="75" spans="2:12" s="146" customFormat="1">
      <c r="B75" s="163">
        <f>보고서!B69</f>
        <v>0</v>
      </c>
      <c r="C75" s="164">
        <f>보고서!C69</f>
        <v>0</v>
      </c>
      <c r="D75" s="164">
        <f>보고서!D69</f>
        <v>0</v>
      </c>
      <c r="E75" s="164">
        <f>보고서!E69</f>
        <v>0</v>
      </c>
      <c r="F75" s="165">
        <f>보고서!F69/100</f>
        <v>0</v>
      </c>
    </row>
    <row r="76" spans="2:12" s="146" customFormat="1">
      <c r="B76" s="909" t="s">
        <v>50</v>
      </c>
      <c r="C76" s="910"/>
      <c r="D76" s="166">
        <f>SUM(D27:D75)</f>
        <v>10500000000</v>
      </c>
      <c r="E76" s="166">
        <f>SUM(E27:E75)</f>
        <v>10500000000</v>
      </c>
      <c r="F76" s="167">
        <f>SUM(F27:F75)</f>
        <v>1</v>
      </c>
    </row>
    <row r="77" spans="2:12" s="146" customFormat="1">
      <c r="B77" s="147"/>
      <c r="E77" s="168" t="str">
        <f>IF(E76=D93, "자본금 일치","자본금 불일치")</f>
        <v>자본금 일치</v>
      </c>
      <c r="F77" s="169"/>
    </row>
    <row r="78" spans="2:12" s="146" customFormat="1">
      <c r="B78" s="147"/>
      <c r="E78" s="169"/>
      <c r="F78" s="169"/>
    </row>
    <row r="79" spans="2:12" s="146" customFormat="1">
      <c r="B79" s="144" t="s">
        <v>832</v>
      </c>
      <c r="C79" s="145"/>
      <c r="D79" s="145"/>
      <c r="E79" s="145"/>
      <c r="F79" s="145"/>
      <c r="G79" s="145"/>
      <c r="H79" s="145"/>
      <c r="I79" s="145"/>
      <c r="J79" s="145"/>
      <c r="K79" s="145"/>
      <c r="L79" s="145"/>
    </row>
    <row r="80" spans="2:12" s="146" customFormat="1">
      <c r="B80" s="170"/>
    </row>
    <row r="81" spans="1:8">
      <c r="B81" s="171" t="s">
        <v>837</v>
      </c>
    </row>
    <row r="82" spans="1:8">
      <c r="B82" s="173" t="s">
        <v>808</v>
      </c>
      <c r="C82" s="173" t="s">
        <v>799</v>
      </c>
      <c r="D82" s="173" t="s">
        <v>800</v>
      </c>
      <c r="E82" s="173" t="s">
        <v>801</v>
      </c>
    </row>
    <row r="83" spans="1:8">
      <c r="B83" s="174" t="s">
        <v>3492</v>
      </c>
      <c r="C83" s="175">
        <f>보고서!C75</f>
        <v>17314014</v>
      </c>
      <c r="D83" s="175">
        <f>보고서!D75</f>
        <v>17314014</v>
      </c>
      <c r="E83" s="176"/>
    </row>
    <row r="84" spans="1:8">
      <c r="B84" s="176" t="s">
        <v>756</v>
      </c>
      <c r="C84" s="177">
        <f>보고서!C76</f>
        <v>17314014</v>
      </c>
      <c r="D84" s="177">
        <f>보고서!D76</f>
        <v>17314014</v>
      </c>
      <c r="E84" s="176" t="s">
        <v>810</v>
      </c>
    </row>
    <row r="85" spans="1:8" ht="16.5">
      <c r="B85" s="176" t="s">
        <v>757</v>
      </c>
      <c r="C85" s="177">
        <f>보고서!C77</f>
        <v>0</v>
      </c>
      <c r="D85" s="177">
        <f>보고서!D77</f>
        <v>0</v>
      </c>
      <c r="E85" s="176" t="s">
        <v>810</v>
      </c>
      <c r="F85" s="178"/>
      <c r="G85" s="178"/>
    </row>
    <row r="86" spans="1:8" ht="16.5">
      <c r="B86" s="179" t="s">
        <v>3493</v>
      </c>
      <c r="C86" s="175">
        <f>보고서!C78</f>
        <v>9999990000</v>
      </c>
      <c r="D86" s="175">
        <f>보고서!D78</f>
        <v>25961792220</v>
      </c>
      <c r="E86" s="176" t="s">
        <v>843</v>
      </c>
      <c r="F86" s="178"/>
      <c r="G86" s="178"/>
      <c r="H86" s="178"/>
    </row>
    <row r="87" spans="1:8" ht="16.5">
      <c r="B87" s="179" t="s">
        <v>848</v>
      </c>
      <c r="C87" s="175">
        <f>보고서!C258</f>
        <v>10017304014</v>
      </c>
      <c r="D87" s="175">
        <f>보고서!D258</f>
        <v>25979106234</v>
      </c>
      <c r="E87" s="176"/>
      <c r="F87" s="178"/>
      <c r="G87" s="178"/>
      <c r="H87" s="178"/>
    </row>
    <row r="88" spans="1:8" ht="17.25" thickBot="1">
      <c r="B88" s="180" t="s">
        <v>30</v>
      </c>
      <c r="C88" s="181">
        <f>보고서!C259</f>
        <v>107420000</v>
      </c>
      <c r="D88" s="181">
        <f>C88</f>
        <v>107420000</v>
      </c>
      <c r="E88" s="182" t="s">
        <v>810</v>
      </c>
      <c r="F88" s="178"/>
      <c r="G88" s="178"/>
      <c r="H88" s="178"/>
    </row>
    <row r="89" spans="1:8" ht="17.25" thickTop="1">
      <c r="B89" s="179" t="s">
        <v>31</v>
      </c>
      <c r="C89" s="183">
        <f>C87-C88</f>
        <v>9909884014</v>
      </c>
      <c r="D89" s="183">
        <f>D87-D88</f>
        <v>25871686234</v>
      </c>
      <c r="E89" s="176"/>
      <c r="F89" s="178"/>
      <c r="G89" s="178"/>
      <c r="H89" s="178"/>
    </row>
    <row r="90" spans="1:8" ht="16.5">
      <c r="B90" s="184" t="s">
        <v>804</v>
      </c>
      <c r="C90" s="185">
        <f>보고서!C261</f>
        <v>0</v>
      </c>
      <c r="D90" s="185">
        <f>C90</f>
        <v>0</v>
      </c>
      <c r="E90" s="176" t="s">
        <v>831</v>
      </c>
      <c r="F90" s="178"/>
      <c r="G90" s="178"/>
      <c r="H90" s="178"/>
    </row>
    <row r="91" spans="1:8" ht="16.5">
      <c r="B91" s="184" t="s">
        <v>964</v>
      </c>
      <c r="C91" s="185">
        <f>보고서!C262</f>
        <v>0</v>
      </c>
      <c r="D91" s="185">
        <f>C91</f>
        <v>0</v>
      </c>
      <c r="E91" s="176" t="s">
        <v>831</v>
      </c>
      <c r="F91" s="178"/>
      <c r="G91" s="178"/>
      <c r="H91" s="178"/>
    </row>
    <row r="92" spans="1:8" ht="16.5">
      <c r="B92" s="179" t="s">
        <v>842</v>
      </c>
      <c r="C92" s="183">
        <f>C89+C90-C91</f>
        <v>9909884014</v>
      </c>
      <c r="D92" s="183">
        <f>D89+D90-D91</f>
        <v>25871686234</v>
      </c>
      <c r="E92" s="176"/>
      <c r="F92" s="178"/>
      <c r="G92" s="178"/>
      <c r="H92" s="178"/>
    </row>
    <row r="93" spans="1:8" ht="17.25" thickBot="1">
      <c r="B93" s="186" t="s">
        <v>852</v>
      </c>
      <c r="C93" s="187">
        <f>보고서!C264</f>
        <v>10500000000</v>
      </c>
      <c r="D93" s="187">
        <f>C93</f>
        <v>10500000000</v>
      </c>
      <c r="E93" s="182" t="s">
        <v>851</v>
      </c>
      <c r="F93" s="178"/>
      <c r="G93" s="178"/>
      <c r="H93" s="178"/>
    </row>
    <row r="94" spans="1:8" ht="17.25" thickTop="1">
      <c r="A94" s="142" t="s">
        <v>839</v>
      </c>
      <c r="B94" s="179" t="s">
        <v>847</v>
      </c>
      <c r="C94" s="188">
        <f>IFERROR(C92/C93,0)</f>
        <v>0.94379847752380952</v>
      </c>
      <c r="D94" s="188">
        <f>IFERROR(D92/D93,0)</f>
        <v>2.4639701175238096</v>
      </c>
      <c r="E94" s="176"/>
      <c r="F94" s="178"/>
      <c r="G94" s="178"/>
      <c r="H94" s="178"/>
    </row>
    <row r="95" spans="1:8" ht="16.5">
      <c r="A95" s="142" t="s">
        <v>840</v>
      </c>
      <c r="B95" s="189" t="str">
        <f>보고서!B266</f>
        <v>우선분배 반영 후 좌당 순자산가치</v>
      </c>
      <c r="C95" s="188" t="str">
        <f>보고서!C266</f>
        <v>해당 없음</v>
      </c>
      <c r="D95" s="188" t="str">
        <f>C95</f>
        <v>해당 없음</v>
      </c>
      <c r="E95" s="176"/>
      <c r="F95" s="178"/>
      <c r="G95" s="178"/>
      <c r="H95" s="178"/>
    </row>
    <row r="96" spans="1:8" ht="16.5">
      <c r="A96" s="142" t="s">
        <v>841</v>
      </c>
      <c r="B96" s="189" t="str">
        <f>보고서!B267</f>
        <v>성과보수 적용 후 좌당 순자산가치</v>
      </c>
      <c r="C96" s="188">
        <f>보고서!C267</f>
        <v>2.2156856236637315</v>
      </c>
      <c r="D96" s="188">
        <f>C96</f>
        <v>2.2156856236637315</v>
      </c>
      <c r="E96" s="176"/>
      <c r="F96" s="178"/>
      <c r="G96" s="178"/>
      <c r="H96" s="178"/>
    </row>
    <row r="97" spans="2:12" ht="16.5">
      <c r="B97" s="184"/>
      <c r="C97" s="190"/>
      <c r="D97" s="190"/>
      <c r="F97" s="178"/>
      <c r="G97" s="178"/>
      <c r="H97" s="178"/>
    </row>
    <row r="98" spans="2:12" ht="16.5">
      <c r="B98" s="168" t="s">
        <v>38</v>
      </c>
      <c r="C98" s="191" t="b">
        <f>IFERROR(ROUND((C84+C85+C86-C88+C90-C91)/C93,3)=ROUND(C94,3),0)</f>
        <v>1</v>
      </c>
      <c r="D98" s="191" t="b">
        <f>IFERROR(ROUND((D84+D85+D86-D88+D90-D91)/D93,3)=ROUND(D94,3),0)</f>
        <v>1</v>
      </c>
      <c r="F98" s="178"/>
      <c r="G98" s="178"/>
      <c r="H98" s="178"/>
    </row>
    <row r="99" spans="2:12" ht="16.5">
      <c r="B99" s="192"/>
      <c r="C99" s="193"/>
      <c r="D99" s="193"/>
      <c r="E99" s="142"/>
      <c r="F99" s="194"/>
      <c r="G99" s="194"/>
      <c r="H99" s="194"/>
      <c r="I99" s="142"/>
      <c r="J99" s="142"/>
      <c r="K99" s="142"/>
      <c r="L99" s="142"/>
    </row>
    <row r="100" spans="2:12" ht="14.25" thickBot="1">
      <c r="E100" s="195" t="s">
        <v>844</v>
      </c>
    </row>
    <row r="101" spans="2:12">
      <c r="B101" s="911" t="s">
        <v>855</v>
      </c>
      <c r="C101" s="912"/>
      <c r="D101" s="196">
        <f>IF(E101="#1. 특이사항 없음",D94,IF(E101="#2. 우선분배/손실 반영",D95,D96))</f>
        <v>2.4639701175238096</v>
      </c>
      <c r="E101" s="197" t="s">
        <v>838</v>
      </c>
      <c r="F101" s="198" t="s">
        <v>3602</v>
      </c>
    </row>
    <row r="102" spans="2:12">
      <c r="B102" s="913" t="s">
        <v>856</v>
      </c>
      <c r="C102" s="914"/>
      <c r="D102" s="199"/>
    </row>
    <row r="103" spans="2:12">
      <c r="B103" s="915" t="s">
        <v>802</v>
      </c>
      <c r="C103" s="916"/>
      <c r="D103" s="200">
        <f>D101-D102</f>
        <v>2.4639701175238096</v>
      </c>
    </row>
    <row r="104" spans="2:12" ht="14.25" thickBot="1">
      <c r="B104" s="917" t="s">
        <v>803</v>
      </c>
      <c r="C104" s="918"/>
      <c r="D104" s="201">
        <f>IFERROR(D103/D102,0)</f>
        <v>0</v>
      </c>
    </row>
    <row r="105" spans="2:12" ht="14.25" thickBot="1">
      <c r="B105" s="176"/>
    </row>
    <row r="106" spans="2:12">
      <c r="B106" s="904" t="s">
        <v>859</v>
      </c>
      <c r="C106" s="905"/>
      <c r="D106" s="202">
        <v>0.1</v>
      </c>
    </row>
    <row r="107" spans="2:12" ht="14.25" thickBot="1">
      <c r="B107" s="906" t="s">
        <v>809</v>
      </c>
      <c r="C107" s="907"/>
      <c r="D107" s="203" t="str">
        <f>IF(IF(D104&lt;0,D104*-1,D104)&gt;=D106,"유의적 차이 발생","유의적 차이 없음")</f>
        <v>유의적 차이 없음</v>
      </c>
    </row>
    <row r="108" spans="2:12">
      <c r="B108" s="204"/>
      <c r="C108" s="205"/>
      <c r="D108" s="206"/>
    </row>
    <row r="110" spans="2:12" s="146" customFormat="1">
      <c r="B110" s="144" t="s">
        <v>833</v>
      </c>
      <c r="C110" s="145"/>
      <c r="D110" s="145"/>
      <c r="E110" s="145"/>
      <c r="F110" s="145"/>
      <c r="G110" s="145"/>
      <c r="H110" s="145"/>
      <c r="I110" s="145"/>
      <c r="J110" s="145"/>
      <c r="K110" s="145"/>
      <c r="L110" s="145"/>
    </row>
    <row r="112" spans="2:12">
      <c r="B112" s="883" t="str">
        <f>IF(D107="유의적 차이 발생","순자산접근법을 통한 유가증권 평가 가격 재계산 결과 유의적 차이 발생(10% 초과)","순자산접근법을 통한 유가증권 평가 가격 재계산 결과 유의적 차이가 없음을 확인(차이율 10% 이하)")</f>
        <v>순자산접근법을 통한 유가증권 평가 가격 재계산 결과 유의적 차이가 없음을 확인(차이율 10% 이하)</v>
      </c>
      <c r="C112" s="884"/>
      <c r="D112" s="884"/>
      <c r="E112" s="885"/>
    </row>
    <row r="114" spans="2:5" ht="13.5" customHeight="1">
      <c r="B114" s="874" t="s">
        <v>3603</v>
      </c>
      <c r="C114" s="875"/>
      <c r="D114" s="875"/>
      <c r="E114" s="876"/>
    </row>
    <row r="115" spans="2:5">
      <c r="B115" s="877"/>
      <c r="C115" s="878"/>
      <c r="D115" s="878"/>
      <c r="E115" s="879"/>
    </row>
    <row r="116" spans="2:5">
      <c r="B116" s="877"/>
      <c r="C116" s="878"/>
      <c r="D116" s="878"/>
      <c r="E116" s="879"/>
    </row>
    <row r="117" spans="2:5">
      <c r="B117" s="877"/>
      <c r="C117" s="878"/>
      <c r="D117" s="878"/>
      <c r="E117" s="879"/>
    </row>
    <row r="118" spans="2:5">
      <c r="B118" s="877"/>
      <c r="C118" s="878"/>
      <c r="D118" s="878"/>
      <c r="E118" s="879"/>
    </row>
    <row r="119" spans="2:5">
      <c r="B119" s="877"/>
      <c r="C119" s="878"/>
      <c r="D119" s="878"/>
      <c r="E119" s="879"/>
    </row>
    <row r="120" spans="2:5">
      <c r="B120" s="877"/>
      <c r="C120" s="878"/>
      <c r="D120" s="878"/>
      <c r="E120" s="879"/>
    </row>
    <row r="121" spans="2:5" ht="13.5" hidden="1" customHeight="1">
      <c r="B121" s="877"/>
      <c r="C121" s="878"/>
      <c r="D121" s="878"/>
      <c r="E121" s="879"/>
    </row>
    <row r="122" spans="2:5" ht="13.5" hidden="1" customHeight="1">
      <c r="B122" s="877"/>
      <c r="C122" s="878"/>
      <c r="D122" s="878"/>
      <c r="E122" s="879"/>
    </row>
    <row r="123" spans="2:5" ht="13.5" hidden="1" customHeight="1">
      <c r="B123" s="877"/>
      <c r="C123" s="878"/>
      <c r="D123" s="878"/>
      <c r="E123" s="879"/>
    </row>
    <row r="124" spans="2:5" ht="13.5" hidden="1" customHeight="1">
      <c r="B124" s="877"/>
      <c r="C124" s="878"/>
      <c r="D124" s="878"/>
      <c r="E124" s="879"/>
    </row>
    <row r="125" spans="2:5">
      <c r="B125" s="877"/>
      <c r="C125" s="878"/>
      <c r="D125" s="878"/>
      <c r="E125" s="879"/>
    </row>
    <row r="126" spans="2:5">
      <c r="B126" s="877"/>
      <c r="C126" s="878"/>
      <c r="D126" s="878"/>
      <c r="E126" s="879"/>
    </row>
    <row r="127" spans="2:5">
      <c r="B127" s="877"/>
      <c r="C127" s="878"/>
      <c r="D127" s="878"/>
      <c r="E127" s="879"/>
    </row>
    <row r="128" spans="2:5">
      <c r="B128" s="877"/>
      <c r="C128" s="878"/>
      <c r="D128" s="878"/>
      <c r="E128" s="879"/>
    </row>
    <row r="129" spans="2:12">
      <c r="B129" s="877"/>
      <c r="C129" s="878"/>
      <c r="D129" s="878"/>
      <c r="E129" s="879"/>
    </row>
    <row r="130" spans="2:12">
      <c r="B130" s="877"/>
      <c r="C130" s="878"/>
      <c r="D130" s="878"/>
      <c r="E130" s="879"/>
    </row>
    <row r="131" spans="2:12">
      <c r="B131" s="877"/>
      <c r="C131" s="878"/>
      <c r="D131" s="878"/>
      <c r="E131" s="879"/>
    </row>
    <row r="132" spans="2:12">
      <c r="B132" s="877"/>
      <c r="C132" s="878"/>
      <c r="D132" s="878"/>
      <c r="E132" s="879"/>
    </row>
    <row r="133" spans="2:12">
      <c r="B133" s="880"/>
      <c r="C133" s="881"/>
      <c r="D133" s="881"/>
      <c r="E133" s="882"/>
    </row>
    <row r="136" spans="2:12" s="146" customFormat="1">
      <c r="B136" s="144" t="s">
        <v>834</v>
      </c>
      <c r="C136" s="145"/>
      <c r="D136" s="145"/>
      <c r="E136" s="145"/>
      <c r="F136" s="145"/>
      <c r="G136" s="145"/>
      <c r="H136" s="145"/>
      <c r="I136" s="145"/>
      <c r="J136" s="145"/>
      <c r="K136" s="145"/>
      <c r="L136" s="145"/>
    </row>
    <row r="138" spans="2:12">
      <c r="B138" s="171" t="s">
        <v>3604</v>
      </c>
      <c r="C138" s="171"/>
      <c r="D138" s="171"/>
      <c r="E138" s="171"/>
      <c r="G138" s="171" t="s">
        <v>846</v>
      </c>
    </row>
    <row r="139" spans="2:12">
      <c r="B139" s="173" t="s">
        <v>88</v>
      </c>
      <c r="C139" s="173" t="s">
        <v>90</v>
      </c>
      <c r="D139" s="173" t="s">
        <v>801</v>
      </c>
      <c r="G139" s="173" t="s">
        <v>805</v>
      </c>
      <c r="H139" s="173" t="s">
        <v>256</v>
      </c>
      <c r="I139" s="173" t="s">
        <v>12</v>
      </c>
      <c r="J139" s="173" t="s">
        <v>806</v>
      </c>
      <c r="K139" s="173" t="s">
        <v>3495</v>
      </c>
      <c r="L139" s="173" t="s">
        <v>807</v>
      </c>
    </row>
    <row r="140" spans="2:12">
      <c r="B140" s="176">
        <f>보고서!G75</f>
        <v>0</v>
      </c>
      <c r="C140" s="207" t="str">
        <f>보고서!I75</f>
        <v>SPC 없음</v>
      </c>
      <c r="D140" s="176" t="str">
        <f>IF(B140="SPC 없음","","(*) 아래 SPC 검증 참고")</f>
        <v>(*) 아래 SPC 검증 참고</v>
      </c>
      <c r="G140" s="176" t="str">
        <f>보고서!L75</f>
        <v xml:space="preserve">성림첨단산업                                      </v>
      </c>
      <c r="H140" s="176" t="str">
        <f>보고서!M75</f>
        <v>보통주</v>
      </c>
      <c r="I140" s="176" t="str">
        <f>보고서!N75</f>
        <v>DCF</v>
      </c>
      <c r="J140" s="208">
        <f>보고서!O75</f>
        <v>28558</v>
      </c>
      <c r="K140" s="208">
        <f>보고서!P75</f>
        <v>9999990000</v>
      </c>
      <c r="L140" s="208">
        <f>보고서!Q75</f>
        <v>25961792220</v>
      </c>
    </row>
    <row r="141" spans="2:12">
      <c r="B141" s="176">
        <f>보고서!G76</f>
        <v>0</v>
      </c>
      <c r="C141" s="207" t="str">
        <f>보고서!I76</f>
        <v>SPC 없음</v>
      </c>
      <c r="D141" s="176" t="str">
        <f t="shared" ref="D141:D168" si="0">IF(B141="SPC 없음","","(*) 아래 SPC 검증 참고")</f>
        <v>(*) 아래 SPC 검증 참고</v>
      </c>
      <c r="G141" s="176">
        <f>보고서!L76</f>
        <v>0</v>
      </c>
      <c r="H141" s="176">
        <f>보고서!M76</f>
        <v>0</v>
      </c>
      <c r="I141" s="176">
        <f>보고서!N76</f>
        <v>0</v>
      </c>
      <c r="J141" s="208">
        <f>보고서!O76</f>
        <v>0</v>
      </c>
      <c r="K141" s="208">
        <f>보고서!P76</f>
        <v>0</v>
      </c>
      <c r="L141" s="208">
        <f>보고서!Q76</f>
        <v>0</v>
      </c>
    </row>
    <row r="142" spans="2:12">
      <c r="B142" s="176">
        <f>보고서!G77</f>
        <v>0</v>
      </c>
      <c r="C142" s="207" t="str">
        <f>보고서!I77</f>
        <v>SPC 없음</v>
      </c>
      <c r="D142" s="176" t="str">
        <f t="shared" si="0"/>
        <v>(*) 아래 SPC 검증 참고</v>
      </c>
      <c r="G142" s="176">
        <f>보고서!L77</f>
        <v>0</v>
      </c>
      <c r="H142" s="176">
        <f>보고서!M77</f>
        <v>0</v>
      </c>
      <c r="I142" s="176">
        <f>보고서!N77</f>
        <v>0</v>
      </c>
      <c r="J142" s="208">
        <f>보고서!O77</f>
        <v>0</v>
      </c>
      <c r="K142" s="208">
        <f>보고서!P77</f>
        <v>0</v>
      </c>
      <c r="L142" s="208">
        <f>보고서!Q77</f>
        <v>0</v>
      </c>
    </row>
    <row r="143" spans="2:12">
      <c r="B143" s="176">
        <f>보고서!G78</f>
        <v>0</v>
      </c>
      <c r="C143" s="207" t="str">
        <f>보고서!I78</f>
        <v>SPC 없음</v>
      </c>
      <c r="D143" s="176" t="str">
        <f t="shared" si="0"/>
        <v>(*) 아래 SPC 검증 참고</v>
      </c>
      <c r="G143" s="176">
        <f>보고서!L78</f>
        <v>0</v>
      </c>
      <c r="H143" s="176">
        <f>보고서!M78</f>
        <v>0</v>
      </c>
      <c r="I143" s="176">
        <f>보고서!N78</f>
        <v>0</v>
      </c>
      <c r="J143" s="208">
        <f>보고서!O78</f>
        <v>0</v>
      </c>
      <c r="K143" s="208">
        <f>보고서!P78</f>
        <v>0</v>
      </c>
      <c r="L143" s="208">
        <f>보고서!Q78</f>
        <v>0</v>
      </c>
    </row>
    <row r="144" spans="2:12">
      <c r="B144" s="176">
        <f>보고서!G79</f>
        <v>0</v>
      </c>
      <c r="C144" s="207" t="str">
        <f>보고서!I79</f>
        <v>SPC 없음</v>
      </c>
      <c r="D144" s="176" t="str">
        <f t="shared" si="0"/>
        <v>(*) 아래 SPC 검증 참고</v>
      </c>
      <c r="G144" s="176">
        <f>보고서!L79</f>
        <v>0</v>
      </c>
      <c r="H144" s="176">
        <f>보고서!M79</f>
        <v>0</v>
      </c>
      <c r="I144" s="176">
        <f>보고서!N79</f>
        <v>0</v>
      </c>
      <c r="J144" s="208">
        <f>보고서!O79</f>
        <v>0</v>
      </c>
      <c r="K144" s="208">
        <f>보고서!P79</f>
        <v>0</v>
      </c>
      <c r="L144" s="208">
        <f>보고서!Q79</f>
        <v>0</v>
      </c>
    </row>
    <row r="145" spans="2:12">
      <c r="B145" s="176">
        <f>보고서!G80</f>
        <v>0</v>
      </c>
      <c r="C145" s="207" t="str">
        <f>보고서!I80</f>
        <v>SPC 없음</v>
      </c>
      <c r="D145" s="176" t="str">
        <f t="shared" si="0"/>
        <v>(*) 아래 SPC 검증 참고</v>
      </c>
      <c r="G145" s="176">
        <f>보고서!L80</f>
        <v>0</v>
      </c>
      <c r="H145" s="176">
        <f>보고서!M80</f>
        <v>0</v>
      </c>
      <c r="I145" s="176">
        <f>보고서!N80</f>
        <v>0</v>
      </c>
      <c r="J145" s="208">
        <f>보고서!O80</f>
        <v>0</v>
      </c>
      <c r="K145" s="208">
        <f>보고서!P80</f>
        <v>0</v>
      </c>
      <c r="L145" s="208">
        <f>보고서!Q80</f>
        <v>0</v>
      </c>
    </row>
    <row r="146" spans="2:12">
      <c r="B146" s="176">
        <f>보고서!G81</f>
        <v>0</v>
      </c>
      <c r="C146" s="207" t="str">
        <f>보고서!I81</f>
        <v>SPC 없음</v>
      </c>
      <c r="D146" s="176" t="str">
        <f t="shared" si="0"/>
        <v>(*) 아래 SPC 검증 참고</v>
      </c>
      <c r="G146" s="176">
        <f>보고서!L81</f>
        <v>0</v>
      </c>
      <c r="H146" s="176">
        <f>보고서!M81</f>
        <v>0</v>
      </c>
      <c r="I146" s="176">
        <f>보고서!N81</f>
        <v>0</v>
      </c>
      <c r="J146" s="208">
        <f>보고서!O81</f>
        <v>0</v>
      </c>
      <c r="K146" s="208">
        <f>보고서!P81</f>
        <v>0</v>
      </c>
      <c r="L146" s="208">
        <f>보고서!Q81</f>
        <v>0</v>
      </c>
    </row>
    <row r="147" spans="2:12">
      <c r="B147" s="176">
        <f>보고서!G82</f>
        <v>0</v>
      </c>
      <c r="C147" s="207" t="str">
        <f>보고서!I82</f>
        <v>SPC 없음</v>
      </c>
      <c r="D147" s="176" t="str">
        <f t="shared" si="0"/>
        <v>(*) 아래 SPC 검증 참고</v>
      </c>
      <c r="G147" s="176">
        <f>보고서!L82</f>
        <v>0</v>
      </c>
      <c r="H147" s="176">
        <f>보고서!M82</f>
        <v>0</v>
      </c>
      <c r="I147" s="176">
        <f>보고서!N82</f>
        <v>0</v>
      </c>
      <c r="J147" s="208">
        <f>보고서!O82</f>
        <v>0</v>
      </c>
      <c r="K147" s="208">
        <f>보고서!P82</f>
        <v>0</v>
      </c>
      <c r="L147" s="208">
        <f>보고서!Q82</f>
        <v>0</v>
      </c>
    </row>
    <row r="148" spans="2:12">
      <c r="B148" s="176">
        <f>보고서!G83</f>
        <v>0</v>
      </c>
      <c r="C148" s="207" t="str">
        <f>보고서!I83</f>
        <v>SPC 없음</v>
      </c>
      <c r="D148" s="176" t="str">
        <f t="shared" si="0"/>
        <v>(*) 아래 SPC 검증 참고</v>
      </c>
      <c r="G148" s="176">
        <f>보고서!L83</f>
        <v>0</v>
      </c>
      <c r="H148" s="176">
        <f>보고서!M83</f>
        <v>0</v>
      </c>
      <c r="I148" s="176">
        <f>보고서!N83</f>
        <v>0</v>
      </c>
      <c r="J148" s="208">
        <f>보고서!O83</f>
        <v>0</v>
      </c>
      <c r="K148" s="208">
        <f>보고서!P83</f>
        <v>0</v>
      </c>
      <c r="L148" s="208">
        <f>보고서!Q83</f>
        <v>0</v>
      </c>
    </row>
    <row r="149" spans="2:12">
      <c r="B149" s="176">
        <f>보고서!G84</f>
        <v>0</v>
      </c>
      <c r="C149" s="207" t="str">
        <f>보고서!I84</f>
        <v>SPC 없음</v>
      </c>
      <c r="D149" s="176" t="str">
        <f t="shared" si="0"/>
        <v>(*) 아래 SPC 검증 참고</v>
      </c>
      <c r="G149" s="176">
        <f>보고서!L84</f>
        <v>0</v>
      </c>
      <c r="H149" s="176">
        <f>보고서!M84</f>
        <v>0</v>
      </c>
      <c r="I149" s="176">
        <f>보고서!N84</f>
        <v>0</v>
      </c>
      <c r="J149" s="208">
        <f>보고서!O84</f>
        <v>0</v>
      </c>
      <c r="K149" s="208">
        <f>보고서!P84</f>
        <v>0</v>
      </c>
      <c r="L149" s="208">
        <f>보고서!Q84</f>
        <v>0</v>
      </c>
    </row>
    <row r="150" spans="2:12">
      <c r="B150" s="176">
        <f>보고서!G85</f>
        <v>0</v>
      </c>
      <c r="C150" s="207" t="str">
        <f>보고서!I85</f>
        <v>SPC 없음</v>
      </c>
      <c r="D150" s="176" t="str">
        <f t="shared" si="0"/>
        <v>(*) 아래 SPC 검증 참고</v>
      </c>
      <c r="G150" s="176">
        <f>보고서!L85</f>
        <v>0</v>
      </c>
      <c r="H150" s="176">
        <f>보고서!M85</f>
        <v>0</v>
      </c>
      <c r="I150" s="176">
        <f>보고서!N85</f>
        <v>0</v>
      </c>
      <c r="J150" s="208">
        <f>보고서!O85</f>
        <v>0</v>
      </c>
      <c r="K150" s="208">
        <f>보고서!P85</f>
        <v>0</v>
      </c>
      <c r="L150" s="208">
        <f>보고서!Q85</f>
        <v>0</v>
      </c>
    </row>
    <row r="151" spans="2:12">
      <c r="B151" s="176">
        <f>보고서!G86</f>
        <v>0</v>
      </c>
      <c r="C151" s="207" t="str">
        <f>보고서!I86</f>
        <v>SPC 없음</v>
      </c>
      <c r="D151" s="176" t="str">
        <f t="shared" si="0"/>
        <v>(*) 아래 SPC 검증 참고</v>
      </c>
      <c r="G151" s="176">
        <f>보고서!L86</f>
        <v>0</v>
      </c>
      <c r="H151" s="176">
        <f>보고서!M86</f>
        <v>0</v>
      </c>
      <c r="I151" s="176">
        <f>보고서!N86</f>
        <v>0</v>
      </c>
      <c r="J151" s="208">
        <f>보고서!O86</f>
        <v>0</v>
      </c>
      <c r="K151" s="208">
        <f>보고서!P86</f>
        <v>0</v>
      </c>
      <c r="L151" s="208">
        <f>보고서!Q86</f>
        <v>0</v>
      </c>
    </row>
    <row r="152" spans="2:12">
      <c r="B152" s="176">
        <f>보고서!G87</f>
        <v>0</v>
      </c>
      <c r="C152" s="207" t="str">
        <f>보고서!I87</f>
        <v>SPC 없음</v>
      </c>
      <c r="D152" s="176" t="str">
        <f t="shared" si="0"/>
        <v>(*) 아래 SPC 검증 참고</v>
      </c>
      <c r="G152" s="176">
        <f>보고서!L87</f>
        <v>0</v>
      </c>
      <c r="H152" s="176">
        <f>보고서!M87</f>
        <v>0</v>
      </c>
      <c r="I152" s="176">
        <f>보고서!N87</f>
        <v>0</v>
      </c>
      <c r="J152" s="208">
        <f>보고서!O87</f>
        <v>0</v>
      </c>
      <c r="K152" s="208">
        <f>보고서!P87</f>
        <v>0</v>
      </c>
      <c r="L152" s="208">
        <f>보고서!Q87</f>
        <v>0</v>
      </c>
    </row>
    <row r="153" spans="2:12">
      <c r="B153" s="176">
        <f>보고서!G88</f>
        <v>0</v>
      </c>
      <c r="C153" s="207" t="str">
        <f>보고서!I88</f>
        <v>SPC 없음</v>
      </c>
      <c r="D153" s="176" t="str">
        <f t="shared" si="0"/>
        <v>(*) 아래 SPC 검증 참고</v>
      </c>
      <c r="G153" s="176">
        <f>보고서!L88</f>
        <v>0</v>
      </c>
      <c r="H153" s="176">
        <f>보고서!M88</f>
        <v>0</v>
      </c>
      <c r="I153" s="176">
        <f>보고서!N88</f>
        <v>0</v>
      </c>
      <c r="J153" s="208">
        <f>보고서!O88</f>
        <v>0</v>
      </c>
      <c r="K153" s="208">
        <f>보고서!P88</f>
        <v>0</v>
      </c>
      <c r="L153" s="208">
        <f>보고서!Q88</f>
        <v>0</v>
      </c>
    </row>
    <row r="154" spans="2:12">
      <c r="B154" s="176">
        <f>보고서!G89</f>
        <v>0</v>
      </c>
      <c r="C154" s="207" t="str">
        <f>보고서!I89</f>
        <v>SPC 없음</v>
      </c>
      <c r="D154" s="176" t="str">
        <f t="shared" si="0"/>
        <v>(*) 아래 SPC 검증 참고</v>
      </c>
      <c r="G154" s="176">
        <f>보고서!L89</f>
        <v>0</v>
      </c>
      <c r="H154" s="176">
        <f>보고서!M89</f>
        <v>0</v>
      </c>
      <c r="I154" s="176">
        <f>보고서!N89</f>
        <v>0</v>
      </c>
      <c r="J154" s="208">
        <f>보고서!O89</f>
        <v>0</v>
      </c>
      <c r="K154" s="208">
        <f>보고서!P89</f>
        <v>0</v>
      </c>
      <c r="L154" s="208">
        <f>보고서!Q89</f>
        <v>0</v>
      </c>
    </row>
    <row r="155" spans="2:12">
      <c r="B155" s="176">
        <f>보고서!G90</f>
        <v>0</v>
      </c>
      <c r="C155" s="207" t="str">
        <f>보고서!I90</f>
        <v>SPC 없음</v>
      </c>
      <c r="D155" s="176" t="str">
        <f t="shared" si="0"/>
        <v>(*) 아래 SPC 검증 참고</v>
      </c>
      <c r="G155" s="176">
        <f>보고서!L90</f>
        <v>0</v>
      </c>
      <c r="H155" s="176">
        <f>보고서!M90</f>
        <v>0</v>
      </c>
      <c r="I155" s="176">
        <f>보고서!N90</f>
        <v>0</v>
      </c>
      <c r="J155" s="208">
        <f>보고서!O90</f>
        <v>0</v>
      </c>
      <c r="K155" s="208">
        <f>보고서!P90</f>
        <v>0</v>
      </c>
      <c r="L155" s="208">
        <f>보고서!Q90</f>
        <v>0</v>
      </c>
    </row>
    <row r="156" spans="2:12">
      <c r="B156" s="176">
        <f>보고서!G91</f>
        <v>0</v>
      </c>
      <c r="C156" s="207" t="str">
        <f>보고서!I91</f>
        <v>SPC 없음</v>
      </c>
      <c r="D156" s="176" t="str">
        <f t="shared" si="0"/>
        <v>(*) 아래 SPC 검증 참고</v>
      </c>
      <c r="G156" s="176">
        <f>보고서!L91</f>
        <v>0</v>
      </c>
      <c r="H156" s="176">
        <f>보고서!M91</f>
        <v>0</v>
      </c>
      <c r="I156" s="176">
        <f>보고서!N91</f>
        <v>0</v>
      </c>
      <c r="J156" s="208">
        <f>보고서!O91</f>
        <v>0</v>
      </c>
      <c r="K156" s="208">
        <f>보고서!P91</f>
        <v>0</v>
      </c>
      <c r="L156" s="208">
        <f>보고서!Q91</f>
        <v>0</v>
      </c>
    </row>
    <row r="157" spans="2:12">
      <c r="B157" s="176">
        <f>보고서!G92</f>
        <v>0</v>
      </c>
      <c r="C157" s="207" t="str">
        <f>보고서!I92</f>
        <v>SPC 없음</v>
      </c>
      <c r="D157" s="176" t="str">
        <f t="shared" si="0"/>
        <v>(*) 아래 SPC 검증 참고</v>
      </c>
      <c r="G157" s="176">
        <f>보고서!L92</f>
        <v>0</v>
      </c>
      <c r="H157" s="176">
        <f>보고서!M92</f>
        <v>0</v>
      </c>
      <c r="I157" s="176">
        <f>보고서!N92</f>
        <v>0</v>
      </c>
      <c r="J157" s="208">
        <f>보고서!O92</f>
        <v>0</v>
      </c>
      <c r="K157" s="208">
        <f>보고서!P92</f>
        <v>0</v>
      </c>
      <c r="L157" s="208">
        <f>보고서!Q92</f>
        <v>0</v>
      </c>
    </row>
    <row r="158" spans="2:12">
      <c r="B158" s="176">
        <f>보고서!G93</f>
        <v>0</v>
      </c>
      <c r="C158" s="207" t="str">
        <f>보고서!I93</f>
        <v>SPC 없음</v>
      </c>
      <c r="D158" s="176" t="str">
        <f t="shared" si="0"/>
        <v>(*) 아래 SPC 검증 참고</v>
      </c>
      <c r="G158" s="176">
        <f>보고서!L93</f>
        <v>0</v>
      </c>
      <c r="H158" s="176">
        <f>보고서!M93</f>
        <v>0</v>
      </c>
      <c r="I158" s="176">
        <f>보고서!N93</f>
        <v>0</v>
      </c>
      <c r="J158" s="208">
        <f>보고서!O93</f>
        <v>0</v>
      </c>
      <c r="K158" s="208">
        <f>보고서!P93</f>
        <v>0</v>
      </c>
      <c r="L158" s="208">
        <f>보고서!Q93</f>
        <v>0</v>
      </c>
    </row>
    <row r="159" spans="2:12">
      <c r="B159" s="176">
        <f>보고서!G94</f>
        <v>0</v>
      </c>
      <c r="C159" s="207" t="str">
        <f>보고서!I94</f>
        <v>SPC 없음</v>
      </c>
      <c r="D159" s="176" t="str">
        <f t="shared" si="0"/>
        <v>(*) 아래 SPC 검증 참고</v>
      </c>
      <c r="G159" s="176">
        <f>보고서!L94</f>
        <v>0</v>
      </c>
      <c r="H159" s="176">
        <f>보고서!M94</f>
        <v>0</v>
      </c>
      <c r="I159" s="176">
        <f>보고서!N94</f>
        <v>0</v>
      </c>
      <c r="J159" s="208">
        <f>보고서!O94</f>
        <v>0</v>
      </c>
      <c r="K159" s="208">
        <f>보고서!P94</f>
        <v>0</v>
      </c>
      <c r="L159" s="208">
        <f>보고서!Q94</f>
        <v>0</v>
      </c>
    </row>
    <row r="160" spans="2:12">
      <c r="B160" s="176">
        <f>보고서!G95</f>
        <v>0</v>
      </c>
      <c r="C160" s="207" t="str">
        <f>보고서!I95</f>
        <v>SPC 없음</v>
      </c>
      <c r="D160" s="176" t="str">
        <f t="shared" si="0"/>
        <v>(*) 아래 SPC 검증 참고</v>
      </c>
      <c r="G160" s="176">
        <f>보고서!L95</f>
        <v>0</v>
      </c>
      <c r="H160" s="176">
        <f>보고서!M95</f>
        <v>0</v>
      </c>
      <c r="I160" s="176">
        <f>보고서!N95</f>
        <v>0</v>
      </c>
      <c r="J160" s="208">
        <f>보고서!O95</f>
        <v>0</v>
      </c>
      <c r="K160" s="208">
        <f>보고서!P95</f>
        <v>0</v>
      </c>
      <c r="L160" s="208">
        <f>보고서!Q95</f>
        <v>0</v>
      </c>
    </row>
    <row r="161" spans="2:12">
      <c r="B161" s="176">
        <f>보고서!G96</f>
        <v>0</v>
      </c>
      <c r="C161" s="207" t="str">
        <f>보고서!I96</f>
        <v>SPC 없음</v>
      </c>
      <c r="D161" s="176" t="str">
        <f t="shared" si="0"/>
        <v>(*) 아래 SPC 검증 참고</v>
      </c>
      <c r="G161" s="176">
        <f>보고서!L96</f>
        <v>0</v>
      </c>
      <c r="H161" s="176">
        <f>보고서!M96</f>
        <v>0</v>
      </c>
      <c r="I161" s="176">
        <f>보고서!N96</f>
        <v>0</v>
      </c>
      <c r="J161" s="208">
        <f>보고서!O96</f>
        <v>0</v>
      </c>
      <c r="K161" s="208">
        <f>보고서!P96</f>
        <v>0</v>
      </c>
      <c r="L161" s="208">
        <f>보고서!Q96</f>
        <v>0</v>
      </c>
    </row>
    <row r="162" spans="2:12">
      <c r="B162" s="176">
        <f>보고서!G97</f>
        <v>0</v>
      </c>
      <c r="C162" s="207" t="str">
        <f>보고서!I97</f>
        <v>SPC 없음</v>
      </c>
      <c r="D162" s="176" t="str">
        <f t="shared" si="0"/>
        <v>(*) 아래 SPC 검증 참고</v>
      </c>
      <c r="G162" s="176">
        <f>보고서!L97</f>
        <v>0</v>
      </c>
      <c r="H162" s="176">
        <f>보고서!M97</f>
        <v>0</v>
      </c>
      <c r="I162" s="176">
        <f>보고서!N97</f>
        <v>0</v>
      </c>
      <c r="J162" s="208">
        <f>보고서!O97</f>
        <v>0</v>
      </c>
      <c r="K162" s="208">
        <f>보고서!P97</f>
        <v>0</v>
      </c>
      <c r="L162" s="208">
        <f>보고서!Q97</f>
        <v>0</v>
      </c>
    </row>
    <row r="163" spans="2:12">
      <c r="B163" s="176">
        <f>보고서!G98</f>
        <v>0</v>
      </c>
      <c r="C163" s="207" t="str">
        <f>보고서!I98</f>
        <v>SPC 없음</v>
      </c>
      <c r="D163" s="176" t="str">
        <f t="shared" si="0"/>
        <v>(*) 아래 SPC 검증 참고</v>
      </c>
      <c r="G163" s="176">
        <f>보고서!L98</f>
        <v>0</v>
      </c>
      <c r="H163" s="176">
        <f>보고서!M98</f>
        <v>0</v>
      </c>
      <c r="I163" s="176">
        <f>보고서!N98</f>
        <v>0</v>
      </c>
      <c r="J163" s="208">
        <f>보고서!O98</f>
        <v>0</v>
      </c>
      <c r="K163" s="208">
        <f>보고서!P98</f>
        <v>0</v>
      </c>
      <c r="L163" s="208">
        <f>보고서!Q98</f>
        <v>0</v>
      </c>
    </row>
    <row r="164" spans="2:12">
      <c r="B164" s="176">
        <f>보고서!G99</f>
        <v>0</v>
      </c>
      <c r="C164" s="207" t="str">
        <f>보고서!I99</f>
        <v>SPC 없음</v>
      </c>
      <c r="D164" s="176" t="str">
        <f t="shared" si="0"/>
        <v>(*) 아래 SPC 검증 참고</v>
      </c>
      <c r="G164" s="176">
        <f>보고서!L99</f>
        <v>0</v>
      </c>
      <c r="H164" s="176">
        <f>보고서!M99</f>
        <v>0</v>
      </c>
      <c r="I164" s="176">
        <f>보고서!N99</f>
        <v>0</v>
      </c>
      <c r="J164" s="208">
        <f>보고서!O99</f>
        <v>0</v>
      </c>
      <c r="K164" s="208">
        <f>보고서!P99</f>
        <v>0</v>
      </c>
      <c r="L164" s="208">
        <f>보고서!Q99</f>
        <v>0</v>
      </c>
    </row>
    <row r="165" spans="2:12">
      <c r="B165" s="176">
        <f>보고서!G100</f>
        <v>0</v>
      </c>
      <c r="C165" s="207" t="str">
        <f>보고서!I100</f>
        <v>SPC 없음</v>
      </c>
      <c r="D165" s="176" t="str">
        <f t="shared" si="0"/>
        <v>(*) 아래 SPC 검증 참고</v>
      </c>
      <c r="G165" s="176">
        <f>보고서!L100</f>
        <v>0</v>
      </c>
      <c r="H165" s="176">
        <f>보고서!M100</f>
        <v>0</v>
      </c>
      <c r="I165" s="176">
        <f>보고서!N100</f>
        <v>0</v>
      </c>
      <c r="J165" s="208">
        <f>보고서!O100</f>
        <v>0</v>
      </c>
      <c r="K165" s="208">
        <f>보고서!P100</f>
        <v>0</v>
      </c>
      <c r="L165" s="208">
        <f>보고서!Q100</f>
        <v>0</v>
      </c>
    </row>
    <row r="166" spans="2:12">
      <c r="B166" s="176">
        <f>보고서!G101</f>
        <v>0</v>
      </c>
      <c r="C166" s="207" t="str">
        <f>보고서!I101</f>
        <v>SPC 없음</v>
      </c>
      <c r="D166" s="176" t="str">
        <f t="shared" si="0"/>
        <v>(*) 아래 SPC 검증 참고</v>
      </c>
      <c r="G166" s="176">
        <f>보고서!L101</f>
        <v>0</v>
      </c>
      <c r="H166" s="176">
        <f>보고서!M101</f>
        <v>0</v>
      </c>
      <c r="I166" s="176">
        <f>보고서!N101</f>
        <v>0</v>
      </c>
      <c r="J166" s="208">
        <f>보고서!O101</f>
        <v>0</v>
      </c>
      <c r="K166" s="208">
        <f>보고서!P101</f>
        <v>0</v>
      </c>
      <c r="L166" s="208">
        <f>보고서!Q101</f>
        <v>0</v>
      </c>
    </row>
    <row r="167" spans="2:12">
      <c r="B167" s="176">
        <f>보고서!G102</f>
        <v>0</v>
      </c>
      <c r="C167" s="207" t="str">
        <f>보고서!I102</f>
        <v>SPC 없음</v>
      </c>
      <c r="D167" s="176" t="str">
        <f t="shared" si="0"/>
        <v>(*) 아래 SPC 검증 참고</v>
      </c>
      <c r="G167" s="176">
        <f>보고서!L102</f>
        <v>0</v>
      </c>
      <c r="H167" s="176">
        <f>보고서!M102</f>
        <v>0</v>
      </c>
      <c r="I167" s="176">
        <f>보고서!N102</f>
        <v>0</v>
      </c>
      <c r="J167" s="208">
        <f>보고서!O102</f>
        <v>0</v>
      </c>
      <c r="K167" s="208">
        <f>보고서!P102</f>
        <v>0</v>
      </c>
      <c r="L167" s="208">
        <f>보고서!Q102</f>
        <v>0</v>
      </c>
    </row>
    <row r="168" spans="2:12" ht="14.25" thickBot="1">
      <c r="B168" s="182">
        <f>보고서!G103</f>
        <v>0</v>
      </c>
      <c r="C168" s="209" t="str">
        <f>보고서!I103</f>
        <v>SPC 없음</v>
      </c>
      <c r="D168" s="182" t="str">
        <f t="shared" si="0"/>
        <v>(*) 아래 SPC 검증 참고</v>
      </c>
      <c r="G168" s="176">
        <f>보고서!L103</f>
        <v>0</v>
      </c>
      <c r="H168" s="176">
        <f>보고서!M103</f>
        <v>0</v>
      </c>
      <c r="I168" s="176">
        <f>보고서!N103</f>
        <v>0</v>
      </c>
      <c r="J168" s="208">
        <f>보고서!O103</f>
        <v>0</v>
      </c>
      <c r="K168" s="208">
        <f>보고서!P103</f>
        <v>0</v>
      </c>
      <c r="L168" s="208">
        <f>보고서!Q103</f>
        <v>0</v>
      </c>
    </row>
    <row r="169" spans="2:12" ht="15" thickTop="1" thickBot="1">
      <c r="B169" s="174" t="s">
        <v>822</v>
      </c>
      <c r="C169" s="210">
        <f>SUM(C140:C168)</f>
        <v>0</v>
      </c>
      <c r="G169" s="176">
        <f>보고서!L104</f>
        <v>0</v>
      </c>
      <c r="H169" s="176">
        <f>보고서!M104</f>
        <v>0</v>
      </c>
      <c r="I169" s="176">
        <f>보고서!N104</f>
        <v>0</v>
      </c>
      <c r="J169" s="208">
        <f>보고서!O104</f>
        <v>0</v>
      </c>
      <c r="K169" s="208">
        <f>보고서!P104</f>
        <v>0</v>
      </c>
      <c r="L169" s="208">
        <f>보고서!Q104</f>
        <v>0</v>
      </c>
    </row>
    <row r="170" spans="2:12" ht="14.25" hidden="1" customHeight="1" outlineLevel="1" thickBot="1">
      <c r="B170" s="174"/>
      <c r="C170" s="174"/>
      <c r="G170" s="176">
        <f>보고서!L105</f>
        <v>0</v>
      </c>
      <c r="H170" s="176">
        <f>보고서!M105</f>
        <v>0</v>
      </c>
      <c r="I170" s="176">
        <f>보고서!N105</f>
        <v>0</v>
      </c>
      <c r="J170" s="208">
        <f>보고서!O105</f>
        <v>0</v>
      </c>
      <c r="K170" s="207">
        <f>보고서!P105</f>
        <v>0</v>
      </c>
      <c r="L170" s="207">
        <f>보고서!Q105</f>
        <v>0</v>
      </c>
    </row>
    <row r="171" spans="2:12" ht="14.25" hidden="1" customHeight="1" outlineLevel="1" thickBot="1">
      <c r="B171" s="174"/>
      <c r="C171" s="174"/>
      <c r="G171" s="176">
        <f>보고서!L106</f>
        <v>0</v>
      </c>
      <c r="H171" s="176">
        <f>보고서!M106</f>
        <v>0</v>
      </c>
      <c r="I171" s="176">
        <f>보고서!N106</f>
        <v>0</v>
      </c>
      <c r="J171" s="208">
        <f>보고서!O106</f>
        <v>0</v>
      </c>
      <c r="K171" s="207">
        <f>보고서!P106</f>
        <v>0</v>
      </c>
      <c r="L171" s="207">
        <f>보고서!Q106</f>
        <v>0</v>
      </c>
    </row>
    <row r="172" spans="2:12" ht="14.25" hidden="1" customHeight="1" outlineLevel="1" thickBot="1">
      <c r="B172" s="174"/>
      <c r="C172" s="174"/>
      <c r="G172" s="176">
        <f>보고서!L107</f>
        <v>0</v>
      </c>
      <c r="H172" s="176">
        <f>보고서!M107</f>
        <v>0</v>
      </c>
      <c r="I172" s="176">
        <f>보고서!N107</f>
        <v>0</v>
      </c>
      <c r="J172" s="208">
        <f>보고서!O107</f>
        <v>0</v>
      </c>
      <c r="K172" s="207">
        <f>보고서!P107</f>
        <v>0</v>
      </c>
      <c r="L172" s="207">
        <f>보고서!Q107</f>
        <v>0</v>
      </c>
    </row>
    <row r="173" spans="2:12" ht="14.25" hidden="1" customHeight="1" outlineLevel="1" thickBot="1">
      <c r="B173" s="174"/>
      <c r="C173" s="174"/>
      <c r="G173" s="176">
        <f>보고서!L108</f>
        <v>0</v>
      </c>
      <c r="H173" s="176">
        <f>보고서!M108</f>
        <v>0</v>
      </c>
      <c r="I173" s="176">
        <f>보고서!N108</f>
        <v>0</v>
      </c>
      <c r="J173" s="208">
        <f>보고서!O108</f>
        <v>0</v>
      </c>
      <c r="K173" s="207">
        <f>보고서!P108</f>
        <v>0</v>
      </c>
      <c r="L173" s="207">
        <f>보고서!Q108</f>
        <v>0</v>
      </c>
    </row>
    <row r="174" spans="2:12" ht="14.25" hidden="1" customHeight="1" outlineLevel="1" thickBot="1">
      <c r="B174" s="174"/>
      <c r="C174" s="174"/>
      <c r="G174" s="176">
        <f>보고서!L109</f>
        <v>0</v>
      </c>
      <c r="H174" s="176">
        <f>보고서!M109</f>
        <v>0</v>
      </c>
      <c r="I174" s="176">
        <f>보고서!N109</f>
        <v>0</v>
      </c>
      <c r="J174" s="208">
        <f>보고서!O109</f>
        <v>0</v>
      </c>
      <c r="K174" s="207">
        <f>보고서!P109</f>
        <v>0</v>
      </c>
      <c r="L174" s="207">
        <f>보고서!Q109</f>
        <v>0</v>
      </c>
    </row>
    <row r="175" spans="2:12" ht="14.25" hidden="1" customHeight="1" outlineLevel="1" thickBot="1">
      <c r="B175" s="174"/>
      <c r="C175" s="174"/>
      <c r="G175" s="176">
        <f>보고서!L110</f>
        <v>0</v>
      </c>
      <c r="H175" s="176">
        <f>보고서!M110</f>
        <v>0</v>
      </c>
      <c r="I175" s="176">
        <f>보고서!N110</f>
        <v>0</v>
      </c>
      <c r="J175" s="208">
        <f>보고서!O110</f>
        <v>0</v>
      </c>
      <c r="K175" s="207">
        <f>보고서!P110</f>
        <v>0</v>
      </c>
      <c r="L175" s="207">
        <f>보고서!Q110</f>
        <v>0</v>
      </c>
    </row>
    <row r="176" spans="2:12" ht="14.25" hidden="1" customHeight="1" outlineLevel="1" thickBot="1">
      <c r="B176" s="174"/>
      <c r="C176" s="174"/>
      <c r="G176" s="176">
        <f>보고서!L111</f>
        <v>0</v>
      </c>
      <c r="H176" s="176">
        <f>보고서!M111</f>
        <v>0</v>
      </c>
      <c r="I176" s="176">
        <f>보고서!N111</f>
        <v>0</v>
      </c>
      <c r="J176" s="208">
        <f>보고서!O111</f>
        <v>0</v>
      </c>
      <c r="K176" s="207">
        <f>보고서!P111</f>
        <v>0</v>
      </c>
      <c r="L176" s="207">
        <f>보고서!Q111</f>
        <v>0</v>
      </c>
    </row>
    <row r="177" spans="2:12" ht="14.25" hidden="1" customHeight="1" outlineLevel="1" thickBot="1">
      <c r="B177" s="174"/>
      <c r="C177" s="174"/>
      <c r="G177" s="176">
        <f>보고서!L112</f>
        <v>0</v>
      </c>
      <c r="H177" s="176">
        <f>보고서!M112</f>
        <v>0</v>
      </c>
      <c r="I177" s="176">
        <f>보고서!N112</f>
        <v>0</v>
      </c>
      <c r="J177" s="208">
        <f>보고서!O112</f>
        <v>0</v>
      </c>
      <c r="K177" s="207">
        <f>보고서!P112</f>
        <v>0</v>
      </c>
      <c r="L177" s="207">
        <f>보고서!Q112</f>
        <v>0</v>
      </c>
    </row>
    <row r="178" spans="2:12" ht="14.25" hidden="1" customHeight="1" outlineLevel="1" thickBot="1">
      <c r="B178" s="174"/>
      <c r="C178" s="174"/>
      <c r="G178" s="176">
        <f>보고서!L113</f>
        <v>0</v>
      </c>
      <c r="H178" s="176">
        <f>보고서!M113</f>
        <v>0</v>
      </c>
      <c r="I178" s="176">
        <f>보고서!N113</f>
        <v>0</v>
      </c>
      <c r="J178" s="208">
        <f>보고서!O113</f>
        <v>0</v>
      </c>
      <c r="K178" s="207">
        <f>보고서!P113</f>
        <v>0</v>
      </c>
      <c r="L178" s="207">
        <f>보고서!Q113</f>
        <v>0</v>
      </c>
    </row>
    <row r="179" spans="2:12" ht="14.25" hidden="1" customHeight="1" outlineLevel="1" thickBot="1">
      <c r="B179" s="174"/>
      <c r="C179" s="174"/>
      <c r="G179" s="176">
        <f>보고서!L114</f>
        <v>0</v>
      </c>
      <c r="H179" s="176">
        <f>보고서!M114</f>
        <v>0</v>
      </c>
      <c r="I179" s="176">
        <f>보고서!N114</f>
        <v>0</v>
      </c>
      <c r="J179" s="208">
        <f>보고서!O114</f>
        <v>0</v>
      </c>
      <c r="K179" s="207">
        <f>보고서!P114</f>
        <v>0</v>
      </c>
      <c r="L179" s="207">
        <f>보고서!Q114</f>
        <v>0</v>
      </c>
    </row>
    <row r="180" spans="2:12" ht="14.25" hidden="1" customHeight="1" outlineLevel="1" thickBot="1">
      <c r="B180" s="174"/>
      <c r="C180" s="174"/>
      <c r="G180" s="176">
        <f>보고서!L115</f>
        <v>0</v>
      </c>
      <c r="H180" s="176">
        <f>보고서!M115</f>
        <v>0</v>
      </c>
      <c r="I180" s="176">
        <f>보고서!N115</f>
        <v>0</v>
      </c>
      <c r="J180" s="208">
        <f>보고서!O115</f>
        <v>0</v>
      </c>
      <c r="K180" s="207">
        <f>보고서!P115</f>
        <v>0</v>
      </c>
      <c r="L180" s="207">
        <f>보고서!Q115</f>
        <v>0</v>
      </c>
    </row>
    <row r="181" spans="2:12" ht="14.25" hidden="1" customHeight="1" outlineLevel="1" thickBot="1">
      <c r="B181" s="174"/>
      <c r="C181" s="174"/>
      <c r="G181" s="176">
        <f>보고서!L116</f>
        <v>0</v>
      </c>
      <c r="H181" s="176">
        <f>보고서!M116</f>
        <v>0</v>
      </c>
      <c r="I181" s="176">
        <f>보고서!N116</f>
        <v>0</v>
      </c>
      <c r="J181" s="208">
        <f>보고서!O116</f>
        <v>0</v>
      </c>
      <c r="K181" s="207">
        <f>보고서!P116</f>
        <v>0</v>
      </c>
      <c r="L181" s="207">
        <f>보고서!Q116</f>
        <v>0</v>
      </c>
    </row>
    <row r="182" spans="2:12" ht="14.25" hidden="1" customHeight="1" outlineLevel="1" thickBot="1">
      <c r="B182" s="174"/>
      <c r="C182" s="174"/>
      <c r="G182" s="176">
        <f>보고서!L117</f>
        <v>0</v>
      </c>
      <c r="H182" s="176">
        <f>보고서!M117</f>
        <v>0</v>
      </c>
      <c r="I182" s="176">
        <f>보고서!N117</f>
        <v>0</v>
      </c>
      <c r="J182" s="208">
        <f>보고서!O117</f>
        <v>0</v>
      </c>
      <c r="K182" s="207">
        <f>보고서!P117</f>
        <v>0</v>
      </c>
      <c r="L182" s="207">
        <f>보고서!Q117</f>
        <v>0</v>
      </c>
    </row>
    <row r="183" spans="2:12" ht="14.25" hidden="1" customHeight="1" outlineLevel="1" thickBot="1">
      <c r="B183" s="174"/>
      <c r="C183" s="174"/>
      <c r="G183" s="176">
        <f>보고서!L118</f>
        <v>0</v>
      </c>
      <c r="H183" s="176">
        <f>보고서!M118</f>
        <v>0</v>
      </c>
      <c r="I183" s="176">
        <f>보고서!N118</f>
        <v>0</v>
      </c>
      <c r="J183" s="208">
        <f>보고서!O118</f>
        <v>0</v>
      </c>
      <c r="K183" s="207">
        <f>보고서!P118</f>
        <v>0</v>
      </c>
      <c r="L183" s="207">
        <f>보고서!Q118</f>
        <v>0</v>
      </c>
    </row>
    <row r="184" spans="2:12" ht="14.25" hidden="1" customHeight="1" outlineLevel="1" thickBot="1">
      <c r="B184" s="174"/>
      <c r="C184" s="174"/>
      <c r="G184" s="176">
        <f>보고서!L119</f>
        <v>0</v>
      </c>
      <c r="H184" s="176">
        <f>보고서!M119</f>
        <v>0</v>
      </c>
      <c r="I184" s="176">
        <f>보고서!N119</f>
        <v>0</v>
      </c>
      <c r="J184" s="208">
        <f>보고서!O119</f>
        <v>0</v>
      </c>
      <c r="K184" s="207">
        <f>보고서!P119</f>
        <v>0</v>
      </c>
      <c r="L184" s="207">
        <f>보고서!Q119</f>
        <v>0</v>
      </c>
    </row>
    <row r="185" spans="2:12" ht="14.25" hidden="1" customHeight="1" outlineLevel="1" thickBot="1">
      <c r="B185" s="174"/>
      <c r="C185" s="174"/>
      <c r="G185" s="176">
        <f>보고서!L120</f>
        <v>0</v>
      </c>
      <c r="H185" s="176">
        <f>보고서!M120</f>
        <v>0</v>
      </c>
      <c r="I185" s="176">
        <f>보고서!N120</f>
        <v>0</v>
      </c>
      <c r="J185" s="208">
        <f>보고서!O120</f>
        <v>0</v>
      </c>
      <c r="K185" s="207">
        <f>보고서!P120</f>
        <v>0</v>
      </c>
      <c r="L185" s="207">
        <f>보고서!Q120</f>
        <v>0</v>
      </c>
    </row>
    <row r="186" spans="2:12" ht="14.25" hidden="1" customHeight="1" outlineLevel="1" thickBot="1">
      <c r="B186" s="174"/>
      <c r="C186" s="174"/>
      <c r="G186" s="176">
        <f>보고서!L121</f>
        <v>0</v>
      </c>
      <c r="H186" s="176">
        <f>보고서!M121</f>
        <v>0</v>
      </c>
      <c r="I186" s="176">
        <f>보고서!N121</f>
        <v>0</v>
      </c>
      <c r="J186" s="208">
        <f>보고서!O121</f>
        <v>0</v>
      </c>
      <c r="K186" s="207">
        <f>보고서!P121</f>
        <v>0</v>
      </c>
      <c r="L186" s="207">
        <f>보고서!Q121</f>
        <v>0</v>
      </c>
    </row>
    <row r="187" spans="2:12" ht="14.25" hidden="1" customHeight="1" outlineLevel="1" thickBot="1">
      <c r="B187" s="174"/>
      <c r="C187" s="174"/>
      <c r="G187" s="176">
        <f>보고서!L122</f>
        <v>0</v>
      </c>
      <c r="H187" s="176">
        <f>보고서!M122</f>
        <v>0</v>
      </c>
      <c r="I187" s="176">
        <f>보고서!N122</f>
        <v>0</v>
      </c>
      <c r="J187" s="208">
        <f>보고서!O122</f>
        <v>0</v>
      </c>
      <c r="K187" s="207">
        <f>보고서!P122</f>
        <v>0</v>
      </c>
      <c r="L187" s="207">
        <f>보고서!Q122</f>
        <v>0</v>
      </c>
    </row>
    <row r="188" spans="2:12" ht="14.25" hidden="1" customHeight="1" outlineLevel="1" thickBot="1">
      <c r="B188" s="174"/>
      <c r="C188" s="174"/>
      <c r="G188" s="176">
        <f>보고서!L123</f>
        <v>0</v>
      </c>
      <c r="H188" s="176">
        <f>보고서!M123</f>
        <v>0</v>
      </c>
      <c r="I188" s="176">
        <f>보고서!N123</f>
        <v>0</v>
      </c>
      <c r="J188" s="208">
        <f>보고서!O123</f>
        <v>0</v>
      </c>
      <c r="K188" s="207">
        <f>보고서!P123</f>
        <v>0</v>
      </c>
      <c r="L188" s="207">
        <f>보고서!Q123</f>
        <v>0</v>
      </c>
    </row>
    <row r="189" spans="2:12" ht="14.25" hidden="1" customHeight="1" outlineLevel="1" thickBot="1">
      <c r="B189" s="174"/>
      <c r="C189" s="174"/>
      <c r="G189" s="176">
        <f>보고서!L124</f>
        <v>0</v>
      </c>
      <c r="H189" s="176">
        <f>보고서!M124</f>
        <v>0</v>
      </c>
      <c r="I189" s="176">
        <f>보고서!N124</f>
        <v>0</v>
      </c>
      <c r="J189" s="208">
        <f>보고서!O124</f>
        <v>0</v>
      </c>
      <c r="K189" s="207">
        <f>보고서!P124</f>
        <v>0</v>
      </c>
      <c r="L189" s="207">
        <f>보고서!Q124</f>
        <v>0</v>
      </c>
    </row>
    <row r="190" spans="2:12" ht="14.25" hidden="1" customHeight="1" outlineLevel="1" thickBot="1">
      <c r="B190" s="174"/>
      <c r="C190" s="174"/>
      <c r="G190" s="176">
        <f>보고서!L125</f>
        <v>0</v>
      </c>
      <c r="H190" s="176">
        <f>보고서!M125</f>
        <v>0</v>
      </c>
      <c r="I190" s="176">
        <f>보고서!N125</f>
        <v>0</v>
      </c>
      <c r="J190" s="208">
        <f>보고서!O125</f>
        <v>0</v>
      </c>
      <c r="K190" s="207">
        <f>보고서!P125</f>
        <v>0</v>
      </c>
      <c r="L190" s="207">
        <f>보고서!Q125</f>
        <v>0</v>
      </c>
    </row>
    <row r="191" spans="2:12" ht="14.25" hidden="1" customHeight="1" outlineLevel="1" thickBot="1">
      <c r="B191" s="174"/>
      <c r="C191" s="174"/>
      <c r="G191" s="176">
        <f>보고서!L126</f>
        <v>0</v>
      </c>
      <c r="H191" s="176">
        <f>보고서!M126</f>
        <v>0</v>
      </c>
      <c r="I191" s="176">
        <f>보고서!N126</f>
        <v>0</v>
      </c>
      <c r="J191" s="208">
        <f>보고서!O126</f>
        <v>0</v>
      </c>
      <c r="K191" s="207">
        <f>보고서!P126</f>
        <v>0</v>
      </c>
      <c r="L191" s="207">
        <f>보고서!Q126</f>
        <v>0</v>
      </c>
    </row>
    <row r="192" spans="2:12" ht="14.25" hidden="1" customHeight="1" outlineLevel="1" thickBot="1">
      <c r="B192" s="174"/>
      <c r="C192" s="174"/>
      <c r="G192" s="176">
        <f>보고서!L127</f>
        <v>0</v>
      </c>
      <c r="H192" s="176">
        <f>보고서!M127</f>
        <v>0</v>
      </c>
      <c r="I192" s="176">
        <f>보고서!N127</f>
        <v>0</v>
      </c>
      <c r="J192" s="208">
        <f>보고서!O127</f>
        <v>0</v>
      </c>
      <c r="K192" s="207">
        <f>보고서!P127</f>
        <v>0</v>
      </c>
      <c r="L192" s="207">
        <f>보고서!Q127</f>
        <v>0</v>
      </c>
    </row>
    <row r="193" spans="2:12" ht="14.25" hidden="1" customHeight="1" outlineLevel="1" thickBot="1">
      <c r="B193" s="174"/>
      <c r="C193" s="174"/>
      <c r="G193" s="176">
        <f>보고서!L128</f>
        <v>0</v>
      </c>
      <c r="H193" s="176">
        <f>보고서!M128</f>
        <v>0</v>
      </c>
      <c r="I193" s="176">
        <f>보고서!N128</f>
        <v>0</v>
      </c>
      <c r="J193" s="208">
        <f>보고서!O128</f>
        <v>0</v>
      </c>
      <c r="K193" s="207">
        <f>보고서!P128</f>
        <v>0</v>
      </c>
      <c r="L193" s="207">
        <f>보고서!Q128</f>
        <v>0</v>
      </c>
    </row>
    <row r="194" spans="2:12" ht="14.25" hidden="1" customHeight="1" outlineLevel="1" thickBot="1">
      <c r="B194" s="174"/>
      <c r="C194" s="174"/>
      <c r="G194" s="176">
        <f>보고서!L129</f>
        <v>0</v>
      </c>
      <c r="H194" s="176">
        <f>보고서!M129</f>
        <v>0</v>
      </c>
      <c r="I194" s="176">
        <f>보고서!N129</f>
        <v>0</v>
      </c>
      <c r="J194" s="208">
        <f>보고서!O129</f>
        <v>0</v>
      </c>
      <c r="K194" s="207">
        <f>보고서!P129</f>
        <v>0</v>
      </c>
      <c r="L194" s="207">
        <f>보고서!Q129</f>
        <v>0</v>
      </c>
    </row>
    <row r="195" spans="2:12" ht="14.25" hidden="1" customHeight="1" outlineLevel="1" thickBot="1">
      <c r="B195" s="174"/>
      <c r="C195" s="174"/>
      <c r="G195" s="176">
        <f>보고서!L130</f>
        <v>0</v>
      </c>
      <c r="H195" s="176">
        <f>보고서!M130</f>
        <v>0</v>
      </c>
      <c r="I195" s="176">
        <f>보고서!N130</f>
        <v>0</v>
      </c>
      <c r="J195" s="208">
        <f>보고서!O130</f>
        <v>0</v>
      </c>
      <c r="K195" s="207">
        <f>보고서!P130</f>
        <v>0</v>
      </c>
      <c r="L195" s="207">
        <f>보고서!Q130</f>
        <v>0</v>
      </c>
    </row>
    <row r="196" spans="2:12" ht="14.25" hidden="1" customHeight="1" outlineLevel="1" thickBot="1">
      <c r="B196" s="174"/>
      <c r="C196" s="174"/>
      <c r="G196" s="176">
        <f>보고서!L131</f>
        <v>0</v>
      </c>
      <c r="H196" s="176">
        <f>보고서!M131</f>
        <v>0</v>
      </c>
      <c r="I196" s="176">
        <f>보고서!N131</f>
        <v>0</v>
      </c>
      <c r="J196" s="208">
        <f>보고서!O131</f>
        <v>0</v>
      </c>
      <c r="K196" s="207">
        <f>보고서!P131</f>
        <v>0</v>
      </c>
      <c r="L196" s="207">
        <f>보고서!Q131</f>
        <v>0</v>
      </c>
    </row>
    <row r="197" spans="2:12" ht="14.25" hidden="1" customHeight="1" outlineLevel="1" thickBot="1">
      <c r="B197" s="174"/>
      <c r="C197" s="174"/>
      <c r="G197" s="176">
        <f>보고서!L132</f>
        <v>0</v>
      </c>
      <c r="H197" s="176">
        <f>보고서!M132</f>
        <v>0</v>
      </c>
      <c r="I197" s="176">
        <f>보고서!N132</f>
        <v>0</v>
      </c>
      <c r="J197" s="208">
        <f>보고서!O132</f>
        <v>0</v>
      </c>
      <c r="K197" s="207">
        <f>보고서!P132</f>
        <v>0</v>
      </c>
      <c r="L197" s="207">
        <f>보고서!Q132</f>
        <v>0</v>
      </c>
    </row>
    <row r="198" spans="2:12" ht="14.25" hidden="1" customHeight="1" outlineLevel="1" thickBot="1">
      <c r="B198" s="174"/>
      <c r="C198" s="174"/>
      <c r="G198" s="176">
        <f>보고서!L133</f>
        <v>0</v>
      </c>
      <c r="H198" s="176">
        <f>보고서!M133</f>
        <v>0</v>
      </c>
      <c r="I198" s="176">
        <f>보고서!N133</f>
        <v>0</v>
      </c>
      <c r="J198" s="208">
        <f>보고서!O133</f>
        <v>0</v>
      </c>
      <c r="K198" s="207">
        <f>보고서!P133</f>
        <v>0</v>
      </c>
      <c r="L198" s="207">
        <f>보고서!Q133</f>
        <v>0</v>
      </c>
    </row>
    <row r="199" spans="2:12" ht="14.25" hidden="1" customHeight="1" outlineLevel="1" thickBot="1">
      <c r="B199" s="174"/>
      <c r="C199" s="174"/>
      <c r="G199" s="176">
        <f>보고서!L134</f>
        <v>0</v>
      </c>
      <c r="H199" s="176">
        <f>보고서!M134</f>
        <v>0</v>
      </c>
      <c r="I199" s="176">
        <f>보고서!N134</f>
        <v>0</v>
      </c>
      <c r="J199" s="208">
        <f>보고서!O134</f>
        <v>0</v>
      </c>
      <c r="K199" s="207">
        <f>보고서!P134</f>
        <v>0</v>
      </c>
      <c r="L199" s="207">
        <f>보고서!Q134</f>
        <v>0</v>
      </c>
    </row>
    <row r="200" spans="2:12" ht="14.25" hidden="1" customHeight="1" outlineLevel="1" thickBot="1">
      <c r="B200" s="174"/>
      <c r="C200" s="174"/>
      <c r="G200" s="176">
        <f>보고서!L135</f>
        <v>0</v>
      </c>
      <c r="H200" s="176">
        <f>보고서!M135</f>
        <v>0</v>
      </c>
      <c r="I200" s="176">
        <f>보고서!N135</f>
        <v>0</v>
      </c>
      <c r="J200" s="208">
        <f>보고서!O135</f>
        <v>0</v>
      </c>
      <c r="K200" s="207">
        <f>보고서!P135</f>
        <v>0</v>
      </c>
      <c r="L200" s="207">
        <f>보고서!Q135</f>
        <v>0</v>
      </c>
    </row>
    <row r="201" spans="2:12" ht="14.25" hidden="1" customHeight="1" outlineLevel="1" thickBot="1">
      <c r="B201" s="174"/>
      <c r="C201" s="174"/>
      <c r="G201" s="176">
        <f>보고서!L136</f>
        <v>0</v>
      </c>
      <c r="H201" s="176">
        <f>보고서!M136</f>
        <v>0</v>
      </c>
      <c r="I201" s="176">
        <f>보고서!N136</f>
        <v>0</v>
      </c>
      <c r="J201" s="208">
        <f>보고서!O136</f>
        <v>0</v>
      </c>
      <c r="K201" s="207">
        <f>보고서!P136</f>
        <v>0</v>
      </c>
      <c r="L201" s="207">
        <f>보고서!Q136</f>
        <v>0</v>
      </c>
    </row>
    <row r="202" spans="2:12" ht="14.25" hidden="1" customHeight="1" outlineLevel="1" thickBot="1">
      <c r="B202" s="174"/>
      <c r="C202" s="174"/>
      <c r="G202" s="176">
        <f>보고서!L137</f>
        <v>0</v>
      </c>
      <c r="H202" s="176">
        <f>보고서!M137</f>
        <v>0</v>
      </c>
      <c r="I202" s="176">
        <f>보고서!N137</f>
        <v>0</v>
      </c>
      <c r="J202" s="208">
        <f>보고서!O137</f>
        <v>0</v>
      </c>
      <c r="K202" s="207">
        <f>보고서!P137</f>
        <v>0</v>
      </c>
      <c r="L202" s="207">
        <f>보고서!Q137</f>
        <v>0</v>
      </c>
    </row>
    <row r="203" spans="2:12" ht="14.25" hidden="1" customHeight="1" outlineLevel="1" thickBot="1">
      <c r="B203" s="174"/>
      <c r="C203" s="174"/>
      <c r="G203" s="176">
        <f>보고서!L138</f>
        <v>0</v>
      </c>
      <c r="H203" s="176">
        <f>보고서!M138</f>
        <v>0</v>
      </c>
      <c r="I203" s="176">
        <f>보고서!N138</f>
        <v>0</v>
      </c>
      <c r="J203" s="208">
        <f>보고서!O138</f>
        <v>0</v>
      </c>
      <c r="K203" s="207">
        <f>보고서!P138</f>
        <v>0</v>
      </c>
      <c r="L203" s="207">
        <f>보고서!Q138</f>
        <v>0</v>
      </c>
    </row>
    <row r="204" spans="2:12" ht="14.25" hidden="1" customHeight="1" outlineLevel="1" thickBot="1">
      <c r="B204" s="174"/>
      <c r="C204" s="174"/>
      <c r="G204" s="176">
        <f>보고서!L139</f>
        <v>0</v>
      </c>
      <c r="H204" s="176">
        <f>보고서!M139</f>
        <v>0</v>
      </c>
      <c r="I204" s="176">
        <f>보고서!N139</f>
        <v>0</v>
      </c>
      <c r="J204" s="208">
        <f>보고서!O139</f>
        <v>0</v>
      </c>
      <c r="K204" s="207">
        <f>보고서!P139</f>
        <v>0</v>
      </c>
      <c r="L204" s="207">
        <f>보고서!Q139</f>
        <v>0</v>
      </c>
    </row>
    <row r="205" spans="2:12" ht="14.25" hidden="1" customHeight="1" outlineLevel="1" thickBot="1">
      <c r="B205" s="174"/>
      <c r="C205" s="174"/>
      <c r="G205" s="176">
        <f>보고서!L140</f>
        <v>0</v>
      </c>
      <c r="H205" s="176">
        <f>보고서!M140</f>
        <v>0</v>
      </c>
      <c r="I205" s="176">
        <f>보고서!N140</f>
        <v>0</v>
      </c>
      <c r="J205" s="208">
        <f>보고서!O140</f>
        <v>0</v>
      </c>
      <c r="K205" s="207">
        <f>보고서!P140</f>
        <v>0</v>
      </c>
      <c r="L205" s="207">
        <f>보고서!Q140</f>
        <v>0</v>
      </c>
    </row>
    <row r="206" spans="2:12" ht="14.25" hidden="1" customHeight="1" outlineLevel="1" thickBot="1">
      <c r="B206" s="174"/>
      <c r="C206" s="174"/>
      <c r="G206" s="176">
        <f>보고서!L141</f>
        <v>0</v>
      </c>
      <c r="H206" s="176">
        <f>보고서!M141</f>
        <v>0</v>
      </c>
      <c r="I206" s="176">
        <f>보고서!N141</f>
        <v>0</v>
      </c>
      <c r="J206" s="208">
        <f>보고서!O141</f>
        <v>0</v>
      </c>
      <c r="K206" s="207">
        <f>보고서!P141</f>
        <v>0</v>
      </c>
      <c r="L206" s="207">
        <f>보고서!Q141</f>
        <v>0</v>
      </c>
    </row>
    <row r="207" spans="2:12" ht="14.25" hidden="1" customHeight="1" outlineLevel="1" thickBot="1">
      <c r="B207" s="174"/>
      <c r="C207" s="174"/>
      <c r="G207" s="176">
        <f>보고서!L142</f>
        <v>0</v>
      </c>
      <c r="H207" s="176">
        <f>보고서!M142</f>
        <v>0</v>
      </c>
      <c r="I207" s="176">
        <f>보고서!N142</f>
        <v>0</v>
      </c>
      <c r="J207" s="208">
        <f>보고서!O142</f>
        <v>0</v>
      </c>
      <c r="K207" s="207">
        <f>보고서!P142</f>
        <v>0</v>
      </c>
      <c r="L207" s="207">
        <f>보고서!Q142</f>
        <v>0</v>
      </c>
    </row>
    <row r="208" spans="2:12" ht="14.25" hidden="1" customHeight="1" outlineLevel="1" thickBot="1">
      <c r="B208" s="174"/>
      <c r="C208" s="174"/>
      <c r="G208" s="176">
        <f>보고서!L143</f>
        <v>0</v>
      </c>
      <c r="H208" s="176">
        <f>보고서!M143</f>
        <v>0</v>
      </c>
      <c r="I208" s="176">
        <f>보고서!N143</f>
        <v>0</v>
      </c>
      <c r="J208" s="208">
        <f>보고서!O143</f>
        <v>0</v>
      </c>
      <c r="K208" s="207">
        <f>보고서!P143</f>
        <v>0</v>
      </c>
      <c r="L208" s="207">
        <f>보고서!Q143</f>
        <v>0</v>
      </c>
    </row>
    <row r="209" spans="2:12" ht="14.25" hidden="1" customHeight="1" outlineLevel="1" thickBot="1">
      <c r="B209" s="174"/>
      <c r="C209" s="174"/>
      <c r="G209" s="176">
        <f>보고서!L144</f>
        <v>0</v>
      </c>
      <c r="H209" s="176">
        <f>보고서!M144</f>
        <v>0</v>
      </c>
      <c r="I209" s="176">
        <f>보고서!N144</f>
        <v>0</v>
      </c>
      <c r="J209" s="208">
        <f>보고서!O144</f>
        <v>0</v>
      </c>
      <c r="K209" s="207">
        <f>보고서!P144</f>
        <v>0</v>
      </c>
      <c r="L209" s="207">
        <f>보고서!Q144</f>
        <v>0</v>
      </c>
    </row>
    <row r="210" spans="2:12" ht="14.25" hidden="1" customHeight="1" outlineLevel="1" thickBot="1">
      <c r="B210" s="174"/>
      <c r="C210" s="174"/>
      <c r="G210" s="176">
        <f>보고서!L145</f>
        <v>0</v>
      </c>
      <c r="H210" s="176">
        <f>보고서!M145</f>
        <v>0</v>
      </c>
      <c r="I210" s="176">
        <f>보고서!N145</f>
        <v>0</v>
      </c>
      <c r="J210" s="208">
        <f>보고서!O145</f>
        <v>0</v>
      </c>
      <c r="K210" s="207">
        <f>보고서!P145</f>
        <v>0</v>
      </c>
      <c r="L210" s="207">
        <f>보고서!Q145</f>
        <v>0</v>
      </c>
    </row>
    <row r="211" spans="2:12" ht="14.25" hidden="1" customHeight="1" outlineLevel="1" thickBot="1">
      <c r="B211" s="174"/>
      <c r="C211" s="174"/>
      <c r="G211" s="176">
        <f>보고서!L146</f>
        <v>0</v>
      </c>
      <c r="H211" s="176">
        <f>보고서!M146</f>
        <v>0</v>
      </c>
      <c r="I211" s="176">
        <f>보고서!N146</f>
        <v>0</v>
      </c>
      <c r="J211" s="208">
        <f>보고서!O146</f>
        <v>0</v>
      </c>
      <c r="K211" s="207">
        <f>보고서!P146</f>
        <v>0</v>
      </c>
      <c r="L211" s="207">
        <f>보고서!Q146</f>
        <v>0</v>
      </c>
    </row>
    <row r="212" spans="2:12" ht="14.25" hidden="1" customHeight="1" outlineLevel="1" thickBot="1">
      <c r="B212" s="174"/>
      <c r="C212" s="174"/>
      <c r="G212" s="176">
        <f>보고서!L147</f>
        <v>0</v>
      </c>
      <c r="H212" s="176">
        <f>보고서!M147</f>
        <v>0</v>
      </c>
      <c r="I212" s="176">
        <f>보고서!N147</f>
        <v>0</v>
      </c>
      <c r="J212" s="208">
        <f>보고서!O147</f>
        <v>0</v>
      </c>
      <c r="K212" s="207">
        <f>보고서!P147</f>
        <v>0</v>
      </c>
      <c r="L212" s="207">
        <f>보고서!Q147</f>
        <v>0</v>
      </c>
    </row>
    <row r="213" spans="2:12" ht="14.25" hidden="1" customHeight="1" outlineLevel="1" thickBot="1">
      <c r="B213" s="174"/>
      <c r="C213" s="174"/>
      <c r="G213" s="176">
        <f>보고서!L148</f>
        <v>0</v>
      </c>
      <c r="H213" s="176">
        <f>보고서!M148</f>
        <v>0</v>
      </c>
      <c r="I213" s="176">
        <f>보고서!N148</f>
        <v>0</v>
      </c>
      <c r="J213" s="208">
        <f>보고서!O148</f>
        <v>0</v>
      </c>
      <c r="K213" s="207">
        <f>보고서!P148</f>
        <v>0</v>
      </c>
      <c r="L213" s="207">
        <f>보고서!Q148</f>
        <v>0</v>
      </c>
    </row>
    <row r="214" spans="2:12" ht="14.25" hidden="1" customHeight="1" outlineLevel="1" thickBot="1">
      <c r="B214" s="174"/>
      <c r="C214" s="174"/>
      <c r="G214" s="176">
        <f>보고서!L149</f>
        <v>0</v>
      </c>
      <c r="H214" s="176">
        <f>보고서!M149</f>
        <v>0</v>
      </c>
      <c r="I214" s="176">
        <f>보고서!N149</f>
        <v>0</v>
      </c>
      <c r="J214" s="208">
        <f>보고서!O149</f>
        <v>0</v>
      </c>
      <c r="K214" s="207">
        <f>보고서!P149</f>
        <v>0</v>
      </c>
      <c r="L214" s="207">
        <f>보고서!Q149</f>
        <v>0</v>
      </c>
    </row>
    <row r="215" spans="2:12" ht="14.25" hidden="1" customHeight="1" outlineLevel="1" thickBot="1">
      <c r="B215" s="174"/>
      <c r="C215" s="174"/>
      <c r="G215" s="176">
        <f>보고서!L150</f>
        <v>0</v>
      </c>
      <c r="H215" s="176">
        <f>보고서!M150</f>
        <v>0</v>
      </c>
      <c r="I215" s="176">
        <f>보고서!N150</f>
        <v>0</v>
      </c>
      <c r="J215" s="208">
        <f>보고서!O150</f>
        <v>0</v>
      </c>
      <c r="K215" s="207">
        <f>보고서!P150</f>
        <v>0</v>
      </c>
      <c r="L215" s="207">
        <f>보고서!Q150</f>
        <v>0</v>
      </c>
    </row>
    <row r="216" spans="2:12" ht="14.25" hidden="1" customHeight="1" outlineLevel="1" thickBot="1">
      <c r="B216" s="174"/>
      <c r="C216" s="174"/>
      <c r="G216" s="176">
        <f>보고서!L151</f>
        <v>0</v>
      </c>
      <c r="H216" s="176">
        <f>보고서!M151</f>
        <v>0</v>
      </c>
      <c r="I216" s="176">
        <f>보고서!N151</f>
        <v>0</v>
      </c>
      <c r="J216" s="208">
        <f>보고서!O151</f>
        <v>0</v>
      </c>
      <c r="K216" s="207">
        <f>보고서!P151</f>
        <v>0</v>
      </c>
      <c r="L216" s="207">
        <f>보고서!Q151</f>
        <v>0</v>
      </c>
    </row>
    <row r="217" spans="2:12" ht="14.25" hidden="1" customHeight="1" outlineLevel="1" thickBot="1">
      <c r="B217" s="174"/>
      <c r="C217" s="174"/>
      <c r="G217" s="176">
        <f>보고서!L152</f>
        <v>0</v>
      </c>
      <c r="H217" s="176">
        <f>보고서!M152</f>
        <v>0</v>
      </c>
      <c r="I217" s="176">
        <f>보고서!N152</f>
        <v>0</v>
      </c>
      <c r="J217" s="208">
        <f>보고서!O152</f>
        <v>0</v>
      </c>
      <c r="K217" s="207">
        <f>보고서!P152</f>
        <v>0</v>
      </c>
      <c r="L217" s="207">
        <f>보고서!Q152</f>
        <v>0</v>
      </c>
    </row>
    <row r="218" spans="2:12" ht="14.25" hidden="1" customHeight="1" outlineLevel="1" thickBot="1">
      <c r="B218" s="174"/>
      <c r="C218" s="174"/>
      <c r="G218" s="176">
        <f>보고서!L153</f>
        <v>0</v>
      </c>
      <c r="H218" s="176">
        <f>보고서!M153</f>
        <v>0</v>
      </c>
      <c r="I218" s="176">
        <f>보고서!N153</f>
        <v>0</v>
      </c>
      <c r="J218" s="208">
        <f>보고서!O153</f>
        <v>0</v>
      </c>
      <c r="K218" s="207">
        <f>보고서!P153</f>
        <v>0</v>
      </c>
      <c r="L218" s="207">
        <f>보고서!Q153</f>
        <v>0</v>
      </c>
    </row>
    <row r="219" spans="2:12" ht="14.25" hidden="1" customHeight="1" outlineLevel="1" thickBot="1">
      <c r="B219" s="174"/>
      <c r="C219" s="174"/>
      <c r="G219" s="176">
        <f>보고서!L154</f>
        <v>0</v>
      </c>
      <c r="H219" s="176">
        <f>보고서!M154</f>
        <v>0</v>
      </c>
      <c r="I219" s="176">
        <f>보고서!N154</f>
        <v>0</v>
      </c>
      <c r="J219" s="208">
        <f>보고서!O154</f>
        <v>0</v>
      </c>
      <c r="K219" s="207">
        <f>보고서!P154</f>
        <v>0</v>
      </c>
      <c r="L219" s="207">
        <f>보고서!Q154</f>
        <v>0</v>
      </c>
    </row>
    <row r="220" spans="2:12" ht="14.25" hidden="1" customHeight="1" outlineLevel="1" thickBot="1">
      <c r="B220" s="174"/>
      <c r="C220" s="174"/>
      <c r="G220" s="176">
        <f>보고서!L155</f>
        <v>0</v>
      </c>
      <c r="H220" s="176">
        <f>보고서!M155</f>
        <v>0</v>
      </c>
      <c r="I220" s="176">
        <f>보고서!N155</f>
        <v>0</v>
      </c>
      <c r="J220" s="208">
        <f>보고서!O155</f>
        <v>0</v>
      </c>
      <c r="K220" s="207">
        <f>보고서!P155</f>
        <v>0</v>
      </c>
      <c r="L220" s="207">
        <f>보고서!Q155</f>
        <v>0</v>
      </c>
    </row>
    <row r="221" spans="2:12" ht="14.25" hidden="1" customHeight="1" outlineLevel="1" thickBot="1">
      <c r="B221" s="174"/>
      <c r="C221" s="174"/>
      <c r="G221" s="176">
        <f>보고서!L156</f>
        <v>0</v>
      </c>
      <c r="H221" s="176">
        <f>보고서!M156</f>
        <v>0</v>
      </c>
      <c r="I221" s="176">
        <f>보고서!N156</f>
        <v>0</v>
      </c>
      <c r="J221" s="208">
        <f>보고서!O156</f>
        <v>0</v>
      </c>
      <c r="K221" s="207">
        <f>보고서!P156</f>
        <v>0</v>
      </c>
      <c r="L221" s="207">
        <f>보고서!Q156</f>
        <v>0</v>
      </c>
    </row>
    <row r="222" spans="2:12" ht="14.25" hidden="1" customHeight="1" outlineLevel="1" thickBot="1">
      <c r="B222" s="174"/>
      <c r="C222" s="174"/>
      <c r="G222" s="176">
        <f>보고서!L157</f>
        <v>0</v>
      </c>
      <c r="H222" s="176">
        <f>보고서!M157</f>
        <v>0</v>
      </c>
      <c r="I222" s="176">
        <f>보고서!N157</f>
        <v>0</v>
      </c>
      <c r="J222" s="208">
        <f>보고서!O157</f>
        <v>0</v>
      </c>
      <c r="K222" s="207">
        <f>보고서!P157</f>
        <v>0</v>
      </c>
      <c r="L222" s="207">
        <f>보고서!Q157</f>
        <v>0</v>
      </c>
    </row>
    <row r="223" spans="2:12" ht="14.25" hidden="1" customHeight="1" outlineLevel="1" thickBot="1">
      <c r="B223" s="174"/>
      <c r="C223" s="174"/>
      <c r="G223" s="176">
        <f>보고서!L158</f>
        <v>0</v>
      </c>
      <c r="H223" s="176">
        <f>보고서!M158</f>
        <v>0</v>
      </c>
      <c r="I223" s="176">
        <f>보고서!N158</f>
        <v>0</v>
      </c>
      <c r="J223" s="208">
        <f>보고서!O158</f>
        <v>0</v>
      </c>
      <c r="K223" s="207">
        <f>보고서!P158</f>
        <v>0</v>
      </c>
      <c r="L223" s="207">
        <f>보고서!Q158</f>
        <v>0</v>
      </c>
    </row>
    <row r="224" spans="2:12" ht="14.25" hidden="1" customHeight="1" outlineLevel="1" thickBot="1">
      <c r="B224" s="174"/>
      <c r="C224" s="174"/>
      <c r="G224" s="176">
        <f>보고서!L159</f>
        <v>0</v>
      </c>
      <c r="H224" s="176">
        <f>보고서!M159</f>
        <v>0</v>
      </c>
      <c r="I224" s="176">
        <f>보고서!N159</f>
        <v>0</v>
      </c>
      <c r="J224" s="208">
        <f>보고서!O159</f>
        <v>0</v>
      </c>
      <c r="K224" s="207">
        <f>보고서!P159</f>
        <v>0</v>
      </c>
      <c r="L224" s="207">
        <f>보고서!Q159</f>
        <v>0</v>
      </c>
    </row>
    <row r="225" spans="2:12" ht="14.25" hidden="1" customHeight="1" outlineLevel="1" thickBot="1">
      <c r="B225" s="174"/>
      <c r="C225" s="174"/>
      <c r="G225" s="176">
        <f>보고서!L160</f>
        <v>0</v>
      </c>
      <c r="H225" s="176">
        <f>보고서!M160</f>
        <v>0</v>
      </c>
      <c r="I225" s="176">
        <f>보고서!N160</f>
        <v>0</v>
      </c>
      <c r="J225" s="208">
        <f>보고서!O160</f>
        <v>0</v>
      </c>
      <c r="K225" s="207">
        <f>보고서!P160</f>
        <v>0</v>
      </c>
      <c r="L225" s="207">
        <f>보고서!Q160</f>
        <v>0</v>
      </c>
    </row>
    <row r="226" spans="2:12" ht="14.25" hidden="1" customHeight="1" outlineLevel="1" thickBot="1">
      <c r="B226" s="174"/>
      <c r="C226" s="174"/>
      <c r="G226" s="176">
        <f>보고서!L161</f>
        <v>0</v>
      </c>
      <c r="H226" s="176">
        <f>보고서!M161</f>
        <v>0</v>
      </c>
      <c r="I226" s="176">
        <f>보고서!N161</f>
        <v>0</v>
      </c>
      <c r="J226" s="208">
        <f>보고서!O161</f>
        <v>0</v>
      </c>
      <c r="K226" s="207">
        <f>보고서!P161</f>
        <v>0</v>
      </c>
      <c r="L226" s="207">
        <f>보고서!Q161</f>
        <v>0</v>
      </c>
    </row>
    <row r="227" spans="2:12" ht="14.25" hidden="1" customHeight="1" outlineLevel="1" thickBot="1">
      <c r="B227" s="174"/>
      <c r="C227" s="174"/>
      <c r="G227" s="176">
        <f>보고서!L162</f>
        <v>0</v>
      </c>
      <c r="H227" s="176">
        <f>보고서!M162</f>
        <v>0</v>
      </c>
      <c r="I227" s="176">
        <f>보고서!N162</f>
        <v>0</v>
      </c>
      <c r="J227" s="208">
        <f>보고서!O162</f>
        <v>0</v>
      </c>
      <c r="K227" s="207">
        <f>보고서!P162</f>
        <v>0</v>
      </c>
      <c r="L227" s="207">
        <f>보고서!Q162</f>
        <v>0</v>
      </c>
    </row>
    <row r="228" spans="2:12" ht="14.25" hidden="1" customHeight="1" outlineLevel="1" thickBot="1">
      <c r="B228" s="174"/>
      <c r="C228" s="174"/>
      <c r="G228" s="176">
        <f>보고서!L163</f>
        <v>0</v>
      </c>
      <c r="H228" s="176">
        <f>보고서!M163</f>
        <v>0</v>
      </c>
      <c r="I228" s="176">
        <f>보고서!N163</f>
        <v>0</v>
      </c>
      <c r="J228" s="208">
        <f>보고서!O163</f>
        <v>0</v>
      </c>
      <c r="K228" s="207">
        <f>보고서!P163</f>
        <v>0</v>
      </c>
      <c r="L228" s="207">
        <f>보고서!Q163</f>
        <v>0</v>
      </c>
    </row>
    <row r="229" spans="2:12" ht="14.25" hidden="1" customHeight="1" outlineLevel="1" thickBot="1">
      <c r="B229" s="174"/>
      <c r="C229" s="174"/>
      <c r="G229" s="176">
        <f>보고서!L164</f>
        <v>0</v>
      </c>
      <c r="H229" s="176">
        <f>보고서!M164</f>
        <v>0</v>
      </c>
      <c r="I229" s="176">
        <f>보고서!N164</f>
        <v>0</v>
      </c>
      <c r="J229" s="208">
        <f>보고서!O164</f>
        <v>0</v>
      </c>
      <c r="K229" s="207">
        <f>보고서!P164</f>
        <v>0</v>
      </c>
      <c r="L229" s="207">
        <f>보고서!Q164</f>
        <v>0</v>
      </c>
    </row>
    <row r="230" spans="2:12" ht="14.25" hidden="1" customHeight="1" outlineLevel="1" thickBot="1">
      <c r="B230" s="174"/>
      <c r="C230" s="174"/>
      <c r="G230" s="176">
        <f>보고서!L165</f>
        <v>0</v>
      </c>
      <c r="H230" s="176">
        <f>보고서!M165</f>
        <v>0</v>
      </c>
      <c r="I230" s="176">
        <f>보고서!N165</f>
        <v>0</v>
      </c>
      <c r="J230" s="208">
        <f>보고서!O165</f>
        <v>0</v>
      </c>
      <c r="K230" s="207">
        <f>보고서!P165</f>
        <v>0</v>
      </c>
      <c r="L230" s="207">
        <f>보고서!Q165</f>
        <v>0</v>
      </c>
    </row>
    <row r="231" spans="2:12" ht="14.25" hidden="1" customHeight="1" outlineLevel="1" thickBot="1">
      <c r="B231" s="174"/>
      <c r="C231" s="174"/>
      <c r="G231" s="176">
        <f>보고서!L166</f>
        <v>0</v>
      </c>
      <c r="H231" s="176">
        <f>보고서!M166</f>
        <v>0</v>
      </c>
      <c r="I231" s="176">
        <f>보고서!N166</f>
        <v>0</v>
      </c>
      <c r="J231" s="208">
        <f>보고서!O166</f>
        <v>0</v>
      </c>
      <c r="K231" s="207">
        <f>보고서!P166</f>
        <v>0</v>
      </c>
      <c r="L231" s="207">
        <f>보고서!Q166</f>
        <v>0</v>
      </c>
    </row>
    <row r="232" spans="2:12" ht="14.25" hidden="1" customHeight="1" outlineLevel="1" thickBot="1">
      <c r="B232" s="174"/>
      <c r="C232" s="174"/>
      <c r="G232" s="176">
        <f>보고서!L167</f>
        <v>0</v>
      </c>
      <c r="H232" s="176">
        <f>보고서!M167</f>
        <v>0</v>
      </c>
      <c r="I232" s="176">
        <f>보고서!N167</f>
        <v>0</v>
      </c>
      <c r="J232" s="208">
        <f>보고서!O167</f>
        <v>0</v>
      </c>
      <c r="K232" s="207">
        <f>보고서!P167</f>
        <v>0</v>
      </c>
      <c r="L232" s="207">
        <f>보고서!Q167</f>
        <v>0</v>
      </c>
    </row>
    <row r="233" spans="2:12" ht="14.25" hidden="1" customHeight="1" outlineLevel="1" thickBot="1">
      <c r="B233" s="174"/>
      <c r="C233" s="174"/>
      <c r="G233" s="176">
        <f>보고서!L168</f>
        <v>0</v>
      </c>
      <c r="H233" s="176">
        <f>보고서!M168</f>
        <v>0</v>
      </c>
      <c r="I233" s="176">
        <f>보고서!N168</f>
        <v>0</v>
      </c>
      <c r="J233" s="208">
        <f>보고서!O168</f>
        <v>0</v>
      </c>
      <c r="K233" s="207">
        <f>보고서!P168</f>
        <v>0</v>
      </c>
      <c r="L233" s="207">
        <f>보고서!Q168</f>
        <v>0</v>
      </c>
    </row>
    <row r="234" spans="2:12" ht="14.25" hidden="1" customHeight="1" outlineLevel="1" thickBot="1">
      <c r="B234" s="174"/>
      <c r="C234" s="174"/>
      <c r="G234" s="176">
        <f>보고서!L169</f>
        <v>0</v>
      </c>
      <c r="H234" s="176">
        <f>보고서!M169</f>
        <v>0</v>
      </c>
      <c r="I234" s="176">
        <f>보고서!N169</f>
        <v>0</v>
      </c>
      <c r="J234" s="208">
        <f>보고서!O169</f>
        <v>0</v>
      </c>
      <c r="K234" s="207">
        <f>보고서!P169</f>
        <v>0</v>
      </c>
      <c r="L234" s="207">
        <f>보고서!Q169</f>
        <v>0</v>
      </c>
    </row>
    <row r="235" spans="2:12" ht="14.25" hidden="1" customHeight="1" outlineLevel="1" thickBot="1">
      <c r="B235" s="174"/>
      <c r="C235" s="174"/>
      <c r="G235" s="176">
        <f>보고서!L170</f>
        <v>0</v>
      </c>
      <c r="H235" s="176">
        <f>보고서!M170</f>
        <v>0</v>
      </c>
      <c r="I235" s="176">
        <f>보고서!N170</f>
        <v>0</v>
      </c>
      <c r="J235" s="208">
        <f>보고서!O170</f>
        <v>0</v>
      </c>
      <c r="K235" s="207">
        <f>보고서!P170</f>
        <v>0</v>
      </c>
      <c r="L235" s="207">
        <f>보고서!Q170</f>
        <v>0</v>
      </c>
    </row>
    <row r="236" spans="2:12" ht="14.25" hidden="1" customHeight="1" outlineLevel="1" thickBot="1">
      <c r="B236" s="174"/>
      <c r="C236" s="174"/>
      <c r="G236" s="176">
        <f>보고서!L171</f>
        <v>0</v>
      </c>
      <c r="H236" s="176">
        <f>보고서!M171</f>
        <v>0</v>
      </c>
      <c r="I236" s="176">
        <f>보고서!N171</f>
        <v>0</v>
      </c>
      <c r="J236" s="208">
        <f>보고서!O171</f>
        <v>0</v>
      </c>
      <c r="K236" s="207">
        <f>보고서!P171</f>
        <v>0</v>
      </c>
      <c r="L236" s="207">
        <f>보고서!Q171</f>
        <v>0</v>
      </c>
    </row>
    <row r="237" spans="2:12" ht="14.25" hidden="1" customHeight="1" outlineLevel="1" thickBot="1">
      <c r="B237" s="174"/>
      <c r="C237" s="174"/>
      <c r="G237" s="176">
        <f>보고서!L172</f>
        <v>0</v>
      </c>
      <c r="H237" s="176">
        <f>보고서!M172</f>
        <v>0</v>
      </c>
      <c r="I237" s="176">
        <f>보고서!N172</f>
        <v>0</v>
      </c>
      <c r="J237" s="208">
        <f>보고서!O172</f>
        <v>0</v>
      </c>
      <c r="K237" s="207">
        <f>보고서!P172</f>
        <v>0</v>
      </c>
      <c r="L237" s="207">
        <f>보고서!Q172</f>
        <v>0</v>
      </c>
    </row>
    <row r="238" spans="2:12" ht="14.25" hidden="1" customHeight="1" outlineLevel="1" thickBot="1">
      <c r="B238" s="174"/>
      <c r="C238" s="174"/>
      <c r="G238" s="176">
        <f>보고서!L173</f>
        <v>0</v>
      </c>
      <c r="H238" s="176">
        <f>보고서!M173</f>
        <v>0</v>
      </c>
      <c r="I238" s="176">
        <f>보고서!N173</f>
        <v>0</v>
      </c>
      <c r="J238" s="208">
        <f>보고서!O173</f>
        <v>0</v>
      </c>
      <c r="K238" s="207">
        <f>보고서!P173</f>
        <v>0</v>
      </c>
      <c r="L238" s="207">
        <f>보고서!Q173</f>
        <v>0</v>
      </c>
    </row>
    <row r="239" spans="2:12" ht="14.25" hidden="1" customHeight="1" outlineLevel="1" thickBot="1">
      <c r="B239" s="174"/>
      <c r="C239" s="174"/>
      <c r="G239" s="176">
        <f>보고서!L174</f>
        <v>0</v>
      </c>
      <c r="H239" s="176">
        <f>보고서!M174</f>
        <v>0</v>
      </c>
      <c r="I239" s="176">
        <f>보고서!N174</f>
        <v>0</v>
      </c>
      <c r="J239" s="208">
        <f>보고서!O174</f>
        <v>0</v>
      </c>
      <c r="K239" s="207">
        <f>보고서!P174</f>
        <v>0</v>
      </c>
      <c r="L239" s="207">
        <f>보고서!Q174</f>
        <v>0</v>
      </c>
    </row>
    <row r="240" spans="2:12" ht="14.25" hidden="1" customHeight="1" outlineLevel="1" thickBot="1">
      <c r="B240" s="174"/>
      <c r="C240" s="174"/>
      <c r="G240" s="176">
        <f>보고서!L175</f>
        <v>0</v>
      </c>
      <c r="H240" s="176">
        <f>보고서!M175</f>
        <v>0</v>
      </c>
      <c r="I240" s="176">
        <f>보고서!N175</f>
        <v>0</v>
      </c>
      <c r="J240" s="208">
        <f>보고서!O175</f>
        <v>0</v>
      </c>
      <c r="K240" s="207">
        <f>보고서!P175</f>
        <v>0</v>
      </c>
      <c r="L240" s="207">
        <f>보고서!Q175</f>
        <v>0</v>
      </c>
    </row>
    <row r="241" spans="2:12" ht="14.25" hidden="1" customHeight="1" outlineLevel="1" thickBot="1">
      <c r="B241" s="174"/>
      <c r="C241" s="174"/>
      <c r="G241" s="176">
        <f>보고서!L176</f>
        <v>0</v>
      </c>
      <c r="H241" s="176">
        <f>보고서!M176</f>
        <v>0</v>
      </c>
      <c r="I241" s="176">
        <f>보고서!N176</f>
        <v>0</v>
      </c>
      <c r="J241" s="208">
        <f>보고서!O176</f>
        <v>0</v>
      </c>
      <c r="K241" s="207">
        <f>보고서!P176</f>
        <v>0</v>
      </c>
      <c r="L241" s="207">
        <f>보고서!Q176</f>
        <v>0</v>
      </c>
    </row>
    <row r="242" spans="2:12" ht="14.25" hidden="1" customHeight="1" outlineLevel="1" thickBot="1">
      <c r="B242" s="174"/>
      <c r="C242" s="174"/>
      <c r="G242" s="176">
        <f>보고서!L177</f>
        <v>0</v>
      </c>
      <c r="H242" s="176">
        <f>보고서!M177</f>
        <v>0</v>
      </c>
      <c r="I242" s="176">
        <f>보고서!N177</f>
        <v>0</v>
      </c>
      <c r="J242" s="208">
        <f>보고서!O177</f>
        <v>0</v>
      </c>
      <c r="K242" s="207">
        <f>보고서!P177</f>
        <v>0</v>
      </c>
      <c r="L242" s="207">
        <f>보고서!Q177</f>
        <v>0</v>
      </c>
    </row>
    <row r="243" spans="2:12" ht="14.25" hidden="1" customHeight="1" outlineLevel="1" thickBot="1">
      <c r="B243" s="174"/>
      <c r="C243" s="174"/>
      <c r="G243" s="176">
        <f>보고서!L178</f>
        <v>0</v>
      </c>
      <c r="H243" s="176">
        <f>보고서!M178</f>
        <v>0</v>
      </c>
      <c r="I243" s="176">
        <f>보고서!N178</f>
        <v>0</v>
      </c>
      <c r="J243" s="208">
        <f>보고서!O178</f>
        <v>0</v>
      </c>
      <c r="K243" s="207">
        <f>보고서!P178</f>
        <v>0</v>
      </c>
      <c r="L243" s="207">
        <f>보고서!Q178</f>
        <v>0</v>
      </c>
    </row>
    <row r="244" spans="2:12" ht="14.25" hidden="1" customHeight="1" outlineLevel="1" thickBot="1">
      <c r="B244" s="174"/>
      <c r="C244" s="174"/>
      <c r="G244" s="176">
        <f>보고서!L179</f>
        <v>0</v>
      </c>
      <c r="H244" s="176">
        <f>보고서!M179</f>
        <v>0</v>
      </c>
      <c r="I244" s="176">
        <f>보고서!N179</f>
        <v>0</v>
      </c>
      <c r="J244" s="208">
        <f>보고서!O179</f>
        <v>0</v>
      </c>
      <c r="K244" s="207">
        <f>보고서!P179</f>
        <v>0</v>
      </c>
      <c r="L244" s="207">
        <f>보고서!Q179</f>
        <v>0</v>
      </c>
    </row>
    <row r="245" spans="2:12" ht="14.25" hidden="1" customHeight="1" outlineLevel="1" thickBot="1">
      <c r="B245" s="174"/>
      <c r="C245" s="174"/>
      <c r="G245" s="176">
        <f>보고서!L180</f>
        <v>0</v>
      </c>
      <c r="H245" s="176">
        <f>보고서!M180</f>
        <v>0</v>
      </c>
      <c r="I245" s="176">
        <f>보고서!N180</f>
        <v>0</v>
      </c>
      <c r="J245" s="208">
        <f>보고서!O180</f>
        <v>0</v>
      </c>
      <c r="K245" s="207">
        <f>보고서!P180</f>
        <v>0</v>
      </c>
      <c r="L245" s="207">
        <f>보고서!Q180</f>
        <v>0</v>
      </c>
    </row>
    <row r="246" spans="2:12" ht="14.25" hidden="1" customHeight="1" outlineLevel="1" thickBot="1">
      <c r="B246" s="174"/>
      <c r="C246" s="174"/>
      <c r="G246" s="176">
        <f>보고서!L181</f>
        <v>0</v>
      </c>
      <c r="H246" s="176">
        <f>보고서!M181</f>
        <v>0</v>
      </c>
      <c r="I246" s="176">
        <f>보고서!N181</f>
        <v>0</v>
      </c>
      <c r="J246" s="208">
        <f>보고서!O181</f>
        <v>0</v>
      </c>
      <c r="K246" s="207">
        <f>보고서!P181</f>
        <v>0</v>
      </c>
      <c r="L246" s="207">
        <f>보고서!Q181</f>
        <v>0</v>
      </c>
    </row>
    <row r="247" spans="2:12" ht="14.25" hidden="1" customHeight="1" outlineLevel="1" thickBot="1">
      <c r="B247" s="174"/>
      <c r="C247" s="174"/>
      <c r="G247" s="176">
        <f>보고서!L182</f>
        <v>0</v>
      </c>
      <c r="H247" s="176">
        <f>보고서!M182</f>
        <v>0</v>
      </c>
      <c r="I247" s="176">
        <f>보고서!N182</f>
        <v>0</v>
      </c>
      <c r="J247" s="208">
        <f>보고서!O182</f>
        <v>0</v>
      </c>
      <c r="K247" s="207">
        <f>보고서!P182</f>
        <v>0</v>
      </c>
      <c r="L247" s="207">
        <f>보고서!Q182</f>
        <v>0</v>
      </c>
    </row>
    <row r="248" spans="2:12" ht="14.25" hidden="1" customHeight="1" outlineLevel="1" thickBot="1">
      <c r="B248" s="174"/>
      <c r="C248" s="174"/>
      <c r="G248" s="176">
        <f>보고서!L183</f>
        <v>0</v>
      </c>
      <c r="H248" s="176">
        <f>보고서!M183</f>
        <v>0</v>
      </c>
      <c r="I248" s="176">
        <f>보고서!N183</f>
        <v>0</v>
      </c>
      <c r="J248" s="208">
        <f>보고서!O183</f>
        <v>0</v>
      </c>
      <c r="K248" s="207">
        <f>보고서!P183</f>
        <v>0</v>
      </c>
      <c r="L248" s="207">
        <f>보고서!Q183</f>
        <v>0</v>
      </c>
    </row>
    <row r="249" spans="2:12" ht="14.25" hidden="1" customHeight="1" outlineLevel="1" thickBot="1">
      <c r="B249" s="174"/>
      <c r="C249" s="174"/>
      <c r="G249" s="176">
        <f>보고서!L184</f>
        <v>0</v>
      </c>
      <c r="H249" s="176">
        <f>보고서!M184</f>
        <v>0</v>
      </c>
      <c r="I249" s="176">
        <f>보고서!N184</f>
        <v>0</v>
      </c>
      <c r="J249" s="208">
        <f>보고서!O184</f>
        <v>0</v>
      </c>
      <c r="K249" s="207">
        <f>보고서!P184</f>
        <v>0</v>
      </c>
      <c r="L249" s="207">
        <f>보고서!Q184</f>
        <v>0</v>
      </c>
    </row>
    <row r="250" spans="2:12" ht="14.25" hidden="1" customHeight="1" outlineLevel="1" thickBot="1">
      <c r="B250" s="174"/>
      <c r="C250" s="174"/>
      <c r="G250" s="176">
        <f>보고서!L185</f>
        <v>0</v>
      </c>
      <c r="H250" s="176">
        <f>보고서!M185</f>
        <v>0</v>
      </c>
      <c r="I250" s="176">
        <f>보고서!N185</f>
        <v>0</v>
      </c>
      <c r="J250" s="208">
        <f>보고서!O185</f>
        <v>0</v>
      </c>
      <c r="K250" s="207">
        <f>보고서!P185</f>
        <v>0</v>
      </c>
      <c r="L250" s="207">
        <f>보고서!Q185</f>
        <v>0</v>
      </c>
    </row>
    <row r="251" spans="2:12" ht="14.25" hidden="1" customHeight="1" outlineLevel="1" thickBot="1">
      <c r="B251" s="174"/>
      <c r="C251" s="174"/>
      <c r="G251" s="176">
        <f>보고서!L186</f>
        <v>0</v>
      </c>
      <c r="H251" s="176">
        <f>보고서!M186</f>
        <v>0</v>
      </c>
      <c r="I251" s="176">
        <f>보고서!N186</f>
        <v>0</v>
      </c>
      <c r="J251" s="208">
        <f>보고서!O186</f>
        <v>0</v>
      </c>
      <c r="K251" s="207">
        <f>보고서!P186</f>
        <v>0</v>
      </c>
      <c r="L251" s="207">
        <f>보고서!Q186</f>
        <v>0</v>
      </c>
    </row>
    <row r="252" spans="2:12" ht="14.25" hidden="1" customHeight="1" outlineLevel="1" thickBot="1">
      <c r="B252" s="174"/>
      <c r="C252" s="174"/>
      <c r="G252" s="176">
        <f>보고서!L187</f>
        <v>0</v>
      </c>
      <c r="H252" s="176">
        <f>보고서!M187</f>
        <v>0</v>
      </c>
      <c r="I252" s="176">
        <f>보고서!N187</f>
        <v>0</v>
      </c>
      <c r="J252" s="208">
        <f>보고서!O187</f>
        <v>0</v>
      </c>
      <c r="K252" s="207">
        <f>보고서!P187</f>
        <v>0</v>
      </c>
      <c r="L252" s="207">
        <f>보고서!Q187</f>
        <v>0</v>
      </c>
    </row>
    <row r="253" spans="2:12" ht="14.25" hidden="1" customHeight="1" outlineLevel="1" thickBot="1">
      <c r="B253" s="174"/>
      <c r="C253" s="174"/>
      <c r="G253" s="176">
        <f>보고서!L188</f>
        <v>0</v>
      </c>
      <c r="H253" s="176">
        <f>보고서!M188</f>
        <v>0</v>
      </c>
      <c r="I253" s="176">
        <f>보고서!N188</f>
        <v>0</v>
      </c>
      <c r="J253" s="208">
        <f>보고서!O188</f>
        <v>0</v>
      </c>
      <c r="K253" s="207">
        <f>보고서!P188</f>
        <v>0</v>
      </c>
      <c r="L253" s="207">
        <f>보고서!Q188</f>
        <v>0</v>
      </c>
    </row>
    <row r="254" spans="2:12" ht="14.25" hidden="1" customHeight="1" outlineLevel="1" thickBot="1">
      <c r="B254" s="174"/>
      <c r="C254" s="174"/>
      <c r="G254" s="176">
        <f>보고서!L189</f>
        <v>0</v>
      </c>
      <c r="H254" s="176">
        <f>보고서!M189</f>
        <v>0</v>
      </c>
      <c r="I254" s="176">
        <f>보고서!N189</f>
        <v>0</v>
      </c>
      <c r="J254" s="208">
        <f>보고서!O189</f>
        <v>0</v>
      </c>
      <c r="K254" s="207">
        <f>보고서!P189</f>
        <v>0</v>
      </c>
      <c r="L254" s="207">
        <f>보고서!Q189</f>
        <v>0</v>
      </c>
    </row>
    <row r="255" spans="2:12" ht="14.25" hidden="1" customHeight="1" outlineLevel="1" thickBot="1">
      <c r="B255" s="174"/>
      <c r="C255" s="174"/>
      <c r="G255" s="176">
        <f>보고서!L190</f>
        <v>0</v>
      </c>
      <c r="H255" s="176">
        <f>보고서!M190</f>
        <v>0</v>
      </c>
      <c r="I255" s="176">
        <f>보고서!N190</f>
        <v>0</v>
      </c>
      <c r="J255" s="208">
        <f>보고서!O190</f>
        <v>0</v>
      </c>
      <c r="K255" s="207">
        <f>보고서!P190</f>
        <v>0</v>
      </c>
      <c r="L255" s="207">
        <f>보고서!Q190</f>
        <v>0</v>
      </c>
    </row>
    <row r="256" spans="2:12" ht="14.25" hidden="1" customHeight="1" outlineLevel="1" thickBot="1">
      <c r="B256" s="174"/>
      <c r="C256" s="174"/>
      <c r="G256" s="176">
        <f>보고서!L191</f>
        <v>0</v>
      </c>
      <c r="H256" s="176">
        <f>보고서!M191</f>
        <v>0</v>
      </c>
      <c r="I256" s="176">
        <f>보고서!N191</f>
        <v>0</v>
      </c>
      <c r="J256" s="208">
        <f>보고서!O191</f>
        <v>0</v>
      </c>
      <c r="K256" s="207">
        <f>보고서!P191</f>
        <v>0</v>
      </c>
      <c r="L256" s="207">
        <f>보고서!Q191</f>
        <v>0</v>
      </c>
    </row>
    <row r="257" spans="2:12" ht="14.25" hidden="1" customHeight="1" outlineLevel="1" thickBot="1">
      <c r="B257" s="174"/>
      <c r="C257" s="174"/>
      <c r="G257" s="176">
        <f>보고서!L192</f>
        <v>0</v>
      </c>
      <c r="H257" s="176">
        <f>보고서!M192</f>
        <v>0</v>
      </c>
      <c r="I257" s="176">
        <f>보고서!N192</f>
        <v>0</v>
      </c>
      <c r="J257" s="208">
        <f>보고서!O192</f>
        <v>0</v>
      </c>
      <c r="K257" s="207">
        <f>보고서!P192</f>
        <v>0</v>
      </c>
      <c r="L257" s="207">
        <f>보고서!Q192</f>
        <v>0</v>
      </c>
    </row>
    <row r="258" spans="2:12" ht="14.25" hidden="1" customHeight="1" outlineLevel="1" thickBot="1">
      <c r="B258" s="174"/>
      <c r="C258" s="174"/>
      <c r="G258" s="176">
        <f>보고서!L193</f>
        <v>0</v>
      </c>
      <c r="H258" s="176">
        <f>보고서!M193</f>
        <v>0</v>
      </c>
      <c r="I258" s="176">
        <f>보고서!N193</f>
        <v>0</v>
      </c>
      <c r="J258" s="208">
        <f>보고서!O193</f>
        <v>0</v>
      </c>
      <c r="K258" s="207">
        <f>보고서!P193</f>
        <v>0</v>
      </c>
      <c r="L258" s="207">
        <f>보고서!Q193</f>
        <v>0</v>
      </c>
    </row>
    <row r="259" spans="2:12" ht="14.25" hidden="1" customHeight="1" outlineLevel="1" thickBot="1">
      <c r="B259" s="174"/>
      <c r="C259" s="174"/>
      <c r="G259" s="176">
        <f>보고서!L194</f>
        <v>0</v>
      </c>
      <c r="H259" s="176">
        <f>보고서!M194</f>
        <v>0</v>
      </c>
      <c r="I259" s="176">
        <f>보고서!N194</f>
        <v>0</v>
      </c>
      <c r="J259" s="208">
        <f>보고서!O194</f>
        <v>0</v>
      </c>
      <c r="K259" s="207">
        <f>보고서!P194</f>
        <v>0</v>
      </c>
      <c r="L259" s="207">
        <f>보고서!Q194</f>
        <v>0</v>
      </c>
    </row>
    <row r="260" spans="2:12" ht="14.25" hidden="1" customHeight="1" outlineLevel="1" thickBot="1">
      <c r="B260" s="174"/>
      <c r="C260" s="174"/>
      <c r="G260" s="176">
        <f>보고서!L195</f>
        <v>0</v>
      </c>
      <c r="H260" s="176">
        <f>보고서!M195</f>
        <v>0</v>
      </c>
      <c r="I260" s="176">
        <f>보고서!N195</f>
        <v>0</v>
      </c>
      <c r="J260" s="208">
        <f>보고서!O195</f>
        <v>0</v>
      </c>
      <c r="K260" s="207">
        <f>보고서!P195</f>
        <v>0</v>
      </c>
      <c r="L260" s="207">
        <f>보고서!Q195</f>
        <v>0</v>
      </c>
    </row>
    <row r="261" spans="2:12" ht="14.25" hidden="1" customHeight="1" outlineLevel="1" thickBot="1">
      <c r="B261" s="174"/>
      <c r="C261" s="174"/>
      <c r="G261" s="176">
        <f>보고서!L196</f>
        <v>0</v>
      </c>
      <c r="H261" s="176">
        <f>보고서!M196</f>
        <v>0</v>
      </c>
      <c r="I261" s="176">
        <f>보고서!N196</f>
        <v>0</v>
      </c>
      <c r="J261" s="208">
        <f>보고서!O196</f>
        <v>0</v>
      </c>
      <c r="K261" s="207">
        <f>보고서!P196</f>
        <v>0</v>
      </c>
      <c r="L261" s="207">
        <f>보고서!Q196</f>
        <v>0</v>
      </c>
    </row>
    <row r="262" spans="2:12" ht="14.25" hidden="1" customHeight="1" outlineLevel="1" thickBot="1">
      <c r="B262" s="174"/>
      <c r="C262" s="174"/>
      <c r="G262" s="176">
        <f>보고서!L197</f>
        <v>0</v>
      </c>
      <c r="H262" s="176">
        <f>보고서!M197</f>
        <v>0</v>
      </c>
      <c r="I262" s="176">
        <f>보고서!N197</f>
        <v>0</v>
      </c>
      <c r="J262" s="208">
        <f>보고서!O197</f>
        <v>0</v>
      </c>
      <c r="K262" s="207">
        <f>보고서!P197</f>
        <v>0</v>
      </c>
      <c r="L262" s="207">
        <f>보고서!Q197</f>
        <v>0</v>
      </c>
    </row>
    <row r="263" spans="2:12" ht="14.25" hidden="1" customHeight="1" outlineLevel="1" thickBot="1">
      <c r="B263" s="174"/>
      <c r="C263" s="174"/>
      <c r="G263" s="176">
        <f>보고서!L198</f>
        <v>0</v>
      </c>
      <c r="H263" s="176">
        <f>보고서!M198</f>
        <v>0</v>
      </c>
      <c r="I263" s="176">
        <f>보고서!N198</f>
        <v>0</v>
      </c>
      <c r="J263" s="208">
        <f>보고서!O198</f>
        <v>0</v>
      </c>
      <c r="K263" s="207">
        <f>보고서!P198</f>
        <v>0</v>
      </c>
      <c r="L263" s="207">
        <f>보고서!Q198</f>
        <v>0</v>
      </c>
    </row>
    <row r="264" spans="2:12" ht="14.25" hidden="1" customHeight="1" outlineLevel="1" thickBot="1">
      <c r="B264" s="174"/>
      <c r="C264" s="174"/>
      <c r="G264" s="176">
        <f>보고서!L199</f>
        <v>0</v>
      </c>
      <c r="H264" s="176">
        <f>보고서!M199</f>
        <v>0</v>
      </c>
      <c r="I264" s="176">
        <f>보고서!N199</f>
        <v>0</v>
      </c>
      <c r="J264" s="208">
        <f>보고서!O199</f>
        <v>0</v>
      </c>
      <c r="K264" s="207">
        <f>보고서!P199</f>
        <v>0</v>
      </c>
      <c r="L264" s="207">
        <f>보고서!Q199</f>
        <v>0</v>
      </c>
    </row>
    <row r="265" spans="2:12" ht="14.25" hidden="1" customHeight="1" outlineLevel="1" thickBot="1">
      <c r="B265" s="174"/>
      <c r="C265" s="174"/>
      <c r="G265" s="176">
        <f>보고서!L200</f>
        <v>0</v>
      </c>
      <c r="H265" s="176">
        <f>보고서!M200</f>
        <v>0</v>
      </c>
      <c r="I265" s="176">
        <f>보고서!N200</f>
        <v>0</v>
      </c>
      <c r="J265" s="208">
        <f>보고서!O200</f>
        <v>0</v>
      </c>
      <c r="K265" s="207">
        <f>보고서!P200</f>
        <v>0</v>
      </c>
      <c r="L265" s="207">
        <f>보고서!Q200</f>
        <v>0</v>
      </c>
    </row>
    <row r="266" spans="2:12" ht="14.25" hidden="1" customHeight="1" outlineLevel="1" thickBot="1">
      <c r="B266" s="174"/>
      <c r="C266" s="174"/>
      <c r="G266" s="176">
        <f>보고서!L201</f>
        <v>0</v>
      </c>
      <c r="H266" s="176">
        <f>보고서!M201</f>
        <v>0</v>
      </c>
      <c r="I266" s="176">
        <f>보고서!N201</f>
        <v>0</v>
      </c>
      <c r="J266" s="208">
        <f>보고서!O201</f>
        <v>0</v>
      </c>
      <c r="K266" s="207">
        <f>보고서!P201</f>
        <v>0</v>
      </c>
      <c r="L266" s="207">
        <f>보고서!Q201</f>
        <v>0</v>
      </c>
    </row>
    <row r="267" spans="2:12" ht="14.25" hidden="1" customHeight="1" outlineLevel="1" thickBot="1">
      <c r="B267" s="174"/>
      <c r="C267" s="174"/>
      <c r="G267" s="176">
        <f>보고서!L202</f>
        <v>0</v>
      </c>
      <c r="H267" s="176">
        <f>보고서!M202</f>
        <v>0</v>
      </c>
      <c r="I267" s="176">
        <f>보고서!N202</f>
        <v>0</v>
      </c>
      <c r="J267" s="208">
        <f>보고서!O202</f>
        <v>0</v>
      </c>
      <c r="K267" s="207">
        <f>보고서!P202</f>
        <v>0</v>
      </c>
      <c r="L267" s="207">
        <f>보고서!Q202</f>
        <v>0</v>
      </c>
    </row>
    <row r="268" spans="2:12" ht="14.25" hidden="1" customHeight="1" outlineLevel="1" thickBot="1">
      <c r="B268" s="174"/>
      <c r="C268" s="174"/>
      <c r="G268" s="176">
        <f>보고서!L203</f>
        <v>0</v>
      </c>
      <c r="H268" s="176">
        <f>보고서!M203</f>
        <v>0</v>
      </c>
      <c r="I268" s="176">
        <f>보고서!N203</f>
        <v>0</v>
      </c>
      <c r="J268" s="208">
        <f>보고서!O203</f>
        <v>0</v>
      </c>
      <c r="K268" s="207">
        <f>보고서!P203</f>
        <v>0</v>
      </c>
      <c r="L268" s="207">
        <f>보고서!Q203</f>
        <v>0</v>
      </c>
    </row>
    <row r="269" spans="2:12" ht="14.25" hidden="1" customHeight="1" outlineLevel="1" thickBot="1">
      <c r="B269" s="174"/>
      <c r="C269" s="174"/>
      <c r="G269" s="176">
        <f>보고서!L204</f>
        <v>0</v>
      </c>
      <c r="H269" s="176">
        <f>보고서!M204</f>
        <v>0</v>
      </c>
      <c r="I269" s="176">
        <f>보고서!N204</f>
        <v>0</v>
      </c>
      <c r="J269" s="208">
        <f>보고서!O204</f>
        <v>0</v>
      </c>
      <c r="K269" s="207">
        <f>보고서!P204</f>
        <v>0</v>
      </c>
      <c r="L269" s="207">
        <f>보고서!Q204</f>
        <v>0</v>
      </c>
    </row>
    <row r="270" spans="2:12" ht="14.25" hidden="1" customHeight="1" outlineLevel="1" thickBot="1">
      <c r="B270" s="174"/>
      <c r="C270" s="174"/>
      <c r="G270" s="176">
        <f>보고서!L205</f>
        <v>0</v>
      </c>
      <c r="H270" s="176">
        <f>보고서!M205</f>
        <v>0</v>
      </c>
      <c r="I270" s="176">
        <f>보고서!N205</f>
        <v>0</v>
      </c>
      <c r="J270" s="208">
        <f>보고서!O205</f>
        <v>0</v>
      </c>
      <c r="K270" s="207">
        <f>보고서!P205</f>
        <v>0</v>
      </c>
      <c r="L270" s="207">
        <f>보고서!Q205</f>
        <v>0</v>
      </c>
    </row>
    <row r="271" spans="2:12" ht="14.25" hidden="1" customHeight="1" outlineLevel="1" thickBot="1">
      <c r="B271" s="174"/>
      <c r="C271" s="174"/>
      <c r="G271" s="176">
        <f>보고서!L206</f>
        <v>0</v>
      </c>
      <c r="H271" s="176">
        <f>보고서!M206</f>
        <v>0</v>
      </c>
      <c r="I271" s="176">
        <f>보고서!N206</f>
        <v>0</v>
      </c>
      <c r="J271" s="208">
        <f>보고서!O206</f>
        <v>0</v>
      </c>
      <c r="K271" s="207">
        <f>보고서!P206</f>
        <v>0</v>
      </c>
      <c r="L271" s="207">
        <f>보고서!Q206</f>
        <v>0</v>
      </c>
    </row>
    <row r="272" spans="2:12" ht="14.25" hidden="1" customHeight="1" outlineLevel="1" thickBot="1">
      <c r="B272" s="174"/>
      <c r="C272" s="174"/>
      <c r="G272" s="176">
        <f>보고서!L207</f>
        <v>0</v>
      </c>
      <c r="H272" s="176">
        <f>보고서!M207</f>
        <v>0</v>
      </c>
      <c r="I272" s="176">
        <f>보고서!N207</f>
        <v>0</v>
      </c>
      <c r="J272" s="208">
        <f>보고서!O207</f>
        <v>0</v>
      </c>
      <c r="K272" s="207">
        <f>보고서!P207</f>
        <v>0</v>
      </c>
      <c r="L272" s="207">
        <f>보고서!Q207</f>
        <v>0</v>
      </c>
    </row>
    <row r="273" spans="2:12" ht="14.25" hidden="1" customHeight="1" outlineLevel="1" thickBot="1">
      <c r="B273" s="174"/>
      <c r="C273" s="174"/>
      <c r="G273" s="176">
        <f>보고서!L208</f>
        <v>0</v>
      </c>
      <c r="H273" s="176">
        <f>보고서!M208</f>
        <v>0</v>
      </c>
      <c r="I273" s="176">
        <f>보고서!N208</f>
        <v>0</v>
      </c>
      <c r="J273" s="208">
        <f>보고서!O208</f>
        <v>0</v>
      </c>
      <c r="K273" s="207">
        <f>보고서!P208</f>
        <v>0</v>
      </c>
      <c r="L273" s="207">
        <f>보고서!Q208</f>
        <v>0</v>
      </c>
    </row>
    <row r="274" spans="2:12" ht="14.25" hidden="1" customHeight="1" outlineLevel="1" thickBot="1">
      <c r="B274" s="174"/>
      <c r="C274" s="174"/>
      <c r="G274" s="176">
        <f>보고서!L209</f>
        <v>0</v>
      </c>
      <c r="H274" s="176">
        <f>보고서!M209</f>
        <v>0</v>
      </c>
      <c r="I274" s="176">
        <f>보고서!N209</f>
        <v>0</v>
      </c>
      <c r="J274" s="208">
        <f>보고서!O209</f>
        <v>0</v>
      </c>
      <c r="K274" s="207">
        <f>보고서!P209</f>
        <v>0</v>
      </c>
      <c r="L274" s="207">
        <f>보고서!Q209</f>
        <v>0</v>
      </c>
    </row>
    <row r="275" spans="2:12" ht="14.25" hidden="1" customHeight="1" outlineLevel="1" thickBot="1">
      <c r="B275" s="174"/>
      <c r="C275" s="174"/>
      <c r="G275" s="176">
        <f>보고서!L210</f>
        <v>0</v>
      </c>
      <c r="H275" s="176">
        <f>보고서!M210</f>
        <v>0</v>
      </c>
      <c r="I275" s="176">
        <f>보고서!N210</f>
        <v>0</v>
      </c>
      <c r="J275" s="208">
        <f>보고서!O210</f>
        <v>0</v>
      </c>
      <c r="K275" s="207">
        <f>보고서!P210</f>
        <v>0</v>
      </c>
      <c r="L275" s="207">
        <f>보고서!Q210</f>
        <v>0</v>
      </c>
    </row>
    <row r="276" spans="2:12" ht="14.25" hidden="1" customHeight="1" outlineLevel="1" thickBot="1">
      <c r="B276" s="174"/>
      <c r="C276" s="174"/>
      <c r="G276" s="176">
        <f>보고서!L211</f>
        <v>0</v>
      </c>
      <c r="H276" s="176">
        <f>보고서!M211</f>
        <v>0</v>
      </c>
      <c r="I276" s="176">
        <f>보고서!N211</f>
        <v>0</v>
      </c>
      <c r="J276" s="208">
        <f>보고서!O211</f>
        <v>0</v>
      </c>
      <c r="K276" s="207">
        <f>보고서!P211</f>
        <v>0</v>
      </c>
      <c r="L276" s="207">
        <f>보고서!Q211</f>
        <v>0</v>
      </c>
    </row>
    <row r="277" spans="2:12" ht="14.25" hidden="1" customHeight="1" outlineLevel="1" thickBot="1">
      <c r="B277" s="174"/>
      <c r="C277" s="174"/>
      <c r="G277" s="176">
        <f>보고서!L212</f>
        <v>0</v>
      </c>
      <c r="H277" s="176">
        <f>보고서!M212</f>
        <v>0</v>
      </c>
      <c r="I277" s="176">
        <f>보고서!N212</f>
        <v>0</v>
      </c>
      <c r="J277" s="208">
        <f>보고서!O212</f>
        <v>0</v>
      </c>
      <c r="K277" s="207">
        <f>보고서!P212</f>
        <v>0</v>
      </c>
      <c r="L277" s="207">
        <f>보고서!Q212</f>
        <v>0</v>
      </c>
    </row>
    <row r="278" spans="2:12" ht="14.25" hidden="1" customHeight="1" outlineLevel="1" thickBot="1">
      <c r="B278" s="174"/>
      <c r="C278" s="174"/>
      <c r="G278" s="176">
        <f>보고서!L213</f>
        <v>0</v>
      </c>
      <c r="H278" s="176">
        <f>보고서!M213</f>
        <v>0</v>
      </c>
      <c r="I278" s="176">
        <f>보고서!N213</f>
        <v>0</v>
      </c>
      <c r="J278" s="208">
        <f>보고서!O213</f>
        <v>0</v>
      </c>
      <c r="K278" s="207">
        <f>보고서!P213</f>
        <v>0</v>
      </c>
      <c r="L278" s="207">
        <f>보고서!Q213</f>
        <v>0</v>
      </c>
    </row>
    <row r="279" spans="2:12" ht="14.25" hidden="1" customHeight="1" outlineLevel="1" thickBot="1">
      <c r="B279" s="174"/>
      <c r="C279" s="174"/>
      <c r="G279" s="176">
        <f>보고서!L214</f>
        <v>0</v>
      </c>
      <c r="H279" s="176">
        <f>보고서!M214</f>
        <v>0</v>
      </c>
      <c r="I279" s="176">
        <f>보고서!N214</f>
        <v>0</v>
      </c>
      <c r="J279" s="208">
        <f>보고서!O214</f>
        <v>0</v>
      </c>
      <c r="K279" s="207">
        <f>보고서!P214</f>
        <v>0</v>
      </c>
      <c r="L279" s="207">
        <f>보고서!Q214</f>
        <v>0</v>
      </c>
    </row>
    <row r="280" spans="2:12" ht="14.25" hidden="1" customHeight="1" outlineLevel="1" thickBot="1">
      <c r="B280" s="174"/>
      <c r="C280" s="174"/>
      <c r="G280" s="176">
        <f>보고서!L215</f>
        <v>0</v>
      </c>
      <c r="H280" s="176">
        <f>보고서!M215</f>
        <v>0</v>
      </c>
      <c r="I280" s="176">
        <f>보고서!N215</f>
        <v>0</v>
      </c>
      <c r="J280" s="208">
        <f>보고서!O215</f>
        <v>0</v>
      </c>
      <c r="K280" s="207">
        <f>보고서!P215</f>
        <v>0</v>
      </c>
      <c r="L280" s="207">
        <f>보고서!Q215</f>
        <v>0</v>
      </c>
    </row>
    <row r="281" spans="2:12" ht="14.25" hidden="1" customHeight="1" outlineLevel="1" thickBot="1">
      <c r="B281" s="174"/>
      <c r="C281" s="174"/>
      <c r="G281" s="176">
        <f>보고서!L216</f>
        <v>0</v>
      </c>
      <c r="H281" s="176">
        <f>보고서!M216</f>
        <v>0</v>
      </c>
      <c r="I281" s="176">
        <f>보고서!N216</f>
        <v>0</v>
      </c>
      <c r="J281" s="208">
        <f>보고서!O216</f>
        <v>0</v>
      </c>
      <c r="K281" s="207">
        <f>보고서!P216</f>
        <v>0</v>
      </c>
      <c r="L281" s="207">
        <f>보고서!Q216</f>
        <v>0</v>
      </c>
    </row>
    <row r="282" spans="2:12" ht="14.25" hidden="1" customHeight="1" outlineLevel="1" thickBot="1">
      <c r="B282" s="174"/>
      <c r="C282" s="174"/>
      <c r="G282" s="176">
        <f>보고서!L217</f>
        <v>0</v>
      </c>
      <c r="H282" s="176">
        <f>보고서!M217</f>
        <v>0</v>
      </c>
      <c r="I282" s="176">
        <f>보고서!N217</f>
        <v>0</v>
      </c>
      <c r="J282" s="208">
        <f>보고서!O217</f>
        <v>0</v>
      </c>
      <c r="K282" s="207">
        <f>보고서!P217</f>
        <v>0</v>
      </c>
      <c r="L282" s="207">
        <f>보고서!Q217</f>
        <v>0</v>
      </c>
    </row>
    <row r="283" spans="2:12" ht="14.25" hidden="1" customHeight="1" outlineLevel="1" thickBot="1">
      <c r="B283" s="174"/>
      <c r="C283" s="174"/>
      <c r="G283" s="176">
        <f>보고서!L218</f>
        <v>0</v>
      </c>
      <c r="H283" s="176">
        <f>보고서!M218</f>
        <v>0</v>
      </c>
      <c r="I283" s="176">
        <f>보고서!N218</f>
        <v>0</v>
      </c>
      <c r="J283" s="208">
        <f>보고서!O218</f>
        <v>0</v>
      </c>
      <c r="K283" s="207">
        <f>보고서!P218</f>
        <v>0</v>
      </c>
      <c r="L283" s="207">
        <f>보고서!Q218</f>
        <v>0</v>
      </c>
    </row>
    <row r="284" spans="2:12" ht="14.25" hidden="1" customHeight="1" outlineLevel="1" thickBot="1">
      <c r="B284" s="174"/>
      <c r="C284" s="174"/>
      <c r="G284" s="176">
        <f>보고서!L219</f>
        <v>0</v>
      </c>
      <c r="H284" s="176">
        <f>보고서!M219</f>
        <v>0</v>
      </c>
      <c r="I284" s="176">
        <f>보고서!N219</f>
        <v>0</v>
      </c>
      <c r="J284" s="208">
        <f>보고서!O219</f>
        <v>0</v>
      </c>
      <c r="K284" s="207">
        <f>보고서!P219</f>
        <v>0</v>
      </c>
      <c r="L284" s="207">
        <f>보고서!Q219</f>
        <v>0</v>
      </c>
    </row>
    <row r="285" spans="2:12" ht="14.25" hidden="1" customHeight="1" outlineLevel="1" thickBot="1">
      <c r="B285" s="174"/>
      <c r="C285" s="174"/>
      <c r="G285" s="176">
        <f>보고서!L220</f>
        <v>0</v>
      </c>
      <c r="H285" s="176">
        <f>보고서!M220</f>
        <v>0</v>
      </c>
      <c r="I285" s="176">
        <f>보고서!N220</f>
        <v>0</v>
      </c>
      <c r="J285" s="208">
        <f>보고서!O220</f>
        <v>0</v>
      </c>
      <c r="K285" s="207">
        <f>보고서!P220</f>
        <v>0</v>
      </c>
      <c r="L285" s="207">
        <f>보고서!Q220</f>
        <v>0</v>
      </c>
    </row>
    <row r="286" spans="2:12" ht="14.25" hidden="1" customHeight="1" outlineLevel="1" thickBot="1">
      <c r="B286" s="174"/>
      <c r="C286" s="174"/>
      <c r="G286" s="176">
        <f>보고서!L221</f>
        <v>0</v>
      </c>
      <c r="H286" s="176">
        <f>보고서!M221</f>
        <v>0</v>
      </c>
      <c r="I286" s="176">
        <f>보고서!N221</f>
        <v>0</v>
      </c>
      <c r="J286" s="208">
        <f>보고서!O221</f>
        <v>0</v>
      </c>
      <c r="K286" s="207">
        <f>보고서!P221</f>
        <v>0</v>
      </c>
      <c r="L286" s="207">
        <f>보고서!Q221</f>
        <v>0</v>
      </c>
    </row>
    <row r="287" spans="2:12" ht="14.25" hidden="1" customHeight="1" outlineLevel="1" thickBot="1">
      <c r="B287" s="174"/>
      <c r="C287" s="174"/>
      <c r="G287" s="176">
        <f>보고서!L222</f>
        <v>0</v>
      </c>
      <c r="H287" s="176">
        <f>보고서!M222</f>
        <v>0</v>
      </c>
      <c r="I287" s="176">
        <f>보고서!N222</f>
        <v>0</v>
      </c>
      <c r="J287" s="208">
        <f>보고서!O222</f>
        <v>0</v>
      </c>
      <c r="K287" s="207">
        <f>보고서!P222</f>
        <v>0</v>
      </c>
      <c r="L287" s="207">
        <f>보고서!Q222</f>
        <v>0</v>
      </c>
    </row>
    <row r="288" spans="2:12" ht="14.25" hidden="1" customHeight="1" outlineLevel="1" thickBot="1">
      <c r="B288" s="174"/>
      <c r="C288" s="174"/>
      <c r="G288" s="176">
        <f>보고서!L223</f>
        <v>0</v>
      </c>
      <c r="H288" s="176">
        <f>보고서!M223</f>
        <v>0</v>
      </c>
      <c r="I288" s="176">
        <f>보고서!N223</f>
        <v>0</v>
      </c>
      <c r="J288" s="208">
        <f>보고서!O223</f>
        <v>0</v>
      </c>
      <c r="K288" s="207">
        <f>보고서!P223</f>
        <v>0</v>
      </c>
      <c r="L288" s="207">
        <f>보고서!Q223</f>
        <v>0</v>
      </c>
    </row>
    <row r="289" spans="1:12" ht="14.25" hidden="1" customHeight="1" outlineLevel="1" thickBot="1">
      <c r="B289" s="174"/>
      <c r="C289" s="174"/>
      <c r="E289" s="211"/>
      <c r="G289" s="182">
        <f>보고서!L224</f>
        <v>0</v>
      </c>
      <c r="H289" s="182">
        <f>보고서!M224</f>
        <v>0</v>
      </c>
      <c r="I289" s="182">
        <f>보고서!N224</f>
        <v>0</v>
      </c>
      <c r="J289" s="212">
        <f>보고서!O224</f>
        <v>0</v>
      </c>
      <c r="K289" s="209">
        <f>보고서!P224</f>
        <v>0</v>
      </c>
      <c r="L289" s="209">
        <f>보고서!Q224</f>
        <v>0</v>
      </c>
    </row>
    <row r="290" spans="1:12" ht="15.75" customHeight="1" collapsed="1" thickTop="1">
      <c r="G290" s="908" t="s">
        <v>3496</v>
      </c>
      <c r="H290" s="908"/>
      <c r="I290" s="908"/>
      <c r="J290" s="908"/>
      <c r="K290" s="213">
        <f>SUM(K140:K289)</f>
        <v>9999990000</v>
      </c>
      <c r="L290" s="213">
        <f>SUM(L140:L289)</f>
        <v>25961792220</v>
      </c>
    </row>
    <row r="293" spans="1:12" s="146" customFormat="1">
      <c r="B293" s="144" t="s">
        <v>835</v>
      </c>
      <c r="C293" s="145"/>
      <c r="D293" s="145"/>
      <c r="E293" s="145"/>
      <c r="F293" s="145"/>
      <c r="G293" s="145"/>
      <c r="H293" s="145"/>
      <c r="I293" s="145"/>
      <c r="J293" s="145"/>
      <c r="K293" s="145"/>
      <c r="L293" s="145"/>
    </row>
    <row r="295" spans="1:12">
      <c r="A295" s="142">
        <v>1</v>
      </c>
      <c r="B295" s="214" t="str">
        <f>보고서!B288</f>
        <v>SPC없음</v>
      </c>
      <c r="C295" s="149"/>
      <c r="D295" s="149"/>
      <c r="E295" s="149"/>
      <c r="F295" s="149"/>
      <c r="G295" s="149"/>
      <c r="H295" s="149"/>
      <c r="I295" s="149"/>
      <c r="J295" s="149"/>
      <c r="K295" s="149"/>
      <c r="L295" s="149"/>
    </row>
    <row r="296" spans="1:12">
      <c r="B296" s="214" t="str">
        <f>보고서!B289</f>
        <v>SPC없음</v>
      </c>
      <c r="C296" s="149"/>
      <c r="D296" s="149"/>
      <c r="E296" s="149"/>
      <c r="F296" s="149"/>
      <c r="G296" s="149"/>
      <c r="H296" s="149"/>
      <c r="I296" s="149"/>
      <c r="J296" s="149"/>
      <c r="K296" s="149"/>
      <c r="L296" s="149"/>
    </row>
    <row r="297" spans="1:12">
      <c r="B297" s="215" t="s">
        <v>750</v>
      </c>
      <c r="C297" s="216"/>
      <c r="D297" s="216"/>
      <c r="E297" s="216"/>
      <c r="F297" s="216"/>
      <c r="G297" s="215" t="s">
        <v>751</v>
      </c>
      <c r="H297" s="216"/>
      <c r="I297" s="216"/>
      <c r="J297" s="149"/>
      <c r="K297" s="149"/>
      <c r="L297" s="149"/>
    </row>
    <row r="298" spans="1:12">
      <c r="B298" s="173" t="s">
        <v>808</v>
      </c>
      <c r="C298" s="173" t="s">
        <v>814</v>
      </c>
      <c r="D298" s="173" t="s">
        <v>815</v>
      </c>
      <c r="E298" s="173" t="s">
        <v>801</v>
      </c>
      <c r="F298" s="217"/>
      <c r="G298" s="173" t="s">
        <v>88</v>
      </c>
      <c r="H298" s="173" t="s">
        <v>90</v>
      </c>
      <c r="I298" s="149"/>
      <c r="J298" s="149"/>
      <c r="K298" s="149"/>
      <c r="L298" s="149"/>
    </row>
    <row r="299" spans="1:12">
      <c r="B299" s="174" t="s">
        <v>3492</v>
      </c>
      <c r="C299" s="175">
        <f>보고서!C292</f>
        <v>0</v>
      </c>
      <c r="D299" s="175">
        <f>보고서!D292</f>
        <v>0</v>
      </c>
      <c r="E299" s="149"/>
      <c r="F299" s="149"/>
      <c r="G299" s="176">
        <f>보고서!G292</f>
        <v>0</v>
      </c>
      <c r="H299" s="207" t="str">
        <f>보고서!I292</f>
        <v>SPC 없음</v>
      </c>
      <c r="I299" s="149"/>
      <c r="J299" s="149"/>
      <c r="K299" s="149"/>
      <c r="L299" s="149"/>
    </row>
    <row r="300" spans="1:12">
      <c r="B300" s="176" t="s">
        <v>756</v>
      </c>
      <c r="C300" s="177">
        <f>보고서!C293</f>
        <v>0</v>
      </c>
      <c r="D300" s="177">
        <f>보고서!D293</f>
        <v>0</v>
      </c>
      <c r="E300" s="176" t="s">
        <v>810</v>
      </c>
      <c r="F300" s="149"/>
      <c r="G300" s="176">
        <f>보고서!G293</f>
        <v>0</v>
      </c>
      <c r="H300" s="207" t="str">
        <f>보고서!I293</f>
        <v>SPC 없음</v>
      </c>
      <c r="I300" s="149"/>
      <c r="J300" s="149"/>
      <c r="K300" s="149"/>
      <c r="L300" s="149"/>
    </row>
    <row r="301" spans="1:12">
      <c r="B301" s="176" t="s">
        <v>757</v>
      </c>
      <c r="C301" s="177">
        <f>보고서!C294</f>
        <v>0</v>
      </c>
      <c r="D301" s="177">
        <f>보고서!D294</f>
        <v>0</v>
      </c>
      <c r="E301" s="176" t="s">
        <v>810</v>
      </c>
      <c r="F301" s="149"/>
      <c r="G301" s="176">
        <f>보고서!G294</f>
        <v>0</v>
      </c>
      <c r="H301" s="207" t="str">
        <f>보고서!I294</f>
        <v>SPC 없음</v>
      </c>
      <c r="I301" s="218"/>
      <c r="J301" s="149"/>
      <c r="K301" s="149"/>
      <c r="L301" s="149"/>
    </row>
    <row r="302" spans="1:12">
      <c r="B302" s="179" t="s">
        <v>3493</v>
      </c>
      <c r="C302" s="175">
        <f>보고서!C295</f>
        <v>0</v>
      </c>
      <c r="D302" s="175">
        <f>보고서!D295</f>
        <v>0</v>
      </c>
      <c r="E302" s="219" t="s">
        <v>821</v>
      </c>
      <c r="F302" s="191" t="str">
        <f>IF(D302=H305+L319,"투자자산 합계액 일치","투자자산 합계액 불일치")</f>
        <v>투자자산 합계액 일치</v>
      </c>
      <c r="G302" s="176">
        <f>보고서!G295</f>
        <v>0</v>
      </c>
      <c r="H302" s="207" t="str">
        <f>보고서!I295</f>
        <v>SPC 없음</v>
      </c>
      <c r="I302" s="218"/>
      <c r="J302" s="149"/>
      <c r="K302" s="149"/>
      <c r="L302" s="149"/>
    </row>
    <row r="303" spans="1:12">
      <c r="B303" s="179" t="s">
        <v>848</v>
      </c>
      <c r="C303" s="175">
        <f>보고서!C313</f>
        <v>0</v>
      </c>
      <c r="D303" s="175">
        <f>보고서!D313</f>
        <v>0</v>
      </c>
      <c r="E303" s="149"/>
      <c r="F303" s="149"/>
      <c r="G303" s="176">
        <f>보고서!G296</f>
        <v>0</v>
      </c>
      <c r="H303" s="207" t="str">
        <f>보고서!I296</f>
        <v>SPC 없음</v>
      </c>
      <c r="I303" s="218"/>
      <c r="J303" s="149"/>
      <c r="K303" s="149"/>
      <c r="L303" s="149"/>
    </row>
    <row r="304" spans="1:12" ht="14.25" thickBot="1">
      <c r="B304" s="180" t="s">
        <v>30</v>
      </c>
      <c r="C304" s="181">
        <f>보고서!C314</f>
        <v>0</v>
      </c>
      <c r="D304" s="181">
        <f>C304</f>
        <v>0</v>
      </c>
      <c r="E304" s="182" t="s">
        <v>810</v>
      </c>
      <c r="F304" s="149"/>
      <c r="G304" s="182">
        <f>보고서!G297</f>
        <v>0</v>
      </c>
      <c r="H304" s="209" t="str">
        <f>보고서!I297</f>
        <v>SPC 없음</v>
      </c>
      <c r="I304" s="218"/>
      <c r="J304" s="149"/>
      <c r="K304" s="149"/>
      <c r="L304" s="149"/>
    </row>
    <row r="305" spans="2:12" ht="14.25" thickTop="1">
      <c r="B305" s="179" t="s">
        <v>31</v>
      </c>
      <c r="C305" s="175">
        <f>C303-C304</f>
        <v>0</v>
      </c>
      <c r="D305" s="175">
        <f>D303-D304</f>
        <v>0</v>
      </c>
      <c r="E305" s="149"/>
      <c r="F305" s="149"/>
      <c r="H305" s="210">
        <f>SUM(H299:H304)</f>
        <v>0</v>
      </c>
    </row>
    <row r="306" spans="2:12">
      <c r="B306" s="184" t="s">
        <v>804</v>
      </c>
      <c r="C306" s="177">
        <f>보고서!C316</f>
        <v>0</v>
      </c>
      <c r="D306" s="177">
        <f>C306</f>
        <v>0</v>
      </c>
      <c r="E306" s="149"/>
      <c r="F306" s="217"/>
      <c r="G306" s="215" t="s">
        <v>812</v>
      </c>
      <c r="H306" s="149"/>
      <c r="I306" s="149"/>
      <c r="J306" s="149"/>
      <c r="K306" s="149"/>
      <c r="L306" s="149"/>
    </row>
    <row r="307" spans="2:12">
      <c r="B307" s="184" t="s">
        <v>964</v>
      </c>
      <c r="C307" s="177">
        <f>보고서!C317</f>
        <v>0</v>
      </c>
      <c r="D307" s="177">
        <f>C307</f>
        <v>0</v>
      </c>
      <c r="E307" s="149"/>
      <c r="F307" s="149"/>
      <c r="G307" s="173" t="s">
        <v>816</v>
      </c>
      <c r="H307" s="173" t="s">
        <v>817</v>
      </c>
      <c r="I307" s="173" t="s">
        <v>818</v>
      </c>
      <c r="J307" s="173" t="s">
        <v>819</v>
      </c>
      <c r="K307" s="173" t="s">
        <v>3498</v>
      </c>
      <c r="L307" s="173" t="s">
        <v>820</v>
      </c>
    </row>
    <row r="308" spans="2:12">
      <c r="B308" s="179" t="s">
        <v>842</v>
      </c>
      <c r="C308" s="175">
        <f>C305+C306-C307</f>
        <v>0</v>
      </c>
      <c r="D308" s="175">
        <f>D305+D306-D307</f>
        <v>0</v>
      </c>
      <c r="E308" s="149"/>
      <c r="F308" s="149"/>
      <c r="G308" s="176">
        <f>보고서!L292</f>
        <v>0</v>
      </c>
      <c r="H308" s="176">
        <f>보고서!M292</f>
        <v>0</v>
      </c>
      <c r="I308" s="176">
        <f>보고서!N292</f>
        <v>0</v>
      </c>
      <c r="J308" s="208">
        <f>보고서!O292</f>
        <v>0</v>
      </c>
      <c r="K308" s="208">
        <f>보고서!P292</f>
        <v>0</v>
      </c>
      <c r="L308" s="208">
        <f>보고서!Q292</f>
        <v>0</v>
      </c>
    </row>
    <row r="309" spans="2:12" ht="14.25" thickBot="1">
      <c r="B309" s="182" t="s">
        <v>811</v>
      </c>
      <c r="C309" s="220">
        <f>보고서!C319</f>
        <v>0</v>
      </c>
      <c r="D309" s="220">
        <f>C309</f>
        <v>0</v>
      </c>
      <c r="E309" s="221"/>
      <c r="F309" s="149"/>
      <c r="G309" s="176">
        <f>보고서!L293</f>
        <v>0</v>
      </c>
      <c r="H309" s="176">
        <f>보고서!M293</f>
        <v>0</v>
      </c>
      <c r="I309" s="176">
        <f>보고서!N293</f>
        <v>0</v>
      </c>
      <c r="J309" s="208">
        <f>보고서!O293</f>
        <v>0</v>
      </c>
      <c r="K309" s="208">
        <f>보고서!P293</f>
        <v>0</v>
      </c>
      <c r="L309" s="208">
        <f>보고서!Q293</f>
        <v>0</v>
      </c>
    </row>
    <row r="310" spans="2:12" ht="14.25" thickTop="1">
      <c r="B310" s="222" t="s">
        <v>813</v>
      </c>
      <c r="C310" s="175">
        <f>C308*C309</f>
        <v>0</v>
      </c>
      <c r="D310" s="175">
        <f>D308*D309</f>
        <v>0</v>
      </c>
      <c r="E310" s="149"/>
      <c r="F310" s="149"/>
      <c r="G310" s="176">
        <f>보고서!L294</f>
        <v>0</v>
      </c>
      <c r="H310" s="176">
        <f>보고서!M294</f>
        <v>0</v>
      </c>
      <c r="I310" s="176">
        <f>보고서!N294</f>
        <v>0</v>
      </c>
      <c r="J310" s="208">
        <f>보고서!O294</f>
        <v>0</v>
      </c>
      <c r="K310" s="208">
        <f>보고서!P294</f>
        <v>0</v>
      </c>
      <c r="L310" s="208">
        <f>보고서!Q294</f>
        <v>0</v>
      </c>
    </row>
    <row r="311" spans="2:12">
      <c r="B311" s="149"/>
      <c r="C311" s="149"/>
      <c r="D311" s="149"/>
      <c r="E311" s="149"/>
      <c r="F311" s="149"/>
      <c r="G311" s="176">
        <f>보고서!L295</f>
        <v>0</v>
      </c>
      <c r="H311" s="176">
        <f>보고서!M295</f>
        <v>0</v>
      </c>
      <c r="I311" s="176">
        <f>보고서!N295</f>
        <v>0</v>
      </c>
      <c r="J311" s="208">
        <f>보고서!O295</f>
        <v>0</v>
      </c>
      <c r="K311" s="208">
        <f>보고서!P295</f>
        <v>0</v>
      </c>
      <c r="L311" s="208">
        <f>보고서!Q295</f>
        <v>0</v>
      </c>
    </row>
    <row r="312" spans="2:12">
      <c r="B312" s="168" t="s">
        <v>38</v>
      </c>
      <c r="C312" s="191" t="b">
        <f>ROUND(C300+C301+C302-C304+C306-C307,0)=ROUND(C308,0)</f>
        <v>1</v>
      </c>
      <c r="D312" s="191" t="b">
        <f>ROUND(D300+D301+D302-D304+D306-D307,0)=ROUND(D308,0)</f>
        <v>1</v>
      </c>
      <c r="E312" s="149"/>
      <c r="F312" s="149"/>
      <c r="G312" s="176">
        <f>보고서!L296</f>
        <v>0</v>
      </c>
      <c r="H312" s="176">
        <f>보고서!M296</f>
        <v>0</v>
      </c>
      <c r="I312" s="176">
        <f>보고서!N296</f>
        <v>0</v>
      </c>
      <c r="J312" s="208">
        <f>보고서!O296</f>
        <v>0</v>
      </c>
      <c r="K312" s="208">
        <f>보고서!P296</f>
        <v>0</v>
      </c>
      <c r="L312" s="208">
        <f>보고서!Q296</f>
        <v>0</v>
      </c>
    </row>
    <row r="313" spans="2:12">
      <c r="B313" s="149"/>
      <c r="C313" s="149"/>
      <c r="D313" s="149"/>
      <c r="E313" s="149"/>
      <c r="F313" s="149"/>
      <c r="G313" s="176">
        <f>보고서!L297</f>
        <v>0</v>
      </c>
      <c r="H313" s="176">
        <f>보고서!M297</f>
        <v>0</v>
      </c>
      <c r="I313" s="176">
        <f>보고서!N297</f>
        <v>0</v>
      </c>
      <c r="J313" s="208">
        <f>보고서!O297</f>
        <v>0</v>
      </c>
      <c r="K313" s="208">
        <f>보고서!P297</f>
        <v>0</v>
      </c>
      <c r="L313" s="208">
        <f>보고서!Q297</f>
        <v>0</v>
      </c>
    </row>
    <row r="314" spans="2:12" ht="13.5" customHeight="1">
      <c r="B314" s="865" t="str">
        <f>IF(B295="SPC없음","해당사항 없음",B326)</f>
        <v>해당사항 없음</v>
      </c>
      <c r="C314" s="866"/>
      <c r="D314" s="866"/>
      <c r="E314" s="867"/>
      <c r="F314" s="149"/>
      <c r="G314" s="176">
        <f>보고서!L298</f>
        <v>0</v>
      </c>
      <c r="H314" s="176">
        <f>보고서!M298</f>
        <v>0</v>
      </c>
      <c r="I314" s="176">
        <f>보고서!N298</f>
        <v>0</v>
      </c>
      <c r="J314" s="208">
        <f>보고서!O298</f>
        <v>0</v>
      </c>
      <c r="K314" s="208">
        <f>보고서!P298</f>
        <v>0</v>
      </c>
      <c r="L314" s="208">
        <f>보고서!Q298</f>
        <v>0</v>
      </c>
    </row>
    <row r="315" spans="2:12">
      <c r="B315" s="868"/>
      <c r="C315" s="869"/>
      <c r="D315" s="869"/>
      <c r="E315" s="870"/>
      <c r="F315" s="149"/>
      <c r="G315" s="176">
        <f>보고서!L299</f>
        <v>0</v>
      </c>
      <c r="H315" s="176">
        <f>보고서!M299</f>
        <v>0</v>
      </c>
      <c r="I315" s="176">
        <f>보고서!N299</f>
        <v>0</v>
      </c>
      <c r="J315" s="208">
        <f>보고서!O299</f>
        <v>0</v>
      </c>
      <c r="K315" s="208">
        <f>보고서!P299</f>
        <v>0</v>
      </c>
      <c r="L315" s="208">
        <f>보고서!Q299</f>
        <v>0</v>
      </c>
    </row>
    <row r="316" spans="2:12">
      <c r="B316" s="868"/>
      <c r="C316" s="869"/>
      <c r="D316" s="869"/>
      <c r="E316" s="870"/>
      <c r="F316" s="149"/>
      <c r="G316" s="176">
        <f>보고서!L300</f>
        <v>0</v>
      </c>
      <c r="H316" s="176">
        <f>보고서!M300</f>
        <v>0</v>
      </c>
      <c r="I316" s="176">
        <f>보고서!N300</f>
        <v>0</v>
      </c>
      <c r="J316" s="208">
        <f>보고서!O300</f>
        <v>0</v>
      </c>
      <c r="K316" s="208">
        <f>보고서!P300</f>
        <v>0</v>
      </c>
      <c r="L316" s="208">
        <f>보고서!Q300</f>
        <v>0</v>
      </c>
    </row>
    <row r="317" spans="2:12">
      <c r="B317" s="868"/>
      <c r="C317" s="869"/>
      <c r="D317" s="869"/>
      <c r="E317" s="870"/>
      <c r="F317" s="149"/>
      <c r="G317" s="176">
        <f>보고서!L301</f>
        <v>0</v>
      </c>
      <c r="H317" s="176">
        <f>보고서!M301</f>
        <v>0</v>
      </c>
      <c r="I317" s="176">
        <f>보고서!N301</f>
        <v>0</v>
      </c>
      <c r="J317" s="208">
        <f>보고서!O301</f>
        <v>0</v>
      </c>
      <c r="K317" s="208">
        <f>보고서!P301</f>
        <v>0</v>
      </c>
      <c r="L317" s="208">
        <f>보고서!Q301</f>
        <v>0</v>
      </c>
    </row>
    <row r="318" spans="2:12" ht="14.25" thickBot="1">
      <c r="B318" s="868"/>
      <c r="C318" s="869"/>
      <c r="D318" s="869"/>
      <c r="E318" s="870"/>
      <c r="F318" s="149"/>
      <c r="G318" s="182">
        <f>보고서!L302</f>
        <v>0</v>
      </c>
      <c r="H318" s="182">
        <f>보고서!M302</f>
        <v>0</v>
      </c>
      <c r="I318" s="182">
        <f>보고서!N302</f>
        <v>0</v>
      </c>
      <c r="J318" s="212">
        <f>보고서!O302</f>
        <v>0</v>
      </c>
      <c r="K318" s="212">
        <f>보고서!P302</f>
        <v>0</v>
      </c>
      <c r="L318" s="212">
        <f>보고서!Q302</f>
        <v>0</v>
      </c>
    </row>
    <row r="319" spans="2:12" ht="14.25" thickTop="1">
      <c r="B319" s="868"/>
      <c r="C319" s="869"/>
      <c r="D319" s="869"/>
      <c r="E319" s="870"/>
      <c r="G319" s="908" t="s">
        <v>3496</v>
      </c>
      <c r="H319" s="908"/>
      <c r="I319" s="908"/>
      <c r="J319" s="908"/>
      <c r="K319" s="223">
        <f>SUM(K308:K318)</f>
        <v>0</v>
      </c>
      <c r="L319" s="223">
        <f>SUM(L308:L318)</f>
        <v>0</v>
      </c>
    </row>
    <row r="320" spans="2:12">
      <c r="B320" s="868"/>
      <c r="C320" s="869"/>
      <c r="D320" s="869"/>
      <c r="E320" s="870"/>
    </row>
    <row r="321" spans="1:12">
      <c r="B321" s="868"/>
      <c r="C321" s="869"/>
      <c r="D321" s="869"/>
      <c r="E321" s="870"/>
    </row>
    <row r="322" spans="1:12">
      <c r="B322" s="868"/>
      <c r="C322" s="869"/>
      <c r="D322" s="869"/>
      <c r="E322" s="870"/>
    </row>
    <row r="323" spans="1:12">
      <c r="B323" s="868"/>
      <c r="C323" s="869"/>
      <c r="D323" s="869"/>
      <c r="E323" s="870"/>
    </row>
    <row r="324" spans="1:12">
      <c r="B324" s="868"/>
      <c r="C324" s="869"/>
      <c r="D324" s="869"/>
      <c r="E324" s="870"/>
    </row>
    <row r="325" spans="1:12">
      <c r="B325" s="871"/>
      <c r="C325" s="872"/>
      <c r="D325" s="872"/>
      <c r="E325" s="873"/>
    </row>
    <row r="326" spans="1:12">
      <c r="B326" s="224" t="s">
        <v>857</v>
      </c>
    </row>
    <row r="327" spans="1:12">
      <c r="A327" s="142">
        <f>A295+1</f>
        <v>2</v>
      </c>
      <c r="B327" s="214" t="str">
        <f>보고서!B326</f>
        <v>SPC없음</v>
      </c>
      <c r="C327" s="149"/>
      <c r="D327" s="149"/>
      <c r="E327" s="149"/>
      <c r="F327" s="149"/>
      <c r="H327" s="149"/>
      <c r="I327" s="149"/>
      <c r="J327" s="149"/>
      <c r="K327" s="149"/>
      <c r="L327" s="149"/>
    </row>
    <row r="328" spans="1:12">
      <c r="B328" s="214" t="str">
        <f>보고서!B327</f>
        <v>SPC없음</v>
      </c>
      <c r="C328" s="149"/>
      <c r="D328" s="149"/>
      <c r="E328" s="149"/>
      <c r="F328" s="149"/>
      <c r="H328" s="149"/>
      <c r="I328" s="149"/>
      <c r="J328" s="149"/>
      <c r="K328" s="149"/>
      <c r="L328" s="149"/>
    </row>
    <row r="329" spans="1:12">
      <c r="B329" s="215" t="s">
        <v>750</v>
      </c>
      <c r="C329" s="216"/>
      <c r="D329" s="216"/>
      <c r="E329" s="216"/>
      <c r="F329" s="216"/>
      <c r="G329" s="215" t="s">
        <v>751</v>
      </c>
      <c r="H329" s="216"/>
      <c r="I329" s="216"/>
      <c r="J329" s="149"/>
      <c r="K329" s="149"/>
      <c r="L329" s="149"/>
    </row>
    <row r="330" spans="1:12">
      <c r="B330" s="173" t="s">
        <v>808</v>
      </c>
      <c r="C330" s="173" t="s">
        <v>10</v>
      </c>
      <c r="D330" s="173" t="s">
        <v>236</v>
      </c>
      <c r="E330" s="173" t="s">
        <v>801</v>
      </c>
      <c r="F330" s="217"/>
      <c r="G330" s="173" t="s">
        <v>88</v>
      </c>
      <c r="H330" s="173" t="s">
        <v>90</v>
      </c>
      <c r="I330" s="149"/>
      <c r="J330" s="149"/>
      <c r="K330" s="149"/>
      <c r="L330" s="149"/>
    </row>
    <row r="331" spans="1:12">
      <c r="B331" s="174" t="s">
        <v>3492</v>
      </c>
      <c r="C331" s="175">
        <f>보고서!C330</f>
        <v>0</v>
      </c>
      <c r="D331" s="175">
        <f>보고서!D330</f>
        <v>0</v>
      </c>
      <c r="E331" s="149"/>
      <c r="F331" s="149"/>
      <c r="G331" s="176">
        <f>보고서!G330</f>
        <v>0</v>
      </c>
      <c r="H331" s="207" t="str">
        <f>보고서!I330</f>
        <v>SPC 없음</v>
      </c>
      <c r="I331" s="149"/>
      <c r="J331" s="149"/>
      <c r="K331" s="149"/>
      <c r="L331" s="149"/>
    </row>
    <row r="332" spans="1:12">
      <c r="B332" s="176" t="s">
        <v>756</v>
      </c>
      <c r="C332" s="177">
        <f>보고서!C331</f>
        <v>0</v>
      </c>
      <c r="D332" s="177">
        <f>보고서!D331</f>
        <v>0</v>
      </c>
      <c r="E332" s="176" t="s">
        <v>810</v>
      </c>
      <c r="F332" s="149"/>
      <c r="G332" s="176">
        <f>보고서!G331</f>
        <v>0</v>
      </c>
      <c r="H332" s="207" t="str">
        <f>보고서!I331</f>
        <v>SPC 없음</v>
      </c>
      <c r="I332" s="149"/>
      <c r="J332" s="149"/>
      <c r="K332" s="149"/>
      <c r="L332" s="149"/>
    </row>
    <row r="333" spans="1:12">
      <c r="B333" s="176" t="s">
        <v>757</v>
      </c>
      <c r="C333" s="177">
        <f>보고서!C332</f>
        <v>0</v>
      </c>
      <c r="D333" s="177">
        <f>보고서!D332</f>
        <v>0</v>
      </c>
      <c r="E333" s="176" t="s">
        <v>810</v>
      </c>
      <c r="F333" s="149"/>
      <c r="G333" s="176">
        <f>보고서!G332</f>
        <v>0</v>
      </c>
      <c r="H333" s="207" t="str">
        <f>보고서!I332</f>
        <v>SPC 없음</v>
      </c>
      <c r="I333" s="218"/>
      <c r="J333" s="149"/>
      <c r="K333" s="149"/>
      <c r="L333" s="149"/>
    </row>
    <row r="334" spans="1:12">
      <c r="B334" s="179" t="s">
        <v>3493</v>
      </c>
      <c r="C334" s="175">
        <f>보고서!C333</f>
        <v>0</v>
      </c>
      <c r="D334" s="175">
        <f>보고서!D333</f>
        <v>0</v>
      </c>
      <c r="E334" s="219" t="s">
        <v>821</v>
      </c>
      <c r="F334" s="191" t="str">
        <f>IF(D334=H337+L351,"투자자산 합계액 일치","투자자산 합계액 불일치")</f>
        <v>투자자산 합계액 일치</v>
      </c>
      <c r="G334" s="176">
        <f>보고서!G333</f>
        <v>0</v>
      </c>
      <c r="H334" s="207" t="str">
        <f>보고서!I333</f>
        <v>SPC 없음</v>
      </c>
      <c r="I334" s="218"/>
      <c r="J334" s="149"/>
      <c r="K334" s="149"/>
      <c r="L334" s="149"/>
    </row>
    <row r="335" spans="1:12">
      <c r="B335" s="179" t="s">
        <v>848</v>
      </c>
      <c r="C335" s="175">
        <f>보고서!C351</f>
        <v>0</v>
      </c>
      <c r="D335" s="175">
        <f>보고서!D351</f>
        <v>0</v>
      </c>
      <c r="E335" s="149"/>
      <c r="F335" s="149"/>
      <c r="G335" s="176">
        <f>보고서!G334</f>
        <v>0</v>
      </c>
      <c r="H335" s="207" t="str">
        <f>보고서!I334</f>
        <v>SPC 없음</v>
      </c>
      <c r="I335" s="218"/>
      <c r="J335" s="149"/>
      <c r="K335" s="149"/>
      <c r="L335" s="149"/>
    </row>
    <row r="336" spans="1:12" ht="14.25" thickBot="1">
      <c r="B336" s="180" t="s">
        <v>30</v>
      </c>
      <c r="C336" s="181">
        <f>보고서!C352</f>
        <v>0</v>
      </c>
      <c r="D336" s="181">
        <f>C336</f>
        <v>0</v>
      </c>
      <c r="E336" s="182" t="s">
        <v>810</v>
      </c>
      <c r="F336" s="149"/>
      <c r="G336" s="182">
        <f>보고서!G335</f>
        <v>0</v>
      </c>
      <c r="H336" s="209" t="str">
        <f>보고서!I335</f>
        <v>SPC 없음</v>
      </c>
      <c r="I336" s="218"/>
      <c r="J336" s="149"/>
      <c r="K336" s="149"/>
      <c r="L336" s="149"/>
    </row>
    <row r="337" spans="2:12" ht="14.25" thickTop="1">
      <c r="B337" s="179" t="s">
        <v>31</v>
      </c>
      <c r="C337" s="175">
        <f>C335-C336</f>
        <v>0</v>
      </c>
      <c r="D337" s="175">
        <f>D335-D336</f>
        <v>0</v>
      </c>
      <c r="E337" s="149"/>
      <c r="F337" s="149"/>
      <c r="H337" s="210">
        <f>SUM(H331:H336)</f>
        <v>0</v>
      </c>
    </row>
    <row r="338" spans="2:12">
      <c r="B338" s="184" t="s">
        <v>804</v>
      </c>
      <c r="C338" s="177">
        <f>보고서!C354</f>
        <v>0</v>
      </c>
      <c r="D338" s="177">
        <f>C338</f>
        <v>0</v>
      </c>
      <c r="E338" s="149"/>
      <c r="F338" s="217"/>
      <c r="G338" s="215" t="s">
        <v>752</v>
      </c>
      <c r="H338" s="149"/>
      <c r="I338" s="149"/>
      <c r="J338" s="149"/>
      <c r="K338" s="149"/>
      <c r="L338" s="149"/>
    </row>
    <row r="339" spans="2:12">
      <c r="B339" s="184" t="s">
        <v>964</v>
      </c>
      <c r="C339" s="177">
        <f>보고서!C355</f>
        <v>0</v>
      </c>
      <c r="D339" s="177">
        <f>C339</f>
        <v>0</v>
      </c>
      <c r="E339" s="149"/>
      <c r="F339" s="149"/>
      <c r="G339" s="173" t="s">
        <v>805</v>
      </c>
      <c r="H339" s="173" t="s">
        <v>1</v>
      </c>
      <c r="I339" s="173" t="s">
        <v>12</v>
      </c>
      <c r="J339" s="173" t="s">
        <v>806</v>
      </c>
      <c r="K339" s="173" t="s">
        <v>3498</v>
      </c>
      <c r="L339" s="173" t="s">
        <v>807</v>
      </c>
    </row>
    <row r="340" spans="2:12">
      <c r="B340" s="179" t="s">
        <v>842</v>
      </c>
      <c r="C340" s="175">
        <f>C337+C338-C339</f>
        <v>0</v>
      </c>
      <c r="D340" s="175">
        <f>D337+D338-D339</f>
        <v>0</v>
      </c>
      <c r="E340" s="149"/>
      <c r="F340" s="149"/>
      <c r="G340" s="176">
        <f>보고서!L330</f>
        <v>0</v>
      </c>
      <c r="H340" s="176">
        <f>보고서!M330</f>
        <v>0</v>
      </c>
      <c r="I340" s="176">
        <f>보고서!N330</f>
        <v>0</v>
      </c>
      <c r="J340" s="208">
        <f>보고서!O330</f>
        <v>0</v>
      </c>
      <c r="K340" s="208">
        <f>보고서!P330</f>
        <v>0</v>
      </c>
      <c r="L340" s="208">
        <f>보고서!Q330</f>
        <v>0</v>
      </c>
    </row>
    <row r="341" spans="2:12" ht="14.25" thickBot="1">
      <c r="B341" s="182" t="s">
        <v>811</v>
      </c>
      <c r="C341" s="220">
        <f>보고서!C357</f>
        <v>0</v>
      </c>
      <c r="D341" s="220">
        <f>C341</f>
        <v>0</v>
      </c>
      <c r="E341" s="221"/>
      <c r="F341" s="149"/>
      <c r="G341" s="176">
        <f>보고서!L331</f>
        <v>0</v>
      </c>
      <c r="H341" s="176">
        <f>보고서!M331</f>
        <v>0</v>
      </c>
      <c r="I341" s="176">
        <f>보고서!N331</f>
        <v>0</v>
      </c>
      <c r="J341" s="208">
        <f>보고서!O331</f>
        <v>0</v>
      </c>
      <c r="K341" s="208">
        <f>보고서!P331</f>
        <v>0</v>
      </c>
      <c r="L341" s="208">
        <f>보고서!Q331</f>
        <v>0</v>
      </c>
    </row>
    <row r="342" spans="2:12" ht="14.25" thickTop="1">
      <c r="B342" s="222" t="s">
        <v>746</v>
      </c>
      <c r="C342" s="175">
        <f>C340*C341</f>
        <v>0</v>
      </c>
      <c r="D342" s="175">
        <f>D340*D341</f>
        <v>0</v>
      </c>
      <c r="E342" s="149"/>
      <c r="F342" s="149"/>
      <c r="G342" s="176">
        <f>보고서!L332</f>
        <v>0</v>
      </c>
      <c r="H342" s="176">
        <f>보고서!M332</f>
        <v>0</v>
      </c>
      <c r="I342" s="176">
        <f>보고서!N332</f>
        <v>0</v>
      </c>
      <c r="J342" s="208">
        <f>보고서!O332</f>
        <v>0</v>
      </c>
      <c r="K342" s="208">
        <f>보고서!P332</f>
        <v>0</v>
      </c>
      <c r="L342" s="208">
        <f>보고서!Q332</f>
        <v>0</v>
      </c>
    </row>
    <row r="343" spans="2:12">
      <c r="B343" s="149"/>
      <c r="C343" s="149"/>
      <c r="D343" s="149"/>
      <c r="E343" s="149"/>
      <c r="F343" s="149"/>
      <c r="G343" s="176">
        <f>보고서!L333</f>
        <v>0</v>
      </c>
      <c r="H343" s="176">
        <f>보고서!M333</f>
        <v>0</v>
      </c>
      <c r="I343" s="176">
        <f>보고서!N333</f>
        <v>0</v>
      </c>
      <c r="J343" s="208">
        <f>보고서!O333</f>
        <v>0</v>
      </c>
      <c r="K343" s="208">
        <f>보고서!P333</f>
        <v>0</v>
      </c>
      <c r="L343" s="208">
        <f>보고서!Q333</f>
        <v>0</v>
      </c>
    </row>
    <row r="344" spans="2:12">
      <c r="B344" s="168" t="s">
        <v>38</v>
      </c>
      <c r="C344" s="191" t="b">
        <f>ROUND(C332+C333+C334-C336+C338-C339,0)=ROUND(C340,0)</f>
        <v>1</v>
      </c>
      <c r="D344" s="191" t="b">
        <f>ROUND(D332+D333+D334-D336+D338-D339,0)=ROUND(D340,0)</f>
        <v>1</v>
      </c>
      <c r="E344" s="149"/>
      <c r="F344" s="149"/>
      <c r="G344" s="176">
        <f>보고서!L334</f>
        <v>0</v>
      </c>
      <c r="H344" s="176">
        <f>보고서!M334</f>
        <v>0</v>
      </c>
      <c r="I344" s="176">
        <f>보고서!N334</f>
        <v>0</v>
      </c>
      <c r="J344" s="208">
        <f>보고서!O334</f>
        <v>0</v>
      </c>
      <c r="K344" s="208">
        <f>보고서!P334</f>
        <v>0</v>
      </c>
      <c r="L344" s="208">
        <f>보고서!Q334</f>
        <v>0</v>
      </c>
    </row>
    <row r="345" spans="2:12">
      <c r="B345" s="149"/>
      <c r="C345" s="149"/>
      <c r="D345" s="149"/>
      <c r="E345" s="149"/>
      <c r="F345" s="149"/>
      <c r="G345" s="176">
        <f>보고서!L335</f>
        <v>0</v>
      </c>
      <c r="H345" s="176">
        <f>보고서!M335</f>
        <v>0</v>
      </c>
      <c r="I345" s="176">
        <f>보고서!N335</f>
        <v>0</v>
      </c>
      <c r="J345" s="208">
        <f>보고서!O335</f>
        <v>0</v>
      </c>
      <c r="K345" s="208">
        <f>보고서!P335</f>
        <v>0</v>
      </c>
      <c r="L345" s="208">
        <f>보고서!Q335</f>
        <v>0</v>
      </c>
    </row>
    <row r="346" spans="2:12">
      <c r="B346" s="865" t="str">
        <f>IF(B327="SPC없음","해당사항 없음",B358)</f>
        <v>해당사항 없음</v>
      </c>
      <c r="C346" s="866"/>
      <c r="D346" s="866"/>
      <c r="E346" s="867"/>
      <c r="F346" s="149"/>
      <c r="G346" s="176">
        <f>보고서!L336</f>
        <v>0</v>
      </c>
      <c r="H346" s="176">
        <f>보고서!M336</f>
        <v>0</v>
      </c>
      <c r="I346" s="176">
        <f>보고서!N336</f>
        <v>0</v>
      </c>
      <c r="J346" s="208">
        <f>보고서!O336</f>
        <v>0</v>
      </c>
      <c r="K346" s="208">
        <f>보고서!P336</f>
        <v>0</v>
      </c>
      <c r="L346" s="208">
        <f>보고서!Q336</f>
        <v>0</v>
      </c>
    </row>
    <row r="347" spans="2:12">
      <c r="B347" s="868"/>
      <c r="C347" s="869"/>
      <c r="D347" s="869"/>
      <c r="E347" s="870"/>
      <c r="F347" s="149"/>
      <c r="G347" s="176">
        <f>보고서!L337</f>
        <v>0</v>
      </c>
      <c r="H347" s="176">
        <f>보고서!M337</f>
        <v>0</v>
      </c>
      <c r="I347" s="176">
        <f>보고서!N337</f>
        <v>0</v>
      </c>
      <c r="J347" s="208">
        <f>보고서!O337</f>
        <v>0</v>
      </c>
      <c r="K347" s="208">
        <f>보고서!P337</f>
        <v>0</v>
      </c>
      <c r="L347" s="208">
        <f>보고서!Q337</f>
        <v>0</v>
      </c>
    </row>
    <row r="348" spans="2:12">
      <c r="B348" s="868"/>
      <c r="C348" s="869"/>
      <c r="D348" s="869"/>
      <c r="E348" s="870"/>
      <c r="F348" s="149"/>
      <c r="G348" s="176">
        <f>보고서!L338</f>
        <v>0</v>
      </c>
      <c r="H348" s="176">
        <f>보고서!M338</f>
        <v>0</v>
      </c>
      <c r="I348" s="176">
        <f>보고서!N338</f>
        <v>0</v>
      </c>
      <c r="J348" s="208">
        <f>보고서!O338</f>
        <v>0</v>
      </c>
      <c r="K348" s="208">
        <f>보고서!P338</f>
        <v>0</v>
      </c>
      <c r="L348" s="208">
        <f>보고서!Q338</f>
        <v>0</v>
      </c>
    </row>
    <row r="349" spans="2:12">
      <c r="B349" s="868"/>
      <c r="C349" s="869"/>
      <c r="D349" s="869"/>
      <c r="E349" s="870"/>
      <c r="F349" s="149"/>
      <c r="G349" s="176">
        <f>보고서!L339</f>
        <v>0</v>
      </c>
      <c r="H349" s="176">
        <f>보고서!M339</f>
        <v>0</v>
      </c>
      <c r="I349" s="176">
        <f>보고서!N339</f>
        <v>0</v>
      </c>
      <c r="J349" s="208">
        <f>보고서!O339</f>
        <v>0</v>
      </c>
      <c r="K349" s="208">
        <f>보고서!P339</f>
        <v>0</v>
      </c>
      <c r="L349" s="208">
        <f>보고서!Q339</f>
        <v>0</v>
      </c>
    </row>
    <row r="350" spans="2:12" ht="14.25" thickBot="1">
      <c r="B350" s="868"/>
      <c r="C350" s="869"/>
      <c r="D350" s="869"/>
      <c r="E350" s="870"/>
      <c r="F350" s="149"/>
      <c r="G350" s="182">
        <f>보고서!L340</f>
        <v>0</v>
      </c>
      <c r="H350" s="182">
        <f>보고서!M340</f>
        <v>0</v>
      </c>
      <c r="I350" s="182">
        <f>보고서!N340</f>
        <v>0</v>
      </c>
      <c r="J350" s="212">
        <f>보고서!O340</f>
        <v>0</v>
      </c>
      <c r="K350" s="212">
        <f>보고서!P340</f>
        <v>0</v>
      </c>
      <c r="L350" s="212">
        <f>보고서!Q340</f>
        <v>0</v>
      </c>
    </row>
    <row r="351" spans="2:12" ht="14.25" thickTop="1">
      <c r="B351" s="868"/>
      <c r="C351" s="869"/>
      <c r="D351" s="869"/>
      <c r="E351" s="870"/>
      <c r="G351" s="908" t="s">
        <v>3496</v>
      </c>
      <c r="H351" s="908"/>
      <c r="I351" s="908"/>
      <c r="J351" s="908"/>
      <c r="K351" s="223">
        <f>SUM(K340:K350)</f>
        <v>0</v>
      </c>
      <c r="L351" s="223">
        <f>SUM(L340:L350)</f>
        <v>0</v>
      </c>
    </row>
    <row r="352" spans="2:12">
      <c r="B352" s="868"/>
      <c r="C352" s="869"/>
      <c r="D352" s="869"/>
      <c r="E352" s="870"/>
    </row>
    <row r="353" spans="1:12">
      <c r="B353" s="868"/>
      <c r="C353" s="869"/>
      <c r="D353" s="869"/>
      <c r="E353" s="870"/>
    </row>
    <row r="354" spans="1:12">
      <c r="B354" s="868"/>
      <c r="C354" s="869"/>
      <c r="D354" s="869"/>
      <c r="E354" s="870"/>
    </row>
    <row r="355" spans="1:12">
      <c r="B355" s="868"/>
      <c r="C355" s="869"/>
      <c r="D355" s="869"/>
      <c r="E355" s="870"/>
    </row>
    <row r="356" spans="1:12">
      <c r="B356" s="868"/>
      <c r="C356" s="869"/>
      <c r="D356" s="869"/>
      <c r="E356" s="870"/>
    </row>
    <row r="357" spans="1:12">
      <c r="B357" s="871"/>
      <c r="C357" s="872"/>
      <c r="D357" s="872"/>
      <c r="E357" s="873"/>
    </row>
    <row r="358" spans="1:12">
      <c r="B358" s="224" t="s">
        <v>857</v>
      </c>
    </row>
    <row r="359" spans="1:12">
      <c r="A359" s="142">
        <f>A327+1</f>
        <v>3</v>
      </c>
      <c r="B359" s="214" t="str">
        <f>보고서!B364</f>
        <v>SPC없음</v>
      </c>
      <c r="C359" s="149"/>
      <c r="D359" s="149"/>
      <c r="E359" s="149"/>
      <c r="F359" s="149"/>
      <c r="H359" s="149"/>
      <c r="I359" s="149"/>
      <c r="J359" s="149"/>
      <c r="K359" s="149"/>
      <c r="L359" s="149"/>
    </row>
    <row r="360" spans="1:12">
      <c r="B360" s="214" t="str">
        <f>보고서!B365</f>
        <v>SPC없음</v>
      </c>
      <c r="C360" s="149"/>
      <c r="D360" s="149"/>
      <c r="E360" s="149"/>
      <c r="F360" s="149"/>
      <c r="H360" s="149"/>
      <c r="I360" s="149"/>
      <c r="J360" s="149"/>
      <c r="K360" s="149"/>
      <c r="L360" s="149"/>
    </row>
    <row r="361" spans="1:12">
      <c r="B361" s="215" t="s">
        <v>750</v>
      </c>
      <c r="C361" s="216"/>
      <c r="D361" s="216"/>
      <c r="E361" s="216"/>
      <c r="F361" s="216"/>
      <c r="G361" s="215" t="s">
        <v>751</v>
      </c>
      <c r="H361" s="216"/>
      <c r="I361" s="216"/>
      <c r="J361" s="149"/>
      <c r="K361" s="149"/>
      <c r="L361" s="149"/>
    </row>
    <row r="362" spans="1:12">
      <c r="B362" s="173" t="s">
        <v>808</v>
      </c>
      <c r="C362" s="173" t="s">
        <v>10</v>
      </c>
      <c r="D362" s="173" t="s">
        <v>236</v>
      </c>
      <c r="E362" s="173" t="s">
        <v>801</v>
      </c>
      <c r="F362" s="217"/>
      <c r="G362" s="173" t="s">
        <v>88</v>
      </c>
      <c r="H362" s="173" t="s">
        <v>90</v>
      </c>
      <c r="I362" s="149"/>
      <c r="J362" s="149"/>
      <c r="K362" s="149"/>
      <c r="L362" s="142"/>
    </row>
    <row r="363" spans="1:12">
      <c r="B363" s="174" t="s">
        <v>3492</v>
      </c>
      <c r="C363" s="175">
        <f>보고서!C368</f>
        <v>0</v>
      </c>
      <c r="D363" s="175">
        <f>보고서!D368</f>
        <v>0</v>
      </c>
      <c r="E363" s="149"/>
      <c r="F363" s="149"/>
      <c r="G363" s="176">
        <f>보고서!G368</f>
        <v>0</v>
      </c>
      <c r="H363" s="207" t="str">
        <f>보고서!I368</f>
        <v>SPC 없음</v>
      </c>
      <c r="I363" s="149"/>
      <c r="J363" s="149"/>
      <c r="K363" s="149"/>
      <c r="L363" s="142"/>
    </row>
    <row r="364" spans="1:12">
      <c r="B364" s="176" t="s">
        <v>756</v>
      </c>
      <c r="C364" s="177">
        <f>보고서!C369</f>
        <v>0</v>
      </c>
      <c r="D364" s="177">
        <f>보고서!D369</f>
        <v>0</v>
      </c>
      <c r="E364" s="176" t="s">
        <v>810</v>
      </c>
      <c r="F364" s="149"/>
      <c r="G364" s="176">
        <f>보고서!G369</f>
        <v>0</v>
      </c>
      <c r="H364" s="207" t="str">
        <f>보고서!I369</f>
        <v>SPC 없음</v>
      </c>
      <c r="I364" s="149"/>
      <c r="J364" s="149"/>
      <c r="K364" s="149"/>
      <c r="L364" s="142"/>
    </row>
    <row r="365" spans="1:12">
      <c r="B365" s="176" t="s">
        <v>757</v>
      </c>
      <c r="C365" s="177">
        <f>보고서!C370</f>
        <v>0</v>
      </c>
      <c r="D365" s="177">
        <f>보고서!D370</f>
        <v>0</v>
      </c>
      <c r="E365" s="176" t="s">
        <v>810</v>
      </c>
      <c r="F365" s="149"/>
      <c r="G365" s="176">
        <f>보고서!G370</f>
        <v>0</v>
      </c>
      <c r="H365" s="207" t="str">
        <f>보고서!I370</f>
        <v>SPC 없음</v>
      </c>
      <c r="I365" s="218"/>
      <c r="J365" s="149"/>
      <c r="K365" s="149"/>
      <c r="L365" s="142"/>
    </row>
    <row r="366" spans="1:12">
      <c r="B366" s="179" t="s">
        <v>3493</v>
      </c>
      <c r="C366" s="175">
        <f>보고서!C371</f>
        <v>0</v>
      </c>
      <c r="D366" s="175">
        <f>보고서!D371</f>
        <v>0</v>
      </c>
      <c r="E366" s="219" t="s">
        <v>821</v>
      </c>
      <c r="F366" s="191" t="str">
        <f>IF(D366=H369+L383,"투자자산 합계액 일치","투자자산 합계액 불일치")</f>
        <v>투자자산 합계액 일치</v>
      </c>
      <c r="G366" s="176">
        <f>보고서!G371</f>
        <v>0</v>
      </c>
      <c r="H366" s="207" t="str">
        <f>보고서!I371</f>
        <v>SPC 없음</v>
      </c>
      <c r="I366" s="218"/>
      <c r="J366" s="149"/>
      <c r="K366" s="149"/>
      <c r="L366" s="142"/>
    </row>
    <row r="367" spans="1:12">
      <c r="B367" s="179" t="s">
        <v>848</v>
      </c>
      <c r="C367" s="175">
        <f>보고서!C389</f>
        <v>0</v>
      </c>
      <c r="D367" s="175">
        <f>보고서!D389</f>
        <v>0</v>
      </c>
      <c r="E367" s="149"/>
      <c r="F367" s="149"/>
      <c r="G367" s="176">
        <f>보고서!G372</f>
        <v>0</v>
      </c>
      <c r="H367" s="207" t="str">
        <f>보고서!I372</f>
        <v>SPC 없음</v>
      </c>
      <c r="I367" s="218"/>
      <c r="J367" s="149"/>
      <c r="K367" s="149"/>
      <c r="L367" s="142"/>
    </row>
    <row r="368" spans="1:12" ht="14.25" thickBot="1">
      <c r="B368" s="180" t="s">
        <v>30</v>
      </c>
      <c r="C368" s="181">
        <f>보고서!C390</f>
        <v>0</v>
      </c>
      <c r="D368" s="181">
        <f>C368</f>
        <v>0</v>
      </c>
      <c r="E368" s="182" t="s">
        <v>810</v>
      </c>
      <c r="F368" s="149"/>
      <c r="G368" s="182">
        <f>보고서!G373</f>
        <v>0</v>
      </c>
      <c r="H368" s="209" t="str">
        <f>보고서!I373</f>
        <v>SPC 없음</v>
      </c>
      <c r="I368" s="218"/>
      <c r="J368" s="149"/>
      <c r="K368" s="149"/>
      <c r="L368" s="142"/>
    </row>
    <row r="369" spans="2:12" ht="14.25" thickTop="1">
      <c r="B369" s="179" t="s">
        <v>31</v>
      </c>
      <c r="C369" s="175">
        <f>C367-C368</f>
        <v>0</v>
      </c>
      <c r="D369" s="175">
        <f>D367-D368</f>
        <v>0</v>
      </c>
      <c r="E369" s="149"/>
      <c r="F369" s="149"/>
      <c r="H369" s="210">
        <f>SUM(H363:H368)</f>
        <v>0</v>
      </c>
      <c r="L369" s="142"/>
    </row>
    <row r="370" spans="2:12">
      <c r="B370" s="184" t="s">
        <v>804</v>
      </c>
      <c r="C370" s="177">
        <f>보고서!C392</f>
        <v>0</v>
      </c>
      <c r="D370" s="177">
        <f>C370</f>
        <v>0</v>
      </c>
      <c r="E370" s="149"/>
      <c r="F370" s="217"/>
      <c r="G370" s="215" t="s">
        <v>752</v>
      </c>
      <c r="H370" s="149"/>
      <c r="I370" s="149"/>
      <c r="J370" s="149"/>
      <c r="K370" s="149"/>
      <c r="L370" s="149"/>
    </row>
    <row r="371" spans="2:12">
      <c r="B371" s="184" t="s">
        <v>964</v>
      </c>
      <c r="C371" s="177">
        <f>보고서!C393</f>
        <v>0</v>
      </c>
      <c r="D371" s="177">
        <f>C371</f>
        <v>0</v>
      </c>
      <c r="E371" s="149"/>
      <c r="F371" s="149"/>
      <c r="G371" s="173" t="s">
        <v>805</v>
      </c>
      <c r="H371" s="173" t="s">
        <v>1</v>
      </c>
      <c r="I371" s="173" t="s">
        <v>12</v>
      </c>
      <c r="J371" s="173" t="s">
        <v>806</v>
      </c>
      <c r="K371" s="173" t="s">
        <v>3494</v>
      </c>
      <c r="L371" s="173" t="s">
        <v>3497</v>
      </c>
    </row>
    <row r="372" spans="2:12">
      <c r="B372" s="179" t="s">
        <v>842</v>
      </c>
      <c r="C372" s="175">
        <f>C369+C370-C371</f>
        <v>0</v>
      </c>
      <c r="D372" s="175">
        <f>D369+D370-D371</f>
        <v>0</v>
      </c>
      <c r="E372" s="149"/>
      <c r="F372" s="149"/>
      <c r="G372" s="176">
        <f>보고서!L368</f>
        <v>0</v>
      </c>
      <c r="H372" s="176">
        <f>보고서!M368</f>
        <v>0</v>
      </c>
      <c r="I372" s="176">
        <f>보고서!N368</f>
        <v>0</v>
      </c>
      <c r="J372" s="208">
        <f>보고서!O368</f>
        <v>0</v>
      </c>
      <c r="K372" s="208">
        <f>보고서!P368</f>
        <v>0</v>
      </c>
      <c r="L372" s="208">
        <f>보고서!Q368</f>
        <v>0</v>
      </c>
    </row>
    <row r="373" spans="2:12" ht="14.25" thickBot="1">
      <c r="B373" s="182" t="s">
        <v>811</v>
      </c>
      <c r="C373" s="220">
        <f>보고서!C395</f>
        <v>0</v>
      </c>
      <c r="D373" s="220">
        <f>C373</f>
        <v>0</v>
      </c>
      <c r="E373" s="221"/>
      <c r="F373" s="149"/>
      <c r="G373" s="176">
        <f>보고서!L369</f>
        <v>0</v>
      </c>
      <c r="H373" s="176">
        <f>보고서!M369</f>
        <v>0</v>
      </c>
      <c r="I373" s="176">
        <f>보고서!N369</f>
        <v>0</v>
      </c>
      <c r="J373" s="208">
        <f>보고서!O369</f>
        <v>0</v>
      </c>
      <c r="K373" s="208">
        <f>보고서!P369</f>
        <v>0</v>
      </c>
      <c r="L373" s="208">
        <f>보고서!Q369</f>
        <v>0</v>
      </c>
    </row>
    <row r="374" spans="2:12" ht="14.25" thickTop="1">
      <c r="B374" s="222" t="s">
        <v>746</v>
      </c>
      <c r="C374" s="175">
        <f>C372*C373</f>
        <v>0</v>
      </c>
      <c r="D374" s="175">
        <f>D372*D373</f>
        <v>0</v>
      </c>
      <c r="E374" s="149"/>
      <c r="F374" s="149"/>
      <c r="G374" s="176">
        <f>보고서!L370</f>
        <v>0</v>
      </c>
      <c r="H374" s="176">
        <f>보고서!M370</f>
        <v>0</v>
      </c>
      <c r="I374" s="176">
        <f>보고서!N370</f>
        <v>0</v>
      </c>
      <c r="J374" s="208">
        <f>보고서!O370</f>
        <v>0</v>
      </c>
      <c r="K374" s="208">
        <f>보고서!P370</f>
        <v>0</v>
      </c>
      <c r="L374" s="208">
        <f>보고서!Q370</f>
        <v>0</v>
      </c>
    </row>
    <row r="375" spans="2:12">
      <c r="B375" s="149"/>
      <c r="C375" s="149"/>
      <c r="D375" s="149"/>
      <c r="E375" s="149"/>
      <c r="F375" s="149"/>
      <c r="G375" s="176">
        <f>보고서!L371</f>
        <v>0</v>
      </c>
      <c r="H375" s="176">
        <f>보고서!M371</f>
        <v>0</v>
      </c>
      <c r="I375" s="176">
        <f>보고서!N371</f>
        <v>0</v>
      </c>
      <c r="J375" s="208">
        <f>보고서!O371</f>
        <v>0</v>
      </c>
      <c r="K375" s="208">
        <f>보고서!P371</f>
        <v>0</v>
      </c>
      <c r="L375" s="208">
        <f>보고서!Q371</f>
        <v>0</v>
      </c>
    </row>
    <row r="376" spans="2:12">
      <c r="B376" s="168" t="s">
        <v>38</v>
      </c>
      <c r="C376" s="191" t="b">
        <f>ROUND(C364+C365+C366-C368+C370-C371,0)=ROUND(C372,0)</f>
        <v>1</v>
      </c>
      <c r="D376" s="191" t="b">
        <f>ROUND(D364+D365+D366-D368+D370-D371,0)=ROUND(D372,0)</f>
        <v>1</v>
      </c>
      <c r="E376" s="149"/>
      <c r="F376" s="149"/>
      <c r="G376" s="176">
        <f>보고서!L372</f>
        <v>0</v>
      </c>
      <c r="H376" s="176">
        <f>보고서!M372</f>
        <v>0</v>
      </c>
      <c r="I376" s="176">
        <f>보고서!N372</f>
        <v>0</v>
      </c>
      <c r="J376" s="208">
        <f>보고서!O372</f>
        <v>0</v>
      </c>
      <c r="K376" s="208">
        <f>보고서!P372</f>
        <v>0</v>
      </c>
      <c r="L376" s="208">
        <f>보고서!Q372</f>
        <v>0</v>
      </c>
    </row>
    <row r="377" spans="2:12">
      <c r="B377" s="149"/>
      <c r="C377" s="149"/>
      <c r="D377" s="149"/>
      <c r="E377" s="149"/>
      <c r="F377" s="149"/>
      <c r="G377" s="176">
        <f>보고서!L373</f>
        <v>0</v>
      </c>
      <c r="H377" s="176">
        <f>보고서!M373</f>
        <v>0</v>
      </c>
      <c r="I377" s="176">
        <f>보고서!N373</f>
        <v>0</v>
      </c>
      <c r="J377" s="208">
        <f>보고서!O373</f>
        <v>0</v>
      </c>
      <c r="K377" s="208">
        <f>보고서!P373</f>
        <v>0</v>
      </c>
      <c r="L377" s="208">
        <f>보고서!Q373</f>
        <v>0</v>
      </c>
    </row>
    <row r="378" spans="2:12">
      <c r="B378" s="865" t="str">
        <f>IF(B359="SPC없음","해당사항 없음",B390)</f>
        <v>해당사항 없음</v>
      </c>
      <c r="C378" s="866"/>
      <c r="D378" s="866"/>
      <c r="E378" s="867"/>
      <c r="F378" s="149"/>
      <c r="G378" s="176">
        <f>보고서!L374</f>
        <v>0</v>
      </c>
      <c r="H378" s="176">
        <f>보고서!M374</f>
        <v>0</v>
      </c>
      <c r="I378" s="176">
        <f>보고서!N374</f>
        <v>0</v>
      </c>
      <c r="J378" s="208">
        <f>보고서!O374</f>
        <v>0</v>
      </c>
      <c r="K378" s="208">
        <f>보고서!P374</f>
        <v>0</v>
      </c>
      <c r="L378" s="208">
        <f>보고서!Q374</f>
        <v>0</v>
      </c>
    </row>
    <row r="379" spans="2:12">
      <c r="B379" s="868"/>
      <c r="C379" s="869"/>
      <c r="D379" s="869"/>
      <c r="E379" s="870"/>
      <c r="F379" s="149"/>
      <c r="G379" s="176">
        <f>보고서!L375</f>
        <v>0</v>
      </c>
      <c r="H379" s="176">
        <f>보고서!M375</f>
        <v>0</v>
      </c>
      <c r="I379" s="176">
        <f>보고서!N375</f>
        <v>0</v>
      </c>
      <c r="J379" s="208">
        <f>보고서!O375</f>
        <v>0</v>
      </c>
      <c r="K379" s="208">
        <f>보고서!P375</f>
        <v>0</v>
      </c>
      <c r="L379" s="208">
        <f>보고서!Q375</f>
        <v>0</v>
      </c>
    </row>
    <row r="380" spans="2:12">
      <c r="B380" s="868"/>
      <c r="C380" s="869"/>
      <c r="D380" s="869"/>
      <c r="E380" s="870"/>
      <c r="F380" s="149"/>
      <c r="G380" s="176">
        <f>보고서!L376</f>
        <v>0</v>
      </c>
      <c r="H380" s="176">
        <f>보고서!M376</f>
        <v>0</v>
      </c>
      <c r="I380" s="176">
        <f>보고서!N376</f>
        <v>0</v>
      </c>
      <c r="J380" s="208">
        <f>보고서!O376</f>
        <v>0</v>
      </c>
      <c r="K380" s="208">
        <f>보고서!P376</f>
        <v>0</v>
      </c>
      <c r="L380" s="208">
        <f>보고서!Q376</f>
        <v>0</v>
      </c>
    </row>
    <row r="381" spans="2:12">
      <c r="B381" s="868"/>
      <c r="C381" s="869"/>
      <c r="D381" s="869"/>
      <c r="E381" s="870"/>
      <c r="F381" s="149"/>
      <c r="G381" s="176">
        <f>보고서!L377</f>
        <v>0</v>
      </c>
      <c r="H381" s="176">
        <f>보고서!M377</f>
        <v>0</v>
      </c>
      <c r="I381" s="176">
        <f>보고서!N377</f>
        <v>0</v>
      </c>
      <c r="J381" s="208">
        <f>보고서!O377</f>
        <v>0</v>
      </c>
      <c r="K381" s="208">
        <f>보고서!P377</f>
        <v>0</v>
      </c>
      <c r="L381" s="208">
        <f>보고서!Q377</f>
        <v>0</v>
      </c>
    </row>
    <row r="382" spans="2:12" ht="14.25" thickBot="1">
      <c r="B382" s="868"/>
      <c r="C382" s="869"/>
      <c r="D382" s="869"/>
      <c r="E382" s="870"/>
      <c r="F382" s="149"/>
      <c r="G382" s="182">
        <f>보고서!L378</f>
        <v>0</v>
      </c>
      <c r="H382" s="182">
        <f>보고서!M378</f>
        <v>0</v>
      </c>
      <c r="I382" s="182">
        <f>보고서!N378</f>
        <v>0</v>
      </c>
      <c r="J382" s="212">
        <f>보고서!O378</f>
        <v>0</v>
      </c>
      <c r="K382" s="212">
        <f>보고서!P378</f>
        <v>0</v>
      </c>
      <c r="L382" s="212">
        <f>보고서!Q378</f>
        <v>0</v>
      </c>
    </row>
    <row r="383" spans="2:12" ht="14.25" thickTop="1">
      <c r="B383" s="868"/>
      <c r="C383" s="869"/>
      <c r="D383" s="869"/>
      <c r="E383" s="870"/>
      <c r="G383" s="908" t="s">
        <v>3496</v>
      </c>
      <c r="H383" s="908"/>
      <c r="I383" s="908"/>
      <c r="J383" s="908"/>
      <c r="K383" s="223">
        <f>SUM(K372:K382)</f>
        <v>0</v>
      </c>
      <c r="L383" s="223">
        <f>SUM(L372:L382)</f>
        <v>0</v>
      </c>
    </row>
    <row r="384" spans="2:12">
      <c r="B384" s="868"/>
      <c r="C384" s="869"/>
      <c r="D384" s="869"/>
      <c r="E384" s="870"/>
    </row>
    <row r="385" spans="1:12">
      <c r="B385" s="868"/>
      <c r="C385" s="869"/>
      <c r="D385" s="869"/>
      <c r="E385" s="870"/>
    </row>
    <row r="386" spans="1:12">
      <c r="B386" s="868"/>
      <c r="C386" s="869"/>
      <c r="D386" s="869"/>
      <c r="E386" s="870"/>
    </row>
    <row r="387" spans="1:12">
      <c r="B387" s="868"/>
      <c r="C387" s="869"/>
      <c r="D387" s="869"/>
      <c r="E387" s="870"/>
    </row>
    <row r="388" spans="1:12">
      <c r="B388" s="868"/>
      <c r="C388" s="869"/>
      <c r="D388" s="869"/>
      <c r="E388" s="870"/>
    </row>
    <row r="389" spans="1:12">
      <c r="B389" s="871"/>
      <c r="C389" s="872"/>
      <c r="D389" s="872"/>
      <c r="E389" s="873"/>
    </row>
    <row r="390" spans="1:12">
      <c r="B390" s="224" t="s">
        <v>857</v>
      </c>
    </row>
    <row r="391" spans="1:12">
      <c r="A391" s="142">
        <f>A359+1</f>
        <v>4</v>
      </c>
      <c r="B391" s="214" t="str">
        <f>보고서!B402</f>
        <v>SPC없음</v>
      </c>
      <c r="C391" s="149"/>
      <c r="D391" s="149"/>
      <c r="E391" s="149"/>
      <c r="F391" s="149"/>
      <c r="H391" s="149"/>
      <c r="I391" s="149"/>
      <c r="J391" s="149"/>
      <c r="K391" s="149"/>
      <c r="L391" s="149"/>
    </row>
    <row r="392" spans="1:12">
      <c r="B392" s="214" t="str">
        <f>보고서!B403</f>
        <v>SPC없음</v>
      </c>
      <c r="C392" s="149"/>
      <c r="D392" s="149"/>
      <c r="E392" s="149"/>
      <c r="F392" s="149"/>
      <c r="H392" s="149"/>
      <c r="I392" s="149"/>
      <c r="J392" s="149"/>
      <c r="K392" s="149"/>
      <c r="L392" s="149"/>
    </row>
    <row r="393" spans="1:12">
      <c r="B393" s="215" t="s">
        <v>750</v>
      </c>
      <c r="C393" s="216"/>
      <c r="D393" s="216"/>
      <c r="E393" s="216"/>
      <c r="F393" s="216"/>
      <c r="G393" s="215" t="s">
        <v>751</v>
      </c>
      <c r="H393" s="216"/>
      <c r="I393" s="216"/>
      <c r="J393" s="149"/>
      <c r="K393" s="149"/>
      <c r="L393" s="149"/>
    </row>
    <row r="394" spans="1:12">
      <c r="B394" s="173" t="s">
        <v>808</v>
      </c>
      <c r="C394" s="173" t="s">
        <v>10</v>
      </c>
      <c r="D394" s="173" t="s">
        <v>236</v>
      </c>
      <c r="E394" s="173" t="s">
        <v>801</v>
      </c>
      <c r="F394" s="217"/>
      <c r="G394" s="173" t="s">
        <v>88</v>
      </c>
      <c r="H394" s="173" t="s">
        <v>90</v>
      </c>
      <c r="I394" s="149"/>
      <c r="J394" s="149"/>
      <c r="K394" s="149"/>
      <c r="L394" s="142"/>
    </row>
    <row r="395" spans="1:12">
      <c r="B395" s="174" t="s">
        <v>3492</v>
      </c>
      <c r="C395" s="175">
        <f>보고서!C406</f>
        <v>0</v>
      </c>
      <c r="D395" s="175">
        <f>보고서!D406</f>
        <v>0</v>
      </c>
      <c r="E395" s="149"/>
      <c r="F395" s="149"/>
      <c r="G395" s="176">
        <f>보고서!G406</f>
        <v>0</v>
      </c>
      <c r="H395" s="207" t="str">
        <f>보고서!I406</f>
        <v>SPC 없음</v>
      </c>
      <c r="I395" s="149"/>
      <c r="J395" s="149"/>
      <c r="K395" s="149"/>
      <c r="L395" s="142"/>
    </row>
    <row r="396" spans="1:12">
      <c r="B396" s="176" t="s">
        <v>756</v>
      </c>
      <c r="C396" s="177">
        <f>보고서!C407</f>
        <v>0</v>
      </c>
      <c r="D396" s="177">
        <f>보고서!D407</f>
        <v>0</v>
      </c>
      <c r="E396" s="176" t="s">
        <v>810</v>
      </c>
      <c r="F396" s="149"/>
      <c r="G396" s="176">
        <f>보고서!G407</f>
        <v>0</v>
      </c>
      <c r="H396" s="207" t="str">
        <f>보고서!I407</f>
        <v>SPC 없음</v>
      </c>
      <c r="I396" s="149"/>
      <c r="J396" s="149"/>
      <c r="K396" s="149"/>
      <c r="L396" s="142"/>
    </row>
    <row r="397" spans="1:12">
      <c r="B397" s="176" t="s">
        <v>757</v>
      </c>
      <c r="C397" s="177">
        <f>보고서!C408</f>
        <v>0</v>
      </c>
      <c r="D397" s="177">
        <f>보고서!D408</f>
        <v>0</v>
      </c>
      <c r="E397" s="176" t="s">
        <v>810</v>
      </c>
      <c r="F397" s="149"/>
      <c r="G397" s="176">
        <f>보고서!G408</f>
        <v>0</v>
      </c>
      <c r="H397" s="207" t="str">
        <f>보고서!I408</f>
        <v>SPC 없음</v>
      </c>
      <c r="I397" s="218"/>
      <c r="J397" s="149"/>
      <c r="K397" s="149"/>
      <c r="L397" s="142"/>
    </row>
    <row r="398" spans="1:12">
      <c r="B398" s="179" t="s">
        <v>3493</v>
      </c>
      <c r="C398" s="175">
        <f>보고서!C409</f>
        <v>0</v>
      </c>
      <c r="D398" s="175">
        <f>보고서!D409</f>
        <v>0</v>
      </c>
      <c r="E398" s="219" t="s">
        <v>821</v>
      </c>
      <c r="F398" s="191" t="str">
        <f>IF(D398=H401+L415,"투자자산 합계액 일치","투자자산 합계액 불일치")</f>
        <v>투자자산 합계액 일치</v>
      </c>
      <c r="G398" s="176">
        <f>보고서!G409</f>
        <v>0</v>
      </c>
      <c r="H398" s="207" t="str">
        <f>보고서!I409</f>
        <v>SPC 없음</v>
      </c>
      <c r="I398" s="218"/>
      <c r="J398" s="149"/>
      <c r="K398" s="149"/>
      <c r="L398" s="142"/>
    </row>
    <row r="399" spans="1:12">
      <c r="B399" s="179" t="s">
        <v>848</v>
      </c>
      <c r="C399" s="175">
        <f>보고서!C427</f>
        <v>0</v>
      </c>
      <c r="D399" s="175">
        <f>보고서!D427</f>
        <v>0</v>
      </c>
      <c r="E399" s="149"/>
      <c r="F399" s="149"/>
      <c r="G399" s="176">
        <f>보고서!G410</f>
        <v>0</v>
      </c>
      <c r="H399" s="207" t="str">
        <f>보고서!I410</f>
        <v>SPC 없음</v>
      </c>
      <c r="I399" s="218"/>
      <c r="J399" s="149"/>
      <c r="K399" s="149"/>
      <c r="L399" s="142"/>
    </row>
    <row r="400" spans="1:12" ht="14.25" thickBot="1">
      <c r="B400" s="180" t="s">
        <v>30</v>
      </c>
      <c r="C400" s="181">
        <f>보고서!C428</f>
        <v>0</v>
      </c>
      <c r="D400" s="181">
        <f>C400</f>
        <v>0</v>
      </c>
      <c r="E400" s="182" t="s">
        <v>810</v>
      </c>
      <c r="F400" s="149"/>
      <c r="G400" s="182">
        <f>보고서!G411</f>
        <v>0</v>
      </c>
      <c r="H400" s="209" t="str">
        <f>보고서!I411</f>
        <v>SPC 없음</v>
      </c>
      <c r="I400" s="218"/>
      <c r="J400" s="149"/>
      <c r="K400" s="149"/>
      <c r="L400" s="142"/>
    </row>
    <row r="401" spans="2:12" ht="14.25" thickTop="1">
      <c r="B401" s="179" t="s">
        <v>31</v>
      </c>
      <c r="C401" s="175">
        <f>C399-C400</f>
        <v>0</v>
      </c>
      <c r="D401" s="175">
        <f>D399-D400</f>
        <v>0</v>
      </c>
      <c r="E401" s="149"/>
      <c r="F401" s="149"/>
      <c r="H401" s="210">
        <f>SUM(H395:H400)</f>
        <v>0</v>
      </c>
      <c r="L401" s="142"/>
    </row>
    <row r="402" spans="2:12">
      <c r="B402" s="184" t="s">
        <v>804</v>
      </c>
      <c r="C402" s="177">
        <f>보고서!C430</f>
        <v>0</v>
      </c>
      <c r="D402" s="177">
        <f>C402</f>
        <v>0</v>
      </c>
      <c r="E402" s="149"/>
      <c r="F402" s="217"/>
      <c r="G402" s="215" t="s">
        <v>752</v>
      </c>
      <c r="H402" s="149"/>
      <c r="I402" s="149"/>
      <c r="J402" s="149"/>
      <c r="K402" s="149"/>
      <c r="L402" s="149"/>
    </row>
    <row r="403" spans="2:12">
      <c r="B403" s="184" t="s">
        <v>964</v>
      </c>
      <c r="C403" s="177">
        <f>보고서!C431</f>
        <v>0</v>
      </c>
      <c r="D403" s="177">
        <f>C403</f>
        <v>0</v>
      </c>
      <c r="E403" s="149"/>
      <c r="F403" s="149"/>
      <c r="G403" s="173" t="s">
        <v>805</v>
      </c>
      <c r="H403" s="173" t="s">
        <v>1</v>
      </c>
      <c r="I403" s="173" t="s">
        <v>12</v>
      </c>
      <c r="J403" s="173" t="s">
        <v>806</v>
      </c>
      <c r="K403" s="173" t="s">
        <v>3494</v>
      </c>
      <c r="L403" s="173" t="s">
        <v>3497</v>
      </c>
    </row>
    <row r="404" spans="2:12">
      <c r="B404" s="179" t="s">
        <v>842</v>
      </c>
      <c r="C404" s="175">
        <f>C401+C402-C403</f>
        <v>0</v>
      </c>
      <c r="D404" s="175">
        <f>D401+D402-D403</f>
        <v>0</v>
      </c>
      <c r="E404" s="149"/>
      <c r="F404" s="149"/>
      <c r="G404" s="176">
        <f>보고서!L406</f>
        <v>0</v>
      </c>
      <c r="H404" s="176">
        <f>보고서!M406</f>
        <v>0</v>
      </c>
      <c r="I404" s="176">
        <f>보고서!N406</f>
        <v>0</v>
      </c>
      <c r="J404" s="208">
        <f>보고서!O406</f>
        <v>0</v>
      </c>
      <c r="K404" s="208">
        <f>보고서!P406</f>
        <v>0</v>
      </c>
      <c r="L404" s="208">
        <f>보고서!Q406</f>
        <v>0</v>
      </c>
    </row>
    <row r="405" spans="2:12" ht="14.25" thickBot="1">
      <c r="B405" s="182" t="s">
        <v>811</v>
      </c>
      <c r="C405" s="220">
        <f>보고서!C433</f>
        <v>0</v>
      </c>
      <c r="D405" s="220">
        <f>C405</f>
        <v>0</v>
      </c>
      <c r="E405" s="221"/>
      <c r="F405" s="149"/>
      <c r="G405" s="176">
        <f>보고서!L407</f>
        <v>0</v>
      </c>
      <c r="H405" s="176">
        <f>보고서!M407</f>
        <v>0</v>
      </c>
      <c r="I405" s="176">
        <f>보고서!N407</f>
        <v>0</v>
      </c>
      <c r="J405" s="208">
        <f>보고서!O407</f>
        <v>0</v>
      </c>
      <c r="K405" s="208">
        <f>보고서!P407</f>
        <v>0</v>
      </c>
      <c r="L405" s="208">
        <f>보고서!Q407</f>
        <v>0</v>
      </c>
    </row>
    <row r="406" spans="2:12" ht="14.25" thickTop="1">
      <c r="B406" s="222" t="s">
        <v>746</v>
      </c>
      <c r="C406" s="175">
        <f>C404*C405</f>
        <v>0</v>
      </c>
      <c r="D406" s="175">
        <f>D404*D405</f>
        <v>0</v>
      </c>
      <c r="E406" s="149"/>
      <c r="F406" s="149"/>
      <c r="G406" s="176">
        <f>보고서!L408</f>
        <v>0</v>
      </c>
      <c r="H406" s="176">
        <f>보고서!M408</f>
        <v>0</v>
      </c>
      <c r="I406" s="176">
        <f>보고서!N408</f>
        <v>0</v>
      </c>
      <c r="J406" s="208">
        <f>보고서!O408</f>
        <v>0</v>
      </c>
      <c r="K406" s="208">
        <f>보고서!P408</f>
        <v>0</v>
      </c>
      <c r="L406" s="208">
        <f>보고서!Q408</f>
        <v>0</v>
      </c>
    </row>
    <row r="407" spans="2:12">
      <c r="B407" s="149"/>
      <c r="C407" s="149"/>
      <c r="D407" s="149"/>
      <c r="E407" s="149"/>
      <c r="F407" s="149"/>
      <c r="G407" s="176">
        <f>보고서!L409</f>
        <v>0</v>
      </c>
      <c r="H407" s="176">
        <f>보고서!M409</f>
        <v>0</v>
      </c>
      <c r="I407" s="176">
        <f>보고서!N409</f>
        <v>0</v>
      </c>
      <c r="J407" s="208">
        <f>보고서!O409</f>
        <v>0</v>
      </c>
      <c r="K407" s="208">
        <f>보고서!P409</f>
        <v>0</v>
      </c>
      <c r="L407" s="208">
        <f>보고서!Q409</f>
        <v>0</v>
      </c>
    </row>
    <row r="408" spans="2:12">
      <c r="B408" s="168" t="s">
        <v>38</v>
      </c>
      <c r="C408" s="191" t="b">
        <f>ROUND(C396+C397+C398-C400+C402-C403,0)=ROUND(C404,0)</f>
        <v>1</v>
      </c>
      <c r="D408" s="191" t="b">
        <f>ROUND(D396+D397+D398-D400+D402-D403,0)=ROUND(D404,0)</f>
        <v>1</v>
      </c>
      <c r="E408" s="149"/>
      <c r="F408" s="149"/>
      <c r="G408" s="176">
        <f>보고서!L410</f>
        <v>0</v>
      </c>
      <c r="H408" s="176">
        <f>보고서!M410</f>
        <v>0</v>
      </c>
      <c r="I408" s="176">
        <f>보고서!N410</f>
        <v>0</v>
      </c>
      <c r="J408" s="208">
        <f>보고서!O410</f>
        <v>0</v>
      </c>
      <c r="K408" s="208">
        <f>보고서!P410</f>
        <v>0</v>
      </c>
      <c r="L408" s="208">
        <f>보고서!Q410</f>
        <v>0</v>
      </c>
    </row>
    <row r="409" spans="2:12">
      <c r="B409" s="149"/>
      <c r="C409" s="149"/>
      <c r="D409" s="149"/>
      <c r="E409" s="149"/>
      <c r="F409" s="149"/>
      <c r="G409" s="176">
        <f>보고서!L411</f>
        <v>0</v>
      </c>
      <c r="H409" s="176">
        <f>보고서!M411</f>
        <v>0</v>
      </c>
      <c r="I409" s="176">
        <f>보고서!N411</f>
        <v>0</v>
      </c>
      <c r="J409" s="208">
        <f>보고서!O411</f>
        <v>0</v>
      </c>
      <c r="K409" s="208">
        <f>보고서!P411</f>
        <v>0</v>
      </c>
      <c r="L409" s="208">
        <f>보고서!Q411</f>
        <v>0</v>
      </c>
    </row>
    <row r="410" spans="2:12">
      <c r="B410" s="865" t="str">
        <f>IF(B391="SPC없음","해당사항 없음",B422)</f>
        <v>해당사항 없음</v>
      </c>
      <c r="C410" s="866"/>
      <c r="D410" s="866"/>
      <c r="E410" s="867"/>
      <c r="F410" s="149"/>
      <c r="G410" s="176">
        <f>보고서!L412</f>
        <v>0</v>
      </c>
      <c r="H410" s="176">
        <f>보고서!M412</f>
        <v>0</v>
      </c>
      <c r="I410" s="176">
        <f>보고서!N412</f>
        <v>0</v>
      </c>
      <c r="J410" s="208">
        <f>보고서!O412</f>
        <v>0</v>
      </c>
      <c r="K410" s="208">
        <f>보고서!P412</f>
        <v>0</v>
      </c>
      <c r="L410" s="208">
        <f>보고서!Q412</f>
        <v>0</v>
      </c>
    </row>
    <row r="411" spans="2:12">
      <c r="B411" s="868"/>
      <c r="C411" s="869"/>
      <c r="D411" s="869"/>
      <c r="E411" s="870"/>
      <c r="F411" s="149"/>
      <c r="G411" s="176">
        <f>보고서!L413</f>
        <v>0</v>
      </c>
      <c r="H411" s="176">
        <f>보고서!M413</f>
        <v>0</v>
      </c>
      <c r="I411" s="176">
        <f>보고서!N413</f>
        <v>0</v>
      </c>
      <c r="J411" s="208">
        <f>보고서!O413</f>
        <v>0</v>
      </c>
      <c r="K411" s="208">
        <f>보고서!P413</f>
        <v>0</v>
      </c>
      <c r="L411" s="208">
        <f>보고서!Q413</f>
        <v>0</v>
      </c>
    </row>
    <row r="412" spans="2:12">
      <c r="B412" s="868"/>
      <c r="C412" s="869"/>
      <c r="D412" s="869"/>
      <c r="E412" s="870"/>
      <c r="F412" s="149"/>
      <c r="G412" s="176">
        <f>보고서!L414</f>
        <v>0</v>
      </c>
      <c r="H412" s="176">
        <f>보고서!M414</f>
        <v>0</v>
      </c>
      <c r="I412" s="176">
        <f>보고서!N414</f>
        <v>0</v>
      </c>
      <c r="J412" s="208">
        <f>보고서!O414</f>
        <v>0</v>
      </c>
      <c r="K412" s="208">
        <f>보고서!P414</f>
        <v>0</v>
      </c>
      <c r="L412" s="208">
        <f>보고서!Q414</f>
        <v>0</v>
      </c>
    </row>
    <row r="413" spans="2:12">
      <c r="B413" s="868"/>
      <c r="C413" s="869"/>
      <c r="D413" s="869"/>
      <c r="E413" s="870"/>
      <c r="F413" s="149"/>
      <c r="G413" s="176">
        <f>보고서!L415</f>
        <v>0</v>
      </c>
      <c r="H413" s="176">
        <f>보고서!M415</f>
        <v>0</v>
      </c>
      <c r="I413" s="176">
        <f>보고서!N415</f>
        <v>0</v>
      </c>
      <c r="J413" s="208">
        <f>보고서!O415</f>
        <v>0</v>
      </c>
      <c r="K413" s="208">
        <f>보고서!P415</f>
        <v>0</v>
      </c>
      <c r="L413" s="208">
        <f>보고서!Q415</f>
        <v>0</v>
      </c>
    </row>
    <row r="414" spans="2:12" ht="14.25" thickBot="1">
      <c r="B414" s="868"/>
      <c r="C414" s="869"/>
      <c r="D414" s="869"/>
      <c r="E414" s="870"/>
      <c r="F414" s="149"/>
      <c r="G414" s="182">
        <f>보고서!L416</f>
        <v>0</v>
      </c>
      <c r="H414" s="182">
        <f>보고서!M416</f>
        <v>0</v>
      </c>
      <c r="I414" s="182">
        <f>보고서!N416</f>
        <v>0</v>
      </c>
      <c r="J414" s="212">
        <f>보고서!O416</f>
        <v>0</v>
      </c>
      <c r="K414" s="212">
        <f>보고서!P416</f>
        <v>0</v>
      </c>
      <c r="L414" s="212">
        <f>보고서!Q416</f>
        <v>0</v>
      </c>
    </row>
    <row r="415" spans="2:12" ht="14.25" thickTop="1">
      <c r="B415" s="868"/>
      <c r="C415" s="869"/>
      <c r="D415" s="869"/>
      <c r="E415" s="870"/>
      <c r="G415" s="908" t="s">
        <v>3496</v>
      </c>
      <c r="H415" s="908"/>
      <c r="I415" s="908"/>
      <c r="J415" s="908"/>
      <c r="K415" s="223">
        <f>SUM(K404:K414)</f>
        <v>0</v>
      </c>
      <c r="L415" s="223">
        <f>SUM(L404:L414)</f>
        <v>0</v>
      </c>
    </row>
    <row r="416" spans="2:12">
      <c r="B416" s="868"/>
      <c r="C416" s="869"/>
      <c r="D416" s="869"/>
      <c r="E416" s="870"/>
    </row>
    <row r="417" spans="1:12">
      <c r="B417" s="868"/>
      <c r="C417" s="869"/>
      <c r="D417" s="869"/>
      <c r="E417" s="870"/>
    </row>
    <row r="418" spans="1:12">
      <c r="B418" s="868"/>
      <c r="C418" s="869"/>
      <c r="D418" s="869"/>
      <c r="E418" s="870"/>
    </row>
    <row r="419" spans="1:12">
      <c r="B419" s="868"/>
      <c r="C419" s="869"/>
      <c r="D419" s="869"/>
      <c r="E419" s="870"/>
    </row>
    <row r="420" spans="1:12">
      <c r="B420" s="868"/>
      <c r="C420" s="869"/>
      <c r="D420" s="869"/>
      <c r="E420" s="870"/>
    </row>
    <row r="421" spans="1:12">
      <c r="B421" s="871"/>
      <c r="C421" s="872"/>
      <c r="D421" s="872"/>
      <c r="E421" s="873"/>
    </row>
    <row r="422" spans="1:12">
      <c r="B422" s="224" t="s">
        <v>857</v>
      </c>
    </row>
    <row r="423" spans="1:12">
      <c r="A423" s="142">
        <f>A391+1</f>
        <v>5</v>
      </c>
      <c r="B423" s="214" t="str">
        <f>보고서!B440</f>
        <v>SPC없음</v>
      </c>
      <c r="C423" s="149"/>
      <c r="D423" s="149"/>
      <c r="E423" s="149"/>
      <c r="F423" s="149"/>
      <c r="H423" s="149"/>
      <c r="I423" s="149"/>
      <c r="J423" s="149"/>
      <c r="K423" s="149"/>
      <c r="L423" s="149"/>
    </row>
    <row r="424" spans="1:12">
      <c r="B424" s="214" t="str">
        <f>보고서!B441</f>
        <v>SPC없음</v>
      </c>
      <c r="C424" s="149"/>
      <c r="D424" s="149"/>
      <c r="E424" s="149"/>
      <c r="F424" s="149"/>
      <c r="H424" s="149"/>
      <c r="I424" s="149"/>
      <c r="J424" s="149"/>
      <c r="K424" s="149"/>
      <c r="L424" s="149"/>
    </row>
    <row r="425" spans="1:12">
      <c r="B425" s="215" t="s">
        <v>750</v>
      </c>
      <c r="C425" s="216"/>
      <c r="D425" s="216"/>
      <c r="E425" s="216"/>
      <c r="F425" s="216"/>
      <c r="G425" s="215" t="s">
        <v>751</v>
      </c>
      <c r="H425" s="216"/>
      <c r="I425" s="216"/>
      <c r="J425" s="149"/>
      <c r="K425" s="149"/>
      <c r="L425" s="149"/>
    </row>
    <row r="426" spans="1:12">
      <c r="B426" s="173" t="s">
        <v>808</v>
      </c>
      <c r="C426" s="173" t="s">
        <v>10</v>
      </c>
      <c r="D426" s="173" t="s">
        <v>236</v>
      </c>
      <c r="E426" s="173" t="s">
        <v>801</v>
      </c>
      <c r="F426" s="217"/>
      <c r="G426" s="173" t="s">
        <v>88</v>
      </c>
      <c r="H426" s="173" t="s">
        <v>90</v>
      </c>
      <c r="I426" s="149"/>
      <c r="J426" s="149"/>
      <c r="K426" s="149"/>
      <c r="L426" s="142"/>
    </row>
    <row r="427" spans="1:12">
      <c r="B427" s="174" t="s">
        <v>3492</v>
      </c>
      <c r="C427" s="175">
        <f>보고서!C444</f>
        <v>0</v>
      </c>
      <c r="D427" s="175">
        <f>보고서!D444</f>
        <v>0</v>
      </c>
      <c r="E427" s="149"/>
      <c r="F427" s="149"/>
      <c r="G427" s="176">
        <f>보고서!G444</f>
        <v>0</v>
      </c>
      <c r="H427" s="207" t="str">
        <f>보고서!I444</f>
        <v>SPC 없음</v>
      </c>
      <c r="I427" s="149"/>
      <c r="J427" s="149"/>
      <c r="K427" s="149"/>
      <c r="L427" s="142"/>
    </row>
    <row r="428" spans="1:12">
      <c r="B428" s="176" t="s">
        <v>756</v>
      </c>
      <c r="C428" s="177">
        <f>보고서!C445</f>
        <v>0</v>
      </c>
      <c r="D428" s="177">
        <f>보고서!D445</f>
        <v>0</v>
      </c>
      <c r="E428" s="176" t="s">
        <v>810</v>
      </c>
      <c r="F428" s="149"/>
      <c r="G428" s="176">
        <f>보고서!G445</f>
        <v>0</v>
      </c>
      <c r="H428" s="207" t="str">
        <f>보고서!I445</f>
        <v>SPC 없음</v>
      </c>
      <c r="I428" s="149"/>
      <c r="J428" s="149"/>
      <c r="K428" s="149"/>
      <c r="L428" s="142"/>
    </row>
    <row r="429" spans="1:12">
      <c r="B429" s="176" t="s">
        <v>757</v>
      </c>
      <c r="C429" s="177">
        <f>보고서!C446</f>
        <v>0</v>
      </c>
      <c r="D429" s="177">
        <f>보고서!D446</f>
        <v>0</v>
      </c>
      <c r="E429" s="176" t="s">
        <v>810</v>
      </c>
      <c r="F429" s="149"/>
      <c r="G429" s="176">
        <f>보고서!G446</f>
        <v>0</v>
      </c>
      <c r="H429" s="207" t="str">
        <f>보고서!I446</f>
        <v>SPC 없음</v>
      </c>
      <c r="I429" s="218"/>
      <c r="J429" s="149"/>
      <c r="K429" s="149"/>
      <c r="L429" s="142"/>
    </row>
    <row r="430" spans="1:12">
      <c r="B430" s="179" t="s">
        <v>3493</v>
      </c>
      <c r="C430" s="175">
        <f>보고서!C447</f>
        <v>0</v>
      </c>
      <c r="D430" s="175">
        <f>보고서!D447</f>
        <v>0</v>
      </c>
      <c r="E430" s="219" t="s">
        <v>821</v>
      </c>
      <c r="F430" s="191" t="str">
        <f>IF(D430=H433+L447,"투자자산 합계액 일치","투자자산 합계액 불일치")</f>
        <v>투자자산 합계액 일치</v>
      </c>
      <c r="G430" s="176">
        <f>보고서!G447</f>
        <v>0</v>
      </c>
      <c r="H430" s="207" t="str">
        <f>보고서!I447</f>
        <v>SPC 없음</v>
      </c>
      <c r="I430" s="218"/>
      <c r="J430" s="149"/>
      <c r="K430" s="149"/>
      <c r="L430" s="142"/>
    </row>
    <row r="431" spans="1:12">
      <c r="B431" s="179" t="s">
        <v>848</v>
      </c>
      <c r="C431" s="175">
        <f>보고서!C465</f>
        <v>0</v>
      </c>
      <c r="D431" s="175">
        <f>보고서!D465</f>
        <v>0</v>
      </c>
      <c r="E431" s="149"/>
      <c r="F431" s="149"/>
      <c r="G431" s="176">
        <f>보고서!G448</f>
        <v>0</v>
      </c>
      <c r="H431" s="207" t="str">
        <f>보고서!I448</f>
        <v>SPC 없음</v>
      </c>
      <c r="I431" s="218"/>
      <c r="J431" s="149"/>
      <c r="K431" s="149"/>
      <c r="L431" s="142"/>
    </row>
    <row r="432" spans="1:12" ht="14.25" thickBot="1">
      <c r="B432" s="180" t="s">
        <v>30</v>
      </c>
      <c r="C432" s="181">
        <f>보고서!C466</f>
        <v>0</v>
      </c>
      <c r="D432" s="181">
        <f>C432</f>
        <v>0</v>
      </c>
      <c r="E432" s="182" t="s">
        <v>810</v>
      </c>
      <c r="F432" s="149"/>
      <c r="G432" s="182">
        <f>보고서!G449</f>
        <v>0</v>
      </c>
      <c r="H432" s="209" t="str">
        <f>보고서!I449</f>
        <v>SPC 없음</v>
      </c>
      <c r="I432" s="218"/>
      <c r="J432" s="149"/>
      <c r="K432" s="149"/>
      <c r="L432" s="142"/>
    </row>
    <row r="433" spans="2:12" ht="14.25" thickTop="1">
      <c r="B433" s="179" t="s">
        <v>31</v>
      </c>
      <c r="C433" s="175">
        <f>C431-C432</f>
        <v>0</v>
      </c>
      <c r="D433" s="175">
        <f>D431-D432</f>
        <v>0</v>
      </c>
      <c r="E433" s="149"/>
      <c r="F433" s="149"/>
      <c r="H433" s="210">
        <f>SUM(H427:H432)</f>
        <v>0</v>
      </c>
      <c r="L433" s="142"/>
    </row>
    <row r="434" spans="2:12">
      <c r="B434" s="184" t="s">
        <v>804</v>
      </c>
      <c r="C434" s="177">
        <f>보고서!C468</f>
        <v>0</v>
      </c>
      <c r="D434" s="177">
        <f>C434</f>
        <v>0</v>
      </c>
      <c r="E434" s="149"/>
      <c r="F434" s="217"/>
      <c r="G434" s="215" t="s">
        <v>752</v>
      </c>
      <c r="H434" s="149"/>
      <c r="I434" s="149"/>
      <c r="J434" s="149"/>
      <c r="K434" s="149"/>
      <c r="L434" s="149"/>
    </row>
    <row r="435" spans="2:12">
      <c r="B435" s="184" t="s">
        <v>964</v>
      </c>
      <c r="C435" s="177">
        <f>보고서!C469</f>
        <v>0</v>
      </c>
      <c r="D435" s="177">
        <f>C435</f>
        <v>0</v>
      </c>
      <c r="E435" s="149"/>
      <c r="F435" s="149"/>
      <c r="G435" s="173" t="s">
        <v>805</v>
      </c>
      <c r="H435" s="173" t="s">
        <v>1</v>
      </c>
      <c r="I435" s="173" t="s">
        <v>12</v>
      </c>
      <c r="J435" s="173" t="s">
        <v>806</v>
      </c>
      <c r="K435" s="173" t="s">
        <v>3494</v>
      </c>
      <c r="L435" s="173" t="s">
        <v>3497</v>
      </c>
    </row>
    <row r="436" spans="2:12">
      <c r="B436" s="179" t="s">
        <v>842</v>
      </c>
      <c r="C436" s="175">
        <f>C433+C434-C435</f>
        <v>0</v>
      </c>
      <c r="D436" s="175">
        <f>D433+D434-D435</f>
        <v>0</v>
      </c>
      <c r="E436" s="149"/>
      <c r="F436" s="149"/>
      <c r="G436" s="176">
        <f>보고서!L444</f>
        <v>0</v>
      </c>
      <c r="H436" s="176">
        <f>보고서!M444</f>
        <v>0</v>
      </c>
      <c r="I436" s="176">
        <f>보고서!N444</f>
        <v>0</v>
      </c>
      <c r="J436" s="208">
        <f>보고서!O444</f>
        <v>0</v>
      </c>
      <c r="K436" s="208">
        <f>보고서!P444</f>
        <v>0</v>
      </c>
      <c r="L436" s="208">
        <f>보고서!Q444</f>
        <v>0</v>
      </c>
    </row>
    <row r="437" spans="2:12" ht="14.25" thickBot="1">
      <c r="B437" s="182" t="s">
        <v>811</v>
      </c>
      <c r="C437" s="220">
        <f>보고서!C471</f>
        <v>0</v>
      </c>
      <c r="D437" s="220">
        <f>C437</f>
        <v>0</v>
      </c>
      <c r="E437" s="221"/>
      <c r="F437" s="149"/>
      <c r="G437" s="176">
        <f>보고서!L445</f>
        <v>0</v>
      </c>
      <c r="H437" s="176">
        <f>보고서!M445</f>
        <v>0</v>
      </c>
      <c r="I437" s="176">
        <f>보고서!N445</f>
        <v>0</v>
      </c>
      <c r="J437" s="208">
        <f>보고서!O445</f>
        <v>0</v>
      </c>
      <c r="K437" s="208">
        <f>보고서!P445</f>
        <v>0</v>
      </c>
      <c r="L437" s="208">
        <f>보고서!Q445</f>
        <v>0</v>
      </c>
    </row>
    <row r="438" spans="2:12" ht="14.25" thickTop="1">
      <c r="B438" s="222" t="s">
        <v>746</v>
      </c>
      <c r="C438" s="175">
        <f>C436*C437</f>
        <v>0</v>
      </c>
      <c r="D438" s="175">
        <f>D436*D437</f>
        <v>0</v>
      </c>
      <c r="E438" s="149"/>
      <c r="F438" s="149"/>
      <c r="G438" s="176">
        <f>보고서!L446</f>
        <v>0</v>
      </c>
      <c r="H438" s="176">
        <f>보고서!M446</f>
        <v>0</v>
      </c>
      <c r="I438" s="176">
        <f>보고서!N446</f>
        <v>0</v>
      </c>
      <c r="J438" s="208">
        <f>보고서!O446</f>
        <v>0</v>
      </c>
      <c r="K438" s="208">
        <f>보고서!P446</f>
        <v>0</v>
      </c>
      <c r="L438" s="208">
        <f>보고서!Q446</f>
        <v>0</v>
      </c>
    </row>
    <row r="439" spans="2:12">
      <c r="B439" s="149"/>
      <c r="C439" s="149"/>
      <c r="D439" s="149"/>
      <c r="E439" s="149"/>
      <c r="F439" s="149"/>
      <c r="G439" s="176">
        <f>보고서!L447</f>
        <v>0</v>
      </c>
      <c r="H439" s="176">
        <f>보고서!M447</f>
        <v>0</v>
      </c>
      <c r="I439" s="176">
        <f>보고서!N447</f>
        <v>0</v>
      </c>
      <c r="J439" s="208">
        <f>보고서!O447</f>
        <v>0</v>
      </c>
      <c r="K439" s="208">
        <f>보고서!P447</f>
        <v>0</v>
      </c>
      <c r="L439" s="208">
        <f>보고서!Q447</f>
        <v>0</v>
      </c>
    </row>
    <row r="440" spans="2:12">
      <c r="B440" s="168" t="s">
        <v>38</v>
      </c>
      <c r="C440" s="191" t="b">
        <f>ROUND(C428+C429+C430-C432+C434-C435,0)=ROUND(C436,0)</f>
        <v>1</v>
      </c>
      <c r="D440" s="191" t="b">
        <f>ROUND(D428+D429+D430-D432+D434-D435,0)=ROUND(D436,0)</f>
        <v>1</v>
      </c>
      <c r="E440" s="149"/>
      <c r="F440" s="149"/>
      <c r="G440" s="176">
        <f>보고서!L448</f>
        <v>0</v>
      </c>
      <c r="H440" s="176">
        <f>보고서!M448</f>
        <v>0</v>
      </c>
      <c r="I440" s="176">
        <f>보고서!N448</f>
        <v>0</v>
      </c>
      <c r="J440" s="208">
        <f>보고서!O448</f>
        <v>0</v>
      </c>
      <c r="K440" s="208">
        <f>보고서!P448</f>
        <v>0</v>
      </c>
      <c r="L440" s="208">
        <f>보고서!Q448</f>
        <v>0</v>
      </c>
    </row>
    <row r="441" spans="2:12">
      <c r="B441" s="149"/>
      <c r="C441" s="149"/>
      <c r="D441" s="149"/>
      <c r="E441" s="149"/>
      <c r="F441" s="149"/>
      <c r="G441" s="176">
        <f>보고서!L449</f>
        <v>0</v>
      </c>
      <c r="H441" s="176">
        <f>보고서!M449</f>
        <v>0</v>
      </c>
      <c r="I441" s="176">
        <f>보고서!N449</f>
        <v>0</v>
      </c>
      <c r="J441" s="208">
        <f>보고서!O449</f>
        <v>0</v>
      </c>
      <c r="K441" s="208">
        <f>보고서!P449</f>
        <v>0</v>
      </c>
      <c r="L441" s="208">
        <f>보고서!Q449</f>
        <v>0</v>
      </c>
    </row>
    <row r="442" spans="2:12">
      <c r="B442" s="865" t="str">
        <f>IF(B423="SPC없음","해당사항 없음",B454)</f>
        <v>해당사항 없음</v>
      </c>
      <c r="C442" s="866"/>
      <c r="D442" s="866"/>
      <c r="E442" s="867"/>
      <c r="F442" s="149"/>
      <c r="G442" s="176">
        <f>보고서!L450</f>
        <v>0</v>
      </c>
      <c r="H442" s="176">
        <f>보고서!M450</f>
        <v>0</v>
      </c>
      <c r="I442" s="176">
        <f>보고서!N450</f>
        <v>0</v>
      </c>
      <c r="J442" s="208">
        <f>보고서!O450</f>
        <v>0</v>
      </c>
      <c r="K442" s="208">
        <f>보고서!P450</f>
        <v>0</v>
      </c>
      <c r="L442" s="208">
        <f>보고서!Q450</f>
        <v>0</v>
      </c>
    </row>
    <row r="443" spans="2:12">
      <c r="B443" s="868"/>
      <c r="C443" s="869"/>
      <c r="D443" s="869"/>
      <c r="E443" s="870"/>
      <c r="F443" s="149"/>
      <c r="G443" s="176">
        <f>보고서!L451</f>
        <v>0</v>
      </c>
      <c r="H443" s="176">
        <f>보고서!M451</f>
        <v>0</v>
      </c>
      <c r="I443" s="176">
        <f>보고서!N451</f>
        <v>0</v>
      </c>
      <c r="J443" s="208">
        <f>보고서!O451</f>
        <v>0</v>
      </c>
      <c r="K443" s="208">
        <f>보고서!P451</f>
        <v>0</v>
      </c>
      <c r="L443" s="208">
        <f>보고서!Q451</f>
        <v>0</v>
      </c>
    </row>
    <row r="444" spans="2:12">
      <c r="B444" s="868"/>
      <c r="C444" s="869"/>
      <c r="D444" s="869"/>
      <c r="E444" s="870"/>
      <c r="F444" s="149"/>
      <c r="G444" s="176">
        <f>보고서!L452</f>
        <v>0</v>
      </c>
      <c r="H444" s="176">
        <f>보고서!M452</f>
        <v>0</v>
      </c>
      <c r="I444" s="176">
        <f>보고서!N452</f>
        <v>0</v>
      </c>
      <c r="J444" s="208">
        <f>보고서!O452</f>
        <v>0</v>
      </c>
      <c r="K444" s="208">
        <f>보고서!P452</f>
        <v>0</v>
      </c>
      <c r="L444" s="208">
        <f>보고서!Q452</f>
        <v>0</v>
      </c>
    </row>
    <row r="445" spans="2:12">
      <c r="B445" s="868"/>
      <c r="C445" s="869"/>
      <c r="D445" s="869"/>
      <c r="E445" s="870"/>
      <c r="F445" s="149"/>
      <c r="G445" s="176">
        <f>보고서!L453</f>
        <v>0</v>
      </c>
      <c r="H445" s="176">
        <f>보고서!M453</f>
        <v>0</v>
      </c>
      <c r="I445" s="176">
        <f>보고서!N453</f>
        <v>0</v>
      </c>
      <c r="J445" s="208">
        <f>보고서!O453</f>
        <v>0</v>
      </c>
      <c r="K445" s="208">
        <f>보고서!P453</f>
        <v>0</v>
      </c>
      <c r="L445" s="208">
        <f>보고서!Q453</f>
        <v>0</v>
      </c>
    </row>
    <row r="446" spans="2:12" ht="14.25" thickBot="1">
      <c r="B446" s="868"/>
      <c r="C446" s="869"/>
      <c r="D446" s="869"/>
      <c r="E446" s="870"/>
      <c r="F446" s="149"/>
      <c r="G446" s="182">
        <f>보고서!L454</f>
        <v>0</v>
      </c>
      <c r="H446" s="182">
        <f>보고서!M454</f>
        <v>0</v>
      </c>
      <c r="I446" s="182">
        <f>보고서!N454</f>
        <v>0</v>
      </c>
      <c r="J446" s="212">
        <f>보고서!O454</f>
        <v>0</v>
      </c>
      <c r="K446" s="212">
        <f>보고서!P454</f>
        <v>0</v>
      </c>
      <c r="L446" s="212">
        <f>보고서!Q454</f>
        <v>0</v>
      </c>
    </row>
    <row r="447" spans="2:12" ht="14.25" thickTop="1">
      <c r="B447" s="868"/>
      <c r="C447" s="869"/>
      <c r="D447" s="869"/>
      <c r="E447" s="870"/>
      <c r="G447" s="908" t="s">
        <v>3496</v>
      </c>
      <c r="H447" s="908"/>
      <c r="I447" s="908"/>
      <c r="J447" s="908"/>
      <c r="K447" s="223">
        <f>SUM(K436:K446)</f>
        <v>0</v>
      </c>
      <c r="L447" s="223">
        <f>SUM(L436:L446)</f>
        <v>0</v>
      </c>
    </row>
    <row r="448" spans="2:12">
      <c r="B448" s="868"/>
      <c r="C448" s="869"/>
      <c r="D448" s="869"/>
      <c r="E448" s="870"/>
    </row>
    <row r="449" spans="1:12">
      <c r="B449" s="868"/>
      <c r="C449" s="869"/>
      <c r="D449" s="869"/>
      <c r="E449" s="870"/>
    </row>
    <row r="450" spans="1:12">
      <c r="B450" s="868"/>
      <c r="C450" s="869"/>
      <c r="D450" s="869"/>
      <c r="E450" s="870"/>
    </row>
    <row r="451" spans="1:12">
      <c r="B451" s="868"/>
      <c r="C451" s="869"/>
      <c r="D451" s="869"/>
      <c r="E451" s="870"/>
    </row>
    <row r="452" spans="1:12">
      <c r="B452" s="868"/>
      <c r="C452" s="869"/>
      <c r="D452" s="869"/>
      <c r="E452" s="870"/>
    </row>
    <row r="453" spans="1:12">
      <c r="B453" s="871"/>
      <c r="C453" s="872"/>
      <c r="D453" s="872"/>
      <c r="E453" s="873"/>
    </row>
    <row r="454" spans="1:12">
      <c r="B454" s="224" t="s">
        <v>857</v>
      </c>
    </row>
    <row r="455" spans="1:12">
      <c r="A455" s="142">
        <f>A423+1</f>
        <v>6</v>
      </c>
      <c r="B455" s="214" t="str">
        <f>보고서!B478</f>
        <v>SPC없음</v>
      </c>
      <c r="C455" s="149"/>
      <c r="D455" s="149"/>
      <c r="E455" s="149"/>
      <c r="F455" s="149"/>
      <c r="H455" s="149"/>
      <c r="I455" s="149"/>
      <c r="J455" s="149"/>
      <c r="K455" s="149"/>
      <c r="L455" s="149"/>
    </row>
    <row r="456" spans="1:12">
      <c r="B456" s="214" t="str">
        <f>보고서!B479</f>
        <v>SPC없음</v>
      </c>
      <c r="C456" s="149"/>
      <c r="D456" s="149"/>
      <c r="E456" s="149"/>
      <c r="F456" s="149"/>
      <c r="H456" s="149"/>
      <c r="I456" s="149"/>
      <c r="J456" s="149"/>
      <c r="K456" s="149"/>
      <c r="L456" s="149"/>
    </row>
    <row r="457" spans="1:12">
      <c r="B457" s="215" t="s">
        <v>750</v>
      </c>
      <c r="C457" s="216"/>
      <c r="D457" s="216"/>
      <c r="E457" s="216"/>
      <c r="F457" s="216"/>
      <c r="G457" s="215" t="s">
        <v>751</v>
      </c>
      <c r="H457" s="216"/>
      <c r="I457" s="216"/>
      <c r="J457" s="149"/>
      <c r="K457" s="149"/>
      <c r="L457" s="149"/>
    </row>
    <row r="458" spans="1:12">
      <c r="B458" s="173" t="s">
        <v>808</v>
      </c>
      <c r="C458" s="173" t="s">
        <v>10</v>
      </c>
      <c r="D458" s="173" t="s">
        <v>236</v>
      </c>
      <c r="E458" s="173" t="s">
        <v>801</v>
      </c>
      <c r="F458" s="217"/>
      <c r="G458" s="173" t="s">
        <v>88</v>
      </c>
      <c r="H458" s="173" t="s">
        <v>90</v>
      </c>
      <c r="I458" s="149"/>
      <c r="J458" s="149"/>
      <c r="K458" s="149"/>
      <c r="L458" s="142"/>
    </row>
    <row r="459" spans="1:12">
      <c r="B459" s="174" t="s">
        <v>3492</v>
      </c>
      <c r="C459" s="175">
        <f>보고서!C482</f>
        <v>0</v>
      </c>
      <c r="D459" s="175">
        <f>보고서!D482</f>
        <v>0</v>
      </c>
      <c r="E459" s="149"/>
      <c r="F459" s="149"/>
      <c r="G459" s="176">
        <f>보고서!G482</f>
        <v>0</v>
      </c>
      <c r="H459" s="207" t="str">
        <f>보고서!I482</f>
        <v>SPC 없음</v>
      </c>
      <c r="I459" s="149"/>
      <c r="J459" s="149"/>
      <c r="K459" s="149"/>
      <c r="L459" s="142"/>
    </row>
    <row r="460" spans="1:12">
      <c r="B460" s="176" t="s">
        <v>756</v>
      </c>
      <c r="C460" s="177">
        <f>보고서!C483</f>
        <v>0</v>
      </c>
      <c r="D460" s="177">
        <f>보고서!D483</f>
        <v>0</v>
      </c>
      <c r="E460" s="176" t="s">
        <v>810</v>
      </c>
      <c r="F460" s="149"/>
      <c r="G460" s="176">
        <f>보고서!G483</f>
        <v>0</v>
      </c>
      <c r="H460" s="207" t="str">
        <f>보고서!I483</f>
        <v>SPC 없음</v>
      </c>
      <c r="I460" s="149"/>
      <c r="J460" s="149"/>
      <c r="K460" s="149"/>
      <c r="L460" s="142"/>
    </row>
    <row r="461" spans="1:12">
      <c r="B461" s="176" t="s">
        <v>757</v>
      </c>
      <c r="C461" s="177">
        <f>보고서!C484</f>
        <v>0</v>
      </c>
      <c r="D461" s="177">
        <f>보고서!D484</f>
        <v>0</v>
      </c>
      <c r="E461" s="176" t="s">
        <v>810</v>
      </c>
      <c r="F461" s="149"/>
      <c r="G461" s="176">
        <f>보고서!G484</f>
        <v>0</v>
      </c>
      <c r="H461" s="207" t="str">
        <f>보고서!I484</f>
        <v>SPC 없음</v>
      </c>
      <c r="I461" s="218"/>
      <c r="J461" s="149"/>
      <c r="K461" s="149"/>
      <c r="L461" s="142"/>
    </row>
    <row r="462" spans="1:12">
      <c r="B462" s="179" t="s">
        <v>3493</v>
      </c>
      <c r="C462" s="175">
        <f>보고서!C485</f>
        <v>0</v>
      </c>
      <c r="D462" s="175">
        <f>보고서!D485</f>
        <v>0</v>
      </c>
      <c r="E462" s="219" t="s">
        <v>821</v>
      </c>
      <c r="F462" s="191" t="str">
        <f>IF(D462=H465+L479,"투자자산 합계액 일치","투자자산 합계액 불일치")</f>
        <v>투자자산 합계액 일치</v>
      </c>
      <c r="G462" s="176">
        <f>보고서!G485</f>
        <v>0</v>
      </c>
      <c r="H462" s="207" t="str">
        <f>보고서!I485</f>
        <v>SPC 없음</v>
      </c>
      <c r="I462" s="218"/>
      <c r="J462" s="149"/>
      <c r="K462" s="149"/>
      <c r="L462" s="142"/>
    </row>
    <row r="463" spans="1:12">
      <c r="B463" s="179" t="s">
        <v>848</v>
      </c>
      <c r="C463" s="175">
        <f>보고서!C503</f>
        <v>0</v>
      </c>
      <c r="D463" s="175">
        <f>보고서!D503</f>
        <v>0</v>
      </c>
      <c r="E463" s="149"/>
      <c r="F463" s="149"/>
      <c r="G463" s="176">
        <f>보고서!G486</f>
        <v>0</v>
      </c>
      <c r="H463" s="207" t="str">
        <f>보고서!I486</f>
        <v>SPC 없음</v>
      </c>
      <c r="I463" s="218"/>
      <c r="J463" s="149"/>
      <c r="K463" s="149"/>
      <c r="L463" s="142"/>
    </row>
    <row r="464" spans="1:12" ht="14.25" thickBot="1">
      <c r="B464" s="180" t="s">
        <v>30</v>
      </c>
      <c r="C464" s="181">
        <f>보고서!C504</f>
        <v>0</v>
      </c>
      <c r="D464" s="181">
        <f>C464</f>
        <v>0</v>
      </c>
      <c r="E464" s="182" t="s">
        <v>810</v>
      </c>
      <c r="F464" s="149"/>
      <c r="G464" s="182">
        <f>보고서!G487</f>
        <v>0</v>
      </c>
      <c r="H464" s="209" t="str">
        <f>보고서!I487</f>
        <v>SPC 없음</v>
      </c>
      <c r="I464" s="218"/>
      <c r="J464" s="149"/>
      <c r="K464" s="149"/>
      <c r="L464" s="142"/>
    </row>
    <row r="465" spans="2:12" ht="14.25" thickTop="1">
      <c r="B465" s="179" t="s">
        <v>31</v>
      </c>
      <c r="C465" s="175">
        <f>C463-C464</f>
        <v>0</v>
      </c>
      <c r="D465" s="175">
        <f>D463-D464</f>
        <v>0</v>
      </c>
      <c r="E465" s="149"/>
      <c r="F465" s="149"/>
      <c r="H465" s="210">
        <f>SUM(H459:H464)</f>
        <v>0</v>
      </c>
      <c r="L465" s="142"/>
    </row>
    <row r="466" spans="2:12">
      <c r="B466" s="184" t="s">
        <v>804</v>
      </c>
      <c r="C466" s="177">
        <f>보고서!C506</f>
        <v>0</v>
      </c>
      <c r="D466" s="177">
        <f>C466</f>
        <v>0</v>
      </c>
      <c r="E466" s="149"/>
      <c r="F466" s="217"/>
      <c r="G466" s="215" t="s">
        <v>752</v>
      </c>
      <c r="H466" s="149"/>
      <c r="I466" s="149"/>
      <c r="J466" s="149"/>
      <c r="K466" s="149"/>
      <c r="L466" s="149"/>
    </row>
    <row r="467" spans="2:12">
      <c r="B467" s="184" t="s">
        <v>964</v>
      </c>
      <c r="C467" s="177">
        <f>보고서!C507</f>
        <v>0</v>
      </c>
      <c r="D467" s="177">
        <f>C467</f>
        <v>0</v>
      </c>
      <c r="E467" s="149"/>
      <c r="F467" s="149"/>
      <c r="G467" s="173" t="s">
        <v>805</v>
      </c>
      <c r="H467" s="173" t="s">
        <v>1</v>
      </c>
      <c r="I467" s="173" t="s">
        <v>12</v>
      </c>
      <c r="J467" s="173" t="s">
        <v>806</v>
      </c>
      <c r="K467" s="173" t="s">
        <v>3494</v>
      </c>
      <c r="L467" s="173" t="s">
        <v>3497</v>
      </c>
    </row>
    <row r="468" spans="2:12">
      <c r="B468" s="179" t="s">
        <v>842</v>
      </c>
      <c r="C468" s="175">
        <f>C465+C466-C467</f>
        <v>0</v>
      </c>
      <c r="D468" s="175">
        <f>D465+D466-D467</f>
        <v>0</v>
      </c>
      <c r="E468" s="149"/>
      <c r="F468" s="149"/>
      <c r="G468" s="176">
        <f>보고서!L482</f>
        <v>0</v>
      </c>
      <c r="H468" s="176">
        <f>보고서!M482</f>
        <v>0</v>
      </c>
      <c r="I468" s="176">
        <f>보고서!N482</f>
        <v>0</v>
      </c>
      <c r="J468" s="208">
        <f>보고서!O482</f>
        <v>0</v>
      </c>
      <c r="K468" s="208">
        <f>보고서!P482</f>
        <v>0</v>
      </c>
      <c r="L468" s="208">
        <f>보고서!Q482</f>
        <v>0</v>
      </c>
    </row>
    <row r="469" spans="2:12" ht="14.25" thickBot="1">
      <c r="B469" s="182" t="s">
        <v>811</v>
      </c>
      <c r="C469" s="220">
        <f>보고서!C509</f>
        <v>0</v>
      </c>
      <c r="D469" s="220">
        <f>C469</f>
        <v>0</v>
      </c>
      <c r="E469" s="221"/>
      <c r="F469" s="149"/>
      <c r="G469" s="176">
        <f>보고서!L483</f>
        <v>0</v>
      </c>
      <c r="H469" s="176">
        <f>보고서!M483</f>
        <v>0</v>
      </c>
      <c r="I469" s="176">
        <f>보고서!N483</f>
        <v>0</v>
      </c>
      <c r="J469" s="208">
        <f>보고서!O483</f>
        <v>0</v>
      </c>
      <c r="K469" s="208">
        <f>보고서!P483</f>
        <v>0</v>
      </c>
      <c r="L469" s="208">
        <f>보고서!Q483</f>
        <v>0</v>
      </c>
    </row>
    <row r="470" spans="2:12" ht="14.25" thickTop="1">
      <c r="B470" s="222" t="s">
        <v>746</v>
      </c>
      <c r="C470" s="175">
        <f>C468*C469</f>
        <v>0</v>
      </c>
      <c r="D470" s="175">
        <f>D468*D469</f>
        <v>0</v>
      </c>
      <c r="E470" s="149"/>
      <c r="F470" s="149"/>
      <c r="G470" s="176">
        <f>보고서!L484</f>
        <v>0</v>
      </c>
      <c r="H470" s="176">
        <f>보고서!M484</f>
        <v>0</v>
      </c>
      <c r="I470" s="176">
        <f>보고서!N484</f>
        <v>0</v>
      </c>
      <c r="J470" s="208">
        <f>보고서!O484</f>
        <v>0</v>
      </c>
      <c r="K470" s="208">
        <f>보고서!P484</f>
        <v>0</v>
      </c>
      <c r="L470" s="208">
        <f>보고서!Q484</f>
        <v>0</v>
      </c>
    </row>
    <row r="471" spans="2:12">
      <c r="B471" s="149"/>
      <c r="C471" s="149"/>
      <c r="D471" s="149"/>
      <c r="E471" s="149"/>
      <c r="F471" s="149"/>
      <c r="G471" s="176">
        <f>보고서!L485</f>
        <v>0</v>
      </c>
      <c r="H471" s="176">
        <f>보고서!M485</f>
        <v>0</v>
      </c>
      <c r="I471" s="176">
        <f>보고서!N485</f>
        <v>0</v>
      </c>
      <c r="J471" s="208">
        <f>보고서!O485</f>
        <v>0</v>
      </c>
      <c r="K471" s="208">
        <f>보고서!P485</f>
        <v>0</v>
      </c>
      <c r="L471" s="208">
        <f>보고서!Q485</f>
        <v>0</v>
      </c>
    </row>
    <row r="472" spans="2:12">
      <c r="B472" s="168" t="s">
        <v>38</v>
      </c>
      <c r="C472" s="191" t="b">
        <f>ROUND(C460+C461+C462-C464+C466-C467,0)=ROUND(C468,0)</f>
        <v>1</v>
      </c>
      <c r="D472" s="191" t="b">
        <f>ROUND(D460+D461+D462-D464+D466-D467,0)=ROUND(D468,0)</f>
        <v>1</v>
      </c>
      <c r="E472" s="149"/>
      <c r="F472" s="149"/>
      <c r="G472" s="176">
        <f>보고서!L486</f>
        <v>0</v>
      </c>
      <c r="H472" s="176">
        <f>보고서!M486</f>
        <v>0</v>
      </c>
      <c r="I472" s="176">
        <f>보고서!N486</f>
        <v>0</v>
      </c>
      <c r="J472" s="208">
        <f>보고서!O486</f>
        <v>0</v>
      </c>
      <c r="K472" s="208">
        <f>보고서!P486</f>
        <v>0</v>
      </c>
      <c r="L472" s="208">
        <f>보고서!Q486</f>
        <v>0</v>
      </c>
    </row>
    <row r="473" spans="2:12">
      <c r="B473" s="149"/>
      <c r="C473" s="149"/>
      <c r="D473" s="149"/>
      <c r="E473" s="149"/>
      <c r="F473" s="149"/>
      <c r="G473" s="176">
        <f>보고서!L487</f>
        <v>0</v>
      </c>
      <c r="H473" s="176">
        <f>보고서!M487</f>
        <v>0</v>
      </c>
      <c r="I473" s="176">
        <f>보고서!N487</f>
        <v>0</v>
      </c>
      <c r="J473" s="208">
        <f>보고서!O487</f>
        <v>0</v>
      </c>
      <c r="K473" s="208">
        <f>보고서!P487</f>
        <v>0</v>
      </c>
      <c r="L473" s="208">
        <f>보고서!Q487</f>
        <v>0</v>
      </c>
    </row>
    <row r="474" spans="2:12">
      <c r="B474" s="865" t="str">
        <f>IF(B455="SPC없음","해당사항 없음",B486)</f>
        <v>해당사항 없음</v>
      </c>
      <c r="C474" s="866"/>
      <c r="D474" s="866"/>
      <c r="E474" s="867"/>
      <c r="F474" s="149"/>
      <c r="G474" s="176">
        <f>보고서!L488</f>
        <v>0</v>
      </c>
      <c r="H474" s="176">
        <f>보고서!M488</f>
        <v>0</v>
      </c>
      <c r="I474" s="176">
        <f>보고서!N488</f>
        <v>0</v>
      </c>
      <c r="J474" s="208">
        <f>보고서!O488</f>
        <v>0</v>
      </c>
      <c r="K474" s="208">
        <f>보고서!P488</f>
        <v>0</v>
      </c>
      <c r="L474" s="208">
        <f>보고서!Q488</f>
        <v>0</v>
      </c>
    </row>
    <row r="475" spans="2:12">
      <c r="B475" s="868"/>
      <c r="C475" s="869"/>
      <c r="D475" s="869"/>
      <c r="E475" s="870"/>
      <c r="F475" s="149"/>
      <c r="G475" s="176">
        <f>보고서!L489</f>
        <v>0</v>
      </c>
      <c r="H475" s="176">
        <f>보고서!M489</f>
        <v>0</v>
      </c>
      <c r="I475" s="176">
        <f>보고서!N489</f>
        <v>0</v>
      </c>
      <c r="J475" s="208">
        <f>보고서!O489</f>
        <v>0</v>
      </c>
      <c r="K475" s="208">
        <f>보고서!P489</f>
        <v>0</v>
      </c>
      <c r="L475" s="208">
        <f>보고서!Q489</f>
        <v>0</v>
      </c>
    </row>
    <row r="476" spans="2:12">
      <c r="B476" s="868"/>
      <c r="C476" s="869"/>
      <c r="D476" s="869"/>
      <c r="E476" s="870"/>
      <c r="F476" s="149"/>
      <c r="G476" s="176">
        <f>보고서!L490</f>
        <v>0</v>
      </c>
      <c r="H476" s="176">
        <f>보고서!M490</f>
        <v>0</v>
      </c>
      <c r="I476" s="176">
        <f>보고서!N490</f>
        <v>0</v>
      </c>
      <c r="J476" s="208">
        <f>보고서!O490</f>
        <v>0</v>
      </c>
      <c r="K476" s="208">
        <f>보고서!P490</f>
        <v>0</v>
      </c>
      <c r="L476" s="208">
        <f>보고서!Q490</f>
        <v>0</v>
      </c>
    </row>
    <row r="477" spans="2:12">
      <c r="B477" s="868"/>
      <c r="C477" s="869"/>
      <c r="D477" s="869"/>
      <c r="E477" s="870"/>
      <c r="F477" s="149"/>
      <c r="G477" s="176">
        <f>보고서!L491</f>
        <v>0</v>
      </c>
      <c r="H477" s="176">
        <f>보고서!M491</f>
        <v>0</v>
      </c>
      <c r="I477" s="176">
        <f>보고서!N491</f>
        <v>0</v>
      </c>
      <c r="J477" s="208">
        <f>보고서!O491</f>
        <v>0</v>
      </c>
      <c r="K477" s="208">
        <f>보고서!P491</f>
        <v>0</v>
      </c>
      <c r="L477" s="208">
        <f>보고서!Q491</f>
        <v>0</v>
      </c>
    </row>
    <row r="478" spans="2:12" ht="14.25" thickBot="1">
      <c r="B478" s="868"/>
      <c r="C478" s="869"/>
      <c r="D478" s="869"/>
      <c r="E478" s="870"/>
      <c r="F478" s="149"/>
      <c r="G478" s="182">
        <f>보고서!L492</f>
        <v>0</v>
      </c>
      <c r="H478" s="182">
        <f>보고서!M492</f>
        <v>0</v>
      </c>
      <c r="I478" s="182">
        <f>보고서!N492</f>
        <v>0</v>
      </c>
      <c r="J478" s="212">
        <f>보고서!O492</f>
        <v>0</v>
      </c>
      <c r="K478" s="212">
        <f>보고서!P492</f>
        <v>0</v>
      </c>
      <c r="L478" s="212">
        <f>보고서!Q492</f>
        <v>0</v>
      </c>
    </row>
    <row r="479" spans="2:12" ht="14.25" thickTop="1">
      <c r="B479" s="868"/>
      <c r="C479" s="869"/>
      <c r="D479" s="869"/>
      <c r="E479" s="870"/>
      <c r="G479" s="908" t="s">
        <v>3496</v>
      </c>
      <c r="H479" s="908"/>
      <c r="I479" s="908"/>
      <c r="J479" s="908"/>
      <c r="K479" s="223">
        <f>SUM(K468:K478)</f>
        <v>0</v>
      </c>
      <c r="L479" s="223">
        <f>SUM(L468:L478)</f>
        <v>0</v>
      </c>
    </row>
    <row r="480" spans="2:12">
      <c r="B480" s="868"/>
      <c r="C480" s="869"/>
      <c r="D480" s="869"/>
      <c r="E480" s="870"/>
    </row>
    <row r="481" spans="1:12">
      <c r="B481" s="868"/>
      <c r="C481" s="869"/>
      <c r="D481" s="869"/>
      <c r="E481" s="870"/>
    </row>
    <row r="482" spans="1:12">
      <c r="B482" s="868"/>
      <c r="C482" s="869"/>
      <c r="D482" s="869"/>
      <c r="E482" s="870"/>
    </row>
    <row r="483" spans="1:12">
      <c r="B483" s="868"/>
      <c r="C483" s="869"/>
      <c r="D483" s="869"/>
      <c r="E483" s="870"/>
    </row>
    <row r="484" spans="1:12">
      <c r="B484" s="868"/>
      <c r="C484" s="869"/>
      <c r="D484" s="869"/>
      <c r="E484" s="870"/>
    </row>
    <row r="485" spans="1:12">
      <c r="B485" s="871"/>
      <c r="C485" s="872"/>
      <c r="D485" s="872"/>
      <c r="E485" s="873"/>
    </row>
    <row r="486" spans="1:12">
      <c r="B486" s="224" t="s">
        <v>857</v>
      </c>
    </row>
    <row r="487" spans="1:12">
      <c r="A487" s="142">
        <f>A455+1</f>
        <v>7</v>
      </c>
      <c r="B487" s="214" t="str">
        <f>보고서!B516</f>
        <v>SPC없음</v>
      </c>
      <c r="C487" s="149"/>
      <c r="D487" s="149"/>
      <c r="E487" s="149"/>
      <c r="F487" s="149"/>
      <c r="H487" s="149"/>
      <c r="I487" s="149"/>
      <c r="J487" s="149"/>
      <c r="K487" s="149"/>
      <c r="L487" s="149"/>
    </row>
    <row r="488" spans="1:12">
      <c r="B488" s="214" t="str">
        <f>보고서!B517</f>
        <v>SPC없음</v>
      </c>
      <c r="C488" s="149"/>
      <c r="D488" s="149"/>
      <c r="E488" s="149"/>
      <c r="F488" s="149"/>
      <c r="H488" s="149"/>
      <c r="I488" s="149"/>
      <c r="J488" s="149"/>
      <c r="K488" s="149"/>
      <c r="L488" s="149"/>
    </row>
    <row r="489" spans="1:12">
      <c r="B489" s="215" t="s">
        <v>750</v>
      </c>
      <c r="C489" s="216"/>
      <c r="D489" s="216"/>
      <c r="E489" s="216"/>
      <c r="F489" s="216"/>
      <c r="G489" s="215" t="s">
        <v>751</v>
      </c>
      <c r="H489" s="216"/>
      <c r="I489" s="216"/>
      <c r="J489" s="149"/>
      <c r="K489" s="149"/>
      <c r="L489" s="149"/>
    </row>
    <row r="490" spans="1:12">
      <c r="B490" s="173" t="s">
        <v>808</v>
      </c>
      <c r="C490" s="173" t="s">
        <v>10</v>
      </c>
      <c r="D490" s="173" t="s">
        <v>236</v>
      </c>
      <c r="E490" s="173" t="s">
        <v>801</v>
      </c>
      <c r="F490" s="217"/>
      <c r="G490" s="173" t="s">
        <v>88</v>
      </c>
      <c r="H490" s="173" t="s">
        <v>90</v>
      </c>
      <c r="I490" s="149"/>
      <c r="J490" s="149"/>
      <c r="K490" s="149"/>
      <c r="L490" s="142"/>
    </row>
    <row r="491" spans="1:12">
      <c r="B491" s="174" t="s">
        <v>3492</v>
      </c>
      <c r="C491" s="175">
        <f>보고서!C520</f>
        <v>0</v>
      </c>
      <c r="D491" s="175">
        <f>보고서!D520</f>
        <v>0</v>
      </c>
      <c r="E491" s="149"/>
      <c r="F491" s="149"/>
      <c r="G491" s="176">
        <f>보고서!G520</f>
        <v>0</v>
      </c>
      <c r="H491" s="207" t="str">
        <f>보고서!I520</f>
        <v>SPC 없음</v>
      </c>
      <c r="I491" s="149"/>
      <c r="J491" s="149"/>
      <c r="K491" s="149"/>
      <c r="L491" s="142"/>
    </row>
    <row r="492" spans="1:12">
      <c r="B492" s="176" t="s">
        <v>756</v>
      </c>
      <c r="C492" s="177">
        <f>보고서!C521</f>
        <v>0</v>
      </c>
      <c r="D492" s="177">
        <f>보고서!D521</f>
        <v>0</v>
      </c>
      <c r="E492" s="176" t="s">
        <v>810</v>
      </c>
      <c r="F492" s="149"/>
      <c r="G492" s="176">
        <f>보고서!G521</f>
        <v>0</v>
      </c>
      <c r="H492" s="207" t="str">
        <f>보고서!I521</f>
        <v>SPC 없음</v>
      </c>
      <c r="I492" s="149"/>
      <c r="J492" s="149"/>
      <c r="K492" s="149"/>
      <c r="L492" s="142"/>
    </row>
    <row r="493" spans="1:12">
      <c r="B493" s="176" t="s">
        <v>757</v>
      </c>
      <c r="C493" s="177">
        <f>보고서!C522</f>
        <v>0</v>
      </c>
      <c r="D493" s="177">
        <f>보고서!D522</f>
        <v>0</v>
      </c>
      <c r="E493" s="176" t="s">
        <v>810</v>
      </c>
      <c r="F493" s="149"/>
      <c r="G493" s="176">
        <f>보고서!G522</f>
        <v>0</v>
      </c>
      <c r="H493" s="207" t="str">
        <f>보고서!I522</f>
        <v>SPC 없음</v>
      </c>
      <c r="I493" s="218"/>
      <c r="J493" s="149"/>
      <c r="K493" s="149"/>
      <c r="L493" s="142"/>
    </row>
    <row r="494" spans="1:12">
      <c r="B494" s="179" t="s">
        <v>3493</v>
      </c>
      <c r="C494" s="175">
        <f>보고서!C523</f>
        <v>0</v>
      </c>
      <c r="D494" s="175">
        <f>보고서!D523</f>
        <v>0</v>
      </c>
      <c r="E494" s="219" t="s">
        <v>821</v>
      </c>
      <c r="F494" s="191" t="str">
        <f>IF(D494=H497+L511,"투자자산 합계액 일치","투자자산 합계액 불일치")</f>
        <v>투자자산 합계액 일치</v>
      </c>
      <c r="G494" s="176">
        <f>보고서!G523</f>
        <v>0</v>
      </c>
      <c r="H494" s="207" t="str">
        <f>보고서!I523</f>
        <v>SPC 없음</v>
      </c>
      <c r="I494" s="218"/>
      <c r="J494" s="149"/>
      <c r="K494" s="149"/>
      <c r="L494" s="142"/>
    </row>
    <row r="495" spans="1:12">
      <c r="B495" s="179" t="s">
        <v>848</v>
      </c>
      <c r="C495" s="175">
        <f>보고서!C541</f>
        <v>0</v>
      </c>
      <c r="D495" s="175">
        <f>보고서!D541</f>
        <v>0</v>
      </c>
      <c r="E495" s="149"/>
      <c r="F495" s="149"/>
      <c r="G495" s="176">
        <f>보고서!G524</f>
        <v>0</v>
      </c>
      <c r="H495" s="207" t="str">
        <f>보고서!I524</f>
        <v>SPC 없음</v>
      </c>
      <c r="I495" s="218"/>
      <c r="J495" s="149"/>
      <c r="K495" s="149"/>
      <c r="L495" s="142"/>
    </row>
    <row r="496" spans="1:12" ht="14.25" thickBot="1">
      <c r="B496" s="180" t="s">
        <v>30</v>
      </c>
      <c r="C496" s="181">
        <f>보고서!C542</f>
        <v>0</v>
      </c>
      <c r="D496" s="181">
        <f>C496</f>
        <v>0</v>
      </c>
      <c r="E496" s="182" t="s">
        <v>810</v>
      </c>
      <c r="F496" s="149"/>
      <c r="G496" s="182">
        <f>보고서!G525</f>
        <v>0</v>
      </c>
      <c r="H496" s="209" t="str">
        <f>보고서!I525</f>
        <v>SPC 없음</v>
      </c>
      <c r="I496" s="218"/>
      <c r="J496" s="149"/>
      <c r="K496" s="149"/>
      <c r="L496" s="142"/>
    </row>
    <row r="497" spans="2:12" ht="14.25" thickTop="1">
      <c r="B497" s="179" t="s">
        <v>31</v>
      </c>
      <c r="C497" s="175">
        <f>C495-C496</f>
        <v>0</v>
      </c>
      <c r="D497" s="175">
        <f>D495-D496</f>
        <v>0</v>
      </c>
      <c r="E497" s="149"/>
      <c r="F497" s="149"/>
      <c r="H497" s="210">
        <f>SUM(H491:H496)</f>
        <v>0</v>
      </c>
      <c r="L497" s="142"/>
    </row>
    <row r="498" spans="2:12">
      <c r="B498" s="184" t="s">
        <v>804</v>
      </c>
      <c r="C498" s="177">
        <f>보고서!C544</f>
        <v>0</v>
      </c>
      <c r="D498" s="177">
        <f>C498</f>
        <v>0</v>
      </c>
      <c r="E498" s="149"/>
      <c r="F498" s="217"/>
      <c r="G498" s="215" t="s">
        <v>752</v>
      </c>
      <c r="H498" s="149"/>
      <c r="I498" s="149"/>
      <c r="J498" s="149"/>
      <c r="K498" s="149"/>
      <c r="L498" s="149"/>
    </row>
    <row r="499" spans="2:12">
      <c r="B499" s="184" t="s">
        <v>964</v>
      </c>
      <c r="C499" s="177">
        <f>보고서!C545</f>
        <v>0</v>
      </c>
      <c r="D499" s="177">
        <f>C499</f>
        <v>0</v>
      </c>
      <c r="E499" s="149"/>
      <c r="F499" s="149"/>
      <c r="G499" s="173" t="s">
        <v>805</v>
      </c>
      <c r="H499" s="173" t="s">
        <v>1</v>
      </c>
      <c r="I499" s="173" t="s">
        <v>12</v>
      </c>
      <c r="J499" s="173" t="s">
        <v>806</v>
      </c>
      <c r="K499" s="173" t="s">
        <v>3494</v>
      </c>
      <c r="L499" s="173" t="s">
        <v>3497</v>
      </c>
    </row>
    <row r="500" spans="2:12">
      <c r="B500" s="179" t="s">
        <v>842</v>
      </c>
      <c r="C500" s="175">
        <f>C497+C498-C499</f>
        <v>0</v>
      </c>
      <c r="D500" s="175">
        <f>D497+D498-D499</f>
        <v>0</v>
      </c>
      <c r="E500" s="149"/>
      <c r="F500" s="149"/>
      <c r="G500" s="176">
        <f>보고서!L520</f>
        <v>0</v>
      </c>
      <c r="H500" s="176">
        <f>보고서!M520</f>
        <v>0</v>
      </c>
      <c r="I500" s="176">
        <f>보고서!N520</f>
        <v>0</v>
      </c>
      <c r="J500" s="208">
        <f>보고서!O520</f>
        <v>0</v>
      </c>
      <c r="K500" s="208">
        <f>보고서!P520</f>
        <v>0</v>
      </c>
      <c r="L500" s="208">
        <f>보고서!Q520</f>
        <v>0</v>
      </c>
    </row>
    <row r="501" spans="2:12" ht="14.25" thickBot="1">
      <c r="B501" s="182" t="s">
        <v>811</v>
      </c>
      <c r="C501" s="220">
        <f>보고서!C547</f>
        <v>0</v>
      </c>
      <c r="D501" s="220">
        <f>C501</f>
        <v>0</v>
      </c>
      <c r="E501" s="221"/>
      <c r="F501" s="149"/>
      <c r="G501" s="176">
        <f>보고서!L521</f>
        <v>0</v>
      </c>
      <c r="H501" s="176">
        <f>보고서!M521</f>
        <v>0</v>
      </c>
      <c r="I501" s="176">
        <f>보고서!N521</f>
        <v>0</v>
      </c>
      <c r="J501" s="208">
        <f>보고서!O521</f>
        <v>0</v>
      </c>
      <c r="K501" s="208">
        <f>보고서!P521</f>
        <v>0</v>
      </c>
      <c r="L501" s="208">
        <f>보고서!Q521</f>
        <v>0</v>
      </c>
    </row>
    <row r="502" spans="2:12" ht="14.25" thickTop="1">
      <c r="B502" s="222" t="s">
        <v>746</v>
      </c>
      <c r="C502" s="175">
        <f>C500*C501</f>
        <v>0</v>
      </c>
      <c r="D502" s="175">
        <f>D500*D501</f>
        <v>0</v>
      </c>
      <c r="E502" s="149"/>
      <c r="F502" s="149"/>
      <c r="G502" s="176">
        <f>보고서!L522</f>
        <v>0</v>
      </c>
      <c r="H502" s="176">
        <f>보고서!M522</f>
        <v>0</v>
      </c>
      <c r="I502" s="176">
        <f>보고서!N522</f>
        <v>0</v>
      </c>
      <c r="J502" s="208">
        <f>보고서!O522</f>
        <v>0</v>
      </c>
      <c r="K502" s="208">
        <f>보고서!P522</f>
        <v>0</v>
      </c>
      <c r="L502" s="208">
        <f>보고서!Q522</f>
        <v>0</v>
      </c>
    </row>
    <row r="503" spans="2:12">
      <c r="B503" s="149"/>
      <c r="C503" s="149"/>
      <c r="D503" s="149"/>
      <c r="E503" s="149"/>
      <c r="F503" s="149"/>
      <c r="G503" s="176">
        <f>보고서!L523</f>
        <v>0</v>
      </c>
      <c r="H503" s="176">
        <f>보고서!M523</f>
        <v>0</v>
      </c>
      <c r="I503" s="176">
        <f>보고서!N523</f>
        <v>0</v>
      </c>
      <c r="J503" s="208">
        <f>보고서!O523</f>
        <v>0</v>
      </c>
      <c r="K503" s="208">
        <f>보고서!P523</f>
        <v>0</v>
      </c>
      <c r="L503" s="208">
        <f>보고서!Q523</f>
        <v>0</v>
      </c>
    </row>
    <row r="504" spans="2:12">
      <c r="B504" s="168" t="s">
        <v>38</v>
      </c>
      <c r="C504" s="191" t="b">
        <f>ROUND(C492+C493+C494-C496+C498-C499,0)=ROUND(C500,0)</f>
        <v>1</v>
      </c>
      <c r="D504" s="191" t="b">
        <f>ROUND(D492+D493+D494-D496+D498-D499,0)=ROUND(D500,0)</f>
        <v>1</v>
      </c>
      <c r="E504" s="149"/>
      <c r="F504" s="149"/>
      <c r="G504" s="176">
        <f>보고서!L524</f>
        <v>0</v>
      </c>
      <c r="H504" s="176">
        <f>보고서!M524</f>
        <v>0</v>
      </c>
      <c r="I504" s="176">
        <f>보고서!N524</f>
        <v>0</v>
      </c>
      <c r="J504" s="208">
        <f>보고서!O524</f>
        <v>0</v>
      </c>
      <c r="K504" s="208">
        <f>보고서!P524</f>
        <v>0</v>
      </c>
      <c r="L504" s="208">
        <f>보고서!Q524</f>
        <v>0</v>
      </c>
    </row>
    <row r="505" spans="2:12">
      <c r="B505" s="149"/>
      <c r="C505" s="149"/>
      <c r="D505" s="149"/>
      <c r="E505" s="149"/>
      <c r="F505" s="149"/>
      <c r="G505" s="176">
        <f>보고서!L525</f>
        <v>0</v>
      </c>
      <c r="H505" s="176">
        <f>보고서!M525</f>
        <v>0</v>
      </c>
      <c r="I505" s="176">
        <f>보고서!N525</f>
        <v>0</v>
      </c>
      <c r="J505" s="208">
        <f>보고서!O525</f>
        <v>0</v>
      </c>
      <c r="K505" s="208">
        <f>보고서!P525</f>
        <v>0</v>
      </c>
      <c r="L505" s="208">
        <f>보고서!Q525</f>
        <v>0</v>
      </c>
    </row>
    <row r="506" spans="2:12">
      <c r="B506" s="865" t="str">
        <f>IF(B487="SPC없음","해당사항 없음",B518)</f>
        <v>해당사항 없음</v>
      </c>
      <c r="C506" s="866"/>
      <c r="D506" s="866"/>
      <c r="E506" s="867"/>
      <c r="F506" s="149"/>
      <c r="G506" s="176">
        <f>보고서!L526</f>
        <v>0</v>
      </c>
      <c r="H506" s="176">
        <f>보고서!M526</f>
        <v>0</v>
      </c>
      <c r="I506" s="176">
        <f>보고서!N526</f>
        <v>0</v>
      </c>
      <c r="J506" s="208">
        <f>보고서!O526</f>
        <v>0</v>
      </c>
      <c r="K506" s="208">
        <f>보고서!P526</f>
        <v>0</v>
      </c>
      <c r="L506" s="208">
        <f>보고서!Q526</f>
        <v>0</v>
      </c>
    </row>
    <row r="507" spans="2:12">
      <c r="B507" s="868"/>
      <c r="C507" s="869"/>
      <c r="D507" s="869"/>
      <c r="E507" s="870"/>
      <c r="F507" s="149"/>
      <c r="G507" s="176">
        <f>보고서!L527</f>
        <v>0</v>
      </c>
      <c r="H507" s="176">
        <f>보고서!M527</f>
        <v>0</v>
      </c>
      <c r="I507" s="176">
        <f>보고서!N527</f>
        <v>0</v>
      </c>
      <c r="J507" s="208">
        <f>보고서!O527</f>
        <v>0</v>
      </c>
      <c r="K507" s="208">
        <f>보고서!P527</f>
        <v>0</v>
      </c>
      <c r="L507" s="208">
        <f>보고서!Q527</f>
        <v>0</v>
      </c>
    </row>
    <row r="508" spans="2:12">
      <c r="B508" s="868"/>
      <c r="C508" s="869"/>
      <c r="D508" s="869"/>
      <c r="E508" s="870"/>
      <c r="F508" s="149"/>
      <c r="G508" s="176">
        <f>보고서!L528</f>
        <v>0</v>
      </c>
      <c r="H508" s="176">
        <f>보고서!M528</f>
        <v>0</v>
      </c>
      <c r="I508" s="176">
        <f>보고서!N528</f>
        <v>0</v>
      </c>
      <c r="J508" s="208">
        <f>보고서!O528</f>
        <v>0</v>
      </c>
      <c r="K508" s="208">
        <f>보고서!P528</f>
        <v>0</v>
      </c>
      <c r="L508" s="208">
        <f>보고서!Q528</f>
        <v>0</v>
      </c>
    </row>
    <row r="509" spans="2:12">
      <c r="B509" s="868"/>
      <c r="C509" s="869"/>
      <c r="D509" s="869"/>
      <c r="E509" s="870"/>
      <c r="F509" s="149"/>
      <c r="G509" s="176">
        <f>보고서!L529</f>
        <v>0</v>
      </c>
      <c r="H509" s="176">
        <f>보고서!M529</f>
        <v>0</v>
      </c>
      <c r="I509" s="176">
        <f>보고서!N529</f>
        <v>0</v>
      </c>
      <c r="J509" s="208">
        <f>보고서!O529</f>
        <v>0</v>
      </c>
      <c r="K509" s="208">
        <f>보고서!P529</f>
        <v>0</v>
      </c>
      <c r="L509" s="208">
        <f>보고서!Q529</f>
        <v>0</v>
      </c>
    </row>
    <row r="510" spans="2:12" ht="14.25" thickBot="1">
      <c r="B510" s="868"/>
      <c r="C510" s="869"/>
      <c r="D510" s="869"/>
      <c r="E510" s="870"/>
      <c r="F510" s="149"/>
      <c r="G510" s="182">
        <f>보고서!L530</f>
        <v>0</v>
      </c>
      <c r="H510" s="182">
        <f>보고서!M530</f>
        <v>0</v>
      </c>
      <c r="I510" s="182">
        <f>보고서!N530</f>
        <v>0</v>
      </c>
      <c r="J510" s="212">
        <f>보고서!O530</f>
        <v>0</v>
      </c>
      <c r="K510" s="212">
        <f>보고서!P530</f>
        <v>0</v>
      </c>
      <c r="L510" s="212">
        <f>보고서!Q530</f>
        <v>0</v>
      </c>
    </row>
    <row r="511" spans="2:12" ht="14.25" thickTop="1">
      <c r="B511" s="868"/>
      <c r="C511" s="869"/>
      <c r="D511" s="869"/>
      <c r="E511" s="870"/>
      <c r="G511" s="908" t="s">
        <v>3496</v>
      </c>
      <c r="H511" s="908"/>
      <c r="I511" s="908"/>
      <c r="J511" s="908"/>
      <c r="K511" s="223">
        <f>SUM(K500:K510)</f>
        <v>0</v>
      </c>
      <c r="L511" s="223">
        <f>SUM(L500:L510)</f>
        <v>0</v>
      </c>
    </row>
    <row r="512" spans="2:12">
      <c r="B512" s="868"/>
      <c r="C512" s="869"/>
      <c r="D512" s="869"/>
      <c r="E512" s="870"/>
    </row>
    <row r="513" spans="1:12">
      <c r="B513" s="868"/>
      <c r="C513" s="869"/>
      <c r="D513" s="869"/>
      <c r="E513" s="870"/>
    </row>
    <row r="514" spans="1:12">
      <c r="B514" s="868"/>
      <c r="C514" s="869"/>
      <c r="D514" s="869"/>
      <c r="E514" s="870"/>
    </row>
    <row r="515" spans="1:12">
      <c r="B515" s="868"/>
      <c r="C515" s="869"/>
      <c r="D515" s="869"/>
      <c r="E515" s="870"/>
    </row>
    <row r="516" spans="1:12">
      <c r="B516" s="868"/>
      <c r="C516" s="869"/>
      <c r="D516" s="869"/>
      <c r="E516" s="870"/>
    </row>
    <row r="517" spans="1:12">
      <c r="B517" s="871"/>
      <c r="C517" s="872"/>
      <c r="D517" s="872"/>
      <c r="E517" s="873"/>
    </row>
    <row r="518" spans="1:12">
      <c r="B518" s="224" t="s">
        <v>857</v>
      </c>
    </row>
    <row r="519" spans="1:12">
      <c r="A519" s="142">
        <f>A487+1</f>
        <v>8</v>
      </c>
      <c r="B519" s="214" t="str">
        <f>보고서!B554</f>
        <v>SPC없음</v>
      </c>
      <c r="C519" s="149"/>
      <c r="D519" s="149"/>
      <c r="E519" s="149"/>
      <c r="F519" s="149"/>
      <c r="H519" s="149"/>
      <c r="I519" s="149"/>
      <c r="J519" s="149"/>
      <c r="K519" s="149"/>
      <c r="L519" s="149"/>
    </row>
    <row r="520" spans="1:12">
      <c r="B520" s="214" t="str">
        <f>보고서!B555</f>
        <v>SPC없음</v>
      </c>
      <c r="C520" s="149"/>
      <c r="D520" s="149"/>
      <c r="E520" s="149"/>
      <c r="F520" s="149"/>
      <c r="H520" s="149"/>
      <c r="I520" s="149"/>
      <c r="J520" s="149"/>
      <c r="K520" s="149"/>
      <c r="L520" s="149"/>
    </row>
    <row r="521" spans="1:12">
      <c r="B521" s="215" t="s">
        <v>750</v>
      </c>
      <c r="C521" s="216"/>
      <c r="D521" s="216"/>
      <c r="E521" s="216"/>
      <c r="F521" s="216"/>
      <c r="G521" s="215" t="s">
        <v>751</v>
      </c>
      <c r="H521" s="216"/>
      <c r="I521" s="216"/>
      <c r="J521" s="149"/>
      <c r="K521" s="149"/>
      <c r="L521" s="149"/>
    </row>
    <row r="522" spans="1:12">
      <c r="B522" s="173" t="s">
        <v>808</v>
      </c>
      <c r="C522" s="173" t="s">
        <v>10</v>
      </c>
      <c r="D522" s="173" t="s">
        <v>236</v>
      </c>
      <c r="E522" s="173" t="s">
        <v>801</v>
      </c>
      <c r="F522" s="217"/>
      <c r="G522" s="173" t="s">
        <v>88</v>
      </c>
      <c r="H522" s="173" t="s">
        <v>90</v>
      </c>
      <c r="I522" s="149"/>
      <c r="J522" s="149"/>
      <c r="K522" s="149"/>
      <c r="L522" s="142"/>
    </row>
    <row r="523" spans="1:12">
      <c r="B523" s="174" t="s">
        <v>3492</v>
      </c>
      <c r="C523" s="175">
        <f>보고서!C558</f>
        <v>0</v>
      </c>
      <c r="D523" s="175">
        <f>보고서!D558</f>
        <v>0</v>
      </c>
      <c r="E523" s="149"/>
      <c r="F523" s="149"/>
      <c r="G523" s="176">
        <f>보고서!G558</f>
        <v>0</v>
      </c>
      <c r="H523" s="207" t="str">
        <f>보고서!I558</f>
        <v>SPC 없음</v>
      </c>
      <c r="I523" s="149"/>
      <c r="J523" s="149"/>
      <c r="K523" s="149"/>
      <c r="L523" s="142"/>
    </row>
    <row r="524" spans="1:12">
      <c r="B524" s="176" t="s">
        <v>756</v>
      </c>
      <c r="C524" s="177">
        <f>보고서!C559</f>
        <v>0</v>
      </c>
      <c r="D524" s="177">
        <f>보고서!D559</f>
        <v>0</v>
      </c>
      <c r="E524" s="176" t="s">
        <v>810</v>
      </c>
      <c r="F524" s="149"/>
      <c r="G524" s="176">
        <f>보고서!G559</f>
        <v>0</v>
      </c>
      <c r="H524" s="207" t="str">
        <f>보고서!I559</f>
        <v>SPC 없음</v>
      </c>
      <c r="I524" s="149"/>
      <c r="J524" s="149"/>
      <c r="K524" s="149"/>
      <c r="L524" s="142"/>
    </row>
    <row r="525" spans="1:12">
      <c r="B525" s="176" t="s">
        <v>757</v>
      </c>
      <c r="C525" s="177">
        <f>보고서!C560</f>
        <v>0</v>
      </c>
      <c r="D525" s="177">
        <f>보고서!D560</f>
        <v>0</v>
      </c>
      <c r="E525" s="176" t="s">
        <v>810</v>
      </c>
      <c r="F525" s="149"/>
      <c r="G525" s="176">
        <f>보고서!G560</f>
        <v>0</v>
      </c>
      <c r="H525" s="207" t="str">
        <f>보고서!I560</f>
        <v>SPC 없음</v>
      </c>
      <c r="I525" s="218"/>
      <c r="J525" s="149"/>
      <c r="K525" s="149"/>
      <c r="L525" s="142"/>
    </row>
    <row r="526" spans="1:12">
      <c r="B526" s="179" t="s">
        <v>3493</v>
      </c>
      <c r="C526" s="175">
        <f>보고서!C561</f>
        <v>0</v>
      </c>
      <c r="D526" s="175">
        <f>보고서!D561</f>
        <v>0</v>
      </c>
      <c r="E526" s="219" t="s">
        <v>821</v>
      </c>
      <c r="F526" s="191" t="str">
        <f>IF(D526=H529+L543,"투자자산 합계액 일치","투자자산 합계액 불일치")</f>
        <v>투자자산 합계액 일치</v>
      </c>
      <c r="G526" s="176">
        <f>보고서!G561</f>
        <v>0</v>
      </c>
      <c r="H526" s="207" t="str">
        <f>보고서!I561</f>
        <v>SPC 없음</v>
      </c>
      <c r="I526" s="218"/>
      <c r="J526" s="149"/>
      <c r="K526" s="149"/>
      <c r="L526" s="142"/>
    </row>
    <row r="527" spans="1:12">
      <c r="B527" s="179" t="s">
        <v>848</v>
      </c>
      <c r="C527" s="175">
        <f>보고서!C579</f>
        <v>0</v>
      </c>
      <c r="D527" s="175">
        <f>보고서!D579</f>
        <v>0</v>
      </c>
      <c r="E527" s="149"/>
      <c r="F527" s="149"/>
      <c r="G527" s="176">
        <f>보고서!G562</f>
        <v>0</v>
      </c>
      <c r="H527" s="207" t="str">
        <f>보고서!I562</f>
        <v>SPC 없음</v>
      </c>
      <c r="I527" s="218"/>
      <c r="J527" s="149"/>
      <c r="K527" s="149"/>
      <c r="L527" s="142"/>
    </row>
    <row r="528" spans="1:12" ht="14.25" thickBot="1">
      <c r="B528" s="180" t="s">
        <v>30</v>
      </c>
      <c r="C528" s="181">
        <f>보고서!C580</f>
        <v>0</v>
      </c>
      <c r="D528" s="181">
        <f>C528</f>
        <v>0</v>
      </c>
      <c r="E528" s="182" t="s">
        <v>810</v>
      </c>
      <c r="F528" s="149"/>
      <c r="G528" s="182">
        <f>보고서!G563</f>
        <v>0</v>
      </c>
      <c r="H528" s="209" t="str">
        <f>보고서!I563</f>
        <v>SPC 없음</v>
      </c>
      <c r="I528" s="218"/>
      <c r="J528" s="149"/>
      <c r="K528" s="149"/>
      <c r="L528" s="142"/>
    </row>
    <row r="529" spans="2:12" ht="14.25" thickTop="1">
      <c r="B529" s="179" t="s">
        <v>31</v>
      </c>
      <c r="C529" s="175">
        <f>C527-C528</f>
        <v>0</v>
      </c>
      <c r="D529" s="175">
        <f>D527-D528</f>
        <v>0</v>
      </c>
      <c r="E529" s="149"/>
      <c r="F529" s="149"/>
      <c r="H529" s="210">
        <f>SUM(H523:H528)</f>
        <v>0</v>
      </c>
      <c r="L529" s="142"/>
    </row>
    <row r="530" spans="2:12">
      <c r="B530" s="184" t="s">
        <v>804</v>
      </c>
      <c r="C530" s="177">
        <f>보고서!C582</f>
        <v>0</v>
      </c>
      <c r="D530" s="177">
        <f>C530</f>
        <v>0</v>
      </c>
      <c r="E530" s="149"/>
      <c r="F530" s="217"/>
      <c r="G530" s="215" t="s">
        <v>752</v>
      </c>
      <c r="H530" s="149"/>
      <c r="I530" s="149"/>
      <c r="J530" s="149"/>
      <c r="K530" s="149"/>
      <c r="L530" s="149"/>
    </row>
    <row r="531" spans="2:12">
      <c r="B531" s="184" t="s">
        <v>964</v>
      </c>
      <c r="C531" s="177">
        <f>보고서!C583</f>
        <v>0</v>
      </c>
      <c r="D531" s="177">
        <f>C531</f>
        <v>0</v>
      </c>
      <c r="E531" s="149"/>
      <c r="F531" s="149"/>
      <c r="G531" s="173" t="s">
        <v>805</v>
      </c>
      <c r="H531" s="173" t="s">
        <v>1</v>
      </c>
      <c r="I531" s="173" t="s">
        <v>12</v>
      </c>
      <c r="J531" s="173" t="s">
        <v>806</v>
      </c>
      <c r="K531" s="173" t="s">
        <v>3494</v>
      </c>
      <c r="L531" s="173" t="s">
        <v>3497</v>
      </c>
    </row>
    <row r="532" spans="2:12">
      <c r="B532" s="179" t="s">
        <v>842</v>
      </c>
      <c r="C532" s="175">
        <f>C529+C530-C531</f>
        <v>0</v>
      </c>
      <c r="D532" s="175">
        <f>D529+D530-D531</f>
        <v>0</v>
      </c>
      <c r="E532" s="149"/>
      <c r="F532" s="149"/>
      <c r="G532" s="176">
        <f>보고서!L558</f>
        <v>0</v>
      </c>
      <c r="H532" s="176">
        <f>보고서!M558</f>
        <v>0</v>
      </c>
      <c r="I532" s="176">
        <f>보고서!N558</f>
        <v>0</v>
      </c>
      <c r="J532" s="208">
        <f>보고서!O558</f>
        <v>0</v>
      </c>
      <c r="K532" s="208">
        <f>보고서!P558</f>
        <v>0</v>
      </c>
      <c r="L532" s="208">
        <f>보고서!Q558</f>
        <v>0</v>
      </c>
    </row>
    <row r="533" spans="2:12" ht="14.25" thickBot="1">
      <c r="B533" s="182" t="s">
        <v>811</v>
      </c>
      <c r="C533" s="220">
        <f>보고서!C585</f>
        <v>0</v>
      </c>
      <c r="D533" s="220">
        <f>C533</f>
        <v>0</v>
      </c>
      <c r="E533" s="221"/>
      <c r="F533" s="149"/>
      <c r="G533" s="176">
        <f>보고서!L559</f>
        <v>0</v>
      </c>
      <c r="H533" s="176">
        <f>보고서!M559</f>
        <v>0</v>
      </c>
      <c r="I533" s="176">
        <f>보고서!N559</f>
        <v>0</v>
      </c>
      <c r="J533" s="208">
        <f>보고서!O559</f>
        <v>0</v>
      </c>
      <c r="K533" s="208">
        <f>보고서!P559</f>
        <v>0</v>
      </c>
      <c r="L533" s="208">
        <f>보고서!Q559</f>
        <v>0</v>
      </c>
    </row>
    <row r="534" spans="2:12" ht="14.25" thickTop="1">
      <c r="B534" s="222" t="s">
        <v>746</v>
      </c>
      <c r="C534" s="175">
        <f>C532*C533</f>
        <v>0</v>
      </c>
      <c r="D534" s="175">
        <f>D532*D533</f>
        <v>0</v>
      </c>
      <c r="E534" s="149"/>
      <c r="F534" s="149"/>
      <c r="G534" s="176">
        <f>보고서!L560</f>
        <v>0</v>
      </c>
      <c r="H534" s="176">
        <f>보고서!M560</f>
        <v>0</v>
      </c>
      <c r="I534" s="176">
        <f>보고서!N560</f>
        <v>0</v>
      </c>
      <c r="J534" s="208">
        <f>보고서!O560</f>
        <v>0</v>
      </c>
      <c r="K534" s="208">
        <f>보고서!P560</f>
        <v>0</v>
      </c>
      <c r="L534" s="208">
        <f>보고서!Q560</f>
        <v>0</v>
      </c>
    </row>
    <row r="535" spans="2:12">
      <c r="B535" s="149"/>
      <c r="C535" s="149"/>
      <c r="D535" s="149"/>
      <c r="E535" s="149"/>
      <c r="F535" s="149"/>
      <c r="G535" s="176">
        <f>보고서!L561</f>
        <v>0</v>
      </c>
      <c r="H535" s="176">
        <f>보고서!M561</f>
        <v>0</v>
      </c>
      <c r="I535" s="176">
        <f>보고서!N561</f>
        <v>0</v>
      </c>
      <c r="J535" s="208">
        <f>보고서!O561</f>
        <v>0</v>
      </c>
      <c r="K535" s="208">
        <f>보고서!P561</f>
        <v>0</v>
      </c>
      <c r="L535" s="208">
        <f>보고서!Q561</f>
        <v>0</v>
      </c>
    </row>
    <row r="536" spans="2:12">
      <c r="B536" s="168" t="s">
        <v>38</v>
      </c>
      <c r="C536" s="191" t="b">
        <f>ROUND(C524+C525+C526-C528+C530-C531,0)=ROUND(C532,0)</f>
        <v>1</v>
      </c>
      <c r="D536" s="191" t="b">
        <f>ROUND(D524+D525+D526-D528+D530-D531,0)=ROUND(D532,0)</f>
        <v>1</v>
      </c>
      <c r="E536" s="149"/>
      <c r="F536" s="149"/>
      <c r="G536" s="176">
        <f>보고서!L562</f>
        <v>0</v>
      </c>
      <c r="H536" s="176">
        <f>보고서!M562</f>
        <v>0</v>
      </c>
      <c r="I536" s="176">
        <f>보고서!N562</f>
        <v>0</v>
      </c>
      <c r="J536" s="208">
        <f>보고서!O562</f>
        <v>0</v>
      </c>
      <c r="K536" s="208">
        <f>보고서!P562</f>
        <v>0</v>
      </c>
      <c r="L536" s="208">
        <f>보고서!Q562</f>
        <v>0</v>
      </c>
    </row>
    <row r="537" spans="2:12">
      <c r="B537" s="149"/>
      <c r="C537" s="149"/>
      <c r="D537" s="149"/>
      <c r="E537" s="149"/>
      <c r="F537" s="149"/>
      <c r="G537" s="176">
        <f>보고서!L563</f>
        <v>0</v>
      </c>
      <c r="H537" s="176">
        <f>보고서!M563</f>
        <v>0</v>
      </c>
      <c r="I537" s="176">
        <f>보고서!N563</f>
        <v>0</v>
      </c>
      <c r="J537" s="208">
        <f>보고서!O563</f>
        <v>0</v>
      </c>
      <c r="K537" s="208">
        <f>보고서!P563</f>
        <v>0</v>
      </c>
      <c r="L537" s="208">
        <f>보고서!Q563</f>
        <v>0</v>
      </c>
    </row>
    <row r="538" spans="2:12">
      <c r="B538" s="865" t="str">
        <f>IF(B519="SPC없음","해당사항 없음",B550)</f>
        <v>해당사항 없음</v>
      </c>
      <c r="C538" s="866"/>
      <c r="D538" s="866"/>
      <c r="E538" s="867"/>
      <c r="F538" s="149"/>
      <c r="G538" s="176">
        <f>보고서!L564</f>
        <v>0</v>
      </c>
      <c r="H538" s="176">
        <f>보고서!M564</f>
        <v>0</v>
      </c>
      <c r="I538" s="176">
        <f>보고서!N564</f>
        <v>0</v>
      </c>
      <c r="J538" s="208">
        <f>보고서!O564</f>
        <v>0</v>
      </c>
      <c r="K538" s="208">
        <f>보고서!P564</f>
        <v>0</v>
      </c>
      <c r="L538" s="208">
        <f>보고서!Q564</f>
        <v>0</v>
      </c>
    </row>
    <row r="539" spans="2:12">
      <c r="B539" s="868"/>
      <c r="C539" s="869"/>
      <c r="D539" s="869"/>
      <c r="E539" s="870"/>
      <c r="F539" s="149"/>
      <c r="G539" s="176">
        <f>보고서!L565</f>
        <v>0</v>
      </c>
      <c r="H539" s="176">
        <f>보고서!M565</f>
        <v>0</v>
      </c>
      <c r="I539" s="176">
        <f>보고서!N565</f>
        <v>0</v>
      </c>
      <c r="J539" s="208">
        <f>보고서!O565</f>
        <v>0</v>
      </c>
      <c r="K539" s="208">
        <f>보고서!P565</f>
        <v>0</v>
      </c>
      <c r="L539" s="208">
        <f>보고서!Q565</f>
        <v>0</v>
      </c>
    </row>
    <row r="540" spans="2:12">
      <c r="B540" s="868"/>
      <c r="C540" s="869"/>
      <c r="D540" s="869"/>
      <c r="E540" s="870"/>
      <c r="F540" s="149"/>
      <c r="G540" s="176">
        <f>보고서!L566</f>
        <v>0</v>
      </c>
      <c r="H540" s="176">
        <f>보고서!M566</f>
        <v>0</v>
      </c>
      <c r="I540" s="176">
        <f>보고서!N566</f>
        <v>0</v>
      </c>
      <c r="J540" s="208">
        <f>보고서!O566</f>
        <v>0</v>
      </c>
      <c r="K540" s="208">
        <f>보고서!P566</f>
        <v>0</v>
      </c>
      <c r="L540" s="208">
        <f>보고서!Q566</f>
        <v>0</v>
      </c>
    </row>
    <row r="541" spans="2:12">
      <c r="B541" s="868"/>
      <c r="C541" s="869"/>
      <c r="D541" s="869"/>
      <c r="E541" s="870"/>
      <c r="F541" s="149"/>
      <c r="G541" s="176">
        <f>보고서!L567</f>
        <v>0</v>
      </c>
      <c r="H541" s="176">
        <f>보고서!M567</f>
        <v>0</v>
      </c>
      <c r="I541" s="176">
        <f>보고서!N567</f>
        <v>0</v>
      </c>
      <c r="J541" s="208">
        <f>보고서!O567</f>
        <v>0</v>
      </c>
      <c r="K541" s="208">
        <f>보고서!P567</f>
        <v>0</v>
      </c>
      <c r="L541" s="208">
        <f>보고서!Q567</f>
        <v>0</v>
      </c>
    </row>
    <row r="542" spans="2:12" ht="14.25" thickBot="1">
      <c r="B542" s="868"/>
      <c r="C542" s="869"/>
      <c r="D542" s="869"/>
      <c r="E542" s="870"/>
      <c r="F542" s="149"/>
      <c r="G542" s="182">
        <f>보고서!L568</f>
        <v>0</v>
      </c>
      <c r="H542" s="182">
        <f>보고서!M568</f>
        <v>0</v>
      </c>
      <c r="I542" s="182">
        <f>보고서!N568</f>
        <v>0</v>
      </c>
      <c r="J542" s="212">
        <f>보고서!O568</f>
        <v>0</v>
      </c>
      <c r="K542" s="212">
        <f>보고서!P568</f>
        <v>0</v>
      </c>
      <c r="L542" s="212">
        <f>보고서!Q568</f>
        <v>0</v>
      </c>
    </row>
    <row r="543" spans="2:12" ht="14.25" thickTop="1">
      <c r="B543" s="868"/>
      <c r="C543" s="869"/>
      <c r="D543" s="869"/>
      <c r="E543" s="870"/>
      <c r="G543" s="908" t="s">
        <v>3496</v>
      </c>
      <c r="H543" s="908"/>
      <c r="I543" s="908"/>
      <c r="J543" s="908"/>
      <c r="K543" s="223">
        <f>SUM(K532:K542)</f>
        <v>0</v>
      </c>
      <c r="L543" s="223">
        <f>SUM(L532:L542)</f>
        <v>0</v>
      </c>
    </row>
    <row r="544" spans="2:12">
      <c r="B544" s="868"/>
      <c r="C544" s="869"/>
      <c r="D544" s="869"/>
      <c r="E544" s="870"/>
    </row>
    <row r="545" spans="1:12">
      <c r="B545" s="868"/>
      <c r="C545" s="869"/>
      <c r="D545" s="869"/>
      <c r="E545" s="870"/>
    </row>
    <row r="546" spans="1:12">
      <c r="B546" s="868"/>
      <c r="C546" s="869"/>
      <c r="D546" s="869"/>
      <c r="E546" s="870"/>
    </row>
    <row r="547" spans="1:12">
      <c r="B547" s="868"/>
      <c r="C547" s="869"/>
      <c r="D547" s="869"/>
      <c r="E547" s="870"/>
    </row>
    <row r="548" spans="1:12">
      <c r="B548" s="868"/>
      <c r="C548" s="869"/>
      <c r="D548" s="869"/>
      <c r="E548" s="870"/>
    </row>
    <row r="549" spans="1:12">
      <c r="B549" s="871"/>
      <c r="C549" s="872"/>
      <c r="D549" s="872"/>
      <c r="E549" s="873"/>
    </row>
    <row r="550" spans="1:12">
      <c r="B550" s="224" t="s">
        <v>857</v>
      </c>
    </row>
    <row r="551" spans="1:12">
      <c r="A551" s="142">
        <f>A519+1</f>
        <v>9</v>
      </c>
      <c r="B551" s="214" t="str">
        <f>보고서!B592</f>
        <v>SPC없음</v>
      </c>
      <c r="C551" s="149"/>
      <c r="D551" s="149"/>
      <c r="E551" s="149"/>
      <c r="F551" s="149"/>
      <c r="H551" s="149"/>
      <c r="I551" s="149"/>
      <c r="J551" s="149"/>
      <c r="K551" s="149"/>
      <c r="L551" s="149"/>
    </row>
    <row r="552" spans="1:12">
      <c r="B552" s="214" t="str">
        <f>보고서!B593</f>
        <v>SPC없음</v>
      </c>
      <c r="C552" s="149"/>
      <c r="D552" s="149"/>
      <c r="E552" s="149"/>
      <c r="F552" s="149"/>
      <c r="H552" s="149"/>
      <c r="I552" s="149"/>
      <c r="J552" s="149"/>
      <c r="K552" s="149"/>
      <c r="L552" s="149"/>
    </row>
    <row r="553" spans="1:12">
      <c r="B553" s="215" t="s">
        <v>750</v>
      </c>
      <c r="C553" s="216"/>
      <c r="D553" s="216"/>
      <c r="E553" s="216"/>
      <c r="F553" s="216"/>
      <c r="G553" s="215" t="s">
        <v>751</v>
      </c>
      <c r="H553" s="216"/>
      <c r="I553" s="216"/>
      <c r="J553" s="149"/>
      <c r="K553" s="149"/>
      <c r="L553" s="149"/>
    </row>
    <row r="554" spans="1:12">
      <c r="B554" s="173" t="s">
        <v>808</v>
      </c>
      <c r="C554" s="173" t="s">
        <v>10</v>
      </c>
      <c r="D554" s="173" t="s">
        <v>236</v>
      </c>
      <c r="E554" s="173" t="s">
        <v>801</v>
      </c>
      <c r="F554" s="217"/>
      <c r="G554" s="173" t="s">
        <v>88</v>
      </c>
      <c r="H554" s="173" t="s">
        <v>90</v>
      </c>
      <c r="I554" s="149"/>
      <c r="J554" s="149"/>
      <c r="K554" s="149"/>
      <c r="L554" s="142"/>
    </row>
    <row r="555" spans="1:12">
      <c r="B555" s="174" t="s">
        <v>3492</v>
      </c>
      <c r="C555" s="175">
        <f>보고서!C596</f>
        <v>0</v>
      </c>
      <c r="D555" s="175">
        <f>보고서!D596</f>
        <v>0</v>
      </c>
      <c r="E555" s="149"/>
      <c r="F555" s="149"/>
      <c r="G555" s="176">
        <f>보고서!G596</f>
        <v>0</v>
      </c>
      <c r="H555" s="207" t="str">
        <f>보고서!I596</f>
        <v>SPC 없음</v>
      </c>
      <c r="I555" s="149"/>
      <c r="J555" s="149"/>
      <c r="K555" s="149"/>
      <c r="L555" s="142"/>
    </row>
    <row r="556" spans="1:12">
      <c r="B556" s="176" t="s">
        <v>756</v>
      </c>
      <c r="C556" s="177">
        <f>보고서!C597</f>
        <v>0</v>
      </c>
      <c r="D556" s="177">
        <f>보고서!D597</f>
        <v>0</v>
      </c>
      <c r="E556" s="176" t="s">
        <v>810</v>
      </c>
      <c r="F556" s="149"/>
      <c r="G556" s="176">
        <f>보고서!G597</f>
        <v>0</v>
      </c>
      <c r="H556" s="207" t="str">
        <f>보고서!I597</f>
        <v>SPC 없음</v>
      </c>
      <c r="I556" s="149"/>
      <c r="J556" s="149"/>
      <c r="K556" s="149"/>
      <c r="L556" s="142"/>
    </row>
    <row r="557" spans="1:12">
      <c r="B557" s="176" t="s">
        <v>757</v>
      </c>
      <c r="C557" s="177">
        <f>보고서!C598</f>
        <v>0</v>
      </c>
      <c r="D557" s="177">
        <f>보고서!D598</f>
        <v>0</v>
      </c>
      <c r="E557" s="176" t="s">
        <v>810</v>
      </c>
      <c r="F557" s="149"/>
      <c r="G557" s="176">
        <f>보고서!G598</f>
        <v>0</v>
      </c>
      <c r="H557" s="207" t="str">
        <f>보고서!I598</f>
        <v>SPC 없음</v>
      </c>
      <c r="I557" s="218"/>
      <c r="J557" s="149"/>
      <c r="K557" s="149"/>
      <c r="L557" s="142"/>
    </row>
    <row r="558" spans="1:12">
      <c r="B558" s="179" t="s">
        <v>3493</v>
      </c>
      <c r="C558" s="175">
        <f>보고서!C599</f>
        <v>0</v>
      </c>
      <c r="D558" s="175">
        <f>보고서!D599</f>
        <v>0</v>
      </c>
      <c r="E558" s="219" t="s">
        <v>821</v>
      </c>
      <c r="F558" s="191" t="str">
        <f>IF(D558=H561+L575,"투자자산 합계액 일치","투자자산 합계액 불일치")</f>
        <v>투자자산 합계액 일치</v>
      </c>
      <c r="G558" s="176">
        <f>보고서!G599</f>
        <v>0</v>
      </c>
      <c r="H558" s="207" t="str">
        <f>보고서!I599</f>
        <v>SPC 없음</v>
      </c>
      <c r="I558" s="218"/>
      <c r="J558" s="149"/>
      <c r="K558" s="149"/>
      <c r="L558" s="142"/>
    </row>
    <row r="559" spans="1:12">
      <c r="B559" s="179" t="s">
        <v>848</v>
      </c>
      <c r="C559" s="175">
        <f>보고서!C617</f>
        <v>0</v>
      </c>
      <c r="D559" s="175">
        <f>보고서!D617</f>
        <v>0</v>
      </c>
      <c r="E559" s="149"/>
      <c r="F559" s="149"/>
      <c r="G559" s="176">
        <f>보고서!G600</f>
        <v>0</v>
      </c>
      <c r="H559" s="207" t="str">
        <f>보고서!I600</f>
        <v>SPC 없음</v>
      </c>
      <c r="I559" s="218"/>
      <c r="J559" s="149"/>
      <c r="K559" s="149"/>
      <c r="L559" s="142"/>
    </row>
    <row r="560" spans="1:12" ht="14.25" thickBot="1">
      <c r="B560" s="180" t="s">
        <v>30</v>
      </c>
      <c r="C560" s="181">
        <f>보고서!C618</f>
        <v>0</v>
      </c>
      <c r="D560" s="181">
        <f>C560</f>
        <v>0</v>
      </c>
      <c r="E560" s="182" t="s">
        <v>810</v>
      </c>
      <c r="F560" s="149"/>
      <c r="G560" s="182">
        <f>보고서!G601</f>
        <v>0</v>
      </c>
      <c r="H560" s="209" t="str">
        <f>보고서!I601</f>
        <v>SPC 없음</v>
      </c>
      <c r="I560" s="218"/>
      <c r="J560" s="149"/>
      <c r="K560" s="149"/>
      <c r="L560" s="142"/>
    </row>
    <row r="561" spans="2:12" ht="14.25" thickTop="1">
      <c r="B561" s="179" t="s">
        <v>31</v>
      </c>
      <c r="C561" s="175">
        <f>C559-C560</f>
        <v>0</v>
      </c>
      <c r="D561" s="175">
        <f>D559-D560</f>
        <v>0</v>
      </c>
      <c r="E561" s="149"/>
      <c r="F561" s="149"/>
      <c r="H561" s="210">
        <f>SUM(H555:H560)</f>
        <v>0</v>
      </c>
      <c r="L561" s="142"/>
    </row>
    <row r="562" spans="2:12">
      <c r="B562" s="184" t="s">
        <v>804</v>
      </c>
      <c r="C562" s="177">
        <f>보고서!C620</f>
        <v>0</v>
      </c>
      <c r="D562" s="177">
        <f>C562</f>
        <v>0</v>
      </c>
      <c r="E562" s="149"/>
      <c r="F562" s="217"/>
      <c r="G562" s="215" t="s">
        <v>752</v>
      </c>
      <c r="H562" s="149"/>
      <c r="I562" s="149"/>
      <c r="J562" s="149"/>
      <c r="K562" s="149"/>
      <c r="L562" s="149"/>
    </row>
    <row r="563" spans="2:12">
      <c r="B563" s="184" t="s">
        <v>964</v>
      </c>
      <c r="C563" s="177">
        <f>보고서!C621</f>
        <v>0</v>
      </c>
      <c r="D563" s="177">
        <f>C563</f>
        <v>0</v>
      </c>
      <c r="E563" s="149"/>
      <c r="F563" s="149"/>
      <c r="G563" s="173" t="s">
        <v>805</v>
      </c>
      <c r="H563" s="173" t="s">
        <v>1</v>
      </c>
      <c r="I563" s="173" t="s">
        <v>12</v>
      </c>
      <c r="J563" s="173" t="s">
        <v>806</v>
      </c>
      <c r="K563" s="173" t="s">
        <v>3494</v>
      </c>
      <c r="L563" s="173" t="s">
        <v>3497</v>
      </c>
    </row>
    <row r="564" spans="2:12">
      <c r="B564" s="179" t="s">
        <v>842</v>
      </c>
      <c r="C564" s="175">
        <f>C561+C562-C563</f>
        <v>0</v>
      </c>
      <c r="D564" s="175">
        <f>D561+D562-D563</f>
        <v>0</v>
      </c>
      <c r="E564" s="149"/>
      <c r="F564" s="149"/>
      <c r="G564" s="176">
        <f>보고서!L596</f>
        <v>0</v>
      </c>
      <c r="H564" s="176">
        <f>보고서!M596</f>
        <v>0</v>
      </c>
      <c r="I564" s="176">
        <f>보고서!N596</f>
        <v>0</v>
      </c>
      <c r="J564" s="208">
        <f>보고서!O596</f>
        <v>0</v>
      </c>
      <c r="K564" s="208">
        <f>보고서!P596</f>
        <v>0</v>
      </c>
      <c r="L564" s="208">
        <f>보고서!Q596</f>
        <v>0</v>
      </c>
    </row>
    <row r="565" spans="2:12" ht="14.25" thickBot="1">
      <c r="B565" s="182" t="s">
        <v>811</v>
      </c>
      <c r="C565" s="220">
        <f>보고서!C623</f>
        <v>0</v>
      </c>
      <c r="D565" s="220">
        <f>C565</f>
        <v>0</v>
      </c>
      <c r="E565" s="221"/>
      <c r="F565" s="149"/>
      <c r="G565" s="176">
        <f>보고서!L597</f>
        <v>0</v>
      </c>
      <c r="H565" s="176">
        <f>보고서!M597</f>
        <v>0</v>
      </c>
      <c r="I565" s="176">
        <f>보고서!N597</f>
        <v>0</v>
      </c>
      <c r="J565" s="208">
        <f>보고서!O597</f>
        <v>0</v>
      </c>
      <c r="K565" s="208">
        <f>보고서!P597</f>
        <v>0</v>
      </c>
      <c r="L565" s="208">
        <f>보고서!Q597</f>
        <v>0</v>
      </c>
    </row>
    <row r="566" spans="2:12" ht="14.25" thickTop="1">
      <c r="B566" s="222" t="s">
        <v>746</v>
      </c>
      <c r="C566" s="175">
        <f>C564*C565</f>
        <v>0</v>
      </c>
      <c r="D566" s="175">
        <f>D564*D565</f>
        <v>0</v>
      </c>
      <c r="E566" s="149"/>
      <c r="F566" s="149"/>
      <c r="G566" s="176">
        <f>보고서!L598</f>
        <v>0</v>
      </c>
      <c r="H566" s="176">
        <f>보고서!M598</f>
        <v>0</v>
      </c>
      <c r="I566" s="176">
        <f>보고서!N598</f>
        <v>0</v>
      </c>
      <c r="J566" s="208">
        <f>보고서!O598</f>
        <v>0</v>
      </c>
      <c r="K566" s="208">
        <f>보고서!P598</f>
        <v>0</v>
      </c>
      <c r="L566" s="208">
        <f>보고서!Q598</f>
        <v>0</v>
      </c>
    </row>
    <row r="567" spans="2:12">
      <c r="B567" s="149"/>
      <c r="C567" s="149"/>
      <c r="D567" s="149"/>
      <c r="E567" s="149"/>
      <c r="F567" s="149"/>
      <c r="G567" s="176">
        <f>보고서!L599</f>
        <v>0</v>
      </c>
      <c r="H567" s="176">
        <f>보고서!M599</f>
        <v>0</v>
      </c>
      <c r="I567" s="176">
        <f>보고서!N599</f>
        <v>0</v>
      </c>
      <c r="J567" s="208">
        <f>보고서!O599</f>
        <v>0</v>
      </c>
      <c r="K567" s="208">
        <f>보고서!P599</f>
        <v>0</v>
      </c>
      <c r="L567" s="208">
        <f>보고서!Q599</f>
        <v>0</v>
      </c>
    </row>
    <row r="568" spans="2:12">
      <c r="B568" s="168" t="s">
        <v>38</v>
      </c>
      <c r="C568" s="191" t="b">
        <f>ROUND(C556+C557+C558-C560+C562-C563,0)=ROUND(C564,0)</f>
        <v>1</v>
      </c>
      <c r="D568" s="191" t="b">
        <f>ROUND(D556+D557+D558-D560+D562-D563,0)=ROUND(D564,0)</f>
        <v>1</v>
      </c>
      <c r="E568" s="149"/>
      <c r="F568" s="149"/>
      <c r="G568" s="176">
        <f>보고서!L600</f>
        <v>0</v>
      </c>
      <c r="H568" s="176">
        <f>보고서!M600</f>
        <v>0</v>
      </c>
      <c r="I568" s="176">
        <f>보고서!N600</f>
        <v>0</v>
      </c>
      <c r="J568" s="208">
        <f>보고서!O600</f>
        <v>0</v>
      </c>
      <c r="K568" s="208">
        <f>보고서!P600</f>
        <v>0</v>
      </c>
      <c r="L568" s="208">
        <f>보고서!Q600</f>
        <v>0</v>
      </c>
    </row>
    <row r="569" spans="2:12" ht="13.5" customHeight="1">
      <c r="B569" s="149"/>
      <c r="C569" s="149"/>
      <c r="D569" s="149"/>
      <c r="E569" s="149"/>
      <c r="F569" s="149"/>
      <c r="G569" s="176">
        <f>보고서!L601</f>
        <v>0</v>
      </c>
      <c r="H569" s="176">
        <f>보고서!M601</f>
        <v>0</v>
      </c>
      <c r="I569" s="176">
        <f>보고서!N601</f>
        <v>0</v>
      </c>
      <c r="J569" s="208">
        <f>보고서!O601</f>
        <v>0</v>
      </c>
      <c r="K569" s="208">
        <f>보고서!P601</f>
        <v>0</v>
      </c>
      <c r="L569" s="208">
        <f>보고서!Q601</f>
        <v>0</v>
      </c>
    </row>
    <row r="570" spans="2:12">
      <c r="B570" s="865" t="str">
        <f>IF(B551="SPC없음","해당사항 없음",B582)</f>
        <v>해당사항 없음</v>
      </c>
      <c r="C570" s="866"/>
      <c r="D570" s="866"/>
      <c r="E570" s="867"/>
      <c r="F570" s="149"/>
      <c r="G570" s="176">
        <f>보고서!L602</f>
        <v>0</v>
      </c>
      <c r="H570" s="176">
        <f>보고서!M602</f>
        <v>0</v>
      </c>
      <c r="I570" s="176">
        <f>보고서!N602</f>
        <v>0</v>
      </c>
      <c r="J570" s="208">
        <f>보고서!O602</f>
        <v>0</v>
      </c>
      <c r="K570" s="208">
        <f>보고서!P602</f>
        <v>0</v>
      </c>
      <c r="L570" s="208">
        <f>보고서!Q602</f>
        <v>0</v>
      </c>
    </row>
    <row r="571" spans="2:12">
      <c r="B571" s="868"/>
      <c r="C571" s="869"/>
      <c r="D571" s="869"/>
      <c r="E571" s="870"/>
      <c r="F571" s="149"/>
      <c r="G571" s="176">
        <f>보고서!L603</f>
        <v>0</v>
      </c>
      <c r="H571" s="176">
        <f>보고서!M603</f>
        <v>0</v>
      </c>
      <c r="I571" s="176">
        <f>보고서!N603</f>
        <v>0</v>
      </c>
      <c r="J571" s="208">
        <f>보고서!O603</f>
        <v>0</v>
      </c>
      <c r="K571" s="208">
        <f>보고서!P603</f>
        <v>0</v>
      </c>
      <c r="L571" s="208">
        <f>보고서!Q603</f>
        <v>0</v>
      </c>
    </row>
    <row r="572" spans="2:12">
      <c r="B572" s="868"/>
      <c r="C572" s="869"/>
      <c r="D572" s="869"/>
      <c r="E572" s="870"/>
      <c r="F572" s="149"/>
      <c r="G572" s="176">
        <f>보고서!L604</f>
        <v>0</v>
      </c>
      <c r="H572" s="176">
        <f>보고서!M604</f>
        <v>0</v>
      </c>
      <c r="I572" s="176">
        <f>보고서!N604</f>
        <v>0</v>
      </c>
      <c r="J572" s="208">
        <f>보고서!O604</f>
        <v>0</v>
      </c>
      <c r="K572" s="208">
        <f>보고서!P604</f>
        <v>0</v>
      </c>
      <c r="L572" s="208">
        <f>보고서!Q604</f>
        <v>0</v>
      </c>
    </row>
    <row r="573" spans="2:12">
      <c r="B573" s="868"/>
      <c r="C573" s="869"/>
      <c r="D573" s="869"/>
      <c r="E573" s="870"/>
      <c r="F573" s="149"/>
      <c r="G573" s="176">
        <f>보고서!L605</f>
        <v>0</v>
      </c>
      <c r="H573" s="176">
        <f>보고서!M605</f>
        <v>0</v>
      </c>
      <c r="I573" s="176">
        <f>보고서!N605</f>
        <v>0</v>
      </c>
      <c r="J573" s="208">
        <f>보고서!O605</f>
        <v>0</v>
      </c>
      <c r="K573" s="208">
        <f>보고서!P605</f>
        <v>0</v>
      </c>
      <c r="L573" s="208">
        <f>보고서!Q605</f>
        <v>0</v>
      </c>
    </row>
    <row r="574" spans="2:12" ht="14.25" thickBot="1">
      <c r="B574" s="868"/>
      <c r="C574" s="869"/>
      <c r="D574" s="869"/>
      <c r="E574" s="870"/>
      <c r="F574" s="149"/>
      <c r="G574" s="182">
        <f>보고서!L606</f>
        <v>0</v>
      </c>
      <c r="H574" s="182">
        <f>보고서!M606</f>
        <v>0</v>
      </c>
      <c r="I574" s="182">
        <f>보고서!N606</f>
        <v>0</v>
      </c>
      <c r="J574" s="212">
        <f>보고서!O606</f>
        <v>0</v>
      </c>
      <c r="K574" s="212">
        <f>보고서!P606</f>
        <v>0</v>
      </c>
      <c r="L574" s="212">
        <f>보고서!Q606</f>
        <v>0</v>
      </c>
    </row>
    <row r="575" spans="2:12" ht="14.25" thickTop="1">
      <c r="B575" s="868"/>
      <c r="C575" s="869"/>
      <c r="D575" s="869"/>
      <c r="E575" s="870"/>
      <c r="G575" s="908" t="s">
        <v>3496</v>
      </c>
      <c r="H575" s="908"/>
      <c r="I575" s="908"/>
      <c r="J575" s="908"/>
      <c r="K575" s="223">
        <f>SUM(K564:K574)</f>
        <v>0</v>
      </c>
      <c r="L575" s="223">
        <f>SUM(L564:L574)</f>
        <v>0</v>
      </c>
    </row>
    <row r="576" spans="2:12">
      <c r="B576" s="868"/>
      <c r="C576" s="869"/>
      <c r="D576" s="869"/>
      <c r="E576" s="870"/>
    </row>
    <row r="577" spans="1:12">
      <c r="B577" s="868"/>
      <c r="C577" s="869"/>
      <c r="D577" s="869"/>
      <c r="E577" s="870"/>
    </row>
    <row r="578" spans="1:12">
      <c r="B578" s="868"/>
      <c r="C578" s="869"/>
      <c r="D578" s="869"/>
      <c r="E578" s="870"/>
    </row>
    <row r="579" spans="1:12">
      <c r="B579" s="868"/>
      <c r="C579" s="869"/>
      <c r="D579" s="869"/>
      <c r="E579" s="870"/>
    </row>
    <row r="580" spans="1:12">
      <c r="B580" s="868"/>
      <c r="C580" s="869"/>
      <c r="D580" s="869"/>
      <c r="E580" s="870"/>
    </row>
    <row r="581" spans="1:12">
      <c r="B581" s="871"/>
      <c r="C581" s="872"/>
      <c r="D581" s="872"/>
      <c r="E581" s="873"/>
    </row>
    <row r="582" spans="1:12">
      <c r="B582" s="224" t="s">
        <v>857</v>
      </c>
    </row>
    <row r="583" spans="1:12">
      <c r="A583" s="142">
        <f>A551+1</f>
        <v>10</v>
      </c>
      <c r="B583" s="214" t="str">
        <f>보고서!B630</f>
        <v>SPC없음</v>
      </c>
      <c r="C583" s="149"/>
      <c r="D583" s="149"/>
      <c r="E583" s="149"/>
      <c r="F583" s="149"/>
      <c r="H583" s="149"/>
      <c r="I583" s="149"/>
      <c r="J583" s="149"/>
      <c r="K583" s="149"/>
      <c r="L583" s="149"/>
    </row>
    <row r="584" spans="1:12">
      <c r="B584" s="214" t="str">
        <f>보고서!B631</f>
        <v>SPC없음</v>
      </c>
      <c r="C584" s="149"/>
      <c r="D584" s="149"/>
      <c r="E584" s="149"/>
      <c r="F584" s="149"/>
      <c r="H584" s="149"/>
      <c r="I584" s="149"/>
      <c r="J584" s="149"/>
      <c r="K584" s="149"/>
      <c r="L584" s="149"/>
    </row>
    <row r="585" spans="1:12">
      <c r="B585" s="215" t="s">
        <v>750</v>
      </c>
      <c r="C585" s="216"/>
      <c r="D585" s="216"/>
      <c r="E585" s="216"/>
      <c r="F585" s="216"/>
      <c r="G585" s="215" t="s">
        <v>751</v>
      </c>
      <c r="H585" s="216"/>
      <c r="I585" s="216"/>
      <c r="J585" s="149"/>
      <c r="K585" s="149"/>
      <c r="L585" s="149"/>
    </row>
    <row r="586" spans="1:12">
      <c r="B586" s="173" t="s">
        <v>808</v>
      </c>
      <c r="C586" s="173" t="s">
        <v>10</v>
      </c>
      <c r="D586" s="173" t="s">
        <v>236</v>
      </c>
      <c r="E586" s="173" t="s">
        <v>801</v>
      </c>
      <c r="F586" s="217"/>
      <c r="G586" s="173" t="s">
        <v>88</v>
      </c>
      <c r="H586" s="173" t="s">
        <v>90</v>
      </c>
      <c r="I586" s="149"/>
      <c r="J586" s="149"/>
      <c r="K586" s="149"/>
      <c r="L586" s="142"/>
    </row>
    <row r="587" spans="1:12">
      <c r="B587" s="174" t="s">
        <v>3492</v>
      </c>
      <c r="C587" s="175">
        <f>보고서!C634</f>
        <v>0</v>
      </c>
      <c r="D587" s="175">
        <f>보고서!D634</f>
        <v>0</v>
      </c>
      <c r="E587" s="149"/>
      <c r="F587" s="149"/>
      <c r="G587" s="176">
        <f>보고서!G634</f>
        <v>0</v>
      </c>
      <c r="H587" s="207" t="str">
        <f>보고서!I634</f>
        <v>SPC 없음</v>
      </c>
      <c r="I587" s="149"/>
      <c r="J587" s="149"/>
      <c r="K587" s="149"/>
      <c r="L587" s="142"/>
    </row>
    <row r="588" spans="1:12">
      <c r="B588" s="176" t="s">
        <v>756</v>
      </c>
      <c r="C588" s="177">
        <f>보고서!C635</f>
        <v>0</v>
      </c>
      <c r="D588" s="177">
        <f>보고서!D635</f>
        <v>0</v>
      </c>
      <c r="E588" s="176" t="s">
        <v>810</v>
      </c>
      <c r="F588" s="149"/>
      <c r="G588" s="176">
        <f>보고서!G635</f>
        <v>0</v>
      </c>
      <c r="H588" s="207" t="str">
        <f>보고서!I635</f>
        <v>SPC 없음</v>
      </c>
      <c r="I588" s="149"/>
      <c r="J588" s="149"/>
      <c r="K588" s="149"/>
      <c r="L588" s="142"/>
    </row>
    <row r="589" spans="1:12">
      <c r="B589" s="176" t="s">
        <v>757</v>
      </c>
      <c r="C589" s="177">
        <f>보고서!C636</f>
        <v>0</v>
      </c>
      <c r="D589" s="177">
        <f>보고서!D636</f>
        <v>0</v>
      </c>
      <c r="E589" s="176" t="s">
        <v>810</v>
      </c>
      <c r="F589" s="149"/>
      <c r="G589" s="176">
        <f>보고서!G636</f>
        <v>0</v>
      </c>
      <c r="H589" s="207" t="str">
        <f>보고서!I636</f>
        <v>SPC 없음</v>
      </c>
      <c r="I589" s="218"/>
      <c r="J589" s="149"/>
      <c r="K589" s="149"/>
      <c r="L589" s="142"/>
    </row>
    <row r="590" spans="1:12">
      <c r="B590" s="179" t="s">
        <v>3493</v>
      </c>
      <c r="C590" s="175">
        <f>보고서!C637</f>
        <v>0</v>
      </c>
      <c r="D590" s="175">
        <f>보고서!D637</f>
        <v>0</v>
      </c>
      <c r="E590" s="219" t="s">
        <v>821</v>
      </c>
      <c r="F590" s="191" t="str">
        <f>IF(D590=H593+L607,"투자자산 합계액 일치","투자자산 합계액 불일치")</f>
        <v>투자자산 합계액 일치</v>
      </c>
      <c r="G590" s="176">
        <f>보고서!G637</f>
        <v>0</v>
      </c>
      <c r="H590" s="207" t="str">
        <f>보고서!I637</f>
        <v>SPC 없음</v>
      </c>
      <c r="I590" s="218"/>
      <c r="J590" s="149"/>
      <c r="K590" s="149"/>
      <c r="L590" s="142"/>
    </row>
    <row r="591" spans="1:12">
      <c r="B591" s="179" t="s">
        <v>848</v>
      </c>
      <c r="C591" s="175">
        <f>보고서!C655</f>
        <v>0</v>
      </c>
      <c r="D591" s="175">
        <f>보고서!D655</f>
        <v>0</v>
      </c>
      <c r="E591" s="149"/>
      <c r="F591" s="149"/>
      <c r="G591" s="176">
        <f>보고서!G638</f>
        <v>0</v>
      </c>
      <c r="H591" s="207" t="str">
        <f>보고서!I638</f>
        <v>SPC 없음</v>
      </c>
      <c r="I591" s="218"/>
      <c r="J591" s="149"/>
      <c r="K591" s="149"/>
      <c r="L591" s="142"/>
    </row>
    <row r="592" spans="1:12" ht="14.25" thickBot="1">
      <c r="B592" s="180" t="s">
        <v>30</v>
      </c>
      <c r="C592" s="181">
        <f>보고서!C656</f>
        <v>0</v>
      </c>
      <c r="D592" s="181">
        <f>C592</f>
        <v>0</v>
      </c>
      <c r="E592" s="182" t="s">
        <v>810</v>
      </c>
      <c r="F592" s="149"/>
      <c r="G592" s="182">
        <f>보고서!G639</f>
        <v>0</v>
      </c>
      <c r="H592" s="209" t="str">
        <f>보고서!I639</f>
        <v>SPC 없음</v>
      </c>
      <c r="I592" s="218"/>
      <c r="J592" s="149"/>
      <c r="K592" s="149"/>
      <c r="L592" s="142"/>
    </row>
    <row r="593" spans="2:12" ht="14.25" thickTop="1">
      <c r="B593" s="179" t="s">
        <v>31</v>
      </c>
      <c r="C593" s="175">
        <f>C591-C592</f>
        <v>0</v>
      </c>
      <c r="D593" s="175">
        <f>D591-D592</f>
        <v>0</v>
      </c>
      <c r="E593" s="149"/>
      <c r="F593" s="149"/>
      <c r="H593" s="210">
        <f>SUM(H587:H592)</f>
        <v>0</v>
      </c>
      <c r="L593" s="142"/>
    </row>
    <row r="594" spans="2:12">
      <c r="B594" s="184" t="s">
        <v>804</v>
      </c>
      <c r="C594" s="177">
        <f>보고서!C658</f>
        <v>0</v>
      </c>
      <c r="D594" s="177">
        <f>C594</f>
        <v>0</v>
      </c>
      <c r="E594" s="149"/>
      <c r="F594" s="217"/>
      <c r="G594" s="215" t="s">
        <v>752</v>
      </c>
      <c r="H594" s="149"/>
      <c r="I594" s="149"/>
      <c r="J594" s="149"/>
      <c r="K594" s="149"/>
      <c r="L594" s="149"/>
    </row>
    <row r="595" spans="2:12">
      <c r="B595" s="184" t="s">
        <v>964</v>
      </c>
      <c r="C595" s="177">
        <f>보고서!C659</f>
        <v>0</v>
      </c>
      <c r="D595" s="177">
        <f>C595</f>
        <v>0</v>
      </c>
      <c r="E595" s="149"/>
      <c r="F595" s="149"/>
      <c r="G595" s="173" t="s">
        <v>805</v>
      </c>
      <c r="H595" s="173" t="s">
        <v>1</v>
      </c>
      <c r="I595" s="173" t="s">
        <v>12</v>
      </c>
      <c r="J595" s="173" t="s">
        <v>806</v>
      </c>
      <c r="K595" s="173" t="s">
        <v>3494</v>
      </c>
      <c r="L595" s="173" t="s">
        <v>3497</v>
      </c>
    </row>
    <row r="596" spans="2:12">
      <c r="B596" s="179" t="s">
        <v>842</v>
      </c>
      <c r="C596" s="175">
        <f>C593+C594-C595</f>
        <v>0</v>
      </c>
      <c r="D596" s="175">
        <f>D593+D594-D595</f>
        <v>0</v>
      </c>
      <c r="E596" s="149"/>
      <c r="F596" s="149"/>
      <c r="G596" s="176">
        <f>보고서!L634</f>
        <v>0</v>
      </c>
      <c r="H596" s="176">
        <f>보고서!M634</f>
        <v>0</v>
      </c>
      <c r="I596" s="176">
        <f>보고서!N634</f>
        <v>0</v>
      </c>
      <c r="J596" s="208">
        <f>보고서!O634</f>
        <v>0</v>
      </c>
      <c r="K596" s="208">
        <f>보고서!P634</f>
        <v>0</v>
      </c>
      <c r="L596" s="208">
        <f>보고서!Q634</f>
        <v>0</v>
      </c>
    </row>
    <row r="597" spans="2:12" ht="14.25" thickBot="1">
      <c r="B597" s="182" t="s">
        <v>811</v>
      </c>
      <c r="C597" s="220">
        <f>보고서!C661</f>
        <v>0</v>
      </c>
      <c r="D597" s="220">
        <f>C597</f>
        <v>0</v>
      </c>
      <c r="E597" s="221"/>
      <c r="F597" s="149"/>
      <c r="G597" s="176">
        <f>보고서!L635</f>
        <v>0</v>
      </c>
      <c r="H597" s="176">
        <f>보고서!M635</f>
        <v>0</v>
      </c>
      <c r="I597" s="176">
        <f>보고서!N635</f>
        <v>0</v>
      </c>
      <c r="J597" s="208">
        <f>보고서!O635</f>
        <v>0</v>
      </c>
      <c r="K597" s="208">
        <f>보고서!P635</f>
        <v>0</v>
      </c>
      <c r="L597" s="208">
        <f>보고서!Q635</f>
        <v>0</v>
      </c>
    </row>
    <row r="598" spans="2:12" ht="14.25" thickTop="1">
      <c r="B598" s="222" t="s">
        <v>746</v>
      </c>
      <c r="C598" s="175">
        <f>C596*C597</f>
        <v>0</v>
      </c>
      <c r="D598" s="175">
        <f>D596*D597</f>
        <v>0</v>
      </c>
      <c r="E598" s="149"/>
      <c r="F598" s="149"/>
      <c r="G598" s="176">
        <f>보고서!L636</f>
        <v>0</v>
      </c>
      <c r="H598" s="176">
        <f>보고서!M636</f>
        <v>0</v>
      </c>
      <c r="I598" s="176">
        <f>보고서!N636</f>
        <v>0</v>
      </c>
      <c r="J598" s="208">
        <f>보고서!O636</f>
        <v>0</v>
      </c>
      <c r="K598" s="208">
        <f>보고서!P636</f>
        <v>0</v>
      </c>
      <c r="L598" s="208">
        <f>보고서!Q636</f>
        <v>0</v>
      </c>
    </row>
    <row r="599" spans="2:12">
      <c r="B599" s="149"/>
      <c r="C599" s="149"/>
      <c r="D599" s="149"/>
      <c r="E599" s="149"/>
      <c r="F599" s="149"/>
      <c r="G599" s="176">
        <f>보고서!L637</f>
        <v>0</v>
      </c>
      <c r="H599" s="176">
        <f>보고서!M637</f>
        <v>0</v>
      </c>
      <c r="I599" s="176">
        <f>보고서!N637</f>
        <v>0</v>
      </c>
      <c r="J599" s="208">
        <f>보고서!O637</f>
        <v>0</v>
      </c>
      <c r="K599" s="208">
        <f>보고서!P637</f>
        <v>0</v>
      </c>
      <c r="L599" s="208">
        <f>보고서!Q637</f>
        <v>0</v>
      </c>
    </row>
    <row r="600" spans="2:12">
      <c r="B600" s="168" t="s">
        <v>38</v>
      </c>
      <c r="C600" s="191" t="b">
        <f>ROUND(C588+C589+C590-C592+C594-C595,0)=ROUND(C596,0)</f>
        <v>1</v>
      </c>
      <c r="D600" s="191" t="b">
        <f>ROUND(D588+D589+D590-D592+D594-D595,0)=ROUND(D596,0)</f>
        <v>1</v>
      </c>
      <c r="E600" s="149"/>
      <c r="F600" s="149"/>
      <c r="G600" s="176">
        <f>보고서!L638</f>
        <v>0</v>
      </c>
      <c r="H600" s="176">
        <f>보고서!M638</f>
        <v>0</v>
      </c>
      <c r="I600" s="176">
        <f>보고서!N638</f>
        <v>0</v>
      </c>
      <c r="J600" s="208">
        <f>보고서!O638</f>
        <v>0</v>
      </c>
      <c r="K600" s="208">
        <f>보고서!P638</f>
        <v>0</v>
      </c>
      <c r="L600" s="208">
        <f>보고서!Q638</f>
        <v>0</v>
      </c>
    </row>
    <row r="601" spans="2:12">
      <c r="B601" s="149"/>
      <c r="C601" s="149"/>
      <c r="D601" s="149"/>
      <c r="E601" s="149"/>
      <c r="F601" s="149"/>
      <c r="G601" s="176">
        <f>보고서!L639</f>
        <v>0</v>
      </c>
      <c r="H601" s="176">
        <f>보고서!M639</f>
        <v>0</v>
      </c>
      <c r="I601" s="176">
        <f>보고서!N639</f>
        <v>0</v>
      </c>
      <c r="J601" s="208">
        <f>보고서!O639</f>
        <v>0</v>
      </c>
      <c r="K601" s="208">
        <f>보고서!P639</f>
        <v>0</v>
      </c>
      <c r="L601" s="208">
        <f>보고서!Q639</f>
        <v>0</v>
      </c>
    </row>
    <row r="602" spans="2:12">
      <c r="B602" s="865" t="str">
        <f>IF(B583="SPC없음","해당사항 없음",B614)</f>
        <v>해당사항 없음</v>
      </c>
      <c r="C602" s="866"/>
      <c r="D602" s="866"/>
      <c r="E602" s="867"/>
      <c r="F602" s="149"/>
      <c r="G602" s="176">
        <f>보고서!L640</f>
        <v>0</v>
      </c>
      <c r="H602" s="176">
        <f>보고서!M640</f>
        <v>0</v>
      </c>
      <c r="I602" s="176">
        <f>보고서!N640</f>
        <v>0</v>
      </c>
      <c r="J602" s="208">
        <f>보고서!O640</f>
        <v>0</v>
      </c>
      <c r="K602" s="208">
        <f>보고서!P640</f>
        <v>0</v>
      </c>
      <c r="L602" s="208">
        <f>보고서!Q640</f>
        <v>0</v>
      </c>
    </row>
    <row r="603" spans="2:12">
      <c r="B603" s="868"/>
      <c r="C603" s="869"/>
      <c r="D603" s="869"/>
      <c r="E603" s="870"/>
      <c r="F603" s="149"/>
      <c r="G603" s="176">
        <f>보고서!L641</f>
        <v>0</v>
      </c>
      <c r="H603" s="176">
        <f>보고서!M641</f>
        <v>0</v>
      </c>
      <c r="I603" s="176">
        <f>보고서!N641</f>
        <v>0</v>
      </c>
      <c r="J603" s="208">
        <f>보고서!O641</f>
        <v>0</v>
      </c>
      <c r="K603" s="208">
        <f>보고서!P641</f>
        <v>0</v>
      </c>
      <c r="L603" s="208">
        <f>보고서!Q641</f>
        <v>0</v>
      </c>
    </row>
    <row r="604" spans="2:12">
      <c r="B604" s="868"/>
      <c r="C604" s="869"/>
      <c r="D604" s="869"/>
      <c r="E604" s="870"/>
      <c r="F604" s="149"/>
      <c r="G604" s="176">
        <f>보고서!L642</f>
        <v>0</v>
      </c>
      <c r="H604" s="176">
        <f>보고서!M642</f>
        <v>0</v>
      </c>
      <c r="I604" s="176">
        <f>보고서!N642</f>
        <v>0</v>
      </c>
      <c r="J604" s="208">
        <f>보고서!O642</f>
        <v>0</v>
      </c>
      <c r="K604" s="208">
        <f>보고서!P642</f>
        <v>0</v>
      </c>
      <c r="L604" s="208">
        <f>보고서!Q642</f>
        <v>0</v>
      </c>
    </row>
    <row r="605" spans="2:12">
      <c r="B605" s="868"/>
      <c r="C605" s="869"/>
      <c r="D605" s="869"/>
      <c r="E605" s="870"/>
      <c r="F605" s="149"/>
      <c r="G605" s="176">
        <f>보고서!L643</f>
        <v>0</v>
      </c>
      <c r="H605" s="176">
        <f>보고서!M643</f>
        <v>0</v>
      </c>
      <c r="I605" s="176">
        <f>보고서!N643</f>
        <v>0</v>
      </c>
      <c r="J605" s="208">
        <f>보고서!O643</f>
        <v>0</v>
      </c>
      <c r="K605" s="208">
        <f>보고서!P643</f>
        <v>0</v>
      </c>
      <c r="L605" s="208">
        <f>보고서!Q643</f>
        <v>0</v>
      </c>
    </row>
    <row r="606" spans="2:12" ht="14.25" thickBot="1">
      <c r="B606" s="868"/>
      <c r="C606" s="869"/>
      <c r="D606" s="869"/>
      <c r="E606" s="870"/>
      <c r="F606" s="149"/>
      <c r="G606" s="182">
        <f>보고서!L644</f>
        <v>0</v>
      </c>
      <c r="H606" s="182">
        <f>보고서!M644</f>
        <v>0</v>
      </c>
      <c r="I606" s="182">
        <f>보고서!N644</f>
        <v>0</v>
      </c>
      <c r="J606" s="212">
        <f>보고서!O644</f>
        <v>0</v>
      </c>
      <c r="K606" s="212">
        <f>보고서!P644</f>
        <v>0</v>
      </c>
      <c r="L606" s="212">
        <f>보고서!Q644</f>
        <v>0</v>
      </c>
    </row>
    <row r="607" spans="2:12" ht="14.25" thickTop="1">
      <c r="B607" s="868"/>
      <c r="C607" s="869"/>
      <c r="D607" s="869"/>
      <c r="E607" s="870"/>
      <c r="G607" s="908" t="s">
        <v>3496</v>
      </c>
      <c r="H607" s="908"/>
      <c r="I607" s="908"/>
      <c r="J607" s="908"/>
      <c r="K607" s="223">
        <f>SUM(K596:K606)</f>
        <v>0</v>
      </c>
      <c r="L607" s="223">
        <f>SUM(L596:L606)</f>
        <v>0</v>
      </c>
    </row>
    <row r="608" spans="2:12">
      <c r="B608" s="868"/>
      <c r="C608" s="869"/>
      <c r="D608" s="869"/>
      <c r="E608" s="870"/>
    </row>
    <row r="609" spans="1:12">
      <c r="B609" s="868"/>
      <c r="C609" s="869"/>
      <c r="D609" s="869"/>
      <c r="E609" s="870"/>
    </row>
    <row r="610" spans="1:12">
      <c r="B610" s="868"/>
      <c r="C610" s="869"/>
      <c r="D610" s="869"/>
      <c r="E610" s="870"/>
    </row>
    <row r="611" spans="1:12">
      <c r="B611" s="868"/>
      <c r="C611" s="869"/>
      <c r="D611" s="869"/>
      <c r="E611" s="870"/>
    </row>
    <row r="612" spans="1:12">
      <c r="B612" s="868"/>
      <c r="C612" s="869"/>
      <c r="D612" s="869"/>
      <c r="E612" s="870"/>
    </row>
    <row r="613" spans="1:12">
      <c r="B613" s="871"/>
      <c r="C613" s="872"/>
      <c r="D613" s="872"/>
      <c r="E613" s="873"/>
    </row>
    <row r="614" spans="1:12">
      <c r="B614" s="224" t="s">
        <v>857</v>
      </c>
    </row>
    <row r="615" spans="1:12">
      <c r="A615" s="142">
        <f>A583+1</f>
        <v>11</v>
      </c>
      <c r="B615" s="214" t="str">
        <f>보고서!B668</f>
        <v>SPC없음</v>
      </c>
      <c r="C615" s="149"/>
      <c r="D615" s="149"/>
      <c r="E615" s="149"/>
      <c r="F615" s="149"/>
      <c r="H615" s="149"/>
      <c r="I615" s="149"/>
      <c r="J615" s="149"/>
      <c r="K615" s="149"/>
      <c r="L615" s="149"/>
    </row>
    <row r="616" spans="1:12">
      <c r="B616" s="214" t="str">
        <f>보고서!B669</f>
        <v>SPC없음</v>
      </c>
      <c r="C616" s="149"/>
      <c r="D616" s="149"/>
      <c r="E616" s="149"/>
      <c r="F616" s="149"/>
      <c r="H616" s="149"/>
      <c r="I616" s="149"/>
      <c r="J616" s="149"/>
      <c r="K616" s="149"/>
      <c r="L616" s="149"/>
    </row>
    <row r="617" spans="1:12">
      <c r="B617" s="215" t="s">
        <v>750</v>
      </c>
      <c r="C617" s="216"/>
      <c r="D617" s="216"/>
      <c r="E617" s="216"/>
      <c r="F617" s="216"/>
      <c r="G617" s="215" t="s">
        <v>751</v>
      </c>
      <c r="H617" s="216"/>
      <c r="I617" s="216"/>
      <c r="J617" s="149"/>
      <c r="K617" s="149"/>
      <c r="L617" s="149"/>
    </row>
    <row r="618" spans="1:12">
      <c r="B618" s="173" t="s">
        <v>808</v>
      </c>
      <c r="C618" s="173" t="s">
        <v>10</v>
      </c>
      <c r="D618" s="173" t="s">
        <v>236</v>
      </c>
      <c r="E618" s="173" t="s">
        <v>801</v>
      </c>
      <c r="F618" s="217"/>
      <c r="G618" s="173" t="s">
        <v>88</v>
      </c>
      <c r="H618" s="173" t="s">
        <v>90</v>
      </c>
      <c r="I618" s="149"/>
      <c r="J618" s="149"/>
      <c r="K618" s="149"/>
      <c r="L618" s="142"/>
    </row>
    <row r="619" spans="1:12">
      <c r="B619" s="174" t="s">
        <v>3492</v>
      </c>
      <c r="C619" s="175">
        <f>보고서!C672</f>
        <v>0</v>
      </c>
      <c r="D619" s="175">
        <f>보고서!D672</f>
        <v>0</v>
      </c>
      <c r="E619" s="149"/>
      <c r="F619" s="149"/>
      <c r="G619" s="176">
        <f>보고서!G672</f>
        <v>0</v>
      </c>
      <c r="H619" s="207">
        <f>보고서!H672</f>
        <v>0</v>
      </c>
      <c r="I619" s="149"/>
      <c r="J619" s="149"/>
      <c r="K619" s="149"/>
      <c r="L619" s="142"/>
    </row>
    <row r="620" spans="1:12">
      <c r="B620" s="176" t="s">
        <v>756</v>
      </c>
      <c r="C620" s="177">
        <f>보고서!C673</f>
        <v>0</v>
      </c>
      <c r="D620" s="177">
        <f>보고서!D673</f>
        <v>0</v>
      </c>
      <c r="E620" s="176" t="s">
        <v>810</v>
      </c>
      <c r="F620" s="149"/>
      <c r="G620" s="176">
        <f>보고서!G673</f>
        <v>0</v>
      </c>
      <c r="H620" s="207">
        <f>보고서!H673</f>
        <v>0</v>
      </c>
      <c r="I620" s="149"/>
      <c r="J620" s="149"/>
      <c r="K620" s="149"/>
      <c r="L620" s="142"/>
    </row>
    <row r="621" spans="1:12">
      <c r="B621" s="176" t="s">
        <v>757</v>
      </c>
      <c r="C621" s="177">
        <f>보고서!C674</f>
        <v>0</v>
      </c>
      <c r="D621" s="177">
        <f>보고서!D674</f>
        <v>0</v>
      </c>
      <c r="E621" s="176" t="s">
        <v>810</v>
      </c>
      <c r="F621" s="149"/>
      <c r="G621" s="176">
        <f>보고서!G674</f>
        <v>0</v>
      </c>
      <c r="H621" s="207">
        <f>보고서!H674</f>
        <v>0</v>
      </c>
      <c r="I621" s="218"/>
      <c r="J621" s="149"/>
      <c r="K621" s="149"/>
      <c r="L621" s="142"/>
    </row>
    <row r="622" spans="1:12">
      <c r="B622" s="179" t="s">
        <v>3493</v>
      </c>
      <c r="C622" s="175">
        <f>보고서!C675</f>
        <v>0</v>
      </c>
      <c r="D622" s="175">
        <f>보고서!D675</f>
        <v>0</v>
      </c>
      <c r="E622" s="219" t="s">
        <v>821</v>
      </c>
      <c r="F622" s="191" t="str">
        <f>IF(D622=H625+L639,"투자자산 합계액 일치","투자자산 합계액 불일치")</f>
        <v>투자자산 합계액 일치</v>
      </c>
      <c r="G622" s="176">
        <f>보고서!G675</f>
        <v>0</v>
      </c>
      <c r="H622" s="207">
        <f>보고서!H675</f>
        <v>0</v>
      </c>
      <c r="I622" s="218"/>
      <c r="J622" s="149"/>
      <c r="K622" s="149"/>
      <c r="L622" s="142"/>
    </row>
    <row r="623" spans="1:12">
      <c r="B623" s="179" t="s">
        <v>848</v>
      </c>
      <c r="C623" s="175">
        <f>보고서!C693</f>
        <v>0</v>
      </c>
      <c r="D623" s="175">
        <f>보고서!D693</f>
        <v>0</v>
      </c>
      <c r="E623" s="149"/>
      <c r="F623" s="149"/>
      <c r="G623" s="176">
        <f>보고서!G676</f>
        <v>0</v>
      </c>
      <c r="H623" s="207">
        <f>보고서!H676</f>
        <v>0</v>
      </c>
      <c r="I623" s="218"/>
      <c r="J623" s="149"/>
      <c r="K623" s="149"/>
      <c r="L623" s="142"/>
    </row>
    <row r="624" spans="1:12" ht="14.25" thickBot="1">
      <c r="B624" s="180" t="s">
        <v>30</v>
      </c>
      <c r="C624" s="181">
        <f>보고서!C694</f>
        <v>0</v>
      </c>
      <c r="D624" s="181">
        <f>C624</f>
        <v>0</v>
      </c>
      <c r="E624" s="182" t="s">
        <v>810</v>
      </c>
      <c r="F624" s="149"/>
      <c r="G624" s="182">
        <f>보고서!G677</f>
        <v>0</v>
      </c>
      <c r="H624" s="209">
        <f>보고서!H677</f>
        <v>0</v>
      </c>
      <c r="I624" s="218"/>
      <c r="J624" s="149"/>
      <c r="K624" s="149"/>
      <c r="L624" s="142"/>
    </row>
    <row r="625" spans="2:12" ht="14.25" thickTop="1">
      <c r="B625" s="179" t="s">
        <v>31</v>
      </c>
      <c r="C625" s="175">
        <f>C623-C624</f>
        <v>0</v>
      </c>
      <c r="D625" s="175">
        <f>D623-D624</f>
        <v>0</v>
      </c>
      <c r="E625" s="149"/>
      <c r="F625" s="149"/>
      <c r="H625" s="210">
        <f>SUM(H619:H624)</f>
        <v>0</v>
      </c>
      <c r="L625" s="142"/>
    </row>
    <row r="626" spans="2:12">
      <c r="B626" s="184" t="s">
        <v>804</v>
      </c>
      <c r="C626" s="177">
        <f>보고서!C696</f>
        <v>0</v>
      </c>
      <c r="D626" s="177">
        <f>C626</f>
        <v>0</v>
      </c>
      <c r="E626" s="149"/>
      <c r="F626" s="217"/>
      <c r="G626" s="215" t="s">
        <v>752</v>
      </c>
      <c r="H626" s="149"/>
      <c r="I626" s="149"/>
      <c r="J626" s="149"/>
      <c r="K626" s="149"/>
      <c r="L626" s="149"/>
    </row>
    <row r="627" spans="2:12">
      <c r="B627" s="184" t="s">
        <v>964</v>
      </c>
      <c r="C627" s="177">
        <f>보고서!C697</f>
        <v>0</v>
      </c>
      <c r="D627" s="177">
        <f>C627</f>
        <v>0</v>
      </c>
      <c r="E627" s="149"/>
      <c r="F627" s="149"/>
      <c r="G627" s="173" t="s">
        <v>805</v>
      </c>
      <c r="H627" s="173" t="s">
        <v>1</v>
      </c>
      <c r="I627" s="173" t="s">
        <v>12</v>
      </c>
      <c r="J627" s="173" t="s">
        <v>806</v>
      </c>
      <c r="K627" s="173" t="s">
        <v>3494</v>
      </c>
      <c r="L627" s="173" t="s">
        <v>3497</v>
      </c>
    </row>
    <row r="628" spans="2:12">
      <c r="B628" s="179" t="s">
        <v>842</v>
      </c>
      <c r="C628" s="175">
        <f>C625+C626-C627</f>
        <v>0</v>
      </c>
      <c r="D628" s="175">
        <f>D625+D626-D627</f>
        <v>0</v>
      </c>
      <c r="E628" s="149"/>
      <c r="F628" s="149"/>
      <c r="G628" s="176">
        <f>보고서!L672</f>
        <v>0</v>
      </c>
      <c r="H628" s="176">
        <f>보고서!M672</f>
        <v>0</v>
      </c>
      <c r="I628" s="176">
        <f>보고서!N672</f>
        <v>0</v>
      </c>
      <c r="J628" s="208">
        <f>보고서!O672</f>
        <v>0</v>
      </c>
      <c r="K628" s="208">
        <f>보고서!P672</f>
        <v>0</v>
      </c>
      <c r="L628" s="208">
        <f>보고서!Q672</f>
        <v>0</v>
      </c>
    </row>
    <row r="629" spans="2:12" ht="14.25" thickBot="1">
      <c r="B629" s="182" t="s">
        <v>811</v>
      </c>
      <c r="C629" s="220">
        <f>보고서!C699</f>
        <v>0</v>
      </c>
      <c r="D629" s="220">
        <f>C629</f>
        <v>0</v>
      </c>
      <c r="E629" s="221"/>
      <c r="F629" s="149"/>
      <c r="G629" s="176">
        <f>보고서!L673</f>
        <v>0</v>
      </c>
      <c r="H629" s="176">
        <f>보고서!M673</f>
        <v>0</v>
      </c>
      <c r="I629" s="176">
        <f>보고서!N673</f>
        <v>0</v>
      </c>
      <c r="J629" s="208">
        <f>보고서!O673</f>
        <v>0</v>
      </c>
      <c r="K629" s="208">
        <f>보고서!P673</f>
        <v>0</v>
      </c>
      <c r="L629" s="208">
        <f>보고서!Q673</f>
        <v>0</v>
      </c>
    </row>
    <row r="630" spans="2:12" ht="14.25" thickTop="1">
      <c r="B630" s="222" t="s">
        <v>746</v>
      </c>
      <c r="C630" s="175">
        <f>C628*C629</f>
        <v>0</v>
      </c>
      <c r="D630" s="175">
        <f>D628*D629</f>
        <v>0</v>
      </c>
      <c r="E630" s="149"/>
      <c r="F630" s="149"/>
      <c r="G630" s="176">
        <f>보고서!L674</f>
        <v>0</v>
      </c>
      <c r="H630" s="176">
        <f>보고서!M674</f>
        <v>0</v>
      </c>
      <c r="I630" s="176">
        <f>보고서!N674</f>
        <v>0</v>
      </c>
      <c r="J630" s="208">
        <f>보고서!O674</f>
        <v>0</v>
      </c>
      <c r="K630" s="208">
        <f>보고서!P674</f>
        <v>0</v>
      </c>
      <c r="L630" s="208">
        <f>보고서!Q674</f>
        <v>0</v>
      </c>
    </row>
    <row r="631" spans="2:12">
      <c r="B631" s="149"/>
      <c r="C631" s="149"/>
      <c r="D631" s="149"/>
      <c r="E631" s="149"/>
      <c r="F631" s="149"/>
      <c r="G631" s="176">
        <f>보고서!L675</f>
        <v>0</v>
      </c>
      <c r="H631" s="176">
        <f>보고서!M675</f>
        <v>0</v>
      </c>
      <c r="I631" s="176">
        <f>보고서!N675</f>
        <v>0</v>
      </c>
      <c r="J631" s="208">
        <f>보고서!O675</f>
        <v>0</v>
      </c>
      <c r="K631" s="208">
        <f>보고서!P675</f>
        <v>0</v>
      </c>
      <c r="L631" s="208">
        <f>보고서!Q675</f>
        <v>0</v>
      </c>
    </row>
    <row r="632" spans="2:12">
      <c r="B632" s="168" t="s">
        <v>38</v>
      </c>
      <c r="C632" s="191" t="b">
        <f>ROUND(C620+C621+C622-C624+C626-C627,0)=ROUND(C628,0)</f>
        <v>1</v>
      </c>
      <c r="D632" s="191" t="b">
        <f>ROUND(D620+D621+D622-D624+D626-D627,0)=ROUND(D628,0)</f>
        <v>1</v>
      </c>
      <c r="E632" s="149"/>
      <c r="F632" s="149"/>
      <c r="G632" s="176">
        <f>보고서!L676</f>
        <v>0</v>
      </c>
      <c r="H632" s="176">
        <f>보고서!M676</f>
        <v>0</v>
      </c>
      <c r="I632" s="176">
        <f>보고서!N676</f>
        <v>0</v>
      </c>
      <c r="J632" s="208">
        <f>보고서!O676</f>
        <v>0</v>
      </c>
      <c r="K632" s="208">
        <f>보고서!P676</f>
        <v>0</v>
      </c>
      <c r="L632" s="208">
        <f>보고서!Q676</f>
        <v>0</v>
      </c>
    </row>
    <row r="633" spans="2:12">
      <c r="B633" s="149"/>
      <c r="C633" s="149"/>
      <c r="D633" s="149"/>
      <c r="E633" s="149"/>
      <c r="F633" s="149"/>
      <c r="G633" s="176">
        <f>보고서!L677</f>
        <v>0</v>
      </c>
      <c r="H633" s="176">
        <f>보고서!M677</f>
        <v>0</v>
      </c>
      <c r="I633" s="176">
        <f>보고서!N677</f>
        <v>0</v>
      </c>
      <c r="J633" s="208">
        <f>보고서!O677</f>
        <v>0</v>
      </c>
      <c r="K633" s="208">
        <f>보고서!P677</f>
        <v>0</v>
      </c>
      <c r="L633" s="208">
        <f>보고서!Q677</f>
        <v>0</v>
      </c>
    </row>
    <row r="634" spans="2:12">
      <c r="B634" s="865" t="str">
        <f>IF(B615="SPC없음","해당사항 없음",B646)</f>
        <v>해당사항 없음</v>
      </c>
      <c r="C634" s="866"/>
      <c r="D634" s="866"/>
      <c r="E634" s="867"/>
      <c r="F634" s="149"/>
      <c r="G634" s="176">
        <f>보고서!L678</f>
        <v>0</v>
      </c>
      <c r="H634" s="176">
        <f>보고서!M678</f>
        <v>0</v>
      </c>
      <c r="I634" s="176">
        <f>보고서!N678</f>
        <v>0</v>
      </c>
      <c r="J634" s="208">
        <f>보고서!O678</f>
        <v>0</v>
      </c>
      <c r="K634" s="208">
        <f>보고서!P678</f>
        <v>0</v>
      </c>
      <c r="L634" s="208">
        <f>보고서!Q678</f>
        <v>0</v>
      </c>
    </row>
    <row r="635" spans="2:12">
      <c r="B635" s="868"/>
      <c r="C635" s="869"/>
      <c r="D635" s="869"/>
      <c r="E635" s="870"/>
      <c r="F635" s="149"/>
      <c r="G635" s="176">
        <f>보고서!L679</f>
        <v>0</v>
      </c>
      <c r="H635" s="176">
        <f>보고서!M679</f>
        <v>0</v>
      </c>
      <c r="I635" s="176">
        <f>보고서!N679</f>
        <v>0</v>
      </c>
      <c r="J635" s="208">
        <f>보고서!O679</f>
        <v>0</v>
      </c>
      <c r="K635" s="208">
        <f>보고서!P679</f>
        <v>0</v>
      </c>
      <c r="L635" s="208">
        <f>보고서!Q679</f>
        <v>0</v>
      </c>
    </row>
    <row r="636" spans="2:12">
      <c r="B636" s="868"/>
      <c r="C636" s="869"/>
      <c r="D636" s="869"/>
      <c r="E636" s="870"/>
      <c r="F636" s="149"/>
      <c r="G636" s="176">
        <f>보고서!L680</f>
        <v>0</v>
      </c>
      <c r="H636" s="176">
        <f>보고서!M680</f>
        <v>0</v>
      </c>
      <c r="I636" s="176">
        <f>보고서!N680</f>
        <v>0</v>
      </c>
      <c r="J636" s="208">
        <f>보고서!O680</f>
        <v>0</v>
      </c>
      <c r="K636" s="208">
        <f>보고서!P680</f>
        <v>0</v>
      </c>
      <c r="L636" s="208">
        <f>보고서!Q680</f>
        <v>0</v>
      </c>
    </row>
    <row r="637" spans="2:12">
      <c r="B637" s="868"/>
      <c r="C637" s="869"/>
      <c r="D637" s="869"/>
      <c r="E637" s="870"/>
      <c r="F637" s="149"/>
      <c r="G637" s="176">
        <f>보고서!L681</f>
        <v>0</v>
      </c>
      <c r="H637" s="176">
        <f>보고서!M681</f>
        <v>0</v>
      </c>
      <c r="I637" s="176">
        <f>보고서!N681</f>
        <v>0</v>
      </c>
      <c r="J637" s="208">
        <f>보고서!O681</f>
        <v>0</v>
      </c>
      <c r="K637" s="208">
        <f>보고서!P681</f>
        <v>0</v>
      </c>
      <c r="L637" s="208">
        <f>보고서!Q681</f>
        <v>0</v>
      </c>
    </row>
    <row r="638" spans="2:12" ht="14.25" thickBot="1">
      <c r="B638" s="868"/>
      <c r="C638" s="869"/>
      <c r="D638" s="869"/>
      <c r="E638" s="870"/>
      <c r="F638" s="149"/>
      <c r="G638" s="182">
        <f>보고서!L682</f>
        <v>0</v>
      </c>
      <c r="H638" s="182">
        <f>보고서!M682</f>
        <v>0</v>
      </c>
      <c r="I638" s="182">
        <f>보고서!N682</f>
        <v>0</v>
      </c>
      <c r="J638" s="212">
        <f>보고서!O682</f>
        <v>0</v>
      </c>
      <c r="K638" s="212">
        <f>보고서!P682</f>
        <v>0</v>
      </c>
      <c r="L638" s="212">
        <f>보고서!Q682</f>
        <v>0</v>
      </c>
    </row>
    <row r="639" spans="2:12" ht="14.25" thickTop="1">
      <c r="B639" s="868"/>
      <c r="C639" s="869"/>
      <c r="D639" s="869"/>
      <c r="E639" s="870"/>
      <c r="G639" s="908" t="s">
        <v>3496</v>
      </c>
      <c r="H639" s="908"/>
      <c r="I639" s="908"/>
      <c r="J639" s="908"/>
      <c r="K639" s="223">
        <f>SUM(K628:K638)</f>
        <v>0</v>
      </c>
      <c r="L639" s="223">
        <f>SUM(L628:L638)</f>
        <v>0</v>
      </c>
    </row>
    <row r="640" spans="2:12">
      <c r="B640" s="868"/>
      <c r="C640" s="869"/>
      <c r="D640" s="869"/>
      <c r="E640" s="870"/>
    </row>
    <row r="641" spans="1:12">
      <c r="B641" s="868"/>
      <c r="C641" s="869"/>
      <c r="D641" s="869"/>
      <c r="E641" s="870"/>
    </row>
    <row r="642" spans="1:12">
      <c r="B642" s="868"/>
      <c r="C642" s="869"/>
      <c r="D642" s="869"/>
      <c r="E642" s="870"/>
    </row>
    <row r="643" spans="1:12">
      <c r="B643" s="868"/>
      <c r="C643" s="869"/>
      <c r="D643" s="869"/>
      <c r="E643" s="870"/>
    </row>
    <row r="644" spans="1:12">
      <c r="B644" s="868"/>
      <c r="C644" s="869"/>
      <c r="D644" s="869"/>
      <c r="E644" s="870"/>
    </row>
    <row r="645" spans="1:12">
      <c r="B645" s="871"/>
      <c r="C645" s="872"/>
      <c r="D645" s="872"/>
      <c r="E645" s="873"/>
    </row>
    <row r="646" spans="1:12">
      <c r="B646" s="224" t="s">
        <v>857</v>
      </c>
    </row>
    <row r="647" spans="1:12">
      <c r="A647" s="142">
        <f>A615+1</f>
        <v>12</v>
      </c>
      <c r="B647" s="214" t="str">
        <f>보고서!B706</f>
        <v>SPC없음</v>
      </c>
      <c r="C647" s="149"/>
      <c r="D647" s="149"/>
      <c r="E647" s="149"/>
      <c r="F647" s="149"/>
      <c r="H647" s="149"/>
      <c r="I647" s="149"/>
      <c r="J647" s="149"/>
      <c r="K647" s="149"/>
      <c r="L647" s="149"/>
    </row>
    <row r="648" spans="1:12">
      <c r="B648" s="214" t="str">
        <f>보고서!B707</f>
        <v>SPC없음</v>
      </c>
      <c r="C648" s="149"/>
      <c r="D648" s="149"/>
      <c r="E648" s="149"/>
      <c r="F648" s="149"/>
      <c r="H648" s="149"/>
      <c r="I648" s="149"/>
      <c r="J648" s="149"/>
      <c r="K648" s="149"/>
      <c r="L648" s="149"/>
    </row>
    <row r="649" spans="1:12">
      <c r="B649" s="215" t="s">
        <v>750</v>
      </c>
      <c r="C649" s="216"/>
      <c r="D649" s="216"/>
      <c r="E649" s="216"/>
      <c r="F649" s="216"/>
      <c r="G649" s="215" t="s">
        <v>751</v>
      </c>
      <c r="H649" s="216"/>
      <c r="I649" s="216"/>
      <c r="J649" s="149"/>
      <c r="K649" s="149"/>
      <c r="L649" s="149"/>
    </row>
    <row r="650" spans="1:12">
      <c r="B650" s="173" t="s">
        <v>808</v>
      </c>
      <c r="C650" s="173" t="s">
        <v>10</v>
      </c>
      <c r="D650" s="173" t="s">
        <v>236</v>
      </c>
      <c r="E650" s="173" t="s">
        <v>801</v>
      </c>
      <c r="F650" s="217"/>
      <c r="G650" s="173" t="s">
        <v>88</v>
      </c>
      <c r="H650" s="173" t="s">
        <v>90</v>
      </c>
      <c r="I650" s="149"/>
      <c r="J650" s="149"/>
      <c r="K650" s="149"/>
      <c r="L650" s="142"/>
    </row>
    <row r="651" spans="1:12">
      <c r="B651" s="174" t="s">
        <v>3492</v>
      </c>
      <c r="C651" s="175">
        <f>보고서!C710</f>
        <v>0</v>
      </c>
      <c r="D651" s="175">
        <f>보고서!D710</f>
        <v>0</v>
      </c>
      <c r="E651" s="149"/>
      <c r="F651" s="149"/>
      <c r="G651" s="176">
        <f>보고서!G710</f>
        <v>0</v>
      </c>
      <c r="H651" s="207" t="str">
        <f>보고서!I710</f>
        <v>SPC 없음</v>
      </c>
      <c r="I651" s="149"/>
      <c r="J651" s="149"/>
      <c r="K651" s="149"/>
      <c r="L651" s="142"/>
    </row>
    <row r="652" spans="1:12">
      <c r="B652" s="176" t="s">
        <v>756</v>
      </c>
      <c r="C652" s="177">
        <f>보고서!C711</f>
        <v>0</v>
      </c>
      <c r="D652" s="177">
        <f>보고서!D711</f>
        <v>0</v>
      </c>
      <c r="E652" s="176" t="s">
        <v>810</v>
      </c>
      <c r="F652" s="149"/>
      <c r="G652" s="176">
        <f>보고서!G711</f>
        <v>0</v>
      </c>
      <c r="H652" s="207" t="str">
        <f>보고서!I711</f>
        <v>SPC 없음</v>
      </c>
      <c r="I652" s="149"/>
      <c r="J652" s="149"/>
      <c r="K652" s="149"/>
      <c r="L652" s="142"/>
    </row>
    <row r="653" spans="1:12">
      <c r="B653" s="176" t="s">
        <v>757</v>
      </c>
      <c r="C653" s="177">
        <f>보고서!C712</f>
        <v>0</v>
      </c>
      <c r="D653" s="177">
        <f>보고서!D712</f>
        <v>0</v>
      </c>
      <c r="E653" s="176" t="s">
        <v>810</v>
      </c>
      <c r="F653" s="149"/>
      <c r="G653" s="176">
        <f>보고서!G712</f>
        <v>0</v>
      </c>
      <c r="H653" s="207" t="str">
        <f>보고서!I712</f>
        <v>SPC 없음</v>
      </c>
      <c r="I653" s="218"/>
      <c r="J653" s="149"/>
      <c r="K653" s="149"/>
      <c r="L653" s="142"/>
    </row>
    <row r="654" spans="1:12">
      <c r="B654" s="179" t="s">
        <v>3493</v>
      </c>
      <c r="C654" s="175">
        <f>보고서!C713</f>
        <v>0</v>
      </c>
      <c r="D654" s="175">
        <f>보고서!D713</f>
        <v>0</v>
      </c>
      <c r="E654" s="219" t="s">
        <v>821</v>
      </c>
      <c r="F654" s="191" t="str">
        <f>IF(D654=H657+L671,"투자자산 합계액 일치","투자자산 합계액 불일치")</f>
        <v>투자자산 합계액 일치</v>
      </c>
      <c r="G654" s="176">
        <f>보고서!G713</f>
        <v>0</v>
      </c>
      <c r="H654" s="207" t="str">
        <f>보고서!I713</f>
        <v>SPC 없음</v>
      </c>
      <c r="I654" s="218"/>
      <c r="J654" s="149"/>
      <c r="K654" s="149"/>
      <c r="L654" s="142"/>
    </row>
    <row r="655" spans="1:12">
      <c r="B655" s="179" t="s">
        <v>848</v>
      </c>
      <c r="C655" s="175">
        <f>보고서!C731</f>
        <v>0</v>
      </c>
      <c r="D655" s="175">
        <f>보고서!D731</f>
        <v>0</v>
      </c>
      <c r="E655" s="149"/>
      <c r="F655" s="149"/>
      <c r="G655" s="176">
        <f>보고서!G714</f>
        <v>0</v>
      </c>
      <c r="H655" s="207" t="str">
        <f>보고서!I714</f>
        <v>SPC 없음</v>
      </c>
      <c r="I655" s="218"/>
      <c r="J655" s="149"/>
      <c r="K655" s="149"/>
      <c r="L655" s="142"/>
    </row>
    <row r="656" spans="1:12" ht="14.25" thickBot="1">
      <c r="B656" s="180" t="s">
        <v>30</v>
      </c>
      <c r="C656" s="181">
        <f>보고서!C732</f>
        <v>0</v>
      </c>
      <c r="D656" s="181">
        <f>C656</f>
        <v>0</v>
      </c>
      <c r="E656" s="182" t="s">
        <v>810</v>
      </c>
      <c r="F656" s="149"/>
      <c r="G656" s="182">
        <f>보고서!G715</f>
        <v>0</v>
      </c>
      <c r="H656" s="209" t="str">
        <f>보고서!I715</f>
        <v>SPC 없음</v>
      </c>
      <c r="I656" s="218"/>
      <c r="J656" s="149"/>
      <c r="K656" s="149"/>
      <c r="L656" s="142"/>
    </row>
    <row r="657" spans="2:12" ht="14.25" thickTop="1">
      <c r="B657" s="179" t="s">
        <v>31</v>
      </c>
      <c r="C657" s="175">
        <f>C655-C656</f>
        <v>0</v>
      </c>
      <c r="D657" s="175">
        <f>D655-D656</f>
        <v>0</v>
      </c>
      <c r="E657" s="149"/>
      <c r="F657" s="149"/>
      <c r="H657" s="210">
        <f>SUM(H651:H656)</f>
        <v>0</v>
      </c>
      <c r="L657" s="142"/>
    </row>
    <row r="658" spans="2:12">
      <c r="B658" s="184" t="s">
        <v>804</v>
      </c>
      <c r="C658" s="177">
        <f>보고서!C734</f>
        <v>0</v>
      </c>
      <c r="D658" s="177">
        <f>C658</f>
        <v>0</v>
      </c>
      <c r="E658" s="149"/>
      <c r="F658" s="217"/>
      <c r="G658" s="215" t="s">
        <v>752</v>
      </c>
      <c r="H658" s="149"/>
      <c r="I658" s="149"/>
      <c r="J658" s="149"/>
      <c r="K658" s="149"/>
      <c r="L658" s="149"/>
    </row>
    <row r="659" spans="2:12">
      <c r="B659" s="184" t="s">
        <v>964</v>
      </c>
      <c r="C659" s="177">
        <f>보고서!C735</f>
        <v>0</v>
      </c>
      <c r="D659" s="177">
        <f>C659</f>
        <v>0</v>
      </c>
      <c r="E659" s="149"/>
      <c r="F659" s="149"/>
      <c r="G659" s="173" t="s">
        <v>805</v>
      </c>
      <c r="H659" s="173" t="s">
        <v>1</v>
      </c>
      <c r="I659" s="173" t="s">
        <v>12</v>
      </c>
      <c r="J659" s="173" t="s">
        <v>806</v>
      </c>
      <c r="K659" s="173" t="s">
        <v>3494</v>
      </c>
      <c r="L659" s="173" t="s">
        <v>3497</v>
      </c>
    </row>
    <row r="660" spans="2:12">
      <c r="B660" s="179" t="s">
        <v>842</v>
      </c>
      <c r="C660" s="175">
        <f>C657+C658-C659</f>
        <v>0</v>
      </c>
      <c r="D660" s="175">
        <f>D657+D658-D659</f>
        <v>0</v>
      </c>
      <c r="E660" s="149"/>
      <c r="F660" s="149"/>
      <c r="G660" s="176">
        <f>보고서!L710</f>
        <v>0</v>
      </c>
      <c r="H660" s="176">
        <f>보고서!M710</f>
        <v>0</v>
      </c>
      <c r="I660" s="176">
        <f>보고서!N710</f>
        <v>0</v>
      </c>
      <c r="J660" s="208">
        <f>보고서!O710</f>
        <v>0</v>
      </c>
      <c r="K660" s="208">
        <f>보고서!P710</f>
        <v>0</v>
      </c>
      <c r="L660" s="208">
        <f>보고서!Q710</f>
        <v>0</v>
      </c>
    </row>
    <row r="661" spans="2:12" ht="14.25" thickBot="1">
      <c r="B661" s="182" t="s">
        <v>811</v>
      </c>
      <c r="C661" s="220">
        <f>보고서!C737</f>
        <v>0</v>
      </c>
      <c r="D661" s="220">
        <f>C661</f>
        <v>0</v>
      </c>
      <c r="E661" s="221"/>
      <c r="F661" s="149"/>
      <c r="G661" s="176">
        <f>보고서!L711</f>
        <v>0</v>
      </c>
      <c r="H661" s="176">
        <f>보고서!M711</f>
        <v>0</v>
      </c>
      <c r="I661" s="176">
        <f>보고서!N711</f>
        <v>0</v>
      </c>
      <c r="J661" s="208">
        <f>보고서!O711</f>
        <v>0</v>
      </c>
      <c r="K661" s="208">
        <f>보고서!P711</f>
        <v>0</v>
      </c>
      <c r="L661" s="208">
        <f>보고서!Q711</f>
        <v>0</v>
      </c>
    </row>
    <row r="662" spans="2:12" ht="14.25" thickTop="1">
      <c r="B662" s="222" t="s">
        <v>746</v>
      </c>
      <c r="C662" s="175">
        <f>C660*C661</f>
        <v>0</v>
      </c>
      <c r="D662" s="175">
        <f>D660*D661</f>
        <v>0</v>
      </c>
      <c r="E662" s="149"/>
      <c r="F662" s="149"/>
      <c r="G662" s="176">
        <f>보고서!L712</f>
        <v>0</v>
      </c>
      <c r="H662" s="176">
        <f>보고서!M712</f>
        <v>0</v>
      </c>
      <c r="I662" s="176">
        <f>보고서!N712</f>
        <v>0</v>
      </c>
      <c r="J662" s="208">
        <f>보고서!O712</f>
        <v>0</v>
      </c>
      <c r="K662" s="208">
        <f>보고서!P712</f>
        <v>0</v>
      </c>
      <c r="L662" s="208">
        <f>보고서!Q712</f>
        <v>0</v>
      </c>
    </row>
    <row r="663" spans="2:12">
      <c r="B663" s="149"/>
      <c r="C663" s="149"/>
      <c r="D663" s="149"/>
      <c r="E663" s="149"/>
      <c r="F663" s="149"/>
      <c r="G663" s="176">
        <f>보고서!L713</f>
        <v>0</v>
      </c>
      <c r="H663" s="176">
        <f>보고서!M713</f>
        <v>0</v>
      </c>
      <c r="I663" s="176">
        <f>보고서!N713</f>
        <v>0</v>
      </c>
      <c r="J663" s="208">
        <f>보고서!O713</f>
        <v>0</v>
      </c>
      <c r="K663" s="208">
        <f>보고서!P713</f>
        <v>0</v>
      </c>
      <c r="L663" s="208">
        <f>보고서!Q713</f>
        <v>0</v>
      </c>
    </row>
    <row r="664" spans="2:12">
      <c r="B664" s="168" t="s">
        <v>38</v>
      </c>
      <c r="C664" s="191" t="b">
        <f>ROUND(C652+C653+C654-C656+C658-C659,0)=ROUND(C660,0)</f>
        <v>1</v>
      </c>
      <c r="D664" s="191" t="b">
        <f>ROUND(D652+D653+D654-D656+D658-D659,0)=ROUND(D660,0)</f>
        <v>1</v>
      </c>
      <c r="E664" s="149"/>
      <c r="F664" s="149"/>
      <c r="G664" s="176">
        <f>보고서!L714</f>
        <v>0</v>
      </c>
      <c r="H664" s="176">
        <f>보고서!M714</f>
        <v>0</v>
      </c>
      <c r="I664" s="176">
        <f>보고서!N714</f>
        <v>0</v>
      </c>
      <c r="J664" s="208">
        <f>보고서!O714</f>
        <v>0</v>
      </c>
      <c r="K664" s="208">
        <f>보고서!P714</f>
        <v>0</v>
      </c>
      <c r="L664" s="208">
        <f>보고서!Q714</f>
        <v>0</v>
      </c>
    </row>
    <row r="665" spans="2:12">
      <c r="B665" s="149"/>
      <c r="C665" s="149"/>
      <c r="D665" s="149"/>
      <c r="E665" s="149"/>
      <c r="F665" s="149"/>
      <c r="G665" s="176">
        <f>보고서!L715</f>
        <v>0</v>
      </c>
      <c r="H665" s="176">
        <f>보고서!M715</f>
        <v>0</v>
      </c>
      <c r="I665" s="176">
        <f>보고서!N715</f>
        <v>0</v>
      </c>
      <c r="J665" s="208">
        <f>보고서!O715</f>
        <v>0</v>
      </c>
      <c r="K665" s="208">
        <f>보고서!P715</f>
        <v>0</v>
      </c>
      <c r="L665" s="208">
        <f>보고서!Q715</f>
        <v>0</v>
      </c>
    </row>
    <row r="666" spans="2:12">
      <c r="B666" s="865" t="str">
        <f>IF(B647="SPC없음","해당사항 없음",B678)</f>
        <v>해당사항 없음</v>
      </c>
      <c r="C666" s="866"/>
      <c r="D666" s="866"/>
      <c r="E666" s="867"/>
      <c r="F666" s="149"/>
      <c r="G666" s="176">
        <f>보고서!L716</f>
        <v>0</v>
      </c>
      <c r="H666" s="176">
        <f>보고서!M716</f>
        <v>0</v>
      </c>
      <c r="I666" s="176">
        <f>보고서!N716</f>
        <v>0</v>
      </c>
      <c r="J666" s="208">
        <f>보고서!O716</f>
        <v>0</v>
      </c>
      <c r="K666" s="208">
        <f>보고서!P716</f>
        <v>0</v>
      </c>
      <c r="L666" s="208">
        <f>보고서!Q716</f>
        <v>0</v>
      </c>
    </row>
    <row r="667" spans="2:12">
      <c r="B667" s="868"/>
      <c r="C667" s="869"/>
      <c r="D667" s="869"/>
      <c r="E667" s="870"/>
      <c r="F667" s="149"/>
      <c r="G667" s="176">
        <f>보고서!L717</f>
        <v>0</v>
      </c>
      <c r="H667" s="176">
        <f>보고서!M717</f>
        <v>0</v>
      </c>
      <c r="I667" s="176">
        <f>보고서!N717</f>
        <v>0</v>
      </c>
      <c r="J667" s="208">
        <f>보고서!O717</f>
        <v>0</v>
      </c>
      <c r="K667" s="208">
        <f>보고서!P717</f>
        <v>0</v>
      </c>
      <c r="L667" s="208">
        <f>보고서!Q717</f>
        <v>0</v>
      </c>
    </row>
    <row r="668" spans="2:12">
      <c r="B668" s="868"/>
      <c r="C668" s="869"/>
      <c r="D668" s="869"/>
      <c r="E668" s="870"/>
      <c r="F668" s="149"/>
      <c r="G668" s="176">
        <f>보고서!L718</f>
        <v>0</v>
      </c>
      <c r="H668" s="176">
        <f>보고서!M718</f>
        <v>0</v>
      </c>
      <c r="I668" s="176">
        <f>보고서!N718</f>
        <v>0</v>
      </c>
      <c r="J668" s="208">
        <f>보고서!O718</f>
        <v>0</v>
      </c>
      <c r="K668" s="208">
        <f>보고서!P718</f>
        <v>0</v>
      </c>
      <c r="L668" s="208">
        <f>보고서!Q718</f>
        <v>0</v>
      </c>
    </row>
    <row r="669" spans="2:12">
      <c r="B669" s="868"/>
      <c r="C669" s="869"/>
      <c r="D669" s="869"/>
      <c r="E669" s="870"/>
      <c r="F669" s="149"/>
      <c r="G669" s="176">
        <f>보고서!L719</f>
        <v>0</v>
      </c>
      <c r="H669" s="176">
        <f>보고서!M719</f>
        <v>0</v>
      </c>
      <c r="I669" s="176">
        <f>보고서!N719</f>
        <v>0</v>
      </c>
      <c r="J669" s="208">
        <f>보고서!O719</f>
        <v>0</v>
      </c>
      <c r="K669" s="208">
        <f>보고서!P719</f>
        <v>0</v>
      </c>
      <c r="L669" s="208">
        <f>보고서!Q719</f>
        <v>0</v>
      </c>
    </row>
    <row r="670" spans="2:12" ht="14.25" thickBot="1">
      <c r="B670" s="868"/>
      <c r="C670" s="869"/>
      <c r="D670" s="869"/>
      <c r="E670" s="870"/>
      <c r="F670" s="149"/>
      <c r="G670" s="182">
        <f>보고서!L720</f>
        <v>0</v>
      </c>
      <c r="H670" s="182">
        <f>보고서!M720</f>
        <v>0</v>
      </c>
      <c r="I670" s="182">
        <f>보고서!N720</f>
        <v>0</v>
      </c>
      <c r="J670" s="212">
        <f>보고서!O720</f>
        <v>0</v>
      </c>
      <c r="K670" s="212">
        <f>보고서!P720</f>
        <v>0</v>
      </c>
      <c r="L670" s="212">
        <f>보고서!Q720</f>
        <v>0</v>
      </c>
    </row>
    <row r="671" spans="2:12" ht="14.25" thickTop="1">
      <c r="B671" s="868"/>
      <c r="C671" s="869"/>
      <c r="D671" s="869"/>
      <c r="E671" s="870"/>
      <c r="G671" s="908" t="s">
        <v>3496</v>
      </c>
      <c r="H671" s="908"/>
      <c r="I671" s="908"/>
      <c r="J671" s="908"/>
      <c r="K671" s="223">
        <f>SUM(K660:K670)</f>
        <v>0</v>
      </c>
      <c r="L671" s="223">
        <f>SUM(L660:L670)</f>
        <v>0</v>
      </c>
    </row>
    <row r="672" spans="2:12">
      <c r="B672" s="868"/>
      <c r="C672" s="869"/>
      <c r="D672" s="869"/>
      <c r="E672" s="870"/>
    </row>
    <row r="673" spans="1:12">
      <c r="B673" s="868"/>
      <c r="C673" s="869"/>
      <c r="D673" s="869"/>
      <c r="E673" s="870"/>
    </row>
    <row r="674" spans="1:12">
      <c r="B674" s="868"/>
      <c r="C674" s="869"/>
      <c r="D674" s="869"/>
      <c r="E674" s="870"/>
    </row>
    <row r="675" spans="1:12">
      <c r="B675" s="868"/>
      <c r="C675" s="869"/>
      <c r="D675" s="869"/>
      <c r="E675" s="870"/>
    </row>
    <row r="676" spans="1:12">
      <c r="B676" s="868"/>
      <c r="C676" s="869"/>
      <c r="D676" s="869"/>
      <c r="E676" s="870"/>
    </row>
    <row r="677" spans="1:12">
      <c r="B677" s="871"/>
      <c r="C677" s="872"/>
      <c r="D677" s="872"/>
      <c r="E677" s="873"/>
    </row>
    <row r="678" spans="1:12">
      <c r="B678" s="224" t="s">
        <v>857</v>
      </c>
    </row>
    <row r="679" spans="1:12">
      <c r="A679" s="142">
        <f>A647+1</f>
        <v>13</v>
      </c>
      <c r="B679" s="214" t="str">
        <f>보고서!B744</f>
        <v>SPC없음</v>
      </c>
      <c r="C679" s="149"/>
      <c r="D679" s="149"/>
      <c r="E679" s="149"/>
      <c r="F679" s="149"/>
      <c r="H679" s="149"/>
      <c r="I679" s="149"/>
      <c r="J679" s="149"/>
      <c r="K679" s="149"/>
      <c r="L679" s="149"/>
    </row>
    <row r="680" spans="1:12">
      <c r="B680" s="214" t="str">
        <f>보고서!B745</f>
        <v>SPC없음</v>
      </c>
      <c r="C680" s="149"/>
      <c r="D680" s="149"/>
      <c r="E680" s="149"/>
      <c r="F680" s="149"/>
      <c r="H680" s="149"/>
      <c r="I680" s="149"/>
      <c r="J680" s="149"/>
      <c r="K680" s="149"/>
      <c r="L680" s="149"/>
    </row>
    <row r="681" spans="1:12">
      <c r="B681" s="215" t="s">
        <v>750</v>
      </c>
      <c r="C681" s="216"/>
      <c r="D681" s="216"/>
      <c r="E681" s="216"/>
      <c r="F681" s="216"/>
      <c r="G681" s="215" t="s">
        <v>751</v>
      </c>
      <c r="H681" s="216"/>
      <c r="I681" s="216"/>
      <c r="J681" s="149"/>
      <c r="K681" s="149"/>
      <c r="L681" s="149"/>
    </row>
    <row r="682" spans="1:12">
      <c r="B682" s="173" t="s">
        <v>808</v>
      </c>
      <c r="C682" s="173" t="s">
        <v>10</v>
      </c>
      <c r="D682" s="173" t="s">
        <v>236</v>
      </c>
      <c r="E682" s="173" t="s">
        <v>801</v>
      </c>
      <c r="F682" s="217"/>
      <c r="G682" s="173" t="s">
        <v>88</v>
      </c>
      <c r="H682" s="173" t="s">
        <v>90</v>
      </c>
      <c r="I682" s="149"/>
      <c r="J682" s="149"/>
      <c r="K682" s="149"/>
      <c r="L682" s="142"/>
    </row>
    <row r="683" spans="1:12">
      <c r="B683" s="174" t="s">
        <v>3492</v>
      </c>
      <c r="C683" s="175">
        <f>보고서!C748</f>
        <v>0</v>
      </c>
      <c r="D683" s="175">
        <f>보고서!D748</f>
        <v>0</v>
      </c>
      <c r="E683" s="149"/>
      <c r="F683" s="149"/>
      <c r="G683" s="176">
        <f>보고서!G748</f>
        <v>0</v>
      </c>
      <c r="H683" s="207" t="str">
        <f>보고서!I748</f>
        <v>SPC 없음</v>
      </c>
      <c r="I683" s="149"/>
      <c r="J683" s="149"/>
      <c r="K683" s="149"/>
      <c r="L683" s="142"/>
    </row>
    <row r="684" spans="1:12">
      <c r="B684" s="176" t="s">
        <v>756</v>
      </c>
      <c r="C684" s="177">
        <f>보고서!C749</f>
        <v>0</v>
      </c>
      <c r="D684" s="177">
        <f>보고서!D749</f>
        <v>0</v>
      </c>
      <c r="E684" s="176" t="s">
        <v>810</v>
      </c>
      <c r="F684" s="149"/>
      <c r="G684" s="176">
        <f>보고서!G749</f>
        <v>0</v>
      </c>
      <c r="H684" s="207" t="str">
        <f>보고서!I749</f>
        <v>SPC 없음</v>
      </c>
      <c r="I684" s="149"/>
      <c r="J684" s="149"/>
      <c r="K684" s="149"/>
      <c r="L684" s="142"/>
    </row>
    <row r="685" spans="1:12">
      <c r="B685" s="176" t="s">
        <v>757</v>
      </c>
      <c r="C685" s="177">
        <f>보고서!C750</f>
        <v>0</v>
      </c>
      <c r="D685" s="177">
        <f>보고서!D750</f>
        <v>0</v>
      </c>
      <c r="E685" s="176" t="s">
        <v>810</v>
      </c>
      <c r="F685" s="149"/>
      <c r="G685" s="176">
        <f>보고서!G750</f>
        <v>0</v>
      </c>
      <c r="H685" s="207" t="str">
        <f>보고서!I750</f>
        <v>SPC 없음</v>
      </c>
      <c r="I685" s="218"/>
      <c r="J685" s="149"/>
      <c r="K685" s="149"/>
      <c r="L685" s="142"/>
    </row>
    <row r="686" spans="1:12">
      <c r="B686" s="179" t="s">
        <v>3493</v>
      </c>
      <c r="C686" s="175">
        <f>보고서!C751</f>
        <v>0</v>
      </c>
      <c r="D686" s="175">
        <f>보고서!D751</f>
        <v>0</v>
      </c>
      <c r="E686" s="219" t="s">
        <v>821</v>
      </c>
      <c r="F686" s="191" t="str">
        <f>IF(D686=H689+L703,"투자자산 합계액 일치","투자자산 합계액 불일치")</f>
        <v>투자자산 합계액 일치</v>
      </c>
      <c r="G686" s="176">
        <f>보고서!G751</f>
        <v>0</v>
      </c>
      <c r="H686" s="207" t="str">
        <f>보고서!I751</f>
        <v>SPC 없음</v>
      </c>
      <c r="I686" s="218"/>
      <c r="J686" s="149"/>
      <c r="K686" s="149"/>
      <c r="L686" s="142"/>
    </row>
    <row r="687" spans="1:12">
      <c r="B687" s="179" t="s">
        <v>848</v>
      </c>
      <c r="C687" s="175">
        <f>보고서!C769</f>
        <v>0</v>
      </c>
      <c r="D687" s="175">
        <f>보고서!D769</f>
        <v>0</v>
      </c>
      <c r="E687" s="149"/>
      <c r="F687" s="149"/>
      <c r="G687" s="176">
        <f>보고서!G752</f>
        <v>0</v>
      </c>
      <c r="H687" s="207" t="str">
        <f>보고서!I752</f>
        <v>SPC 없음</v>
      </c>
      <c r="I687" s="218"/>
      <c r="J687" s="149"/>
      <c r="K687" s="149"/>
      <c r="L687" s="142"/>
    </row>
    <row r="688" spans="1:12" ht="14.25" thickBot="1">
      <c r="B688" s="180" t="s">
        <v>30</v>
      </c>
      <c r="C688" s="181">
        <f>보고서!C770</f>
        <v>0</v>
      </c>
      <c r="D688" s="181">
        <f>C688</f>
        <v>0</v>
      </c>
      <c r="E688" s="182" t="s">
        <v>810</v>
      </c>
      <c r="F688" s="149"/>
      <c r="G688" s="182">
        <f>보고서!G753</f>
        <v>0</v>
      </c>
      <c r="H688" s="209" t="str">
        <f>보고서!I753</f>
        <v>SPC 없음</v>
      </c>
      <c r="I688" s="218"/>
      <c r="J688" s="149"/>
      <c r="K688" s="149"/>
      <c r="L688" s="142"/>
    </row>
    <row r="689" spans="2:12" ht="14.25" thickTop="1">
      <c r="B689" s="179" t="s">
        <v>31</v>
      </c>
      <c r="C689" s="175">
        <f>C687-C688</f>
        <v>0</v>
      </c>
      <c r="D689" s="175">
        <f>D687-D688</f>
        <v>0</v>
      </c>
      <c r="E689" s="149"/>
      <c r="F689" s="149"/>
      <c r="H689" s="210">
        <f>SUM(H683:H688)</f>
        <v>0</v>
      </c>
      <c r="L689" s="142"/>
    </row>
    <row r="690" spans="2:12">
      <c r="B690" s="184" t="s">
        <v>804</v>
      </c>
      <c r="C690" s="177">
        <f>보고서!C772</f>
        <v>0</v>
      </c>
      <c r="D690" s="177">
        <f>C690</f>
        <v>0</v>
      </c>
      <c r="E690" s="149"/>
      <c r="F690" s="217"/>
      <c r="G690" s="215" t="s">
        <v>752</v>
      </c>
      <c r="H690" s="149"/>
      <c r="I690" s="149"/>
      <c r="J690" s="149"/>
      <c r="K690" s="149"/>
      <c r="L690" s="149"/>
    </row>
    <row r="691" spans="2:12">
      <c r="B691" s="184" t="s">
        <v>964</v>
      </c>
      <c r="C691" s="177">
        <f>보고서!C773</f>
        <v>0</v>
      </c>
      <c r="D691" s="177">
        <f>C691</f>
        <v>0</v>
      </c>
      <c r="E691" s="149"/>
      <c r="F691" s="149"/>
      <c r="G691" s="173" t="s">
        <v>805</v>
      </c>
      <c r="H691" s="173" t="s">
        <v>1</v>
      </c>
      <c r="I691" s="173" t="s">
        <v>12</v>
      </c>
      <c r="J691" s="173" t="s">
        <v>806</v>
      </c>
      <c r="K691" s="173" t="s">
        <v>3494</v>
      </c>
      <c r="L691" s="173" t="s">
        <v>3497</v>
      </c>
    </row>
    <row r="692" spans="2:12">
      <c r="B692" s="179" t="s">
        <v>842</v>
      </c>
      <c r="C692" s="175">
        <f>C689+C690-C691</f>
        <v>0</v>
      </c>
      <c r="D692" s="175">
        <f>D689+D690-D691</f>
        <v>0</v>
      </c>
      <c r="E692" s="149"/>
      <c r="F692" s="149"/>
      <c r="G692" s="176">
        <f>보고서!L748</f>
        <v>0</v>
      </c>
      <c r="H692" s="176">
        <f>보고서!M748</f>
        <v>0</v>
      </c>
      <c r="I692" s="176">
        <f>보고서!N748</f>
        <v>0</v>
      </c>
      <c r="J692" s="208">
        <f>보고서!O748</f>
        <v>0</v>
      </c>
      <c r="K692" s="208">
        <f>보고서!P748</f>
        <v>0</v>
      </c>
      <c r="L692" s="208">
        <f>보고서!Q748</f>
        <v>0</v>
      </c>
    </row>
    <row r="693" spans="2:12" ht="14.25" thickBot="1">
      <c r="B693" s="182" t="s">
        <v>811</v>
      </c>
      <c r="C693" s="220">
        <f>보고서!C775</f>
        <v>0</v>
      </c>
      <c r="D693" s="220">
        <f>C693</f>
        <v>0</v>
      </c>
      <c r="E693" s="221"/>
      <c r="F693" s="149"/>
      <c r="G693" s="176">
        <f>보고서!L749</f>
        <v>0</v>
      </c>
      <c r="H693" s="176">
        <f>보고서!M749</f>
        <v>0</v>
      </c>
      <c r="I693" s="176">
        <f>보고서!N749</f>
        <v>0</v>
      </c>
      <c r="J693" s="208">
        <f>보고서!O749</f>
        <v>0</v>
      </c>
      <c r="K693" s="208">
        <f>보고서!P749</f>
        <v>0</v>
      </c>
      <c r="L693" s="208">
        <f>보고서!Q749</f>
        <v>0</v>
      </c>
    </row>
    <row r="694" spans="2:12" ht="14.25" thickTop="1">
      <c r="B694" s="222" t="s">
        <v>746</v>
      </c>
      <c r="C694" s="175">
        <f>C692*C693</f>
        <v>0</v>
      </c>
      <c r="D694" s="175">
        <f>D692*D693</f>
        <v>0</v>
      </c>
      <c r="E694" s="149"/>
      <c r="F694" s="149"/>
      <c r="G694" s="176">
        <f>보고서!L750</f>
        <v>0</v>
      </c>
      <c r="H694" s="176">
        <f>보고서!M750</f>
        <v>0</v>
      </c>
      <c r="I694" s="176">
        <f>보고서!N750</f>
        <v>0</v>
      </c>
      <c r="J694" s="208">
        <f>보고서!O750</f>
        <v>0</v>
      </c>
      <c r="K694" s="208">
        <f>보고서!P750</f>
        <v>0</v>
      </c>
      <c r="L694" s="208">
        <f>보고서!Q750</f>
        <v>0</v>
      </c>
    </row>
    <row r="695" spans="2:12">
      <c r="B695" s="149"/>
      <c r="C695" s="149"/>
      <c r="D695" s="149"/>
      <c r="E695" s="149"/>
      <c r="F695" s="149"/>
      <c r="G695" s="176">
        <f>보고서!L751</f>
        <v>0</v>
      </c>
      <c r="H695" s="176">
        <f>보고서!M751</f>
        <v>0</v>
      </c>
      <c r="I695" s="176">
        <f>보고서!N751</f>
        <v>0</v>
      </c>
      <c r="J695" s="208">
        <f>보고서!O751</f>
        <v>0</v>
      </c>
      <c r="K695" s="208">
        <f>보고서!P751</f>
        <v>0</v>
      </c>
      <c r="L695" s="208">
        <f>보고서!Q751</f>
        <v>0</v>
      </c>
    </row>
    <row r="696" spans="2:12">
      <c r="B696" s="168" t="s">
        <v>38</v>
      </c>
      <c r="C696" s="191" t="b">
        <f>ROUND(C684+C685+C686-C688+C690-C691,0)=ROUND(C692,0)</f>
        <v>1</v>
      </c>
      <c r="D696" s="191" t="b">
        <f>ROUND(D684+D685+D686-D688+D690-D691,0)=ROUND(D692,0)</f>
        <v>1</v>
      </c>
      <c r="E696" s="149"/>
      <c r="F696" s="149"/>
      <c r="G696" s="176">
        <f>보고서!L752</f>
        <v>0</v>
      </c>
      <c r="H696" s="176">
        <f>보고서!M752</f>
        <v>0</v>
      </c>
      <c r="I696" s="176">
        <f>보고서!N752</f>
        <v>0</v>
      </c>
      <c r="J696" s="208">
        <f>보고서!O752</f>
        <v>0</v>
      </c>
      <c r="K696" s="208">
        <f>보고서!P752</f>
        <v>0</v>
      </c>
      <c r="L696" s="208">
        <f>보고서!Q752</f>
        <v>0</v>
      </c>
    </row>
    <row r="697" spans="2:12">
      <c r="B697" s="149"/>
      <c r="C697" s="149"/>
      <c r="D697" s="149"/>
      <c r="E697" s="149"/>
      <c r="F697" s="149"/>
      <c r="G697" s="176">
        <f>보고서!L753</f>
        <v>0</v>
      </c>
      <c r="H697" s="176">
        <f>보고서!M753</f>
        <v>0</v>
      </c>
      <c r="I697" s="176">
        <f>보고서!N753</f>
        <v>0</v>
      </c>
      <c r="J697" s="208">
        <f>보고서!O753</f>
        <v>0</v>
      </c>
      <c r="K697" s="208">
        <f>보고서!P753</f>
        <v>0</v>
      </c>
      <c r="L697" s="208">
        <f>보고서!Q753</f>
        <v>0</v>
      </c>
    </row>
    <row r="698" spans="2:12">
      <c r="B698" s="865" t="str">
        <f>IF(B679="SPC없음","해당사항 없음",B710)</f>
        <v>해당사항 없음</v>
      </c>
      <c r="C698" s="866"/>
      <c r="D698" s="866"/>
      <c r="E698" s="867"/>
      <c r="F698" s="149"/>
      <c r="G698" s="176">
        <f>보고서!L754</f>
        <v>0</v>
      </c>
      <c r="H698" s="176">
        <f>보고서!M754</f>
        <v>0</v>
      </c>
      <c r="I698" s="176">
        <f>보고서!N754</f>
        <v>0</v>
      </c>
      <c r="J698" s="208">
        <f>보고서!O754</f>
        <v>0</v>
      </c>
      <c r="K698" s="208">
        <f>보고서!P754</f>
        <v>0</v>
      </c>
      <c r="L698" s="208">
        <f>보고서!Q754</f>
        <v>0</v>
      </c>
    </row>
    <row r="699" spans="2:12">
      <c r="B699" s="868"/>
      <c r="C699" s="869"/>
      <c r="D699" s="869"/>
      <c r="E699" s="870"/>
      <c r="F699" s="149"/>
      <c r="G699" s="176">
        <f>보고서!L755</f>
        <v>0</v>
      </c>
      <c r="H699" s="176">
        <f>보고서!M755</f>
        <v>0</v>
      </c>
      <c r="I699" s="176">
        <f>보고서!N755</f>
        <v>0</v>
      </c>
      <c r="J699" s="208">
        <f>보고서!O755</f>
        <v>0</v>
      </c>
      <c r="K699" s="208">
        <f>보고서!P755</f>
        <v>0</v>
      </c>
      <c r="L699" s="208">
        <f>보고서!Q755</f>
        <v>0</v>
      </c>
    </row>
    <row r="700" spans="2:12">
      <c r="B700" s="868"/>
      <c r="C700" s="869"/>
      <c r="D700" s="869"/>
      <c r="E700" s="870"/>
      <c r="F700" s="149"/>
      <c r="G700" s="176">
        <f>보고서!L756</f>
        <v>0</v>
      </c>
      <c r="H700" s="176">
        <f>보고서!M756</f>
        <v>0</v>
      </c>
      <c r="I700" s="176">
        <f>보고서!N756</f>
        <v>0</v>
      </c>
      <c r="J700" s="208">
        <f>보고서!O756</f>
        <v>0</v>
      </c>
      <c r="K700" s="208">
        <f>보고서!P756</f>
        <v>0</v>
      </c>
      <c r="L700" s="208">
        <f>보고서!Q756</f>
        <v>0</v>
      </c>
    </row>
    <row r="701" spans="2:12">
      <c r="B701" s="868"/>
      <c r="C701" s="869"/>
      <c r="D701" s="869"/>
      <c r="E701" s="870"/>
      <c r="F701" s="149"/>
      <c r="G701" s="176">
        <f>보고서!L757</f>
        <v>0</v>
      </c>
      <c r="H701" s="176">
        <f>보고서!M757</f>
        <v>0</v>
      </c>
      <c r="I701" s="176">
        <f>보고서!N757</f>
        <v>0</v>
      </c>
      <c r="J701" s="208">
        <f>보고서!O757</f>
        <v>0</v>
      </c>
      <c r="K701" s="208">
        <f>보고서!P757</f>
        <v>0</v>
      </c>
      <c r="L701" s="208">
        <f>보고서!Q757</f>
        <v>0</v>
      </c>
    </row>
    <row r="702" spans="2:12" ht="14.25" thickBot="1">
      <c r="B702" s="868"/>
      <c r="C702" s="869"/>
      <c r="D702" s="869"/>
      <c r="E702" s="870"/>
      <c r="F702" s="149"/>
      <c r="G702" s="182">
        <f>보고서!L758</f>
        <v>0</v>
      </c>
      <c r="H702" s="182">
        <f>보고서!M758</f>
        <v>0</v>
      </c>
      <c r="I702" s="182">
        <f>보고서!N758</f>
        <v>0</v>
      </c>
      <c r="J702" s="212">
        <f>보고서!O758</f>
        <v>0</v>
      </c>
      <c r="K702" s="212">
        <f>보고서!P758</f>
        <v>0</v>
      </c>
      <c r="L702" s="212">
        <f>보고서!Q758</f>
        <v>0</v>
      </c>
    </row>
    <row r="703" spans="2:12" ht="14.25" thickTop="1">
      <c r="B703" s="868"/>
      <c r="C703" s="869"/>
      <c r="D703" s="869"/>
      <c r="E703" s="870"/>
      <c r="G703" s="908" t="s">
        <v>3496</v>
      </c>
      <c r="H703" s="908"/>
      <c r="I703" s="908"/>
      <c r="J703" s="908"/>
      <c r="K703" s="223">
        <f>SUM(K692:K702)</f>
        <v>0</v>
      </c>
      <c r="L703" s="223">
        <f>SUM(L692:L702)</f>
        <v>0</v>
      </c>
    </row>
    <row r="704" spans="2:12">
      <c r="B704" s="868"/>
      <c r="C704" s="869"/>
      <c r="D704" s="869"/>
      <c r="E704" s="870"/>
    </row>
    <row r="705" spans="1:12">
      <c r="B705" s="868"/>
      <c r="C705" s="869"/>
      <c r="D705" s="869"/>
      <c r="E705" s="870"/>
    </row>
    <row r="706" spans="1:12">
      <c r="B706" s="868"/>
      <c r="C706" s="869"/>
      <c r="D706" s="869"/>
      <c r="E706" s="870"/>
    </row>
    <row r="707" spans="1:12">
      <c r="B707" s="868"/>
      <c r="C707" s="869"/>
      <c r="D707" s="869"/>
      <c r="E707" s="870"/>
    </row>
    <row r="708" spans="1:12">
      <c r="B708" s="868"/>
      <c r="C708" s="869"/>
      <c r="D708" s="869"/>
      <c r="E708" s="870"/>
    </row>
    <row r="709" spans="1:12">
      <c r="B709" s="871"/>
      <c r="C709" s="872"/>
      <c r="D709" s="872"/>
      <c r="E709" s="873"/>
    </row>
    <row r="710" spans="1:12">
      <c r="B710" s="224" t="s">
        <v>857</v>
      </c>
    </row>
    <row r="711" spans="1:12">
      <c r="A711" s="142">
        <f>A679+1</f>
        <v>14</v>
      </c>
      <c r="B711" s="214" t="str">
        <f>보고서!B782</f>
        <v>SPC없음</v>
      </c>
      <c r="C711" s="149"/>
      <c r="D711" s="149"/>
      <c r="E711" s="149"/>
      <c r="F711" s="149"/>
      <c r="H711" s="149"/>
      <c r="I711" s="149"/>
      <c r="J711" s="149"/>
      <c r="K711" s="149"/>
      <c r="L711" s="149"/>
    </row>
    <row r="712" spans="1:12">
      <c r="B712" s="214" t="str">
        <f>보고서!B783</f>
        <v>SPC없음</v>
      </c>
      <c r="C712" s="149"/>
      <c r="D712" s="149"/>
      <c r="E712" s="149"/>
      <c r="F712" s="149"/>
      <c r="H712" s="149"/>
      <c r="I712" s="149"/>
      <c r="J712" s="149"/>
      <c r="K712" s="149"/>
      <c r="L712" s="149"/>
    </row>
    <row r="713" spans="1:12">
      <c r="B713" s="215" t="s">
        <v>750</v>
      </c>
      <c r="C713" s="216"/>
      <c r="D713" s="216"/>
      <c r="E713" s="216"/>
      <c r="F713" s="216"/>
      <c r="G713" s="215" t="s">
        <v>751</v>
      </c>
      <c r="H713" s="216"/>
      <c r="I713" s="216"/>
      <c r="J713" s="149"/>
      <c r="K713" s="149"/>
      <c r="L713" s="149"/>
    </row>
    <row r="714" spans="1:12">
      <c r="B714" s="173" t="s">
        <v>808</v>
      </c>
      <c r="C714" s="173" t="s">
        <v>10</v>
      </c>
      <c r="D714" s="173" t="s">
        <v>236</v>
      </c>
      <c r="E714" s="173" t="s">
        <v>801</v>
      </c>
      <c r="F714" s="217"/>
      <c r="G714" s="173" t="s">
        <v>88</v>
      </c>
      <c r="H714" s="173" t="s">
        <v>90</v>
      </c>
      <c r="I714" s="149"/>
      <c r="J714" s="149"/>
      <c r="K714" s="149"/>
      <c r="L714" s="142"/>
    </row>
    <row r="715" spans="1:12">
      <c r="B715" s="174" t="s">
        <v>3492</v>
      </c>
      <c r="C715" s="175">
        <f>보고서!C786</f>
        <v>0</v>
      </c>
      <c r="D715" s="175">
        <f>보고서!D786</f>
        <v>0</v>
      </c>
      <c r="E715" s="149"/>
      <c r="F715" s="149"/>
      <c r="G715" s="176">
        <f>보고서!G786</f>
        <v>0</v>
      </c>
      <c r="H715" s="207" t="str">
        <f>보고서!I786</f>
        <v>SPC 없음</v>
      </c>
      <c r="I715" s="149"/>
      <c r="J715" s="149"/>
      <c r="K715" s="149"/>
      <c r="L715" s="142"/>
    </row>
    <row r="716" spans="1:12">
      <c r="B716" s="176" t="s">
        <v>756</v>
      </c>
      <c r="C716" s="177">
        <f>보고서!C787</f>
        <v>0</v>
      </c>
      <c r="D716" s="177">
        <f>보고서!D787</f>
        <v>0</v>
      </c>
      <c r="E716" s="176" t="s">
        <v>810</v>
      </c>
      <c r="F716" s="149"/>
      <c r="G716" s="176">
        <f>보고서!G787</f>
        <v>0</v>
      </c>
      <c r="H716" s="207" t="str">
        <f>보고서!I787</f>
        <v>SPC 없음</v>
      </c>
      <c r="I716" s="149"/>
      <c r="J716" s="149"/>
      <c r="K716" s="149"/>
      <c r="L716" s="142"/>
    </row>
    <row r="717" spans="1:12">
      <c r="B717" s="176" t="s">
        <v>757</v>
      </c>
      <c r="C717" s="177">
        <f>보고서!C788</f>
        <v>0</v>
      </c>
      <c r="D717" s="177">
        <f>보고서!D788</f>
        <v>0</v>
      </c>
      <c r="E717" s="176" t="s">
        <v>810</v>
      </c>
      <c r="F717" s="149"/>
      <c r="G717" s="176">
        <f>보고서!G788</f>
        <v>0</v>
      </c>
      <c r="H717" s="207" t="str">
        <f>보고서!I788</f>
        <v>SPC 없음</v>
      </c>
      <c r="I717" s="218"/>
      <c r="J717" s="149"/>
      <c r="K717" s="149"/>
      <c r="L717" s="142"/>
    </row>
    <row r="718" spans="1:12">
      <c r="B718" s="179" t="s">
        <v>3493</v>
      </c>
      <c r="C718" s="175">
        <f>보고서!C789</f>
        <v>0</v>
      </c>
      <c r="D718" s="175">
        <f>보고서!D789</f>
        <v>0</v>
      </c>
      <c r="E718" s="219" t="s">
        <v>821</v>
      </c>
      <c r="F718" s="191" t="str">
        <f>IF(D718=H721+L735,"투자자산 합계액 일치","투자자산 합계액 불일치")</f>
        <v>투자자산 합계액 일치</v>
      </c>
      <c r="G718" s="176">
        <f>보고서!G789</f>
        <v>0</v>
      </c>
      <c r="H718" s="207" t="str">
        <f>보고서!I789</f>
        <v>SPC 없음</v>
      </c>
      <c r="I718" s="218"/>
      <c r="J718" s="149"/>
      <c r="K718" s="149"/>
      <c r="L718" s="142"/>
    </row>
    <row r="719" spans="1:12">
      <c r="B719" s="179" t="s">
        <v>848</v>
      </c>
      <c r="C719" s="175">
        <f>보고서!C807</f>
        <v>0</v>
      </c>
      <c r="D719" s="175">
        <f>보고서!D807</f>
        <v>0</v>
      </c>
      <c r="E719" s="149"/>
      <c r="F719" s="149"/>
      <c r="G719" s="176">
        <f>보고서!G790</f>
        <v>0</v>
      </c>
      <c r="H719" s="207" t="str">
        <f>보고서!I790</f>
        <v>SPC 없음</v>
      </c>
      <c r="I719" s="218"/>
      <c r="J719" s="149"/>
      <c r="K719" s="149"/>
      <c r="L719" s="142"/>
    </row>
    <row r="720" spans="1:12" ht="14.25" thickBot="1">
      <c r="B720" s="180" t="s">
        <v>30</v>
      </c>
      <c r="C720" s="181">
        <f>보고서!C808</f>
        <v>0</v>
      </c>
      <c r="D720" s="181">
        <f>C720</f>
        <v>0</v>
      </c>
      <c r="E720" s="182" t="s">
        <v>810</v>
      </c>
      <c r="F720" s="149"/>
      <c r="G720" s="182">
        <f>보고서!G791</f>
        <v>0</v>
      </c>
      <c r="H720" s="209" t="str">
        <f>보고서!I791</f>
        <v>SPC 없음</v>
      </c>
      <c r="I720" s="218"/>
      <c r="J720" s="149"/>
      <c r="K720" s="149"/>
      <c r="L720" s="142"/>
    </row>
    <row r="721" spans="2:12" ht="14.25" thickTop="1">
      <c r="B721" s="179" t="s">
        <v>31</v>
      </c>
      <c r="C721" s="175">
        <f>C719-C720</f>
        <v>0</v>
      </c>
      <c r="D721" s="175">
        <f>D719-D720</f>
        <v>0</v>
      </c>
      <c r="E721" s="149"/>
      <c r="F721" s="149"/>
      <c r="H721" s="210">
        <f>SUM(H715:H720)</f>
        <v>0</v>
      </c>
      <c r="L721" s="142"/>
    </row>
    <row r="722" spans="2:12">
      <c r="B722" s="184" t="s">
        <v>804</v>
      </c>
      <c r="C722" s="177">
        <f>보고서!C810</f>
        <v>0</v>
      </c>
      <c r="D722" s="177">
        <f>C722</f>
        <v>0</v>
      </c>
      <c r="E722" s="149"/>
      <c r="F722" s="217"/>
      <c r="G722" s="215" t="s">
        <v>752</v>
      </c>
      <c r="H722" s="149"/>
      <c r="I722" s="149"/>
      <c r="J722" s="149"/>
      <c r="K722" s="149"/>
      <c r="L722" s="149"/>
    </row>
    <row r="723" spans="2:12">
      <c r="B723" s="184" t="s">
        <v>964</v>
      </c>
      <c r="C723" s="177">
        <f>보고서!C811</f>
        <v>0</v>
      </c>
      <c r="D723" s="177">
        <f>C723</f>
        <v>0</v>
      </c>
      <c r="E723" s="149"/>
      <c r="F723" s="149"/>
      <c r="G723" s="173" t="s">
        <v>805</v>
      </c>
      <c r="H723" s="173" t="s">
        <v>1</v>
      </c>
      <c r="I723" s="173" t="s">
        <v>12</v>
      </c>
      <c r="J723" s="173" t="s">
        <v>806</v>
      </c>
      <c r="K723" s="173" t="s">
        <v>3494</v>
      </c>
      <c r="L723" s="173" t="s">
        <v>3497</v>
      </c>
    </row>
    <row r="724" spans="2:12">
      <c r="B724" s="179" t="s">
        <v>842</v>
      </c>
      <c r="C724" s="175">
        <f>C721+C722-C723</f>
        <v>0</v>
      </c>
      <c r="D724" s="175">
        <f>D721+D722-D723</f>
        <v>0</v>
      </c>
      <c r="E724" s="149"/>
      <c r="F724" s="149"/>
      <c r="G724" s="176">
        <f>보고서!L786</f>
        <v>0</v>
      </c>
      <c r="H724" s="176">
        <f>보고서!M786</f>
        <v>0</v>
      </c>
      <c r="I724" s="176">
        <f>보고서!N786</f>
        <v>0</v>
      </c>
      <c r="J724" s="208">
        <f>보고서!O786</f>
        <v>0</v>
      </c>
      <c r="K724" s="208">
        <f>보고서!P786</f>
        <v>0</v>
      </c>
      <c r="L724" s="208">
        <f>보고서!Q786</f>
        <v>0</v>
      </c>
    </row>
    <row r="725" spans="2:12" ht="14.25" thickBot="1">
      <c r="B725" s="182" t="s">
        <v>811</v>
      </c>
      <c r="C725" s="220">
        <f>보고서!C813</f>
        <v>0</v>
      </c>
      <c r="D725" s="220">
        <f>C725</f>
        <v>0</v>
      </c>
      <c r="E725" s="221"/>
      <c r="F725" s="149"/>
      <c r="G725" s="176">
        <f>보고서!L787</f>
        <v>0</v>
      </c>
      <c r="H725" s="176">
        <f>보고서!M787</f>
        <v>0</v>
      </c>
      <c r="I725" s="176">
        <f>보고서!N787</f>
        <v>0</v>
      </c>
      <c r="J725" s="208">
        <f>보고서!O787</f>
        <v>0</v>
      </c>
      <c r="K725" s="208">
        <f>보고서!P787</f>
        <v>0</v>
      </c>
      <c r="L725" s="208">
        <f>보고서!Q787</f>
        <v>0</v>
      </c>
    </row>
    <row r="726" spans="2:12" ht="14.25" thickTop="1">
      <c r="B726" s="222" t="s">
        <v>746</v>
      </c>
      <c r="C726" s="175">
        <f>C724*C725</f>
        <v>0</v>
      </c>
      <c r="D726" s="175">
        <f>D724*D725</f>
        <v>0</v>
      </c>
      <c r="E726" s="149"/>
      <c r="F726" s="149"/>
      <c r="G726" s="176">
        <f>보고서!L788</f>
        <v>0</v>
      </c>
      <c r="H726" s="176">
        <f>보고서!M788</f>
        <v>0</v>
      </c>
      <c r="I726" s="176">
        <f>보고서!N788</f>
        <v>0</v>
      </c>
      <c r="J726" s="208">
        <f>보고서!O788</f>
        <v>0</v>
      </c>
      <c r="K726" s="208">
        <f>보고서!P788</f>
        <v>0</v>
      </c>
      <c r="L726" s="208">
        <f>보고서!Q788</f>
        <v>0</v>
      </c>
    </row>
    <row r="727" spans="2:12">
      <c r="B727" s="149"/>
      <c r="C727" s="149"/>
      <c r="D727" s="149"/>
      <c r="E727" s="149"/>
      <c r="F727" s="149"/>
      <c r="G727" s="176">
        <f>보고서!L789</f>
        <v>0</v>
      </c>
      <c r="H727" s="176">
        <f>보고서!M789</f>
        <v>0</v>
      </c>
      <c r="I727" s="176">
        <f>보고서!N789</f>
        <v>0</v>
      </c>
      <c r="J727" s="208">
        <f>보고서!O789</f>
        <v>0</v>
      </c>
      <c r="K727" s="208">
        <f>보고서!P789</f>
        <v>0</v>
      </c>
      <c r="L727" s="208">
        <f>보고서!Q789</f>
        <v>0</v>
      </c>
    </row>
    <row r="728" spans="2:12">
      <c r="B728" s="168" t="s">
        <v>38</v>
      </c>
      <c r="C728" s="191" t="b">
        <f>ROUND(C716+C717+C718-C720+C722-C723,0)=ROUND(C724,0)</f>
        <v>1</v>
      </c>
      <c r="D728" s="191" t="b">
        <f>ROUND(D716+D717+D718-D720+D722-D723,0)=ROUND(D724,0)</f>
        <v>1</v>
      </c>
      <c r="E728" s="149"/>
      <c r="F728" s="149"/>
      <c r="G728" s="176">
        <f>보고서!L790</f>
        <v>0</v>
      </c>
      <c r="H728" s="176">
        <f>보고서!M790</f>
        <v>0</v>
      </c>
      <c r="I728" s="176">
        <f>보고서!N790</f>
        <v>0</v>
      </c>
      <c r="J728" s="208">
        <f>보고서!O790</f>
        <v>0</v>
      </c>
      <c r="K728" s="208">
        <f>보고서!P790</f>
        <v>0</v>
      </c>
      <c r="L728" s="208">
        <f>보고서!Q790</f>
        <v>0</v>
      </c>
    </row>
    <row r="729" spans="2:12">
      <c r="B729" s="149"/>
      <c r="C729" s="149"/>
      <c r="D729" s="149"/>
      <c r="E729" s="149"/>
      <c r="F729" s="149"/>
      <c r="G729" s="176">
        <f>보고서!L791</f>
        <v>0</v>
      </c>
      <c r="H729" s="176">
        <f>보고서!M791</f>
        <v>0</v>
      </c>
      <c r="I729" s="176">
        <f>보고서!N791</f>
        <v>0</v>
      </c>
      <c r="J729" s="208">
        <f>보고서!O791</f>
        <v>0</v>
      </c>
      <c r="K729" s="208">
        <f>보고서!P791</f>
        <v>0</v>
      </c>
      <c r="L729" s="208">
        <f>보고서!Q791</f>
        <v>0</v>
      </c>
    </row>
    <row r="730" spans="2:12">
      <c r="B730" s="865" t="str">
        <f>IF(B711="SPC없음","해당사항 없음",B742)</f>
        <v>해당사항 없음</v>
      </c>
      <c r="C730" s="866"/>
      <c r="D730" s="866"/>
      <c r="E730" s="867"/>
      <c r="F730" s="149"/>
      <c r="G730" s="176">
        <f>보고서!L792</f>
        <v>0</v>
      </c>
      <c r="H730" s="176">
        <f>보고서!M792</f>
        <v>0</v>
      </c>
      <c r="I730" s="176">
        <f>보고서!N792</f>
        <v>0</v>
      </c>
      <c r="J730" s="208">
        <f>보고서!O792</f>
        <v>0</v>
      </c>
      <c r="K730" s="208">
        <f>보고서!P792</f>
        <v>0</v>
      </c>
      <c r="L730" s="208">
        <f>보고서!Q792</f>
        <v>0</v>
      </c>
    </row>
    <row r="731" spans="2:12">
      <c r="B731" s="868"/>
      <c r="C731" s="869"/>
      <c r="D731" s="869"/>
      <c r="E731" s="870"/>
      <c r="F731" s="149"/>
      <c r="G731" s="176">
        <f>보고서!L793</f>
        <v>0</v>
      </c>
      <c r="H731" s="176">
        <f>보고서!M793</f>
        <v>0</v>
      </c>
      <c r="I731" s="176">
        <f>보고서!N793</f>
        <v>0</v>
      </c>
      <c r="J731" s="208">
        <f>보고서!O793</f>
        <v>0</v>
      </c>
      <c r="K731" s="208">
        <f>보고서!P793</f>
        <v>0</v>
      </c>
      <c r="L731" s="208">
        <f>보고서!Q793</f>
        <v>0</v>
      </c>
    </row>
    <row r="732" spans="2:12">
      <c r="B732" s="868"/>
      <c r="C732" s="869"/>
      <c r="D732" s="869"/>
      <c r="E732" s="870"/>
      <c r="F732" s="149"/>
      <c r="G732" s="176">
        <f>보고서!L794</f>
        <v>0</v>
      </c>
      <c r="H732" s="176">
        <f>보고서!M794</f>
        <v>0</v>
      </c>
      <c r="I732" s="176">
        <f>보고서!N794</f>
        <v>0</v>
      </c>
      <c r="J732" s="208">
        <f>보고서!O794</f>
        <v>0</v>
      </c>
      <c r="K732" s="208">
        <f>보고서!P794</f>
        <v>0</v>
      </c>
      <c r="L732" s="208">
        <f>보고서!Q794</f>
        <v>0</v>
      </c>
    </row>
    <row r="733" spans="2:12">
      <c r="B733" s="868"/>
      <c r="C733" s="869"/>
      <c r="D733" s="869"/>
      <c r="E733" s="870"/>
      <c r="F733" s="149"/>
      <c r="G733" s="176">
        <f>보고서!L795</f>
        <v>0</v>
      </c>
      <c r="H733" s="176">
        <f>보고서!M795</f>
        <v>0</v>
      </c>
      <c r="I733" s="176">
        <f>보고서!N795</f>
        <v>0</v>
      </c>
      <c r="J733" s="208">
        <f>보고서!O795</f>
        <v>0</v>
      </c>
      <c r="K733" s="208">
        <f>보고서!P795</f>
        <v>0</v>
      </c>
      <c r="L733" s="208">
        <f>보고서!Q795</f>
        <v>0</v>
      </c>
    </row>
    <row r="734" spans="2:12" ht="14.25" thickBot="1">
      <c r="B734" s="868"/>
      <c r="C734" s="869"/>
      <c r="D734" s="869"/>
      <c r="E734" s="870"/>
      <c r="F734" s="149"/>
      <c r="G734" s="182">
        <f>보고서!L796</f>
        <v>0</v>
      </c>
      <c r="H734" s="182">
        <f>보고서!M796</f>
        <v>0</v>
      </c>
      <c r="I734" s="182">
        <f>보고서!N796</f>
        <v>0</v>
      </c>
      <c r="J734" s="212">
        <f>보고서!O796</f>
        <v>0</v>
      </c>
      <c r="K734" s="212">
        <f>보고서!P796</f>
        <v>0</v>
      </c>
      <c r="L734" s="212">
        <f>보고서!Q796</f>
        <v>0</v>
      </c>
    </row>
    <row r="735" spans="2:12" ht="14.25" thickTop="1">
      <c r="B735" s="868"/>
      <c r="C735" s="869"/>
      <c r="D735" s="869"/>
      <c r="E735" s="870"/>
      <c r="G735" s="908" t="s">
        <v>3496</v>
      </c>
      <c r="H735" s="908"/>
      <c r="I735" s="908"/>
      <c r="J735" s="908"/>
      <c r="K735" s="223">
        <f>SUM(K724:K734)</f>
        <v>0</v>
      </c>
      <c r="L735" s="223">
        <f>SUM(L724:L734)</f>
        <v>0</v>
      </c>
    </row>
    <row r="736" spans="2:12">
      <c r="B736" s="868"/>
      <c r="C736" s="869"/>
      <c r="D736" s="869"/>
      <c r="E736" s="870"/>
    </row>
    <row r="737" spans="1:12">
      <c r="B737" s="868"/>
      <c r="C737" s="869"/>
      <c r="D737" s="869"/>
      <c r="E737" s="870"/>
    </row>
    <row r="738" spans="1:12">
      <c r="B738" s="868"/>
      <c r="C738" s="869"/>
      <c r="D738" s="869"/>
      <c r="E738" s="870"/>
    </row>
    <row r="739" spans="1:12">
      <c r="B739" s="868"/>
      <c r="C739" s="869"/>
      <c r="D739" s="869"/>
      <c r="E739" s="870"/>
    </row>
    <row r="740" spans="1:12">
      <c r="B740" s="868"/>
      <c r="C740" s="869"/>
      <c r="D740" s="869"/>
      <c r="E740" s="870"/>
    </row>
    <row r="741" spans="1:12">
      <c r="B741" s="871"/>
      <c r="C741" s="872"/>
      <c r="D741" s="872"/>
      <c r="E741" s="873"/>
    </row>
    <row r="742" spans="1:12">
      <c r="B742" s="224" t="s">
        <v>857</v>
      </c>
    </row>
    <row r="743" spans="1:12">
      <c r="A743" s="142">
        <f>A711+1</f>
        <v>15</v>
      </c>
      <c r="B743" s="214" t="str">
        <f>보고서!B820</f>
        <v>SPC없음</v>
      </c>
      <c r="C743" s="149"/>
      <c r="D743" s="149"/>
      <c r="E743" s="149"/>
      <c r="F743" s="149"/>
      <c r="H743" s="149"/>
      <c r="I743" s="149"/>
      <c r="J743" s="149"/>
      <c r="K743" s="149"/>
      <c r="L743" s="149"/>
    </row>
    <row r="744" spans="1:12">
      <c r="B744" s="214" t="str">
        <f>보고서!B821</f>
        <v>SPC없음</v>
      </c>
      <c r="C744" s="149"/>
      <c r="D744" s="149"/>
      <c r="E744" s="149"/>
      <c r="F744" s="149"/>
      <c r="H744" s="149"/>
      <c r="I744" s="149"/>
      <c r="J744" s="149"/>
      <c r="K744" s="149"/>
      <c r="L744" s="149"/>
    </row>
    <row r="745" spans="1:12">
      <c r="B745" s="215" t="s">
        <v>750</v>
      </c>
      <c r="C745" s="216"/>
      <c r="D745" s="216"/>
      <c r="E745" s="216"/>
      <c r="F745" s="216"/>
      <c r="G745" s="215" t="s">
        <v>751</v>
      </c>
      <c r="H745" s="216"/>
      <c r="I745" s="216"/>
      <c r="J745" s="149"/>
      <c r="K745" s="149"/>
      <c r="L745" s="149"/>
    </row>
    <row r="746" spans="1:12">
      <c r="B746" s="173" t="s">
        <v>808</v>
      </c>
      <c r="C746" s="173" t="s">
        <v>10</v>
      </c>
      <c r="D746" s="173" t="s">
        <v>236</v>
      </c>
      <c r="E746" s="173" t="s">
        <v>801</v>
      </c>
      <c r="F746" s="217"/>
      <c r="G746" s="173" t="s">
        <v>88</v>
      </c>
      <c r="H746" s="173" t="s">
        <v>90</v>
      </c>
      <c r="I746" s="149"/>
      <c r="J746" s="149"/>
      <c r="K746" s="149"/>
      <c r="L746" s="142"/>
    </row>
    <row r="747" spans="1:12">
      <c r="B747" s="174" t="s">
        <v>3492</v>
      </c>
      <c r="C747" s="175">
        <f>보고서!C824</f>
        <v>0</v>
      </c>
      <c r="D747" s="175">
        <f>보고서!D824</f>
        <v>0</v>
      </c>
      <c r="E747" s="149"/>
      <c r="F747" s="149"/>
      <c r="G747" s="176">
        <f>보고서!G824</f>
        <v>0</v>
      </c>
      <c r="H747" s="207" t="str">
        <f>보고서!I824</f>
        <v>SPC 없음</v>
      </c>
      <c r="I747" s="149"/>
      <c r="J747" s="149"/>
      <c r="K747" s="149"/>
      <c r="L747" s="142"/>
    </row>
    <row r="748" spans="1:12">
      <c r="B748" s="176" t="s">
        <v>756</v>
      </c>
      <c r="C748" s="177">
        <f>보고서!C825</f>
        <v>0</v>
      </c>
      <c r="D748" s="177">
        <f>보고서!D825</f>
        <v>0</v>
      </c>
      <c r="E748" s="176" t="s">
        <v>810</v>
      </c>
      <c r="F748" s="149"/>
      <c r="G748" s="176">
        <f>보고서!G825</f>
        <v>0</v>
      </c>
      <c r="H748" s="207" t="str">
        <f>보고서!I825</f>
        <v>SPC 없음</v>
      </c>
      <c r="I748" s="149"/>
      <c r="J748" s="149"/>
      <c r="K748" s="149"/>
      <c r="L748" s="142"/>
    </row>
    <row r="749" spans="1:12">
      <c r="B749" s="176" t="s">
        <v>757</v>
      </c>
      <c r="C749" s="177">
        <f>보고서!C826</f>
        <v>0</v>
      </c>
      <c r="D749" s="177">
        <f>보고서!D826</f>
        <v>0</v>
      </c>
      <c r="E749" s="176" t="s">
        <v>810</v>
      </c>
      <c r="F749" s="149"/>
      <c r="G749" s="176">
        <f>보고서!G826</f>
        <v>0</v>
      </c>
      <c r="H749" s="207" t="str">
        <f>보고서!I826</f>
        <v>SPC 없음</v>
      </c>
      <c r="I749" s="218"/>
      <c r="J749" s="149"/>
      <c r="K749" s="149"/>
      <c r="L749" s="142"/>
    </row>
    <row r="750" spans="1:12">
      <c r="B750" s="179" t="s">
        <v>3493</v>
      </c>
      <c r="C750" s="175">
        <f>보고서!C827</f>
        <v>0</v>
      </c>
      <c r="D750" s="175">
        <f>보고서!D827</f>
        <v>0</v>
      </c>
      <c r="E750" s="219" t="s">
        <v>821</v>
      </c>
      <c r="F750" s="191" t="str">
        <f>IF(D750=H753+L767,"투자자산 합계액 일치","투자자산 합계액 불일치")</f>
        <v>투자자산 합계액 일치</v>
      </c>
      <c r="G750" s="176">
        <f>보고서!G827</f>
        <v>0</v>
      </c>
      <c r="H750" s="207" t="str">
        <f>보고서!I827</f>
        <v>SPC 없음</v>
      </c>
      <c r="I750" s="218"/>
      <c r="J750" s="149"/>
      <c r="K750" s="149"/>
      <c r="L750" s="142"/>
    </row>
    <row r="751" spans="1:12">
      <c r="B751" s="179" t="s">
        <v>848</v>
      </c>
      <c r="C751" s="175">
        <f>보고서!C845</f>
        <v>0</v>
      </c>
      <c r="D751" s="175">
        <f>보고서!D845</f>
        <v>0</v>
      </c>
      <c r="E751" s="149"/>
      <c r="F751" s="149"/>
      <c r="G751" s="176">
        <f>보고서!G828</f>
        <v>0</v>
      </c>
      <c r="H751" s="207" t="str">
        <f>보고서!I828</f>
        <v>SPC 없음</v>
      </c>
      <c r="I751" s="218"/>
      <c r="J751" s="149"/>
      <c r="K751" s="149"/>
      <c r="L751" s="142"/>
    </row>
    <row r="752" spans="1:12" ht="14.25" thickBot="1">
      <c r="B752" s="180" t="s">
        <v>30</v>
      </c>
      <c r="C752" s="181">
        <f>보고서!C846</f>
        <v>0</v>
      </c>
      <c r="D752" s="181">
        <f>C752</f>
        <v>0</v>
      </c>
      <c r="E752" s="182" t="s">
        <v>810</v>
      </c>
      <c r="F752" s="149"/>
      <c r="G752" s="182">
        <f>보고서!G829</f>
        <v>0</v>
      </c>
      <c r="H752" s="209" t="str">
        <f>보고서!I829</f>
        <v>SPC 없음</v>
      </c>
      <c r="I752" s="218"/>
      <c r="J752" s="149"/>
      <c r="K752" s="149"/>
      <c r="L752" s="142"/>
    </row>
    <row r="753" spans="2:12" ht="14.25" thickTop="1">
      <c r="B753" s="179" t="s">
        <v>31</v>
      </c>
      <c r="C753" s="175">
        <f>C751-C752</f>
        <v>0</v>
      </c>
      <c r="D753" s="175">
        <f>D751-D752</f>
        <v>0</v>
      </c>
      <c r="E753" s="149"/>
      <c r="F753" s="149"/>
      <c r="H753" s="210">
        <f>SUM(H747:H752)</f>
        <v>0</v>
      </c>
      <c r="L753" s="142"/>
    </row>
    <row r="754" spans="2:12">
      <c r="B754" s="184" t="s">
        <v>804</v>
      </c>
      <c r="C754" s="177">
        <f>보고서!C848</f>
        <v>0</v>
      </c>
      <c r="D754" s="177">
        <f>C754</f>
        <v>0</v>
      </c>
      <c r="E754" s="149"/>
      <c r="F754" s="217"/>
      <c r="G754" s="215" t="s">
        <v>752</v>
      </c>
      <c r="H754" s="149"/>
      <c r="I754" s="149"/>
      <c r="J754" s="149"/>
      <c r="K754" s="149"/>
      <c r="L754" s="149"/>
    </row>
    <row r="755" spans="2:12">
      <c r="B755" s="184" t="s">
        <v>964</v>
      </c>
      <c r="C755" s="177">
        <f>보고서!C849</f>
        <v>0</v>
      </c>
      <c r="D755" s="177">
        <f>C755</f>
        <v>0</v>
      </c>
      <c r="E755" s="149"/>
      <c r="F755" s="149"/>
      <c r="G755" s="173" t="s">
        <v>805</v>
      </c>
      <c r="H755" s="173" t="s">
        <v>1</v>
      </c>
      <c r="I755" s="173" t="s">
        <v>12</v>
      </c>
      <c r="J755" s="173" t="s">
        <v>806</v>
      </c>
      <c r="K755" s="173" t="s">
        <v>3494</v>
      </c>
      <c r="L755" s="173" t="s">
        <v>3497</v>
      </c>
    </row>
    <row r="756" spans="2:12">
      <c r="B756" s="179" t="s">
        <v>842</v>
      </c>
      <c r="C756" s="175">
        <f>C753+C754-C755</f>
        <v>0</v>
      </c>
      <c r="D756" s="175">
        <f>D753+D754-D755</f>
        <v>0</v>
      </c>
      <c r="E756" s="149"/>
      <c r="F756" s="149"/>
      <c r="G756" s="176">
        <f>보고서!L824</f>
        <v>0</v>
      </c>
      <c r="H756" s="176">
        <f>보고서!M824</f>
        <v>0</v>
      </c>
      <c r="I756" s="176">
        <f>보고서!N824</f>
        <v>0</v>
      </c>
      <c r="J756" s="208">
        <f>보고서!O824</f>
        <v>0</v>
      </c>
      <c r="K756" s="208">
        <f>보고서!P824</f>
        <v>0</v>
      </c>
      <c r="L756" s="208">
        <f>보고서!Q824</f>
        <v>0</v>
      </c>
    </row>
    <row r="757" spans="2:12" ht="14.25" thickBot="1">
      <c r="B757" s="182" t="s">
        <v>811</v>
      </c>
      <c r="C757" s="220">
        <f>보고서!C851</f>
        <v>0</v>
      </c>
      <c r="D757" s="220">
        <f>C757</f>
        <v>0</v>
      </c>
      <c r="E757" s="221"/>
      <c r="F757" s="149"/>
      <c r="G757" s="176">
        <f>보고서!L825</f>
        <v>0</v>
      </c>
      <c r="H757" s="176">
        <f>보고서!M825</f>
        <v>0</v>
      </c>
      <c r="I757" s="176">
        <f>보고서!N825</f>
        <v>0</v>
      </c>
      <c r="J757" s="208">
        <f>보고서!O825</f>
        <v>0</v>
      </c>
      <c r="K757" s="208">
        <f>보고서!P825</f>
        <v>0</v>
      </c>
      <c r="L757" s="208">
        <f>보고서!Q825</f>
        <v>0</v>
      </c>
    </row>
    <row r="758" spans="2:12" ht="14.25" thickTop="1">
      <c r="B758" s="222" t="s">
        <v>746</v>
      </c>
      <c r="C758" s="175">
        <f>C756*C757</f>
        <v>0</v>
      </c>
      <c r="D758" s="175">
        <f>D756*D757</f>
        <v>0</v>
      </c>
      <c r="E758" s="149"/>
      <c r="F758" s="149"/>
      <c r="G758" s="176">
        <f>보고서!L826</f>
        <v>0</v>
      </c>
      <c r="H758" s="176">
        <f>보고서!M826</f>
        <v>0</v>
      </c>
      <c r="I758" s="176">
        <f>보고서!N826</f>
        <v>0</v>
      </c>
      <c r="J758" s="208">
        <f>보고서!O826</f>
        <v>0</v>
      </c>
      <c r="K758" s="208">
        <f>보고서!P826</f>
        <v>0</v>
      </c>
      <c r="L758" s="208">
        <f>보고서!Q826</f>
        <v>0</v>
      </c>
    </row>
    <row r="759" spans="2:12">
      <c r="B759" s="149"/>
      <c r="C759" s="149"/>
      <c r="D759" s="149"/>
      <c r="E759" s="149"/>
      <c r="F759" s="149"/>
      <c r="G759" s="176">
        <f>보고서!L827</f>
        <v>0</v>
      </c>
      <c r="H759" s="176">
        <f>보고서!M827</f>
        <v>0</v>
      </c>
      <c r="I759" s="176">
        <f>보고서!N827</f>
        <v>0</v>
      </c>
      <c r="J759" s="208">
        <f>보고서!O827</f>
        <v>0</v>
      </c>
      <c r="K759" s="208">
        <f>보고서!P827</f>
        <v>0</v>
      </c>
      <c r="L759" s="208">
        <f>보고서!Q827</f>
        <v>0</v>
      </c>
    </row>
    <row r="760" spans="2:12">
      <c r="B760" s="168" t="s">
        <v>38</v>
      </c>
      <c r="C760" s="191" t="b">
        <f>ROUND(C748+C749+C750-C752+C754-C755,0)=ROUND(C756,0)</f>
        <v>1</v>
      </c>
      <c r="D760" s="191" t="b">
        <f>ROUND(D748+D749+D750-D752+D754-D755,0)=ROUND(D756,0)</f>
        <v>1</v>
      </c>
      <c r="E760" s="149"/>
      <c r="F760" s="149"/>
      <c r="G760" s="176">
        <f>보고서!L828</f>
        <v>0</v>
      </c>
      <c r="H760" s="176">
        <f>보고서!M828</f>
        <v>0</v>
      </c>
      <c r="I760" s="176">
        <f>보고서!N828</f>
        <v>0</v>
      </c>
      <c r="J760" s="208">
        <f>보고서!O828</f>
        <v>0</v>
      </c>
      <c r="K760" s="208">
        <f>보고서!P828</f>
        <v>0</v>
      </c>
      <c r="L760" s="208">
        <f>보고서!Q828</f>
        <v>0</v>
      </c>
    </row>
    <row r="761" spans="2:12">
      <c r="B761" s="149"/>
      <c r="C761" s="149"/>
      <c r="D761" s="149"/>
      <c r="E761" s="149"/>
      <c r="F761" s="149"/>
      <c r="G761" s="176">
        <f>보고서!L829</f>
        <v>0</v>
      </c>
      <c r="H761" s="176">
        <f>보고서!M829</f>
        <v>0</v>
      </c>
      <c r="I761" s="176">
        <f>보고서!N829</f>
        <v>0</v>
      </c>
      <c r="J761" s="208">
        <f>보고서!O829</f>
        <v>0</v>
      </c>
      <c r="K761" s="208">
        <f>보고서!P829</f>
        <v>0</v>
      </c>
      <c r="L761" s="208">
        <f>보고서!Q829</f>
        <v>0</v>
      </c>
    </row>
    <row r="762" spans="2:12">
      <c r="B762" s="865" t="str">
        <f>IF(B743="SPC없음","해당사항 없음",B774)</f>
        <v>해당사항 없음</v>
      </c>
      <c r="C762" s="866"/>
      <c r="D762" s="866"/>
      <c r="E762" s="867"/>
      <c r="F762" s="149"/>
      <c r="G762" s="176">
        <f>보고서!L830</f>
        <v>0</v>
      </c>
      <c r="H762" s="176">
        <f>보고서!M830</f>
        <v>0</v>
      </c>
      <c r="I762" s="176">
        <f>보고서!N830</f>
        <v>0</v>
      </c>
      <c r="J762" s="208">
        <f>보고서!O830</f>
        <v>0</v>
      </c>
      <c r="K762" s="208">
        <f>보고서!P830</f>
        <v>0</v>
      </c>
      <c r="L762" s="208">
        <f>보고서!Q830</f>
        <v>0</v>
      </c>
    </row>
    <row r="763" spans="2:12">
      <c r="B763" s="868"/>
      <c r="C763" s="869"/>
      <c r="D763" s="869"/>
      <c r="E763" s="870"/>
      <c r="F763" s="149"/>
      <c r="G763" s="176">
        <f>보고서!L831</f>
        <v>0</v>
      </c>
      <c r="H763" s="176">
        <f>보고서!M831</f>
        <v>0</v>
      </c>
      <c r="I763" s="176">
        <f>보고서!N831</f>
        <v>0</v>
      </c>
      <c r="J763" s="208">
        <f>보고서!O831</f>
        <v>0</v>
      </c>
      <c r="K763" s="208">
        <f>보고서!P831</f>
        <v>0</v>
      </c>
      <c r="L763" s="208">
        <f>보고서!Q831</f>
        <v>0</v>
      </c>
    </row>
    <row r="764" spans="2:12">
      <c r="B764" s="868"/>
      <c r="C764" s="869"/>
      <c r="D764" s="869"/>
      <c r="E764" s="870"/>
      <c r="F764" s="149"/>
      <c r="G764" s="176">
        <f>보고서!L832</f>
        <v>0</v>
      </c>
      <c r="H764" s="176">
        <f>보고서!M832</f>
        <v>0</v>
      </c>
      <c r="I764" s="176">
        <f>보고서!N832</f>
        <v>0</v>
      </c>
      <c r="J764" s="208">
        <f>보고서!O832</f>
        <v>0</v>
      </c>
      <c r="K764" s="208">
        <f>보고서!P832</f>
        <v>0</v>
      </c>
      <c r="L764" s="208">
        <f>보고서!Q832</f>
        <v>0</v>
      </c>
    </row>
    <row r="765" spans="2:12">
      <c r="B765" s="868"/>
      <c r="C765" s="869"/>
      <c r="D765" s="869"/>
      <c r="E765" s="870"/>
      <c r="F765" s="149"/>
      <c r="G765" s="176">
        <f>보고서!L833</f>
        <v>0</v>
      </c>
      <c r="H765" s="176">
        <f>보고서!M833</f>
        <v>0</v>
      </c>
      <c r="I765" s="176">
        <f>보고서!N833</f>
        <v>0</v>
      </c>
      <c r="J765" s="208">
        <f>보고서!O833</f>
        <v>0</v>
      </c>
      <c r="K765" s="208">
        <f>보고서!P833</f>
        <v>0</v>
      </c>
      <c r="L765" s="208">
        <f>보고서!Q833</f>
        <v>0</v>
      </c>
    </row>
    <row r="766" spans="2:12" ht="14.25" thickBot="1">
      <c r="B766" s="868"/>
      <c r="C766" s="869"/>
      <c r="D766" s="869"/>
      <c r="E766" s="870"/>
      <c r="F766" s="149"/>
      <c r="G766" s="182">
        <f>보고서!L834</f>
        <v>0</v>
      </c>
      <c r="H766" s="182">
        <f>보고서!M834</f>
        <v>0</v>
      </c>
      <c r="I766" s="182">
        <f>보고서!N834</f>
        <v>0</v>
      </c>
      <c r="J766" s="212">
        <f>보고서!O834</f>
        <v>0</v>
      </c>
      <c r="K766" s="212">
        <f>보고서!P834</f>
        <v>0</v>
      </c>
      <c r="L766" s="212">
        <f>보고서!Q834</f>
        <v>0</v>
      </c>
    </row>
    <row r="767" spans="2:12" ht="14.25" thickTop="1">
      <c r="B767" s="868"/>
      <c r="C767" s="869"/>
      <c r="D767" s="869"/>
      <c r="E767" s="870"/>
      <c r="G767" s="908" t="s">
        <v>3496</v>
      </c>
      <c r="H767" s="908"/>
      <c r="I767" s="908"/>
      <c r="J767" s="908"/>
      <c r="K767" s="223">
        <f>SUM(K756:K766)</f>
        <v>0</v>
      </c>
      <c r="L767" s="223">
        <f>SUM(L756:L766)</f>
        <v>0</v>
      </c>
    </row>
    <row r="768" spans="2:12">
      <c r="B768" s="868"/>
      <c r="C768" s="869"/>
      <c r="D768" s="869"/>
      <c r="E768" s="870"/>
    </row>
    <row r="769" spans="1:12">
      <c r="B769" s="868"/>
      <c r="C769" s="869"/>
      <c r="D769" s="869"/>
      <c r="E769" s="870"/>
    </row>
    <row r="770" spans="1:12">
      <c r="B770" s="868"/>
      <c r="C770" s="869"/>
      <c r="D770" s="869"/>
      <c r="E770" s="870"/>
    </row>
    <row r="771" spans="1:12">
      <c r="B771" s="868"/>
      <c r="C771" s="869"/>
      <c r="D771" s="869"/>
      <c r="E771" s="870"/>
    </row>
    <row r="772" spans="1:12">
      <c r="B772" s="868"/>
      <c r="C772" s="869"/>
      <c r="D772" s="869"/>
      <c r="E772" s="870"/>
    </row>
    <row r="773" spans="1:12">
      <c r="B773" s="871"/>
      <c r="C773" s="872"/>
      <c r="D773" s="872"/>
      <c r="E773" s="873"/>
    </row>
    <row r="774" spans="1:12">
      <c r="B774" s="224" t="s">
        <v>857</v>
      </c>
    </row>
    <row r="775" spans="1:12">
      <c r="A775" s="142">
        <f>A743+1</f>
        <v>16</v>
      </c>
      <c r="B775" s="214" t="str">
        <f>보고서!B858</f>
        <v>SPC없음</v>
      </c>
      <c r="C775" s="149"/>
      <c r="D775" s="149"/>
      <c r="E775" s="149"/>
      <c r="F775" s="149"/>
      <c r="H775" s="149"/>
      <c r="I775" s="149"/>
      <c r="J775" s="149"/>
      <c r="K775" s="149"/>
      <c r="L775" s="149"/>
    </row>
    <row r="776" spans="1:12">
      <c r="B776" s="214" t="str">
        <f>보고서!B859</f>
        <v>SPC없음</v>
      </c>
      <c r="C776" s="149"/>
      <c r="D776" s="149"/>
      <c r="E776" s="149"/>
      <c r="F776" s="149"/>
      <c r="H776" s="149"/>
      <c r="I776" s="149"/>
      <c r="J776" s="149"/>
      <c r="K776" s="149"/>
      <c r="L776" s="149"/>
    </row>
    <row r="777" spans="1:12">
      <c r="B777" s="215" t="s">
        <v>750</v>
      </c>
      <c r="C777" s="216"/>
      <c r="D777" s="216"/>
      <c r="E777" s="216"/>
      <c r="F777" s="216"/>
      <c r="G777" s="215" t="s">
        <v>751</v>
      </c>
      <c r="H777" s="216"/>
      <c r="I777" s="216"/>
      <c r="J777" s="149"/>
      <c r="K777" s="149"/>
      <c r="L777" s="149"/>
    </row>
    <row r="778" spans="1:12">
      <c r="B778" s="173" t="s">
        <v>808</v>
      </c>
      <c r="C778" s="173" t="s">
        <v>10</v>
      </c>
      <c r="D778" s="173" t="s">
        <v>236</v>
      </c>
      <c r="E778" s="173" t="s">
        <v>801</v>
      </c>
      <c r="F778" s="217"/>
      <c r="G778" s="173" t="s">
        <v>88</v>
      </c>
      <c r="H778" s="173" t="s">
        <v>90</v>
      </c>
      <c r="I778" s="149"/>
      <c r="J778" s="149"/>
      <c r="K778" s="149"/>
      <c r="L778" s="142"/>
    </row>
    <row r="779" spans="1:12">
      <c r="B779" s="174" t="s">
        <v>3492</v>
      </c>
      <c r="C779" s="175">
        <f>보고서!C862</f>
        <v>0</v>
      </c>
      <c r="D779" s="175">
        <f>보고서!D862</f>
        <v>0</v>
      </c>
      <c r="E779" s="149"/>
      <c r="F779" s="149"/>
      <c r="G779" s="176">
        <f>보고서!G862</f>
        <v>0</v>
      </c>
      <c r="H779" s="207" t="str">
        <f>보고서!I862</f>
        <v>SPC 없음</v>
      </c>
      <c r="I779" s="149"/>
      <c r="J779" s="149"/>
      <c r="K779" s="149"/>
      <c r="L779" s="142"/>
    </row>
    <row r="780" spans="1:12">
      <c r="B780" s="176" t="s">
        <v>756</v>
      </c>
      <c r="C780" s="177">
        <f>보고서!C863</f>
        <v>0</v>
      </c>
      <c r="D780" s="177">
        <f>보고서!D863</f>
        <v>0</v>
      </c>
      <c r="E780" s="176" t="s">
        <v>810</v>
      </c>
      <c r="F780" s="149"/>
      <c r="G780" s="176">
        <f>보고서!G863</f>
        <v>0</v>
      </c>
      <c r="H780" s="207" t="str">
        <f>보고서!I863</f>
        <v>SPC 없음</v>
      </c>
      <c r="I780" s="149"/>
      <c r="J780" s="149"/>
      <c r="K780" s="149"/>
      <c r="L780" s="142"/>
    </row>
    <row r="781" spans="1:12">
      <c r="B781" s="176" t="s">
        <v>757</v>
      </c>
      <c r="C781" s="177">
        <f>보고서!C864</f>
        <v>0</v>
      </c>
      <c r="D781" s="177">
        <f>보고서!D864</f>
        <v>0</v>
      </c>
      <c r="E781" s="176" t="s">
        <v>810</v>
      </c>
      <c r="F781" s="149"/>
      <c r="G781" s="176">
        <f>보고서!G864</f>
        <v>0</v>
      </c>
      <c r="H781" s="207" t="str">
        <f>보고서!I864</f>
        <v>SPC 없음</v>
      </c>
      <c r="I781" s="218"/>
      <c r="J781" s="149"/>
      <c r="K781" s="149"/>
      <c r="L781" s="142"/>
    </row>
    <row r="782" spans="1:12">
      <c r="B782" s="179" t="s">
        <v>3493</v>
      </c>
      <c r="C782" s="175">
        <f>보고서!C865</f>
        <v>0</v>
      </c>
      <c r="D782" s="175">
        <f>보고서!D865</f>
        <v>0</v>
      </c>
      <c r="E782" s="219" t="s">
        <v>821</v>
      </c>
      <c r="F782" s="191" t="str">
        <f>IF(D782=H785+L799,"투자자산 합계액 일치","투자자산 합계액 불일치")</f>
        <v>투자자산 합계액 일치</v>
      </c>
      <c r="G782" s="176">
        <f>보고서!G865</f>
        <v>0</v>
      </c>
      <c r="H782" s="207" t="str">
        <f>보고서!I865</f>
        <v>SPC 없음</v>
      </c>
      <c r="I782" s="218"/>
      <c r="J782" s="149"/>
      <c r="K782" s="149"/>
      <c r="L782" s="142"/>
    </row>
    <row r="783" spans="1:12">
      <c r="B783" s="179" t="s">
        <v>848</v>
      </c>
      <c r="C783" s="175">
        <f>보고서!C883</f>
        <v>0</v>
      </c>
      <c r="D783" s="175">
        <f>보고서!D883</f>
        <v>0</v>
      </c>
      <c r="E783" s="149"/>
      <c r="F783" s="149"/>
      <c r="G783" s="176">
        <f>보고서!G866</f>
        <v>0</v>
      </c>
      <c r="H783" s="207" t="str">
        <f>보고서!I866</f>
        <v>SPC 없음</v>
      </c>
      <c r="I783" s="218"/>
      <c r="J783" s="149"/>
      <c r="K783" s="149"/>
      <c r="L783" s="142"/>
    </row>
    <row r="784" spans="1:12" ht="14.25" thickBot="1">
      <c r="B784" s="180" t="s">
        <v>30</v>
      </c>
      <c r="C784" s="181">
        <f>보고서!C884</f>
        <v>0</v>
      </c>
      <c r="D784" s="181">
        <f>C784</f>
        <v>0</v>
      </c>
      <c r="E784" s="182" t="s">
        <v>810</v>
      </c>
      <c r="F784" s="149"/>
      <c r="G784" s="182">
        <f>보고서!G867</f>
        <v>0</v>
      </c>
      <c r="H784" s="209" t="str">
        <f>보고서!I867</f>
        <v>SPC 없음</v>
      </c>
      <c r="I784" s="218"/>
      <c r="J784" s="149"/>
      <c r="K784" s="149"/>
      <c r="L784" s="142"/>
    </row>
    <row r="785" spans="2:12" ht="14.25" thickTop="1">
      <c r="B785" s="179" t="s">
        <v>31</v>
      </c>
      <c r="C785" s="175">
        <f>C783-C784</f>
        <v>0</v>
      </c>
      <c r="D785" s="175">
        <f>D783-D784</f>
        <v>0</v>
      </c>
      <c r="E785" s="149"/>
      <c r="F785" s="149"/>
      <c r="H785" s="210">
        <f>SUM(H779:H784)</f>
        <v>0</v>
      </c>
      <c r="L785" s="142"/>
    </row>
    <row r="786" spans="2:12">
      <c r="B786" s="184" t="s">
        <v>804</v>
      </c>
      <c r="C786" s="177">
        <f>보고서!C886</f>
        <v>0</v>
      </c>
      <c r="D786" s="177">
        <f>C786</f>
        <v>0</v>
      </c>
      <c r="E786" s="149"/>
      <c r="F786" s="217"/>
      <c r="G786" s="215" t="s">
        <v>752</v>
      </c>
      <c r="H786" s="149"/>
      <c r="I786" s="149"/>
      <c r="J786" s="149"/>
      <c r="K786" s="149"/>
      <c r="L786" s="149"/>
    </row>
    <row r="787" spans="2:12">
      <c r="B787" s="184" t="s">
        <v>964</v>
      </c>
      <c r="C787" s="177">
        <f>보고서!C887</f>
        <v>0</v>
      </c>
      <c r="D787" s="177">
        <f>C787</f>
        <v>0</v>
      </c>
      <c r="E787" s="149"/>
      <c r="F787" s="149"/>
      <c r="G787" s="173" t="s">
        <v>805</v>
      </c>
      <c r="H787" s="173" t="s">
        <v>1</v>
      </c>
      <c r="I787" s="173" t="s">
        <v>12</v>
      </c>
      <c r="J787" s="173" t="s">
        <v>806</v>
      </c>
      <c r="K787" s="173" t="s">
        <v>3494</v>
      </c>
      <c r="L787" s="173" t="s">
        <v>3497</v>
      </c>
    </row>
    <row r="788" spans="2:12">
      <c r="B788" s="179" t="s">
        <v>842</v>
      </c>
      <c r="C788" s="175">
        <f>C785+C786-C787</f>
        <v>0</v>
      </c>
      <c r="D788" s="175">
        <f>D785+D786-D787</f>
        <v>0</v>
      </c>
      <c r="E788" s="149"/>
      <c r="F788" s="149"/>
      <c r="G788" s="176">
        <f>보고서!L862</f>
        <v>0</v>
      </c>
      <c r="H788" s="176">
        <f>보고서!M862</f>
        <v>0</v>
      </c>
      <c r="I788" s="176">
        <f>보고서!N862</f>
        <v>0</v>
      </c>
      <c r="J788" s="208">
        <f>보고서!O862</f>
        <v>0</v>
      </c>
      <c r="K788" s="208">
        <f>보고서!P862</f>
        <v>0</v>
      </c>
      <c r="L788" s="208">
        <f>보고서!Q862</f>
        <v>0</v>
      </c>
    </row>
    <row r="789" spans="2:12" ht="14.25" thickBot="1">
      <c r="B789" s="182" t="s">
        <v>811</v>
      </c>
      <c r="C789" s="220">
        <f>보고서!C889</f>
        <v>0</v>
      </c>
      <c r="D789" s="220">
        <f>C789</f>
        <v>0</v>
      </c>
      <c r="E789" s="221"/>
      <c r="F789" s="149"/>
      <c r="G789" s="176">
        <f>보고서!L863</f>
        <v>0</v>
      </c>
      <c r="H789" s="176">
        <f>보고서!M863</f>
        <v>0</v>
      </c>
      <c r="I789" s="176">
        <f>보고서!N863</f>
        <v>0</v>
      </c>
      <c r="J789" s="208">
        <f>보고서!O863</f>
        <v>0</v>
      </c>
      <c r="K789" s="208">
        <f>보고서!P863</f>
        <v>0</v>
      </c>
      <c r="L789" s="208">
        <f>보고서!Q863</f>
        <v>0</v>
      </c>
    </row>
    <row r="790" spans="2:12" ht="14.25" thickTop="1">
      <c r="B790" s="222" t="s">
        <v>746</v>
      </c>
      <c r="C790" s="175">
        <f>C788*C789</f>
        <v>0</v>
      </c>
      <c r="D790" s="175">
        <f>D788*D789</f>
        <v>0</v>
      </c>
      <c r="E790" s="149"/>
      <c r="F790" s="149"/>
      <c r="G790" s="176">
        <f>보고서!L864</f>
        <v>0</v>
      </c>
      <c r="H790" s="176">
        <f>보고서!M864</f>
        <v>0</v>
      </c>
      <c r="I790" s="176">
        <f>보고서!N864</f>
        <v>0</v>
      </c>
      <c r="J790" s="208">
        <f>보고서!O864</f>
        <v>0</v>
      </c>
      <c r="K790" s="208">
        <f>보고서!P864</f>
        <v>0</v>
      </c>
      <c r="L790" s="208">
        <f>보고서!Q864</f>
        <v>0</v>
      </c>
    </row>
    <row r="791" spans="2:12">
      <c r="B791" s="149"/>
      <c r="C791" s="149"/>
      <c r="D791" s="149"/>
      <c r="E791" s="149"/>
      <c r="F791" s="149"/>
      <c r="G791" s="176">
        <f>보고서!L865</f>
        <v>0</v>
      </c>
      <c r="H791" s="176">
        <f>보고서!M865</f>
        <v>0</v>
      </c>
      <c r="I791" s="176">
        <f>보고서!N865</f>
        <v>0</v>
      </c>
      <c r="J791" s="208">
        <f>보고서!O865</f>
        <v>0</v>
      </c>
      <c r="K791" s="208">
        <f>보고서!P865</f>
        <v>0</v>
      </c>
      <c r="L791" s="208">
        <f>보고서!Q865</f>
        <v>0</v>
      </c>
    </row>
    <row r="792" spans="2:12">
      <c r="B792" s="168" t="s">
        <v>38</v>
      </c>
      <c r="C792" s="191" t="b">
        <f>ROUND(C780+C781+C782-C784+C786-C787,0)=ROUND(C788,0)</f>
        <v>1</v>
      </c>
      <c r="D792" s="191" t="b">
        <f>ROUND(D780+D781+D782-D784+D786-D787,0)=ROUND(D788,0)</f>
        <v>1</v>
      </c>
      <c r="E792" s="149"/>
      <c r="F792" s="149"/>
      <c r="G792" s="176">
        <f>보고서!L866</f>
        <v>0</v>
      </c>
      <c r="H792" s="176">
        <f>보고서!M866</f>
        <v>0</v>
      </c>
      <c r="I792" s="176">
        <f>보고서!N866</f>
        <v>0</v>
      </c>
      <c r="J792" s="208">
        <f>보고서!O866</f>
        <v>0</v>
      </c>
      <c r="K792" s="208">
        <f>보고서!P866</f>
        <v>0</v>
      </c>
      <c r="L792" s="208">
        <f>보고서!Q866</f>
        <v>0</v>
      </c>
    </row>
    <row r="793" spans="2:12">
      <c r="B793" s="149"/>
      <c r="C793" s="149"/>
      <c r="D793" s="149"/>
      <c r="E793" s="149"/>
      <c r="F793" s="149"/>
      <c r="G793" s="176">
        <f>보고서!L867</f>
        <v>0</v>
      </c>
      <c r="H793" s="176">
        <f>보고서!M867</f>
        <v>0</v>
      </c>
      <c r="I793" s="176">
        <f>보고서!N867</f>
        <v>0</v>
      </c>
      <c r="J793" s="208">
        <f>보고서!O867</f>
        <v>0</v>
      </c>
      <c r="K793" s="208">
        <f>보고서!P867</f>
        <v>0</v>
      </c>
      <c r="L793" s="208">
        <f>보고서!Q867</f>
        <v>0</v>
      </c>
    </row>
    <row r="794" spans="2:12">
      <c r="B794" s="865" t="str">
        <f>IF(B775="SPC없음","해당사항 없음",B806)</f>
        <v>해당사항 없음</v>
      </c>
      <c r="C794" s="866"/>
      <c r="D794" s="866"/>
      <c r="E794" s="867"/>
      <c r="F794" s="149"/>
      <c r="G794" s="176">
        <f>보고서!L868</f>
        <v>0</v>
      </c>
      <c r="H794" s="176">
        <f>보고서!M868</f>
        <v>0</v>
      </c>
      <c r="I794" s="176">
        <f>보고서!N868</f>
        <v>0</v>
      </c>
      <c r="J794" s="208">
        <f>보고서!O868</f>
        <v>0</v>
      </c>
      <c r="K794" s="208">
        <f>보고서!P868</f>
        <v>0</v>
      </c>
      <c r="L794" s="208">
        <f>보고서!Q868</f>
        <v>0</v>
      </c>
    </row>
    <row r="795" spans="2:12">
      <c r="B795" s="868"/>
      <c r="C795" s="869"/>
      <c r="D795" s="869"/>
      <c r="E795" s="870"/>
      <c r="F795" s="149"/>
      <c r="G795" s="176">
        <f>보고서!L869</f>
        <v>0</v>
      </c>
      <c r="H795" s="176">
        <f>보고서!M869</f>
        <v>0</v>
      </c>
      <c r="I795" s="176">
        <f>보고서!N869</f>
        <v>0</v>
      </c>
      <c r="J795" s="208">
        <f>보고서!O869</f>
        <v>0</v>
      </c>
      <c r="K795" s="208">
        <f>보고서!P869</f>
        <v>0</v>
      </c>
      <c r="L795" s="208">
        <f>보고서!Q869</f>
        <v>0</v>
      </c>
    </row>
    <row r="796" spans="2:12">
      <c r="B796" s="868"/>
      <c r="C796" s="869"/>
      <c r="D796" s="869"/>
      <c r="E796" s="870"/>
      <c r="F796" s="149"/>
      <c r="G796" s="176">
        <f>보고서!L870</f>
        <v>0</v>
      </c>
      <c r="H796" s="176">
        <f>보고서!M870</f>
        <v>0</v>
      </c>
      <c r="I796" s="176">
        <f>보고서!N870</f>
        <v>0</v>
      </c>
      <c r="J796" s="208">
        <f>보고서!O870</f>
        <v>0</v>
      </c>
      <c r="K796" s="208">
        <f>보고서!P870</f>
        <v>0</v>
      </c>
      <c r="L796" s="208">
        <f>보고서!Q870</f>
        <v>0</v>
      </c>
    </row>
    <row r="797" spans="2:12">
      <c r="B797" s="868"/>
      <c r="C797" s="869"/>
      <c r="D797" s="869"/>
      <c r="E797" s="870"/>
      <c r="F797" s="149"/>
      <c r="G797" s="176">
        <f>보고서!L871</f>
        <v>0</v>
      </c>
      <c r="H797" s="176">
        <f>보고서!M871</f>
        <v>0</v>
      </c>
      <c r="I797" s="176">
        <f>보고서!N871</f>
        <v>0</v>
      </c>
      <c r="J797" s="208">
        <f>보고서!O871</f>
        <v>0</v>
      </c>
      <c r="K797" s="208">
        <f>보고서!P871</f>
        <v>0</v>
      </c>
      <c r="L797" s="208">
        <f>보고서!Q871</f>
        <v>0</v>
      </c>
    </row>
    <row r="798" spans="2:12" ht="14.25" thickBot="1">
      <c r="B798" s="868"/>
      <c r="C798" s="869"/>
      <c r="D798" s="869"/>
      <c r="E798" s="870"/>
      <c r="F798" s="149"/>
      <c r="G798" s="182">
        <f>보고서!L872</f>
        <v>0</v>
      </c>
      <c r="H798" s="182">
        <f>보고서!M872</f>
        <v>0</v>
      </c>
      <c r="I798" s="182">
        <f>보고서!N872</f>
        <v>0</v>
      </c>
      <c r="J798" s="212">
        <f>보고서!O872</f>
        <v>0</v>
      </c>
      <c r="K798" s="212">
        <f>보고서!P872</f>
        <v>0</v>
      </c>
      <c r="L798" s="212">
        <f>보고서!Q872</f>
        <v>0</v>
      </c>
    </row>
    <row r="799" spans="2:12" ht="14.25" thickTop="1">
      <c r="B799" s="868"/>
      <c r="C799" s="869"/>
      <c r="D799" s="869"/>
      <c r="E799" s="870"/>
      <c r="G799" s="908" t="s">
        <v>3496</v>
      </c>
      <c r="H799" s="908"/>
      <c r="I799" s="908"/>
      <c r="J799" s="908"/>
      <c r="K799" s="223">
        <f>SUM(K788:K798)</f>
        <v>0</v>
      </c>
      <c r="L799" s="223">
        <f>SUM(L788:L798)</f>
        <v>0</v>
      </c>
    </row>
    <row r="800" spans="2:12">
      <c r="B800" s="868"/>
      <c r="C800" s="869"/>
      <c r="D800" s="869"/>
      <c r="E800" s="870"/>
    </row>
    <row r="801" spans="1:12">
      <c r="B801" s="868"/>
      <c r="C801" s="869"/>
      <c r="D801" s="869"/>
      <c r="E801" s="870"/>
    </row>
    <row r="802" spans="1:12">
      <c r="B802" s="868"/>
      <c r="C802" s="869"/>
      <c r="D802" s="869"/>
      <c r="E802" s="870"/>
    </row>
    <row r="803" spans="1:12">
      <c r="B803" s="868"/>
      <c r="C803" s="869"/>
      <c r="D803" s="869"/>
      <c r="E803" s="870"/>
    </row>
    <row r="804" spans="1:12">
      <c r="B804" s="868"/>
      <c r="C804" s="869"/>
      <c r="D804" s="869"/>
      <c r="E804" s="870"/>
    </row>
    <row r="805" spans="1:12">
      <c r="B805" s="871"/>
      <c r="C805" s="872"/>
      <c r="D805" s="872"/>
      <c r="E805" s="873"/>
    </row>
    <row r="806" spans="1:12">
      <c r="B806" s="224" t="s">
        <v>857</v>
      </c>
    </row>
    <row r="807" spans="1:12">
      <c r="A807" s="142">
        <f>A775+1</f>
        <v>17</v>
      </c>
      <c r="B807" s="214" t="str">
        <f>보고서!B896</f>
        <v>SPC없음</v>
      </c>
      <c r="C807" s="149"/>
      <c r="D807" s="149"/>
      <c r="E807" s="149"/>
      <c r="F807" s="149"/>
      <c r="H807" s="149"/>
      <c r="I807" s="149"/>
      <c r="J807" s="149"/>
      <c r="K807" s="149"/>
      <c r="L807" s="149"/>
    </row>
    <row r="808" spans="1:12">
      <c r="B808" s="214" t="str">
        <f>보고서!B897</f>
        <v>SPC없음</v>
      </c>
      <c r="C808" s="149"/>
      <c r="D808" s="149"/>
      <c r="E808" s="149"/>
      <c r="F808" s="149"/>
      <c r="H808" s="149"/>
      <c r="I808" s="149"/>
      <c r="J808" s="149"/>
      <c r="K808" s="149"/>
      <c r="L808" s="149"/>
    </row>
    <row r="809" spans="1:12">
      <c r="B809" s="215" t="s">
        <v>750</v>
      </c>
      <c r="C809" s="216"/>
      <c r="D809" s="216"/>
      <c r="E809" s="216"/>
      <c r="F809" s="216"/>
      <c r="G809" s="215" t="s">
        <v>751</v>
      </c>
      <c r="H809" s="216"/>
      <c r="I809" s="216"/>
      <c r="J809" s="149"/>
      <c r="K809" s="149"/>
      <c r="L809" s="149"/>
    </row>
    <row r="810" spans="1:12">
      <c r="B810" s="173" t="s">
        <v>808</v>
      </c>
      <c r="C810" s="173" t="s">
        <v>10</v>
      </c>
      <c r="D810" s="173" t="s">
        <v>236</v>
      </c>
      <c r="E810" s="173" t="s">
        <v>801</v>
      </c>
      <c r="F810" s="217"/>
      <c r="G810" s="173" t="s">
        <v>88</v>
      </c>
      <c r="H810" s="173" t="s">
        <v>90</v>
      </c>
      <c r="I810" s="149"/>
      <c r="J810" s="149"/>
      <c r="K810" s="149"/>
      <c r="L810" s="142"/>
    </row>
    <row r="811" spans="1:12">
      <c r="B811" s="174" t="s">
        <v>3492</v>
      </c>
      <c r="C811" s="175">
        <f>보고서!C900</f>
        <v>0</v>
      </c>
      <c r="D811" s="175">
        <f>보고서!D900</f>
        <v>0</v>
      </c>
      <c r="E811" s="149"/>
      <c r="F811" s="149"/>
      <c r="G811" s="176">
        <f>보고서!G900</f>
        <v>0</v>
      </c>
      <c r="H811" s="207" t="str">
        <f>보고서!I900</f>
        <v>SPC 없음</v>
      </c>
      <c r="I811" s="149"/>
      <c r="J811" s="149"/>
      <c r="K811" s="149"/>
      <c r="L811" s="142"/>
    </row>
    <row r="812" spans="1:12">
      <c r="B812" s="176" t="s">
        <v>756</v>
      </c>
      <c r="C812" s="177">
        <f>보고서!C901</f>
        <v>0</v>
      </c>
      <c r="D812" s="177">
        <f>보고서!D901</f>
        <v>0</v>
      </c>
      <c r="E812" s="176" t="s">
        <v>810</v>
      </c>
      <c r="F812" s="149"/>
      <c r="G812" s="176">
        <f>보고서!G901</f>
        <v>0</v>
      </c>
      <c r="H812" s="207" t="str">
        <f>보고서!I901</f>
        <v>SPC 없음</v>
      </c>
      <c r="I812" s="149"/>
      <c r="J812" s="149"/>
      <c r="K812" s="149"/>
      <c r="L812" s="142"/>
    </row>
    <row r="813" spans="1:12">
      <c r="B813" s="176" t="s">
        <v>757</v>
      </c>
      <c r="C813" s="177">
        <f>보고서!C902</f>
        <v>0</v>
      </c>
      <c r="D813" s="177">
        <f>보고서!D902</f>
        <v>0</v>
      </c>
      <c r="E813" s="176" t="s">
        <v>810</v>
      </c>
      <c r="F813" s="149"/>
      <c r="G813" s="176">
        <f>보고서!G902</f>
        <v>0</v>
      </c>
      <c r="H813" s="207" t="str">
        <f>보고서!I902</f>
        <v>SPC 없음</v>
      </c>
      <c r="I813" s="218"/>
      <c r="J813" s="149"/>
      <c r="K813" s="149"/>
      <c r="L813" s="142"/>
    </row>
    <row r="814" spans="1:12">
      <c r="B814" s="179" t="s">
        <v>3493</v>
      </c>
      <c r="C814" s="175">
        <f>보고서!C903</f>
        <v>0</v>
      </c>
      <c r="D814" s="175">
        <f>보고서!D903</f>
        <v>0</v>
      </c>
      <c r="E814" s="219" t="s">
        <v>821</v>
      </c>
      <c r="F814" s="191" t="str">
        <f>IF(D814=H817+L831,"투자자산 합계액 일치","투자자산 합계액 불일치")</f>
        <v>투자자산 합계액 일치</v>
      </c>
      <c r="G814" s="176">
        <f>보고서!G903</f>
        <v>0</v>
      </c>
      <c r="H814" s="207" t="str">
        <f>보고서!I903</f>
        <v>SPC 없음</v>
      </c>
      <c r="I814" s="218"/>
      <c r="J814" s="149"/>
      <c r="K814" s="149"/>
      <c r="L814" s="142"/>
    </row>
    <row r="815" spans="1:12">
      <c r="B815" s="179" t="s">
        <v>848</v>
      </c>
      <c r="C815" s="175">
        <f>보고서!C921</f>
        <v>0</v>
      </c>
      <c r="D815" s="175">
        <f>보고서!D921</f>
        <v>0</v>
      </c>
      <c r="E815" s="149"/>
      <c r="F815" s="149"/>
      <c r="G815" s="176">
        <f>보고서!G904</f>
        <v>0</v>
      </c>
      <c r="H815" s="207" t="str">
        <f>보고서!I904</f>
        <v>SPC 없음</v>
      </c>
      <c r="I815" s="218"/>
      <c r="J815" s="149"/>
      <c r="K815" s="149"/>
      <c r="L815" s="142"/>
    </row>
    <row r="816" spans="1:12" ht="14.25" thickBot="1">
      <c r="B816" s="180" t="s">
        <v>30</v>
      </c>
      <c r="C816" s="181">
        <f>보고서!C922</f>
        <v>0</v>
      </c>
      <c r="D816" s="181">
        <f>C816</f>
        <v>0</v>
      </c>
      <c r="E816" s="182" t="s">
        <v>810</v>
      </c>
      <c r="F816" s="149"/>
      <c r="G816" s="182">
        <f>보고서!G905</f>
        <v>0</v>
      </c>
      <c r="H816" s="209" t="str">
        <f>보고서!I905</f>
        <v>SPC 없음</v>
      </c>
      <c r="I816" s="218"/>
      <c r="J816" s="149"/>
      <c r="K816" s="149"/>
      <c r="L816" s="142"/>
    </row>
    <row r="817" spans="2:12" ht="14.25" thickTop="1">
      <c r="B817" s="179" t="s">
        <v>31</v>
      </c>
      <c r="C817" s="175">
        <f>C815-C816</f>
        <v>0</v>
      </c>
      <c r="D817" s="175">
        <f>D815-D816</f>
        <v>0</v>
      </c>
      <c r="E817" s="149"/>
      <c r="F817" s="149"/>
      <c r="H817" s="210">
        <f>SUM(H811:H816)</f>
        <v>0</v>
      </c>
      <c r="L817" s="142"/>
    </row>
    <row r="818" spans="2:12">
      <c r="B818" s="184" t="s">
        <v>804</v>
      </c>
      <c r="C818" s="177">
        <f>보고서!C924</f>
        <v>0</v>
      </c>
      <c r="D818" s="177">
        <f>C818</f>
        <v>0</v>
      </c>
      <c r="E818" s="149"/>
      <c r="F818" s="217"/>
      <c r="G818" s="215" t="s">
        <v>752</v>
      </c>
      <c r="H818" s="149"/>
      <c r="I818" s="149"/>
      <c r="J818" s="149"/>
      <c r="K818" s="149"/>
      <c r="L818" s="149"/>
    </row>
    <row r="819" spans="2:12">
      <c r="B819" s="184" t="s">
        <v>964</v>
      </c>
      <c r="C819" s="177">
        <f>보고서!C925</f>
        <v>0</v>
      </c>
      <c r="D819" s="177">
        <f>C819</f>
        <v>0</v>
      </c>
      <c r="E819" s="149"/>
      <c r="F819" s="149"/>
      <c r="G819" s="173" t="s">
        <v>805</v>
      </c>
      <c r="H819" s="173" t="s">
        <v>1</v>
      </c>
      <c r="I819" s="173" t="s">
        <v>12</v>
      </c>
      <c r="J819" s="173" t="s">
        <v>806</v>
      </c>
      <c r="K819" s="173" t="s">
        <v>3494</v>
      </c>
      <c r="L819" s="173" t="s">
        <v>3497</v>
      </c>
    </row>
    <row r="820" spans="2:12">
      <c r="B820" s="179" t="s">
        <v>842</v>
      </c>
      <c r="C820" s="175">
        <f>C817+C818-C819</f>
        <v>0</v>
      </c>
      <c r="D820" s="175">
        <f>D817+D818-D819</f>
        <v>0</v>
      </c>
      <c r="E820" s="149"/>
      <c r="F820" s="149"/>
      <c r="G820" s="176">
        <f>보고서!L900</f>
        <v>0</v>
      </c>
      <c r="H820" s="176">
        <f>보고서!M900</f>
        <v>0</v>
      </c>
      <c r="I820" s="176">
        <f>보고서!N900</f>
        <v>0</v>
      </c>
      <c r="J820" s="208">
        <f>보고서!O900</f>
        <v>0</v>
      </c>
      <c r="K820" s="208">
        <f>보고서!P900</f>
        <v>0</v>
      </c>
      <c r="L820" s="208">
        <f>보고서!Q900</f>
        <v>0</v>
      </c>
    </row>
    <row r="821" spans="2:12" ht="14.25" thickBot="1">
      <c r="B821" s="182" t="s">
        <v>811</v>
      </c>
      <c r="C821" s="220">
        <f>보고서!C927</f>
        <v>0</v>
      </c>
      <c r="D821" s="220">
        <f>C821</f>
        <v>0</v>
      </c>
      <c r="E821" s="221"/>
      <c r="F821" s="149"/>
      <c r="G821" s="176">
        <f>보고서!L901</f>
        <v>0</v>
      </c>
      <c r="H821" s="176">
        <f>보고서!M901</f>
        <v>0</v>
      </c>
      <c r="I821" s="176">
        <f>보고서!N901</f>
        <v>0</v>
      </c>
      <c r="J821" s="208">
        <f>보고서!O901</f>
        <v>0</v>
      </c>
      <c r="K821" s="208">
        <f>보고서!P901</f>
        <v>0</v>
      </c>
      <c r="L821" s="208">
        <f>보고서!Q901</f>
        <v>0</v>
      </c>
    </row>
    <row r="822" spans="2:12" ht="14.25" thickTop="1">
      <c r="B822" s="222" t="s">
        <v>746</v>
      </c>
      <c r="C822" s="175">
        <f>C820*C821</f>
        <v>0</v>
      </c>
      <c r="D822" s="175">
        <f>D820*D821</f>
        <v>0</v>
      </c>
      <c r="E822" s="149"/>
      <c r="F822" s="149"/>
      <c r="G822" s="176">
        <f>보고서!L902</f>
        <v>0</v>
      </c>
      <c r="H822" s="176">
        <f>보고서!M902</f>
        <v>0</v>
      </c>
      <c r="I822" s="176">
        <f>보고서!N902</f>
        <v>0</v>
      </c>
      <c r="J822" s="208">
        <f>보고서!O902</f>
        <v>0</v>
      </c>
      <c r="K822" s="208">
        <f>보고서!P902</f>
        <v>0</v>
      </c>
      <c r="L822" s="208">
        <f>보고서!Q902</f>
        <v>0</v>
      </c>
    </row>
    <row r="823" spans="2:12">
      <c r="B823" s="149"/>
      <c r="C823" s="149"/>
      <c r="D823" s="149"/>
      <c r="E823" s="149"/>
      <c r="F823" s="149"/>
      <c r="G823" s="176">
        <f>보고서!L903</f>
        <v>0</v>
      </c>
      <c r="H823" s="176">
        <f>보고서!M903</f>
        <v>0</v>
      </c>
      <c r="I823" s="176">
        <f>보고서!N903</f>
        <v>0</v>
      </c>
      <c r="J823" s="208">
        <f>보고서!O903</f>
        <v>0</v>
      </c>
      <c r="K823" s="208">
        <f>보고서!P903</f>
        <v>0</v>
      </c>
      <c r="L823" s="208">
        <f>보고서!Q903</f>
        <v>0</v>
      </c>
    </row>
    <row r="824" spans="2:12">
      <c r="B824" s="168" t="s">
        <v>38</v>
      </c>
      <c r="C824" s="191" t="b">
        <f>ROUND(C812+C813+C814-C816+C818-C819,0)=ROUND(C820,0)</f>
        <v>1</v>
      </c>
      <c r="D824" s="191" t="b">
        <f>ROUND(D812+D813+D814-D816+D818-D819,0)=ROUND(D820,0)</f>
        <v>1</v>
      </c>
      <c r="E824" s="149"/>
      <c r="F824" s="149"/>
      <c r="G824" s="176">
        <f>보고서!L904</f>
        <v>0</v>
      </c>
      <c r="H824" s="176">
        <f>보고서!M904</f>
        <v>0</v>
      </c>
      <c r="I824" s="176">
        <f>보고서!N904</f>
        <v>0</v>
      </c>
      <c r="J824" s="208">
        <f>보고서!O904</f>
        <v>0</v>
      </c>
      <c r="K824" s="208">
        <f>보고서!P904</f>
        <v>0</v>
      </c>
      <c r="L824" s="208">
        <f>보고서!Q904</f>
        <v>0</v>
      </c>
    </row>
    <row r="825" spans="2:12">
      <c r="B825" s="149"/>
      <c r="C825" s="149"/>
      <c r="D825" s="149"/>
      <c r="E825" s="149"/>
      <c r="F825" s="149"/>
      <c r="G825" s="176">
        <f>보고서!L905</f>
        <v>0</v>
      </c>
      <c r="H825" s="176">
        <f>보고서!M905</f>
        <v>0</v>
      </c>
      <c r="I825" s="176">
        <f>보고서!N905</f>
        <v>0</v>
      </c>
      <c r="J825" s="208">
        <f>보고서!O905</f>
        <v>0</v>
      </c>
      <c r="K825" s="208">
        <f>보고서!P905</f>
        <v>0</v>
      </c>
      <c r="L825" s="208">
        <f>보고서!Q905</f>
        <v>0</v>
      </c>
    </row>
    <row r="826" spans="2:12">
      <c r="B826" s="865" t="str">
        <f>IF(B807="SPC없음","해당사항 없음",B838)</f>
        <v>해당사항 없음</v>
      </c>
      <c r="C826" s="866"/>
      <c r="D826" s="866"/>
      <c r="E826" s="867"/>
      <c r="F826" s="149"/>
      <c r="G826" s="176">
        <f>보고서!L906</f>
        <v>0</v>
      </c>
      <c r="H826" s="176">
        <f>보고서!M906</f>
        <v>0</v>
      </c>
      <c r="I826" s="176">
        <f>보고서!N906</f>
        <v>0</v>
      </c>
      <c r="J826" s="208">
        <f>보고서!O906</f>
        <v>0</v>
      </c>
      <c r="K826" s="208">
        <f>보고서!P906</f>
        <v>0</v>
      </c>
      <c r="L826" s="208">
        <f>보고서!Q906</f>
        <v>0</v>
      </c>
    </row>
    <row r="827" spans="2:12">
      <c r="B827" s="868"/>
      <c r="C827" s="869"/>
      <c r="D827" s="869"/>
      <c r="E827" s="870"/>
      <c r="F827" s="149"/>
      <c r="G827" s="176">
        <f>보고서!L907</f>
        <v>0</v>
      </c>
      <c r="H827" s="176">
        <f>보고서!M907</f>
        <v>0</v>
      </c>
      <c r="I827" s="176">
        <f>보고서!N907</f>
        <v>0</v>
      </c>
      <c r="J827" s="208">
        <f>보고서!O907</f>
        <v>0</v>
      </c>
      <c r="K827" s="208">
        <f>보고서!P907</f>
        <v>0</v>
      </c>
      <c r="L827" s="208">
        <f>보고서!Q907</f>
        <v>0</v>
      </c>
    </row>
    <row r="828" spans="2:12">
      <c r="B828" s="868"/>
      <c r="C828" s="869"/>
      <c r="D828" s="869"/>
      <c r="E828" s="870"/>
      <c r="F828" s="149"/>
      <c r="G828" s="176">
        <f>보고서!L908</f>
        <v>0</v>
      </c>
      <c r="H828" s="176">
        <f>보고서!M908</f>
        <v>0</v>
      </c>
      <c r="I828" s="176">
        <f>보고서!N908</f>
        <v>0</v>
      </c>
      <c r="J828" s="208">
        <f>보고서!O908</f>
        <v>0</v>
      </c>
      <c r="K828" s="208">
        <f>보고서!P908</f>
        <v>0</v>
      </c>
      <c r="L828" s="208">
        <f>보고서!Q908</f>
        <v>0</v>
      </c>
    </row>
    <row r="829" spans="2:12">
      <c r="B829" s="868"/>
      <c r="C829" s="869"/>
      <c r="D829" s="869"/>
      <c r="E829" s="870"/>
      <c r="F829" s="149"/>
      <c r="G829" s="176">
        <f>보고서!L909</f>
        <v>0</v>
      </c>
      <c r="H829" s="176">
        <f>보고서!M909</f>
        <v>0</v>
      </c>
      <c r="I829" s="176">
        <f>보고서!N909</f>
        <v>0</v>
      </c>
      <c r="J829" s="208">
        <f>보고서!O909</f>
        <v>0</v>
      </c>
      <c r="K829" s="208">
        <f>보고서!P909</f>
        <v>0</v>
      </c>
      <c r="L829" s="208">
        <f>보고서!Q909</f>
        <v>0</v>
      </c>
    </row>
    <row r="830" spans="2:12" ht="14.25" thickBot="1">
      <c r="B830" s="868"/>
      <c r="C830" s="869"/>
      <c r="D830" s="869"/>
      <c r="E830" s="870"/>
      <c r="F830" s="149"/>
      <c r="G830" s="182">
        <f>보고서!L910</f>
        <v>0</v>
      </c>
      <c r="H830" s="182">
        <f>보고서!M910</f>
        <v>0</v>
      </c>
      <c r="I830" s="182">
        <f>보고서!N910</f>
        <v>0</v>
      </c>
      <c r="J830" s="212">
        <f>보고서!O910</f>
        <v>0</v>
      </c>
      <c r="K830" s="212">
        <f>보고서!P910</f>
        <v>0</v>
      </c>
      <c r="L830" s="212">
        <f>보고서!Q910</f>
        <v>0</v>
      </c>
    </row>
    <row r="831" spans="2:12" ht="14.25" thickTop="1">
      <c r="B831" s="868"/>
      <c r="C831" s="869"/>
      <c r="D831" s="869"/>
      <c r="E831" s="870"/>
      <c r="G831" s="908" t="s">
        <v>3496</v>
      </c>
      <c r="H831" s="908"/>
      <c r="I831" s="908"/>
      <c r="J831" s="908"/>
      <c r="K831" s="223">
        <f>SUM(K820:K830)</f>
        <v>0</v>
      </c>
      <c r="L831" s="223">
        <f>SUM(L820:L830)</f>
        <v>0</v>
      </c>
    </row>
    <row r="832" spans="2:12">
      <c r="B832" s="868"/>
      <c r="C832" s="869"/>
      <c r="D832" s="869"/>
      <c r="E832" s="870"/>
    </row>
    <row r="833" spans="1:12">
      <c r="B833" s="868"/>
      <c r="C833" s="869"/>
      <c r="D833" s="869"/>
      <c r="E833" s="870"/>
    </row>
    <row r="834" spans="1:12">
      <c r="B834" s="868"/>
      <c r="C834" s="869"/>
      <c r="D834" s="869"/>
      <c r="E834" s="870"/>
    </row>
    <row r="835" spans="1:12">
      <c r="B835" s="868"/>
      <c r="C835" s="869"/>
      <c r="D835" s="869"/>
      <c r="E835" s="870"/>
    </row>
    <row r="836" spans="1:12">
      <c r="B836" s="868"/>
      <c r="C836" s="869"/>
      <c r="D836" s="869"/>
      <c r="E836" s="870"/>
    </row>
    <row r="837" spans="1:12">
      <c r="B837" s="871"/>
      <c r="C837" s="872"/>
      <c r="D837" s="872"/>
      <c r="E837" s="873"/>
    </row>
    <row r="838" spans="1:12">
      <c r="B838" s="224" t="s">
        <v>857</v>
      </c>
    </row>
    <row r="839" spans="1:12">
      <c r="A839" s="142">
        <f>A807+1</f>
        <v>18</v>
      </c>
      <c r="B839" s="214" t="str">
        <f>보고서!B934</f>
        <v>SPC없음</v>
      </c>
      <c r="C839" s="149"/>
      <c r="D839" s="149"/>
      <c r="E839" s="149"/>
      <c r="F839" s="149"/>
      <c r="H839" s="149"/>
      <c r="I839" s="149"/>
      <c r="J839" s="149"/>
      <c r="K839" s="149"/>
      <c r="L839" s="149"/>
    </row>
    <row r="840" spans="1:12">
      <c r="B840" s="214" t="str">
        <f>보고서!B935</f>
        <v>SPC없음</v>
      </c>
      <c r="C840" s="149"/>
      <c r="D840" s="149"/>
      <c r="E840" s="149"/>
      <c r="F840" s="149"/>
      <c r="H840" s="149"/>
      <c r="I840" s="149"/>
      <c r="J840" s="149"/>
      <c r="K840" s="149"/>
      <c r="L840" s="149"/>
    </row>
    <row r="841" spans="1:12">
      <c r="B841" s="215" t="s">
        <v>750</v>
      </c>
      <c r="C841" s="216"/>
      <c r="D841" s="216"/>
      <c r="E841" s="216"/>
      <c r="F841" s="216"/>
      <c r="G841" s="215" t="s">
        <v>751</v>
      </c>
      <c r="H841" s="216"/>
      <c r="I841" s="216"/>
      <c r="J841" s="149"/>
      <c r="K841" s="149"/>
      <c r="L841" s="149"/>
    </row>
    <row r="842" spans="1:12">
      <c r="B842" s="173" t="s">
        <v>808</v>
      </c>
      <c r="C842" s="173" t="s">
        <v>10</v>
      </c>
      <c r="D842" s="173" t="s">
        <v>236</v>
      </c>
      <c r="E842" s="173" t="s">
        <v>801</v>
      </c>
      <c r="F842" s="217"/>
      <c r="G842" s="173" t="s">
        <v>88</v>
      </c>
      <c r="H842" s="173" t="s">
        <v>90</v>
      </c>
      <c r="I842" s="149"/>
      <c r="J842" s="149"/>
      <c r="K842" s="149"/>
      <c r="L842" s="142"/>
    </row>
    <row r="843" spans="1:12">
      <c r="B843" s="174" t="s">
        <v>3492</v>
      </c>
      <c r="C843" s="175">
        <f>보고서!C938</f>
        <v>0</v>
      </c>
      <c r="D843" s="175">
        <f>보고서!D938</f>
        <v>0</v>
      </c>
      <c r="E843" s="149"/>
      <c r="F843" s="149"/>
      <c r="G843" s="176">
        <f>보고서!G938</f>
        <v>0</v>
      </c>
      <c r="H843" s="207" t="str">
        <f>보고서!I938</f>
        <v>SPC 없음</v>
      </c>
      <c r="I843" s="149"/>
      <c r="J843" s="149"/>
      <c r="K843" s="149"/>
      <c r="L843" s="142"/>
    </row>
    <row r="844" spans="1:12">
      <c r="B844" s="176" t="s">
        <v>756</v>
      </c>
      <c r="C844" s="177">
        <f>보고서!C939</f>
        <v>0</v>
      </c>
      <c r="D844" s="177">
        <f>보고서!D939</f>
        <v>0</v>
      </c>
      <c r="E844" s="176" t="s">
        <v>810</v>
      </c>
      <c r="F844" s="149"/>
      <c r="G844" s="176">
        <f>보고서!G939</f>
        <v>0</v>
      </c>
      <c r="H844" s="207" t="str">
        <f>보고서!I939</f>
        <v>SPC 없음</v>
      </c>
      <c r="I844" s="149"/>
      <c r="J844" s="149"/>
      <c r="K844" s="149"/>
      <c r="L844" s="142"/>
    </row>
    <row r="845" spans="1:12">
      <c r="B845" s="176" t="s">
        <v>757</v>
      </c>
      <c r="C845" s="177">
        <f>보고서!C940</f>
        <v>0</v>
      </c>
      <c r="D845" s="177">
        <f>보고서!D940</f>
        <v>0</v>
      </c>
      <c r="E845" s="176" t="s">
        <v>810</v>
      </c>
      <c r="F845" s="149"/>
      <c r="G845" s="176">
        <f>보고서!G940</f>
        <v>0</v>
      </c>
      <c r="H845" s="207" t="str">
        <f>보고서!I940</f>
        <v>SPC 없음</v>
      </c>
      <c r="I845" s="218"/>
      <c r="J845" s="149"/>
      <c r="K845" s="149"/>
      <c r="L845" s="142"/>
    </row>
    <row r="846" spans="1:12">
      <c r="B846" s="179" t="s">
        <v>3493</v>
      </c>
      <c r="C846" s="175">
        <f>보고서!C941</f>
        <v>0</v>
      </c>
      <c r="D846" s="175">
        <f>보고서!D941</f>
        <v>0</v>
      </c>
      <c r="E846" s="219" t="s">
        <v>821</v>
      </c>
      <c r="F846" s="191" t="str">
        <f>IF(D846=H849+L863,"투자자산 합계액 일치","투자자산 합계액 불일치")</f>
        <v>투자자산 합계액 일치</v>
      </c>
      <c r="G846" s="176">
        <f>보고서!G941</f>
        <v>0</v>
      </c>
      <c r="H846" s="207" t="str">
        <f>보고서!I941</f>
        <v>SPC 없음</v>
      </c>
      <c r="I846" s="218"/>
      <c r="J846" s="149"/>
      <c r="K846" s="149"/>
      <c r="L846" s="142"/>
    </row>
    <row r="847" spans="1:12">
      <c r="B847" s="179" t="s">
        <v>848</v>
      </c>
      <c r="C847" s="175">
        <f>보고서!C959</f>
        <v>0</v>
      </c>
      <c r="D847" s="175">
        <f>보고서!D959</f>
        <v>0</v>
      </c>
      <c r="E847" s="149"/>
      <c r="F847" s="149"/>
      <c r="G847" s="176">
        <f>보고서!G942</f>
        <v>0</v>
      </c>
      <c r="H847" s="207" t="str">
        <f>보고서!I942</f>
        <v>SPC 없음</v>
      </c>
      <c r="I847" s="218"/>
      <c r="J847" s="149"/>
      <c r="K847" s="149"/>
      <c r="L847" s="142"/>
    </row>
    <row r="848" spans="1:12" ht="14.25" thickBot="1">
      <c r="B848" s="180" t="s">
        <v>30</v>
      </c>
      <c r="C848" s="181">
        <f>보고서!C960</f>
        <v>0</v>
      </c>
      <c r="D848" s="181">
        <f>C848</f>
        <v>0</v>
      </c>
      <c r="E848" s="182" t="s">
        <v>810</v>
      </c>
      <c r="F848" s="149"/>
      <c r="G848" s="182">
        <f>보고서!G943</f>
        <v>0</v>
      </c>
      <c r="H848" s="209" t="str">
        <f>보고서!I943</f>
        <v>SPC 없음</v>
      </c>
      <c r="I848" s="218"/>
      <c r="J848" s="149"/>
      <c r="K848" s="149"/>
      <c r="L848" s="142"/>
    </row>
    <row r="849" spans="2:12" ht="14.25" thickTop="1">
      <c r="B849" s="179" t="s">
        <v>31</v>
      </c>
      <c r="C849" s="175">
        <f>C847-C848</f>
        <v>0</v>
      </c>
      <c r="D849" s="175">
        <f>D847-D848</f>
        <v>0</v>
      </c>
      <c r="E849" s="149"/>
      <c r="F849" s="149"/>
      <c r="H849" s="210">
        <f>SUM(H843:H848)</f>
        <v>0</v>
      </c>
      <c r="L849" s="142"/>
    </row>
    <row r="850" spans="2:12">
      <c r="B850" s="184" t="s">
        <v>804</v>
      </c>
      <c r="C850" s="177">
        <f>보고서!C962</f>
        <v>0</v>
      </c>
      <c r="D850" s="177">
        <f>C850</f>
        <v>0</v>
      </c>
      <c r="E850" s="149"/>
      <c r="F850" s="217"/>
      <c r="G850" s="215" t="s">
        <v>752</v>
      </c>
      <c r="H850" s="149"/>
      <c r="I850" s="149"/>
      <c r="J850" s="149"/>
      <c r="K850" s="149"/>
      <c r="L850" s="149"/>
    </row>
    <row r="851" spans="2:12">
      <c r="B851" s="184" t="s">
        <v>964</v>
      </c>
      <c r="C851" s="177">
        <f>보고서!C963</f>
        <v>0</v>
      </c>
      <c r="D851" s="177">
        <f>C851</f>
        <v>0</v>
      </c>
      <c r="E851" s="149"/>
      <c r="F851" s="149"/>
      <c r="G851" s="173" t="s">
        <v>805</v>
      </c>
      <c r="H851" s="173" t="s">
        <v>1</v>
      </c>
      <c r="I851" s="173" t="s">
        <v>12</v>
      </c>
      <c r="J851" s="173" t="s">
        <v>806</v>
      </c>
      <c r="K851" s="173" t="s">
        <v>3494</v>
      </c>
      <c r="L851" s="173" t="s">
        <v>3497</v>
      </c>
    </row>
    <row r="852" spans="2:12">
      <c r="B852" s="179" t="s">
        <v>842</v>
      </c>
      <c r="C852" s="175">
        <f>C849+C850-C851</f>
        <v>0</v>
      </c>
      <c r="D852" s="175">
        <f>D849+D850-D851</f>
        <v>0</v>
      </c>
      <c r="E852" s="149"/>
      <c r="F852" s="149"/>
      <c r="G852" s="176">
        <f>보고서!L938</f>
        <v>0</v>
      </c>
      <c r="H852" s="176">
        <f>보고서!M938</f>
        <v>0</v>
      </c>
      <c r="I852" s="176">
        <f>보고서!N938</f>
        <v>0</v>
      </c>
      <c r="J852" s="208">
        <f>보고서!O938</f>
        <v>0</v>
      </c>
      <c r="K852" s="208">
        <f>보고서!P938</f>
        <v>0</v>
      </c>
      <c r="L852" s="208">
        <f>보고서!Q938</f>
        <v>0</v>
      </c>
    </row>
    <row r="853" spans="2:12" ht="14.25" thickBot="1">
      <c r="B853" s="182" t="s">
        <v>811</v>
      </c>
      <c r="C853" s="220">
        <f>보고서!C965</f>
        <v>0</v>
      </c>
      <c r="D853" s="220">
        <f>C853</f>
        <v>0</v>
      </c>
      <c r="E853" s="221"/>
      <c r="F853" s="149"/>
      <c r="G853" s="176">
        <f>보고서!L939</f>
        <v>0</v>
      </c>
      <c r="H853" s="176">
        <f>보고서!M939</f>
        <v>0</v>
      </c>
      <c r="I853" s="176">
        <f>보고서!N939</f>
        <v>0</v>
      </c>
      <c r="J853" s="208">
        <f>보고서!O939</f>
        <v>0</v>
      </c>
      <c r="K853" s="208">
        <f>보고서!P939</f>
        <v>0</v>
      </c>
      <c r="L853" s="208">
        <f>보고서!Q939</f>
        <v>0</v>
      </c>
    </row>
    <row r="854" spans="2:12" ht="14.25" thickTop="1">
      <c r="B854" s="222" t="s">
        <v>746</v>
      </c>
      <c r="C854" s="175">
        <f>C852*C853</f>
        <v>0</v>
      </c>
      <c r="D854" s="175">
        <f>D852*D853</f>
        <v>0</v>
      </c>
      <c r="E854" s="149"/>
      <c r="F854" s="149"/>
      <c r="G854" s="176">
        <f>보고서!L940</f>
        <v>0</v>
      </c>
      <c r="H854" s="176">
        <f>보고서!M940</f>
        <v>0</v>
      </c>
      <c r="I854" s="176">
        <f>보고서!N940</f>
        <v>0</v>
      </c>
      <c r="J854" s="208">
        <f>보고서!O940</f>
        <v>0</v>
      </c>
      <c r="K854" s="208">
        <f>보고서!P940</f>
        <v>0</v>
      </c>
      <c r="L854" s="208">
        <f>보고서!Q940</f>
        <v>0</v>
      </c>
    </row>
    <row r="855" spans="2:12">
      <c r="B855" s="149"/>
      <c r="C855" s="149"/>
      <c r="D855" s="149"/>
      <c r="E855" s="149"/>
      <c r="F855" s="149"/>
      <c r="G855" s="176">
        <f>보고서!L941</f>
        <v>0</v>
      </c>
      <c r="H855" s="176">
        <f>보고서!M941</f>
        <v>0</v>
      </c>
      <c r="I855" s="176">
        <f>보고서!N941</f>
        <v>0</v>
      </c>
      <c r="J855" s="208">
        <f>보고서!O941</f>
        <v>0</v>
      </c>
      <c r="K855" s="208">
        <f>보고서!P941</f>
        <v>0</v>
      </c>
      <c r="L855" s="208">
        <f>보고서!Q941</f>
        <v>0</v>
      </c>
    </row>
    <row r="856" spans="2:12">
      <c r="B856" s="168" t="s">
        <v>38</v>
      </c>
      <c r="C856" s="191" t="b">
        <f>ROUND(C844+C845+C846-C848+C850-C851,0)=ROUND(C852,0)</f>
        <v>1</v>
      </c>
      <c r="D856" s="191" t="b">
        <f>ROUND(D844+D845+D846-D848+D850-D851,0)=ROUND(D852,0)</f>
        <v>1</v>
      </c>
      <c r="E856" s="149"/>
      <c r="F856" s="149"/>
      <c r="G856" s="176">
        <f>보고서!L942</f>
        <v>0</v>
      </c>
      <c r="H856" s="176">
        <f>보고서!M942</f>
        <v>0</v>
      </c>
      <c r="I856" s="176">
        <f>보고서!N942</f>
        <v>0</v>
      </c>
      <c r="J856" s="208">
        <f>보고서!O942</f>
        <v>0</v>
      </c>
      <c r="K856" s="208">
        <f>보고서!P942</f>
        <v>0</v>
      </c>
      <c r="L856" s="208">
        <f>보고서!Q942</f>
        <v>0</v>
      </c>
    </row>
    <row r="857" spans="2:12">
      <c r="B857" s="149"/>
      <c r="C857" s="149"/>
      <c r="D857" s="149"/>
      <c r="E857" s="149"/>
      <c r="F857" s="149"/>
      <c r="G857" s="176">
        <f>보고서!L943</f>
        <v>0</v>
      </c>
      <c r="H857" s="176">
        <f>보고서!M943</f>
        <v>0</v>
      </c>
      <c r="I857" s="176">
        <f>보고서!N943</f>
        <v>0</v>
      </c>
      <c r="J857" s="208">
        <f>보고서!O943</f>
        <v>0</v>
      </c>
      <c r="K857" s="208">
        <f>보고서!P943</f>
        <v>0</v>
      </c>
      <c r="L857" s="208">
        <f>보고서!Q943</f>
        <v>0</v>
      </c>
    </row>
    <row r="858" spans="2:12">
      <c r="B858" s="865" t="str">
        <f>IF(B839="SPC없음","해당사항 없음",B870)</f>
        <v>해당사항 없음</v>
      </c>
      <c r="C858" s="866"/>
      <c r="D858" s="866"/>
      <c r="E858" s="867"/>
      <c r="F858" s="149"/>
      <c r="G858" s="176">
        <f>보고서!L944</f>
        <v>0</v>
      </c>
      <c r="H858" s="176">
        <f>보고서!M944</f>
        <v>0</v>
      </c>
      <c r="I858" s="176">
        <f>보고서!N944</f>
        <v>0</v>
      </c>
      <c r="J858" s="208">
        <f>보고서!O944</f>
        <v>0</v>
      </c>
      <c r="K858" s="208">
        <f>보고서!P944</f>
        <v>0</v>
      </c>
      <c r="L858" s="208">
        <f>보고서!Q944</f>
        <v>0</v>
      </c>
    </row>
    <row r="859" spans="2:12">
      <c r="B859" s="868"/>
      <c r="C859" s="869"/>
      <c r="D859" s="869"/>
      <c r="E859" s="870"/>
      <c r="F859" s="149"/>
      <c r="G859" s="176">
        <f>보고서!L945</f>
        <v>0</v>
      </c>
      <c r="H859" s="176">
        <f>보고서!M945</f>
        <v>0</v>
      </c>
      <c r="I859" s="176">
        <f>보고서!N945</f>
        <v>0</v>
      </c>
      <c r="J859" s="208">
        <f>보고서!O945</f>
        <v>0</v>
      </c>
      <c r="K859" s="208">
        <f>보고서!P945</f>
        <v>0</v>
      </c>
      <c r="L859" s="208">
        <f>보고서!Q945</f>
        <v>0</v>
      </c>
    </row>
    <row r="860" spans="2:12">
      <c r="B860" s="868"/>
      <c r="C860" s="869"/>
      <c r="D860" s="869"/>
      <c r="E860" s="870"/>
      <c r="F860" s="149"/>
      <c r="G860" s="176">
        <f>보고서!L946</f>
        <v>0</v>
      </c>
      <c r="H860" s="176">
        <f>보고서!M946</f>
        <v>0</v>
      </c>
      <c r="I860" s="176">
        <f>보고서!N946</f>
        <v>0</v>
      </c>
      <c r="J860" s="208">
        <f>보고서!O946</f>
        <v>0</v>
      </c>
      <c r="K860" s="208">
        <f>보고서!P946</f>
        <v>0</v>
      </c>
      <c r="L860" s="208">
        <f>보고서!Q946</f>
        <v>0</v>
      </c>
    </row>
    <row r="861" spans="2:12">
      <c r="B861" s="868"/>
      <c r="C861" s="869"/>
      <c r="D861" s="869"/>
      <c r="E861" s="870"/>
      <c r="F861" s="149"/>
      <c r="G861" s="176">
        <f>보고서!L947</f>
        <v>0</v>
      </c>
      <c r="H861" s="176">
        <f>보고서!M947</f>
        <v>0</v>
      </c>
      <c r="I861" s="176">
        <f>보고서!N947</f>
        <v>0</v>
      </c>
      <c r="J861" s="208">
        <f>보고서!O947</f>
        <v>0</v>
      </c>
      <c r="K861" s="208">
        <f>보고서!P947</f>
        <v>0</v>
      </c>
      <c r="L861" s="208">
        <f>보고서!Q947</f>
        <v>0</v>
      </c>
    </row>
    <row r="862" spans="2:12" ht="14.25" thickBot="1">
      <c r="B862" s="868"/>
      <c r="C862" s="869"/>
      <c r="D862" s="869"/>
      <c r="E862" s="870"/>
      <c r="F862" s="149"/>
      <c r="G862" s="182">
        <f>보고서!L948</f>
        <v>0</v>
      </c>
      <c r="H862" s="182">
        <f>보고서!M948</f>
        <v>0</v>
      </c>
      <c r="I862" s="182">
        <f>보고서!N948</f>
        <v>0</v>
      </c>
      <c r="J862" s="212">
        <f>보고서!O948</f>
        <v>0</v>
      </c>
      <c r="K862" s="212">
        <f>보고서!P948</f>
        <v>0</v>
      </c>
      <c r="L862" s="212">
        <f>보고서!Q948</f>
        <v>0</v>
      </c>
    </row>
    <row r="863" spans="2:12" ht="14.25" thickTop="1">
      <c r="B863" s="868"/>
      <c r="C863" s="869"/>
      <c r="D863" s="869"/>
      <c r="E863" s="870"/>
      <c r="G863" s="908" t="s">
        <v>3496</v>
      </c>
      <c r="H863" s="908"/>
      <c r="I863" s="908"/>
      <c r="J863" s="908"/>
      <c r="K863" s="223">
        <f>SUM(K852:K862)</f>
        <v>0</v>
      </c>
      <c r="L863" s="223">
        <f>SUM(L852:L862)</f>
        <v>0</v>
      </c>
    </row>
    <row r="864" spans="2:12">
      <c r="B864" s="868"/>
      <c r="C864" s="869"/>
      <c r="D864" s="869"/>
      <c r="E864" s="870"/>
    </row>
    <row r="865" spans="1:12">
      <c r="B865" s="868"/>
      <c r="C865" s="869"/>
      <c r="D865" s="869"/>
      <c r="E865" s="870"/>
    </row>
    <row r="866" spans="1:12">
      <c r="B866" s="868"/>
      <c r="C866" s="869"/>
      <c r="D866" s="869"/>
      <c r="E866" s="870"/>
    </row>
    <row r="867" spans="1:12">
      <c r="B867" s="868"/>
      <c r="C867" s="869"/>
      <c r="D867" s="869"/>
      <c r="E867" s="870"/>
    </row>
    <row r="868" spans="1:12">
      <c r="B868" s="868"/>
      <c r="C868" s="869"/>
      <c r="D868" s="869"/>
      <c r="E868" s="870"/>
    </row>
    <row r="869" spans="1:12">
      <c r="B869" s="871"/>
      <c r="C869" s="872"/>
      <c r="D869" s="872"/>
      <c r="E869" s="873"/>
    </row>
    <row r="870" spans="1:12">
      <c r="B870" s="224" t="s">
        <v>857</v>
      </c>
    </row>
    <row r="871" spans="1:12">
      <c r="A871" s="142">
        <f>A839+1</f>
        <v>19</v>
      </c>
      <c r="B871" s="214" t="str">
        <f>보고서!B972</f>
        <v>SPC없음</v>
      </c>
      <c r="C871" s="149"/>
      <c r="D871" s="149"/>
      <c r="E871" s="149"/>
      <c r="F871" s="149"/>
      <c r="H871" s="149"/>
      <c r="I871" s="149"/>
      <c r="J871" s="149"/>
      <c r="K871" s="149"/>
      <c r="L871" s="149"/>
    </row>
    <row r="872" spans="1:12">
      <c r="B872" s="214" t="str">
        <f>보고서!B973</f>
        <v>SPC없음</v>
      </c>
      <c r="C872" s="149"/>
      <c r="D872" s="149"/>
      <c r="E872" s="149"/>
      <c r="F872" s="149"/>
      <c r="H872" s="149"/>
      <c r="I872" s="149"/>
      <c r="J872" s="149"/>
      <c r="K872" s="149"/>
      <c r="L872" s="149"/>
    </row>
    <row r="873" spans="1:12">
      <c r="B873" s="215" t="s">
        <v>750</v>
      </c>
      <c r="C873" s="216"/>
      <c r="D873" s="216"/>
      <c r="E873" s="216"/>
      <c r="F873" s="216"/>
      <c r="G873" s="215" t="s">
        <v>751</v>
      </c>
      <c r="H873" s="216"/>
      <c r="I873" s="216"/>
      <c r="J873" s="149"/>
      <c r="K873" s="149"/>
      <c r="L873" s="149"/>
    </row>
    <row r="874" spans="1:12">
      <c r="B874" s="173" t="s">
        <v>808</v>
      </c>
      <c r="C874" s="173" t="s">
        <v>10</v>
      </c>
      <c r="D874" s="173" t="s">
        <v>236</v>
      </c>
      <c r="E874" s="173" t="s">
        <v>801</v>
      </c>
      <c r="F874" s="217"/>
      <c r="G874" s="173" t="s">
        <v>88</v>
      </c>
      <c r="H874" s="173" t="s">
        <v>90</v>
      </c>
      <c r="I874" s="149"/>
      <c r="J874" s="149"/>
      <c r="K874" s="149"/>
      <c r="L874" s="142"/>
    </row>
    <row r="875" spans="1:12">
      <c r="B875" s="174" t="s">
        <v>3492</v>
      </c>
      <c r="C875" s="175">
        <f>보고서!C976</f>
        <v>0</v>
      </c>
      <c r="D875" s="175">
        <f>보고서!D976</f>
        <v>0</v>
      </c>
      <c r="E875" s="149"/>
      <c r="F875" s="149"/>
      <c r="G875" s="176">
        <f>보고서!G976</f>
        <v>0</v>
      </c>
      <c r="H875" s="207" t="str">
        <f>보고서!I976</f>
        <v>SPC 없음</v>
      </c>
      <c r="I875" s="149"/>
      <c r="J875" s="149"/>
      <c r="K875" s="149"/>
      <c r="L875" s="142"/>
    </row>
    <row r="876" spans="1:12">
      <c r="B876" s="176" t="s">
        <v>756</v>
      </c>
      <c r="C876" s="177">
        <f>보고서!C977</f>
        <v>0</v>
      </c>
      <c r="D876" s="177">
        <f>보고서!D977</f>
        <v>0</v>
      </c>
      <c r="E876" s="176" t="s">
        <v>810</v>
      </c>
      <c r="F876" s="149"/>
      <c r="G876" s="176">
        <f>보고서!G977</f>
        <v>0</v>
      </c>
      <c r="H876" s="207" t="str">
        <f>보고서!I977</f>
        <v>SPC 없음</v>
      </c>
      <c r="I876" s="149"/>
      <c r="J876" s="149"/>
      <c r="K876" s="149"/>
      <c r="L876" s="142"/>
    </row>
    <row r="877" spans="1:12">
      <c r="B877" s="176" t="s">
        <v>757</v>
      </c>
      <c r="C877" s="177">
        <f>보고서!C978</f>
        <v>0</v>
      </c>
      <c r="D877" s="177">
        <f>보고서!D978</f>
        <v>0</v>
      </c>
      <c r="E877" s="176" t="s">
        <v>810</v>
      </c>
      <c r="F877" s="149"/>
      <c r="G877" s="176">
        <f>보고서!G978</f>
        <v>0</v>
      </c>
      <c r="H877" s="207" t="str">
        <f>보고서!I978</f>
        <v>SPC 없음</v>
      </c>
      <c r="I877" s="218"/>
      <c r="J877" s="149"/>
      <c r="K877" s="149"/>
      <c r="L877" s="142"/>
    </row>
    <row r="878" spans="1:12">
      <c r="B878" s="179" t="s">
        <v>3493</v>
      </c>
      <c r="C878" s="175">
        <f>보고서!C979</f>
        <v>0</v>
      </c>
      <c r="D878" s="175">
        <f>보고서!D979</f>
        <v>0</v>
      </c>
      <c r="E878" s="219" t="s">
        <v>821</v>
      </c>
      <c r="F878" s="191" t="str">
        <f>IF(D878=H881+L895,"투자자산 합계액 일치","투자자산 합계액 불일치")</f>
        <v>투자자산 합계액 일치</v>
      </c>
      <c r="G878" s="176">
        <f>보고서!G979</f>
        <v>0</v>
      </c>
      <c r="H878" s="207" t="str">
        <f>보고서!I979</f>
        <v>SPC 없음</v>
      </c>
      <c r="I878" s="218"/>
      <c r="J878" s="149"/>
      <c r="K878" s="149"/>
      <c r="L878" s="142"/>
    </row>
    <row r="879" spans="1:12">
      <c r="B879" s="179" t="s">
        <v>848</v>
      </c>
      <c r="C879" s="175">
        <f>보고서!C997</f>
        <v>0</v>
      </c>
      <c r="D879" s="175">
        <f>보고서!D997</f>
        <v>0</v>
      </c>
      <c r="E879" s="149"/>
      <c r="F879" s="149"/>
      <c r="G879" s="176">
        <f>보고서!G980</f>
        <v>0</v>
      </c>
      <c r="H879" s="207" t="str">
        <f>보고서!I980</f>
        <v>SPC 없음</v>
      </c>
      <c r="I879" s="218"/>
      <c r="J879" s="149"/>
      <c r="K879" s="149"/>
      <c r="L879" s="142"/>
    </row>
    <row r="880" spans="1:12" ht="14.25" thickBot="1">
      <c r="B880" s="180" t="s">
        <v>30</v>
      </c>
      <c r="C880" s="181">
        <f>보고서!C998</f>
        <v>0</v>
      </c>
      <c r="D880" s="181">
        <f>C880</f>
        <v>0</v>
      </c>
      <c r="E880" s="182" t="s">
        <v>810</v>
      </c>
      <c r="F880" s="149"/>
      <c r="G880" s="182">
        <f>보고서!G981</f>
        <v>0</v>
      </c>
      <c r="H880" s="209" t="str">
        <f>보고서!I981</f>
        <v>SPC 없음</v>
      </c>
      <c r="I880" s="218"/>
      <c r="J880" s="149"/>
      <c r="K880" s="149"/>
      <c r="L880" s="142"/>
    </row>
    <row r="881" spans="2:12" ht="14.25" thickTop="1">
      <c r="B881" s="179" t="s">
        <v>31</v>
      </c>
      <c r="C881" s="175">
        <f>C879-C880</f>
        <v>0</v>
      </c>
      <c r="D881" s="175">
        <f>D879-D880</f>
        <v>0</v>
      </c>
      <c r="E881" s="149"/>
      <c r="F881" s="149"/>
      <c r="H881" s="210">
        <f>SUM(H875:H880)</f>
        <v>0</v>
      </c>
      <c r="L881" s="142"/>
    </row>
    <row r="882" spans="2:12">
      <c r="B882" s="184" t="s">
        <v>804</v>
      </c>
      <c r="C882" s="177">
        <f>보고서!C1000</f>
        <v>0</v>
      </c>
      <c r="D882" s="177">
        <f>C882</f>
        <v>0</v>
      </c>
      <c r="E882" s="149"/>
      <c r="F882" s="217"/>
      <c r="G882" s="215" t="s">
        <v>752</v>
      </c>
      <c r="H882" s="149"/>
      <c r="I882" s="149"/>
      <c r="J882" s="149"/>
      <c r="K882" s="149"/>
      <c r="L882" s="149"/>
    </row>
    <row r="883" spans="2:12">
      <c r="B883" s="184" t="s">
        <v>964</v>
      </c>
      <c r="C883" s="177">
        <f>보고서!C1001</f>
        <v>0</v>
      </c>
      <c r="D883" s="177">
        <f>C883</f>
        <v>0</v>
      </c>
      <c r="E883" s="149"/>
      <c r="F883" s="149"/>
      <c r="G883" s="173" t="s">
        <v>805</v>
      </c>
      <c r="H883" s="173" t="s">
        <v>1</v>
      </c>
      <c r="I883" s="173" t="s">
        <v>12</v>
      </c>
      <c r="J883" s="173" t="s">
        <v>806</v>
      </c>
      <c r="K883" s="173" t="s">
        <v>3494</v>
      </c>
      <c r="L883" s="173" t="s">
        <v>3497</v>
      </c>
    </row>
    <row r="884" spans="2:12">
      <c r="B884" s="179" t="s">
        <v>842</v>
      </c>
      <c r="C884" s="175">
        <f>C881+C882-C883</f>
        <v>0</v>
      </c>
      <c r="D884" s="175">
        <f>D881+D882-D883</f>
        <v>0</v>
      </c>
      <c r="E884" s="149"/>
      <c r="F884" s="149"/>
      <c r="G884" s="176">
        <f>보고서!L976</f>
        <v>0</v>
      </c>
      <c r="H884" s="176">
        <f>보고서!M976</f>
        <v>0</v>
      </c>
      <c r="I884" s="176">
        <f>보고서!N976</f>
        <v>0</v>
      </c>
      <c r="J884" s="208">
        <f>보고서!O976</f>
        <v>0</v>
      </c>
      <c r="K884" s="208">
        <f>보고서!P976</f>
        <v>0</v>
      </c>
      <c r="L884" s="208">
        <f>보고서!Q976</f>
        <v>0</v>
      </c>
    </row>
    <row r="885" spans="2:12" ht="14.25" thickBot="1">
      <c r="B885" s="182" t="s">
        <v>811</v>
      </c>
      <c r="C885" s="220">
        <f>보고서!C1003</f>
        <v>0</v>
      </c>
      <c r="D885" s="220">
        <f>C885</f>
        <v>0</v>
      </c>
      <c r="E885" s="221"/>
      <c r="F885" s="149"/>
      <c r="G885" s="176">
        <f>보고서!L977</f>
        <v>0</v>
      </c>
      <c r="H885" s="176">
        <f>보고서!M977</f>
        <v>0</v>
      </c>
      <c r="I885" s="176">
        <f>보고서!N977</f>
        <v>0</v>
      </c>
      <c r="J885" s="208">
        <f>보고서!O977</f>
        <v>0</v>
      </c>
      <c r="K885" s="208">
        <f>보고서!P977</f>
        <v>0</v>
      </c>
      <c r="L885" s="208">
        <f>보고서!Q977</f>
        <v>0</v>
      </c>
    </row>
    <row r="886" spans="2:12" ht="14.25" thickTop="1">
      <c r="B886" s="222" t="s">
        <v>746</v>
      </c>
      <c r="C886" s="175">
        <f>C884*C885</f>
        <v>0</v>
      </c>
      <c r="D886" s="175">
        <f>D884*D885</f>
        <v>0</v>
      </c>
      <c r="E886" s="149"/>
      <c r="F886" s="149"/>
      <c r="G886" s="176">
        <f>보고서!L978</f>
        <v>0</v>
      </c>
      <c r="H886" s="176">
        <f>보고서!M978</f>
        <v>0</v>
      </c>
      <c r="I886" s="176">
        <f>보고서!N978</f>
        <v>0</v>
      </c>
      <c r="J886" s="208">
        <f>보고서!O978</f>
        <v>0</v>
      </c>
      <c r="K886" s="208">
        <f>보고서!P978</f>
        <v>0</v>
      </c>
      <c r="L886" s="208">
        <f>보고서!Q978</f>
        <v>0</v>
      </c>
    </row>
    <row r="887" spans="2:12">
      <c r="B887" s="149"/>
      <c r="C887" s="149"/>
      <c r="D887" s="149"/>
      <c r="E887" s="149"/>
      <c r="F887" s="149"/>
      <c r="G887" s="176">
        <f>보고서!L979</f>
        <v>0</v>
      </c>
      <c r="H887" s="176">
        <f>보고서!M979</f>
        <v>0</v>
      </c>
      <c r="I887" s="176">
        <f>보고서!N979</f>
        <v>0</v>
      </c>
      <c r="J887" s="208">
        <f>보고서!O979</f>
        <v>0</v>
      </c>
      <c r="K887" s="208">
        <f>보고서!P979</f>
        <v>0</v>
      </c>
      <c r="L887" s="208">
        <f>보고서!Q979</f>
        <v>0</v>
      </c>
    </row>
    <row r="888" spans="2:12">
      <c r="B888" s="168" t="s">
        <v>38</v>
      </c>
      <c r="C888" s="191" t="b">
        <f>ROUND(C876+C877+C878-C880+C882-C883,0)=ROUND(C884,0)</f>
        <v>1</v>
      </c>
      <c r="D888" s="191" t="b">
        <f>ROUND(D876+D877+D878-D880+D882-D883,0)=ROUND(D884,0)</f>
        <v>1</v>
      </c>
      <c r="E888" s="149"/>
      <c r="F888" s="149"/>
      <c r="G888" s="176">
        <f>보고서!L980</f>
        <v>0</v>
      </c>
      <c r="H888" s="176">
        <f>보고서!M980</f>
        <v>0</v>
      </c>
      <c r="I888" s="176">
        <f>보고서!N980</f>
        <v>0</v>
      </c>
      <c r="J888" s="208">
        <f>보고서!O980</f>
        <v>0</v>
      </c>
      <c r="K888" s="208">
        <f>보고서!P980</f>
        <v>0</v>
      </c>
      <c r="L888" s="208">
        <f>보고서!Q980</f>
        <v>0</v>
      </c>
    </row>
    <row r="889" spans="2:12">
      <c r="B889" s="149"/>
      <c r="C889" s="149"/>
      <c r="D889" s="149"/>
      <c r="E889" s="149"/>
      <c r="F889" s="149"/>
      <c r="G889" s="176">
        <f>보고서!L981</f>
        <v>0</v>
      </c>
      <c r="H889" s="176">
        <f>보고서!M981</f>
        <v>0</v>
      </c>
      <c r="I889" s="176">
        <f>보고서!N981</f>
        <v>0</v>
      </c>
      <c r="J889" s="208">
        <f>보고서!O981</f>
        <v>0</v>
      </c>
      <c r="K889" s="208">
        <f>보고서!P981</f>
        <v>0</v>
      </c>
      <c r="L889" s="208">
        <f>보고서!Q981</f>
        <v>0</v>
      </c>
    </row>
    <row r="890" spans="2:12">
      <c r="B890" s="865" t="str">
        <f>IF(B871="SPC없음","해당사항 없음",B902)</f>
        <v>해당사항 없음</v>
      </c>
      <c r="C890" s="866"/>
      <c r="D890" s="866"/>
      <c r="E890" s="867"/>
      <c r="F890" s="149"/>
      <c r="G890" s="176">
        <f>보고서!L982</f>
        <v>0</v>
      </c>
      <c r="H890" s="176">
        <f>보고서!M982</f>
        <v>0</v>
      </c>
      <c r="I890" s="176">
        <f>보고서!N982</f>
        <v>0</v>
      </c>
      <c r="J890" s="208">
        <f>보고서!O982</f>
        <v>0</v>
      </c>
      <c r="K890" s="208">
        <f>보고서!P982</f>
        <v>0</v>
      </c>
      <c r="L890" s="208">
        <f>보고서!Q982</f>
        <v>0</v>
      </c>
    </row>
    <row r="891" spans="2:12">
      <c r="B891" s="868"/>
      <c r="C891" s="869"/>
      <c r="D891" s="869"/>
      <c r="E891" s="870"/>
      <c r="F891" s="149"/>
      <c r="G891" s="176">
        <f>보고서!L983</f>
        <v>0</v>
      </c>
      <c r="H891" s="176">
        <f>보고서!M983</f>
        <v>0</v>
      </c>
      <c r="I891" s="176">
        <f>보고서!N983</f>
        <v>0</v>
      </c>
      <c r="J891" s="208">
        <f>보고서!O983</f>
        <v>0</v>
      </c>
      <c r="K891" s="208">
        <f>보고서!P983</f>
        <v>0</v>
      </c>
      <c r="L891" s="208">
        <f>보고서!Q983</f>
        <v>0</v>
      </c>
    </row>
    <row r="892" spans="2:12">
      <c r="B892" s="868"/>
      <c r="C892" s="869"/>
      <c r="D892" s="869"/>
      <c r="E892" s="870"/>
      <c r="F892" s="149"/>
      <c r="G892" s="176">
        <f>보고서!L984</f>
        <v>0</v>
      </c>
      <c r="H892" s="176">
        <f>보고서!M984</f>
        <v>0</v>
      </c>
      <c r="I892" s="176">
        <f>보고서!N984</f>
        <v>0</v>
      </c>
      <c r="J892" s="208">
        <f>보고서!O984</f>
        <v>0</v>
      </c>
      <c r="K892" s="208">
        <f>보고서!P984</f>
        <v>0</v>
      </c>
      <c r="L892" s="208">
        <f>보고서!Q984</f>
        <v>0</v>
      </c>
    </row>
    <row r="893" spans="2:12">
      <c r="B893" s="868"/>
      <c r="C893" s="869"/>
      <c r="D893" s="869"/>
      <c r="E893" s="870"/>
      <c r="F893" s="149"/>
      <c r="G893" s="176">
        <f>보고서!L985</f>
        <v>0</v>
      </c>
      <c r="H893" s="176">
        <f>보고서!M985</f>
        <v>0</v>
      </c>
      <c r="I893" s="176">
        <f>보고서!N985</f>
        <v>0</v>
      </c>
      <c r="J893" s="208">
        <f>보고서!O985</f>
        <v>0</v>
      </c>
      <c r="K893" s="208">
        <f>보고서!P985</f>
        <v>0</v>
      </c>
      <c r="L893" s="208">
        <f>보고서!Q985</f>
        <v>0</v>
      </c>
    </row>
    <row r="894" spans="2:12" ht="14.25" thickBot="1">
      <c r="B894" s="868"/>
      <c r="C894" s="869"/>
      <c r="D894" s="869"/>
      <c r="E894" s="870"/>
      <c r="F894" s="149"/>
      <c r="G894" s="182">
        <f>보고서!L986</f>
        <v>0</v>
      </c>
      <c r="H894" s="182">
        <f>보고서!M986</f>
        <v>0</v>
      </c>
      <c r="I894" s="182">
        <f>보고서!N986</f>
        <v>0</v>
      </c>
      <c r="J894" s="212">
        <f>보고서!O986</f>
        <v>0</v>
      </c>
      <c r="K894" s="212">
        <f>보고서!P986</f>
        <v>0</v>
      </c>
      <c r="L894" s="212">
        <f>보고서!Q986</f>
        <v>0</v>
      </c>
    </row>
    <row r="895" spans="2:12" ht="14.25" thickTop="1">
      <c r="B895" s="868"/>
      <c r="C895" s="869"/>
      <c r="D895" s="869"/>
      <c r="E895" s="870"/>
      <c r="G895" s="908" t="s">
        <v>3496</v>
      </c>
      <c r="H895" s="908"/>
      <c r="I895" s="908"/>
      <c r="J895" s="908"/>
      <c r="K895" s="223">
        <f>SUM(K884:K894)</f>
        <v>0</v>
      </c>
      <c r="L895" s="223">
        <f>SUM(L884:L894)</f>
        <v>0</v>
      </c>
    </row>
    <row r="896" spans="2:12">
      <c r="B896" s="868"/>
      <c r="C896" s="869"/>
      <c r="D896" s="869"/>
      <c r="E896" s="870"/>
    </row>
    <row r="897" spans="1:12">
      <c r="B897" s="868"/>
      <c r="C897" s="869"/>
      <c r="D897" s="869"/>
      <c r="E897" s="870"/>
    </row>
    <row r="898" spans="1:12">
      <c r="B898" s="868"/>
      <c r="C898" s="869"/>
      <c r="D898" s="869"/>
      <c r="E898" s="870"/>
    </row>
    <row r="899" spans="1:12">
      <c r="B899" s="868"/>
      <c r="C899" s="869"/>
      <c r="D899" s="869"/>
      <c r="E899" s="870"/>
    </row>
    <row r="900" spans="1:12">
      <c r="B900" s="868"/>
      <c r="C900" s="869"/>
      <c r="D900" s="869"/>
      <c r="E900" s="870"/>
    </row>
    <row r="901" spans="1:12">
      <c r="B901" s="871"/>
      <c r="C901" s="872"/>
      <c r="D901" s="872"/>
      <c r="E901" s="873"/>
    </row>
    <row r="902" spans="1:12">
      <c r="B902" s="224" t="s">
        <v>857</v>
      </c>
    </row>
    <row r="903" spans="1:12">
      <c r="A903" s="142">
        <f>A871+1</f>
        <v>20</v>
      </c>
      <c r="B903" s="214" t="str">
        <f>보고서!B1010</f>
        <v>SPC없음</v>
      </c>
      <c r="C903" s="149"/>
      <c r="D903" s="149"/>
      <c r="E903" s="149"/>
      <c r="F903" s="149"/>
      <c r="H903" s="149"/>
      <c r="I903" s="149"/>
      <c r="J903" s="149"/>
      <c r="K903" s="149"/>
      <c r="L903" s="149"/>
    </row>
    <row r="904" spans="1:12">
      <c r="B904" s="214" t="str">
        <f>보고서!B1011</f>
        <v>SPC없음</v>
      </c>
      <c r="C904" s="149"/>
      <c r="D904" s="149"/>
      <c r="E904" s="149"/>
      <c r="F904" s="149"/>
      <c r="H904" s="149"/>
      <c r="I904" s="149"/>
      <c r="J904" s="149"/>
      <c r="K904" s="149"/>
      <c r="L904" s="149"/>
    </row>
    <row r="905" spans="1:12">
      <c r="B905" s="215" t="s">
        <v>750</v>
      </c>
      <c r="C905" s="216"/>
      <c r="D905" s="216"/>
      <c r="E905" s="216"/>
      <c r="F905" s="216"/>
      <c r="G905" s="215" t="s">
        <v>751</v>
      </c>
      <c r="H905" s="216"/>
      <c r="I905" s="216"/>
      <c r="J905" s="149"/>
      <c r="K905" s="149"/>
      <c r="L905" s="149"/>
    </row>
    <row r="906" spans="1:12">
      <c r="B906" s="173" t="s">
        <v>808</v>
      </c>
      <c r="C906" s="173" t="s">
        <v>10</v>
      </c>
      <c r="D906" s="173" t="s">
        <v>236</v>
      </c>
      <c r="E906" s="173" t="s">
        <v>801</v>
      </c>
      <c r="F906" s="217"/>
      <c r="G906" s="173" t="s">
        <v>88</v>
      </c>
      <c r="H906" s="173" t="s">
        <v>90</v>
      </c>
      <c r="I906" s="149"/>
      <c r="J906" s="149"/>
      <c r="K906" s="149"/>
      <c r="L906" s="142"/>
    </row>
    <row r="907" spans="1:12">
      <c r="B907" s="174" t="s">
        <v>3492</v>
      </c>
      <c r="C907" s="175">
        <f>보고서!C1014</f>
        <v>0</v>
      </c>
      <c r="D907" s="175">
        <f>보고서!D1014</f>
        <v>0</v>
      </c>
      <c r="E907" s="149"/>
      <c r="F907" s="149"/>
      <c r="G907" s="176">
        <f>보고서!G1014</f>
        <v>0</v>
      </c>
      <c r="H907" s="207" t="str">
        <f>보고서!I1014</f>
        <v>SPC 없음</v>
      </c>
      <c r="I907" s="149"/>
      <c r="J907" s="149"/>
      <c r="K907" s="149"/>
      <c r="L907" s="142"/>
    </row>
    <row r="908" spans="1:12">
      <c r="B908" s="176" t="s">
        <v>756</v>
      </c>
      <c r="C908" s="177">
        <f>보고서!C1015</f>
        <v>0</v>
      </c>
      <c r="D908" s="177">
        <f>보고서!D1015</f>
        <v>0</v>
      </c>
      <c r="E908" s="176" t="s">
        <v>810</v>
      </c>
      <c r="F908" s="149"/>
      <c r="G908" s="176">
        <f>보고서!G1015</f>
        <v>0</v>
      </c>
      <c r="H908" s="207" t="str">
        <f>보고서!I1015</f>
        <v>SPC 없음</v>
      </c>
      <c r="I908" s="149"/>
      <c r="J908" s="149"/>
      <c r="K908" s="149"/>
      <c r="L908" s="142"/>
    </row>
    <row r="909" spans="1:12">
      <c r="B909" s="176" t="s">
        <v>757</v>
      </c>
      <c r="C909" s="177">
        <f>보고서!C1016</f>
        <v>0</v>
      </c>
      <c r="D909" s="177">
        <f>보고서!D1016</f>
        <v>0</v>
      </c>
      <c r="E909" s="176" t="s">
        <v>810</v>
      </c>
      <c r="F909" s="149"/>
      <c r="G909" s="176">
        <f>보고서!G1016</f>
        <v>0</v>
      </c>
      <c r="H909" s="207" t="str">
        <f>보고서!I1016</f>
        <v>SPC 없음</v>
      </c>
      <c r="I909" s="218"/>
      <c r="J909" s="149"/>
      <c r="K909" s="149"/>
      <c r="L909" s="142"/>
    </row>
    <row r="910" spans="1:12">
      <c r="B910" s="179" t="s">
        <v>3493</v>
      </c>
      <c r="C910" s="175">
        <f>보고서!C1017</f>
        <v>0</v>
      </c>
      <c r="D910" s="175">
        <f>보고서!D1017</f>
        <v>0</v>
      </c>
      <c r="E910" s="219" t="s">
        <v>821</v>
      </c>
      <c r="F910" s="191" t="str">
        <f>IF(D910=H913+L927,"투자자산 합계액 일치","투자자산 합계액 불일치")</f>
        <v>투자자산 합계액 일치</v>
      </c>
      <c r="G910" s="176">
        <f>보고서!G1017</f>
        <v>0</v>
      </c>
      <c r="H910" s="207" t="str">
        <f>보고서!I1017</f>
        <v>SPC 없음</v>
      </c>
      <c r="I910" s="218"/>
      <c r="J910" s="149"/>
      <c r="K910" s="149"/>
      <c r="L910" s="142"/>
    </row>
    <row r="911" spans="1:12">
      <c r="B911" s="179" t="s">
        <v>848</v>
      </c>
      <c r="C911" s="175">
        <f>보고서!C1035</f>
        <v>0</v>
      </c>
      <c r="D911" s="175">
        <f>보고서!D1035</f>
        <v>0</v>
      </c>
      <c r="E911" s="149"/>
      <c r="F911" s="149"/>
      <c r="G911" s="176">
        <f>보고서!G1018</f>
        <v>0</v>
      </c>
      <c r="H911" s="207" t="str">
        <f>보고서!I1018</f>
        <v>SPC 없음</v>
      </c>
      <c r="I911" s="218"/>
      <c r="J911" s="149"/>
      <c r="K911" s="149"/>
      <c r="L911" s="142"/>
    </row>
    <row r="912" spans="1:12" ht="14.25" thickBot="1">
      <c r="B912" s="180" t="s">
        <v>30</v>
      </c>
      <c r="C912" s="181">
        <f>보고서!C1036</f>
        <v>0</v>
      </c>
      <c r="D912" s="181">
        <f>C912</f>
        <v>0</v>
      </c>
      <c r="E912" s="182" t="s">
        <v>810</v>
      </c>
      <c r="F912" s="149"/>
      <c r="G912" s="182">
        <f>보고서!G1019</f>
        <v>0</v>
      </c>
      <c r="H912" s="209" t="str">
        <f>보고서!I1019</f>
        <v>SPC 없음</v>
      </c>
      <c r="I912" s="218"/>
      <c r="J912" s="149"/>
      <c r="K912" s="149"/>
      <c r="L912" s="142"/>
    </row>
    <row r="913" spans="2:12" ht="14.25" thickTop="1">
      <c r="B913" s="179" t="s">
        <v>31</v>
      </c>
      <c r="C913" s="175">
        <f>C911-C912</f>
        <v>0</v>
      </c>
      <c r="D913" s="175">
        <f>D911-D912</f>
        <v>0</v>
      </c>
      <c r="E913" s="149"/>
      <c r="F913" s="149"/>
      <c r="H913" s="210">
        <f>SUM(H907:H912)</f>
        <v>0</v>
      </c>
      <c r="L913" s="142"/>
    </row>
    <row r="914" spans="2:12">
      <c r="B914" s="184" t="s">
        <v>804</v>
      </c>
      <c r="C914" s="177">
        <f>보고서!C1038</f>
        <v>0</v>
      </c>
      <c r="D914" s="177">
        <f>C914</f>
        <v>0</v>
      </c>
      <c r="E914" s="149"/>
      <c r="F914" s="217"/>
      <c r="G914" s="215" t="s">
        <v>752</v>
      </c>
      <c r="H914" s="149"/>
      <c r="I914" s="149"/>
      <c r="J914" s="149"/>
      <c r="K914" s="149"/>
      <c r="L914" s="149"/>
    </row>
    <row r="915" spans="2:12">
      <c r="B915" s="184" t="s">
        <v>964</v>
      </c>
      <c r="C915" s="177">
        <f>보고서!C1039</f>
        <v>0</v>
      </c>
      <c r="D915" s="177">
        <f>C915</f>
        <v>0</v>
      </c>
      <c r="E915" s="149"/>
      <c r="F915" s="149"/>
      <c r="G915" s="173" t="s">
        <v>805</v>
      </c>
      <c r="H915" s="173" t="s">
        <v>1</v>
      </c>
      <c r="I915" s="173" t="s">
        <v>12</v>
      </c>
      <c r="J915" s="173" t="s">
        <v>806</v>
      </c>
      <c r="K915" s="173" t="s">
        <v>3494</v>
      </c>
      <c r="L915" s="173" t="s">
        <v>3497</v>
      </c>
    </row>
    <row r="916" spans="2:12">
      <c r="B916" s="179" t="s">
        <v>842</v>
      </c>
      <c r="C916" s="175">
        <f>C913+C914-C915</f>
        <v>0</v>
      </c>
      <c r="D916" s="175">
        <f>D913+D914-D915</f>
        <v>0</v>
      </c>
      <c r="E916" s="149"/>
      <c r="F916" s="149"/>
      <c r="G916" s="176">
        <f>보고서!L1014</f>
        <v>0</v>
      </c>
      <c r="H916" s="176">
        <f>보고서!M1014</f>
        <v>0</v>
      </c>
      <c r="I916" s="176">
        <f>보고서!N1014</f>
        <v>0</v>
      </c>
      <c r="J916" s="208">
        <f>보고서!O1014</f>
        <v>0</v>
      </c>
      <c r="K916" s="208">
        <f>보고서!P1014</f>
        <v>0</v>
      </c>
      <c r="L916" s="208">
        <f>보고서!Q1014</f>
        <v>0</v>
      </c>
    </row>
    <row r="917" spans="2:12" ht="14.25" thickBot="1">
      <c r="B917" s="182" t="s">
        <v>811</v>
      </c>
      <c r="C917" s="220">
        <f>보고서!C1041</f>
        <v>0</v>
      </c>
      <c r="D917" s="220">
        <f>C917</f>
        <v>0</v>
      </c>
      <c r="E917" s="221"/>
      <c r="F917" s="149"/>
      <c r="G917" s="176">
        <f>보고서!L1015</f>
        <v>0</v>
      </c>
      <c r="H917" s="176">
        <f>보고서!M1015</f>
        <v>0</v>
      </c>
      <c r="I917" s="176">
        <f>보고서!N1015</f>
        <v>0</v>
      </c>
      <c r="J917" s="208">
        <f>보고서!O1015</f>
        <v>0</v>
      </c>
      <c r="K917" s="208">
        <f>보고서!P1015</f>
        <v>0</v>
      </c>
      <c r="L917" s="208">
        <f>보고서!Q1015</f>
        <v>0</v>
      </c>
    </row>
    <row r="918" spans="2:12" ht="14.25" thickTop="1">
      <c r="B918" s="222" t="s">
        <v>746</v>
      </c>
      <c r="C918" s="175">
        <f>C916*C917</f>
        <v>0</v>
      </c>
      <c r="D918" s="175">
        <f>D916*D917</f>
        <v>0</v>
      </c>
      <c r="E918" s="149"/>
      <c r="F918" s="149"/>
      <c r="G918" s="176">
        <f>보고서!L1016</f>
        <v>0</v>
      </c>
      <c r="H918" s="176">
        <f>보고서!M1016</f>
        <v>0</v>
      </c>
      <c r="I918" s="176">
        <f>보고서!N1016</f>
        <v>0</v>
      </c>
      <c r="J918" s="208">
        <f>보고서!O1016</f>
        <v>0</v>
      </c>
      <c r="K918" s="208">
        <f>보고서!P1016</f>
        <v>0</v>
      </c>
      <c r="L918" s="208">
        <f>보고서!Q1016</f>
        <v>0</v>
      </c>
    </row>
    <row r="919" spans="2:12">
      <c r="B919" s="149"/>
      <c r="C919" s="149"/>
      <c r="D919" s="149"/>
      <c r="E919" s="149"/>
      <c r="F919" s="149"/>
      <c r="G919" s="176">
        <f>보고서!L1017</f>
        <v>0</v>
      </c>
      <c r="H919" s="176">
        <f>보고서!M1017</f>
        <v>0</v>
      </c>
      <c r="I919" s="176">
        <f>보고서!N1017</f>
        <v>0</v>
      </c>
      <c r="J919" s="208">
        <f>보고서!O1017</f>
        <v>0</v>
      </c>
      <c r="K919" s="208">
        <f>보고서!P1017</f>
        <v>0</v>
      </c>
      <c r="L919" s="208">
        <f>보고서!Q1017</f>
        <v>0</v>
      </c>
    </row>
    <row r="920" spans="2:12">
      <c r="B920" s="168" t="s">
        <v>38</v>
      </c>
      <c r="C920" s="191" t="b">
        <f>ROUND(C908+C909+C910-C912+C914-C915,0)=ROUND(C916,0)</f>
        <v>1</v>
      </c>
      <c r="D920" s="191" t="b">
        <f>ROUND(D908+D909+D910-D912+D914-D915,0)=ROUND(D916,0)</f>
        <v>1</v>
      </c>
      <c r="E920" s="149"/>
      <c r="F920" s="149"/>
      <c r="G920" s="176">
        <f>보고서!L1018</f>
        <v>0</v>
      </c>
      <c r="H920" s="176">
        <f>보고서!M1018</f>
        <v>0</v>
      </c>
      <c r="I920" s="176">
        <f>보고서!N1018</f>
        <v>0</v>
      </c>
      <c r="J920" s="208">
        <f>보고서!O1018</f>
        <v>0</v>
      </c>
      <c r="K920" s="208">
        <f>보고서!P1018</f>
        <v>0</v>
      </c>
      <c r="L920" s="208">
        <f>보고서!Q1018</f>
        <v>0</v>
      </c>
    </row>
    <row r="921" spans="2:12">
      <c r="B921" s="149"/>
      <c r="C921" s="149"/>
      <c r="D921" s="149"/>
      <c r="E921" s="149"/>
      <c r="F921" s="149"/>
      <c r="G921" s="176">
        <f>보고서!L1019</f>
        <v>0</v>
      </c>
      <c r="H921" s="176">
        <f>보고서!M1019</f>
        <v>0</v>
      </c>
      <c r="I921" s="176">
        <f>보고서!N1019</f>
        <v>0</v>
      </c>
      <c r="J921" s="208">
        <f>보고서!O1019</f>
        <v>0</v>
      </c>
      <c r="K921" s="208">
        <f>보고서!P1019</f>
        <v>0</v>
      </c>
      <c r="L921" s="208">
        <f>보고서!Q1019</f>
        <v>0</v>
      </c>
    </row>
    <row r="922" spans="2:12">
      <c r="B922" s="865" t="str">
        <f>IF(B903="SPC없음","해당사항 없음",B934)</f>
        <v>해당사항 없음</v>
      </c>
      <c r="C922" s="866"/>
      <c r="D922" s="866"/>
      <c r="E922" s="867"/>
      <c r="F922" s="149"/>
      <c r="G922" s="176">
        <f>보고서!L1020</f>
        <v>0</v>
      </c>
      <c r="H922" s="176">
        <f>보고서!M1020</f>
        <v>0</v>
      </c>
      <c r="I922" s="176">
        <f>보고서!N1020</f>
        <v>0</v>
      </c>
      <c r="J922" s="208">
        <f>보고서!O1020</f>
        <v>0</v>
      </c>
      <c r="K922" s="208">
        <f>보고서!P1020</f>
        <v>0</v>
      </c>
      <c r="L922" s="208">
        <f>보고서!Q1020</f>
        <v>0</v>
      </c>
    </row>
    <row r="923" spans="2:12">
      <c r="B923" s="868"/>
      <c r="C923" s="869"/>
      <c r="D923" s="869"/>
      <c r="E923" s="870"/>
      <c r="F923" s="149"/>
      <c r="G923" s="176">
        <f>보고서!L1021</f>
        <v>0</v>
      </c>
      <c r="H923" s="176">
        <f>보고서!M1021</f>
        <v>0</v>
      </c>
      <c r="I923" s="176">
        <f>보고서!N1021</f>
        <v>0</v>
      </c>
      <c r="J923" s="208">
        <f>보고서!O1021</f>
        <v>0</v>
      </c>
      <c r="K923" s="208">
        <f>보고서!P1021</f>
        <v>0</v>
      </c>
      <c r="L923" s="208">
        <f>보고서!Q1021</f>
        <v>0</v>
      </c>
    </row>
    <row r="924" spans="2:12">
      <c r="B924" s="868"/>
      <c r="C924" s="869"/>
      <c r="D924" s="869"/>
      <c r="E924" s="870"/>
      <c r="F924" s="149"/>
      <c r="G924" s="176">
        <f>보고서!L1022</f>
        <v>0</v>
      </c>
      <c r="H924" s="176">
        <f>보고서!M1022</f>
        <v>0</v>
      </c>
      <c r="I924" s="176">
        <f>보고서!N1022</f>
        <v>0</v>
      </c>
      <c r="J924" s="208">
        <f>보고서!O1022</f>
        <v>0</v>
      </c>
      <c r="K924" s="208">
        <f>보고서!P1022</f>
        <v>0</v>
      </c>
      <c r="L924" s="208">
        <f>보고서!Q1022</f>
        <v>0</v>
      </c>
    </row>
    <row r="925" spans="2:12">
      <c r="B925" s="868"/>
      <c r="C925" s="869"/>
      <c r="D925" s="869"/>
      <c r="E925" s="870"/>
      <c r="F925" s="149"/>
      <c r="G925" s="176">
        <f>보고서!L1023</f>
        <v>0</v>
      </c>
      <c r="H925" s="176">
        <f>보고서!M1023</f>
        <v>0</v>
      </c>
      <c r="I925" s="176">
        <f>보고서!N1023</f>
        <v>0</v>
      </c>
      <c r="J925" s="208">
        <f>보고서!O1023</f>
        <v>0</v>
      </c>
      <c r="K925" s="208">
        <f>보고서!P1023</f>
        <v>0</v>
      </c>
      <c r="L925" s="208">
        <f>보고서!Q1023</f>
        <v>0</v>
      </c>
    </row>
    <row r="926" spans="2:12" ht="14.25" thickBot="1">
      <c r="B926" s="868"/>
      <c r="C926" s="869"/>
      <c r="D926" s="869"/>
      <c r="E926" s="870"/>
      <c r="F926" s="149"/>
      <c r="G926" s="182">
        <f>보고서!L1024</f>
        <v>0</v>
      </c>
      <c r="H926" s="182">
        <f>보고서!M1024</f>
        <v>0</v>
      </c>
      <c r="I926" s="182">
        <f>보고서!N1024</f>
        <v>0</v>
      </c>
      <c r="J926" s="212">
        <f>보고서!O1024</f>
        <v>0</v>
      </c>
      <c r="K926" s="212">
        <f>보고서!P1024</f>
        <v>0</v>
      </c>
      <c r="L926" s="212">
        <f>보고서!Q1024</f>
        <v>0</v>
      </c>
    </row>
    <row r="927" spans="2:12" ht="14.25" thickTop="1">
      <c r="B927" s="868"/>
      <c r="C927" s="869"/>
      <c r="D927" s="869"/>
      <c r="E927" s="870"/>
      <c r="G927" s="908" t="s">
        <v>3496</v>
      </c>
      <c r="H927" s="908"/>
      <c r="I927" s="908"/>
      <c r="J927" s="908"/>
      <c r="K927" s="223">
        <f>SUM(K916:K926)</f>
        <v>0</v>
      </c>
      <c r="L927" s="223">
        <f>SUM(L916:L926)</f>
        <v>0</v>
      </c>
    </row>
    <row r="928" spans="2:12">
      <c r="B928" s="868"/>
      <c r="C928" s="869"/>
      <c r="D928" s="869"/>
      <c r="E928" s="870"/>
    </row>
    <row r="929" spans="1:12">
      <c r="B929" s="868"/>
      <c r="C929" s="869"/>
      <c r="D929" s="869"/>
      <c r="E929" s="870"/>
    </row>
    <row r="930" spans="1:12">
      <c r="B930" s="868"/>
      <c r="C930" s="869"/>
      <c r="D930" s="869"/>
      <c r="E930" s="870"/>
    </row>
    <row r="931" spans="1:12">
      <c r="B931" s="868"/>
      <c r="C931" s="869"/>
      <c r="D931" s="869"/>
      <c r="E931" s="870"/>
    </row>
    <row r="932" spans="1:12">
      <c r="B932" s="868"/>
      <c r="C932" s="869"/>
      <c r="D932" s="869"/>
      <c r="E932" s="870"/>
    </row>
    <row r="933" spans="1:12">
      <c r="B933" s="871"/>
      <c r="C933" s="872"/>
      <c r="D933" s="872"/>
      <c r="E933" s="873"/>
    </row>
    <row r="934" spans="1:12">
      <c r="B934" s="224" t="s">
        <v>857</v>
      </c>
    </row>
    <row r="935" spans="1:12">
      <c r="A935" s="142">
        <f>A903+1</f>
        <v>21</v>
      </c>
      <c r="B935" s="214" t="str">
        <f>보고서!B1048</f>
        <v>SPC없음</v>
      </c>
      <c r="C935" s="149"/>
      <c r="D935" s="149"/>
      <c r="E935" s="149"/>
      <c r="F935" s="149"/>
      <c r="H935" s="149"/>
      <c r="I935" s="149"/>
      <c r="J935" s="149"/>
      <c r="K935" s="149"/>
      <c r="L935" s="149"/>
    </row>
    <row r="936" spans="1:12">
      <c r="B936" s="214" t="str">
        <f>보고서!B1049</f>
        <v>SPC없음</v>
      </c>
      <c r="C936" s="149"/>
      <c r="D936" s="149"/>
      <c r="E936" s="149"/>
      <c r="F936" s="149"/>
      <c r="H936" s="149"/>
      <c r="I936" s="149"/>
      <c r="J936" s="149"/>
      <c r="K936" s="149"/>
      <c r="L936" s="149"/>
    </row>
    <row r="937" spans="1:12">
      <c r="B937" s="215" t="s">
        <v>750</v>
      </c>
      <c r="C937" s="216"/>
      <c r="D937" s="216"/>
      <c r="E937" s="216"/>
      <c r="F937" s="216"/>
      <c r="G937" s="215" t="s">
        <v>751</v>
      </c>
      <c r="H937" s="216"/>
      <c r="I937" s="216"/>
      <c r="J937" s="149"/>
      <c r="K937" s="149"/>
      <c r="L937" s="149"/>
    </row>
    <row r="938" spans="1:12">
      <c r="B938" s="173" t="s">
        <v>808</v>
      </c>
      <c r="C938" s="173" t="s">
        <v>10</v>
      </c>
      <c r="D938" s="173" t="s">
        <v>236</v>
      </c>
      <c r="E938" s="173" t="s">
        <v>801</v>
      </c>
      <c r="F938" s="217"/>
      <c r="G938" s="173" t="s">
        <v>88</v>
      </c>
      <c r="H938" s="173" t="s">
        <v>90</v>
      </c>
      <c r="I938" s="149"/>
      <c r="J938" s="149"/>
      <c r="K938" s="149"/>
      <c r="L938" s="142"/>
    </row>
    <row r="939" spans="1:12">
      <c r="B939" s="174" t="s">
        <v>3492</v>
      </c>
      <c r="C939" s="175">
        <f>보고서!C1052</f>
        <v>0</v>
      </c>
      <c r="D939" s="175">
        <f>보고서!D1052</f>
        <v>0</v>
      </c>
      <c r="E939" s="149"/>
      <c r="F939" s="149"/>
      <c r="G939" s="176">
        <f>보고서!G1052</f>
        <v>0</v>
      </c>
      <c r="H939" s="207" t="str">
        <f>보고서!I1052</f>
        <v>SPC 없음</v>
      </c>
      <c r="I939" s="149"/>
      <c r="J939" s="149"/>
      <c r="K939" s="149"/>
      <c r="L939" s="142"/>
    </row>
    <row r="940" spans="1:12">
      <c r="B940" s="176" t="s">
        <v>756</v>
      </c>
      <c r="C940" s="177">
        <f>보고서!C1053</f>
        <v>0</v>
      </c>
      <c r="D940" s="177">
        <f>보고서!D1053</f>
        <v>0</v>
      </c>
      <c r="E940" s="176" t="s">
        <v>810</v>
      </c>
      <c r="F940" s="149"/>
      <c r="G940" s="176">
        <f>보고서!G1053</f>
        <v>0</v>
      </c>
      <c r="H940" s="207" t="str">
        <f>보고서!I1053</f>
        <v>SPC 없음</v>
      </c>
      <c r="I940" s="149"/>
      <c r="J940" s="149"/>
      <c r="K940" s="149"/>
      <c r="L940" s="142"/>
    </row>
    <row r="941" spans="1:12">
      <c r="B941" s="176" t="s">
        <v>757</v>
      </c>
      <c r="C941" s="177">
        <f>보고서!C1054</f>
        <v>0</v>
      </c>
      <c r="D941" s="177">
        <f>보고서!D1054</f>
        <v>0</v>
      </c>
      <c r="E941" s="176" t="s">
        <v>810</v>
      </c>
      <c r="F941" s="149"/>
      <c r="G941" s="176">
        <f>보고서!G1054</f>
        <v>0</v>
      </c>
      <c r="H941" s="207" t="str">
        <f>보고서!I1054</f>
        <v>SPC 없음</v>
      </c>
      <c r="I941" s="218"/>
      <c r="J941" s="149"/>
      <c r="K941" s="149"/>
      <c r="L941" s="142"/>
    </row>
    <row r="942" spans="1:12">
      <c r="B942" s="179" t="s">
        <v>3493</v>
      </c>
      <c r="C942" s="175">
        <f>보고서!C1055</f>
        <v>0</v>
      </c>
      <c r="D942" s="175">
        <f>보고서!D1055</f>
        <v>0</v>
      </c>
      <c r="E942" s="219" t="s">
        <v>821</v>
      </c>
      <c r="F942" s="191" t="str">
        <f>IF(D942=H945+L959,"투자자산 합계액 일치","투자자산 합계액 불일치")</f>
        <v>투자자산 합계액 일치</v>
      </c>
      <c r="G942" s="176">
        <f>보고서!G1055</f>
        <v>0</v>
      </c>
      <c r="H942" s="207" t="str">
        <f>보고서!I1055</f>
        <v>SPC 없음</v>
      </c>
      <c r="I942" s="218"/>
      <c r="J942" s="149"/>
      <c r="K942" s="149"/>
      <c r="L942" s="142"/>
    </row>
    <row r="943" spans="1:12">
      <c r="B943" s="179" t="s">
        <v>848</v>
      </c>
      <c r="C943" s="175">
        <f>보고서!C1073</f>
        <v>0</v>
      </c>
      <c r="D943" s="175">
        <f>보고서!D1073</f>
        <v>0</v>
      </c>
      <c r="E943" s="149"/>
      <c r="F943" s="149"/>
      <c r="G943" s="176">
        <f>보고서!G1056</f>
        <v>0</v>
      </c>
      <c r="H943" s="207" t="str">
        <f>보고서!I1056</f>
        <v>SPC 없음</v>
      </c>
      <c r="I943" s="218"/>
      <c r="J943" s="149"/>
      <c r="K943" s="149"/>
      <c r="L943" s="142"/>
    </row>
    <row r="944" spans="1:12" ht="14.25" thickBot="1">
      <c r="B944" s="180" t="s">
        <v>30</v>
      </c>
      <c r="C944" s="181">
        <f>보고서!C1074</f>
        <v>0</v>
      </c>
      <c r="D944" s="181">
        <f>C944</f>
        <v>0</v>
      </c>
      <c r="E944" s="182" t="s">
        <v>810</v>
      </c>
      <c r="F944" s="149"/>
      <c r="G944" s="182">
        <f>보고서!G1057</f>
        <v>0</v>
      </c>
      <c r="H944" s="209" t="str">
        <f>보고서!I1057</f>
        <v>SPC 없음</v>
      </c>
      <c r="I944" s="218"/>
      <c r="J944" s="149"/>
      <c r="K944" s="149"/>
      <c r="L944" s="142"/>
    </row>
    <row r="945" spans="2:12" ht="14.25" thickTop="1">
      <c r="B945" s="179" t="s">
        <v>31</v>
      </c>
      <c r="C945" s="175">
        <f>C943-C944</f>
        <v>0</v>
      </c>
      <c r="D945" s="175">
        <f>D943-D944</f>
        <v>0</v>
      </c>
      <c r="E945" s="149"/>
      <c r="F945" s="149"/>
      <c r="H945" s="210">
        <f>SUM(H939:H944)</f>
        <v>0</v>
      </c>
      <c r="L945" s="142"/>
    </row>
    <row r="946" spans="2:12">
      <c r="B946" s="184" t="s">
        <v>804</v>
      </c>
      <c r="C946" s="177">
        <f>보고서!C1076</f>
        <v>0</v>
      </c>
      <c r="D946" s="177">
        <f>C946</f>
        <v>0</v>
      </c>
      <c r="E946" s="149"/>
      <c r="F946" s="217"/>
      <c r="G946" s="215" t="s">
        <v>752</v>
      </c>
      <c r="H946" s="149"/>
      <c r="I946" s="149"/>
      <c r="J946" s="149"/>
      <c r="K946" s="149"/>
      <c r="L946" s="149"/>
    </row>
    <row r="947" spans="2:12">
      <c r="B947" s="184" t="s">
        <v>964</v>
      </c>
      <c r="C947" s="177">
        <f>보고서!C1077</f>
        <v>0</v>
      </c>
      <c r="D947" s="177">
        <f>C947</f>
        <v>0</v>
      </c>
      <c r="E947" s="149"/>
      <c r="F947" s="149"/>
      <c r="G947" s="173" t="s">
        <v>805</v>
      </c>
      <c r="H947" s="173" t="s">
        <v>1</v>
      </c>
      <c r="I947" s="173" t="s">
        <v>12</v>
      </c>
      <c r="J947" s="173" t="s">
        <v>806</v>
      </c>
      <c r="K947" s="173" t="s">
        <v>3494</v>
      </c>
      <c r="L947" s="173" t="s">
        <v>3497</v>
      </c>
    </row>
    <row r="948" spans="2:12">
      <c r="B948" s="179" t="s">
        <v>842</v>
      </c>
      <c r="C948" s="175">
        <f>C945+C946-C947</f>
        <v>0</v>
      </c>
      <c r="D948" s="175">
        <f>D945+D946-D947</f>
        <v>0</v>
      </c>
      <c r="E948" s="149"/>
      <c r="F948" s="149"/>
      <c r="G948" s="176">
        <f>보고서!L1052</f>
        <v>0</v>
      </c>
      <c r="H948" s="176">
        <f>보고서!M1052</f>
        <v>0</v>
      </c>
      <c r="I948" s="176">
        <f>보고서!N1052</f>
        <v>0</v>
      </c>
      <c r="J948" s="208">
        <f>보고서!O1052</f>
        <v>0</v>
      </c>
      <c r="K948" s="208">
        <f>보고서!P1052</f>
        <v>0</v>
      </c>
      <c r="L948" s="208">
        <f>보고서!Q1052</f>
        <v>0</v>
      </c>
    </row>
    <row r="949" spans="2:12" ht="14.25" thickBot="1">
      <c r="B949" s="182" t="s">
        <v>811</v>
      </c>
      <c r="C949" s="220">
        <f>보고서!C1079</f>
        <v>0</v>
      </c>
      <c r="D949" s="220">
        <f>C949</f>
        <v>0</v>
      </c>
      <c r="E949" s="221"/>
      <c r="F949" s="149"/>
      <c r="G949" s="176">
        <f>보고서!L1053</f>
        <v>0</v>
      </c>
      <c r="H949" s="176">
        <f>보고서!M1053</f>
        <v>0</v>
      </c>
      <c r="I949" s="176">
        <f>보고서!N1053</f>
        <v>0</v>
      </c>
      <c r="J949" s="208">
        <f>보고서!O1053</f>
        <v>0</v>
      </c>
      <c r="K949" s="208">
        <f>보고서!P1053</f>
        <v>0</v>
      </c>
      <c r="L949" s="208">
        <f>보고서!Q1053</f>
        <v>0</v>
      </c>
    </row>
    <row r="950" spans="2:12" ht="14.25" thickTop="1">
      <c r="B950" s="222" t="s">
        <v>746</v>
      </c>
      <c r="C950" s="175">
        <f>C948*C949</f>
        <v>0</v>
      </c>
      <c r="D950" s="175">
        <f>D948*D949</f>
        <v>0</v>
      </c>
      <c r="E950" s="149"/>
      <c r="F950" s="149"/>
      <c r="G950" s="176">
        <f>보고서!L1054</f>
        <v>0</v>
      </c>
      <c r="H950" s="176">
        <f>보고서!M1054</f>
        <v>0</v>
      </c>
      <c r="I950" s="176">
        <f>보고서!N1054</f>
        <v>0</v>
      </c>
      <c r="J950" s="208">
        <f>보고서!O1054</f>
        <v>0</v>
      </c>
      <c r="K950" s="208">
        <f>보고서!P1054</f>
        <v>0</v>
      </c>
      <c r="L950" s="208">
        <f>보고서!Q1054</f>
        <v>0</v>
      </c>
    </row>
    <row r="951" spans="2:12">
      <c r="B951" s="149"/>
      <c r="C951" s="149"/>
      <c r="D951" s="149"/>
      <c r="E951" s="149"/>
      <c r="F951" s="149"/>
      <c r="G951" s="176">
        <f>보고서!L1055</f>
        <v>0</v>
      </c>
      <c r="H951" s="176">
        <f>보고서!M1055</f>
        <v>0</v>
      </c>
      <c r="I951" s="176">
        <f>보고서!N1055</f>
        <v>0</v>
      </c>
      <c r="J951" s="208">
        <f>보고서!O1055</f>
        <v>0</v>
      </c>
      <c r="K951" s="208">
        <f>보고서!P1055</f>
        <v>0</v>
      </c>
      <c r="L951" s="208">
        <f>보고서!Q1055</f>
        <v>0</v>
      </c>
    </row>
    <row r="952" spans="2:12">
      <c r="B952" s="168" t="s">
        <v>38</v>
      </c>
      <c r="C952" s="191" t="b">
        <f>ROUND(C940+C941+C942-C944+C946-C947,0)=ROUND(C948,0)</f>
        <v>1</v>
      </c>
      <c r="D952" s="191" t="b">
        <f>ROUND(D940+D941+D942-D944+D946-D947,0)=ROUND(D948,0)</f>
        <v>1</v>
      </c>
      <c r="E952" s="149"/>
      <c r="F952" s="149"/>
      <c r="G952" s="176">
        <f>보고서!L1056</f>
        <v>0</v>
      </c>
      <c r="H952" s="176">
        <f>보고서!M1056</f>
        <v>0</v>
      </c>
      <c r="I952" s="176">
        <f>보고서!N1056</f>
        <v>0</v>
      </c>
      <c r="J952" s="208">
        <f>보고서!O1056</f>
        <v>0</v>
      </c>
      <c r="K952" s="208">
        <f>보고서!P1056</f>
        <v>0</v>
      </c>
      <c r="L952" s="208">
        <f>보고서!Q1056</f>
        <v>0</v>
      </c>
    </row>
    <row r="953" spans="2:12">
      <c r="B953" s="149"/>
      <c r="C953" s="149"/>
      <c r="D953" s="149"/>
      <c r="E953" s="149"/>
      <c r="F953" s="149"/>
      <c r="G953" s="176">
        <f>보고서!L1057</f>
        <v>0</v>
      </c>
      <c r="H953" s="176">
        <f>보고서!M1057</f>
        <v>0</v>
      </c>
      <c r="I953" s="176">
        <f>보고서!N1057</f>
        <v>0</v>
      </c>
      <c r="J953" s="208">
        <f>보고서!O1057</f>
        <v>0</v>
      </c>
      <c r="K953" s="208">
        <f>보고서!P1057</f>
        <v>0</v>
      </c>
      <c r="L953" s="208">
        <f>보고서!Q1057</f>
        <v>0</v>
      </c>
    </row>
    <row r="954" spans="2:12">
      <c r="B954" s="865" t="str">
        <f>IF(B935="SPC없음","해당사항 없음",B966)</f>
        <v>해당사항 없음</v>
      </c>
      <c r="C954" s="866"/>
      <c r="D954" s="866"/>
      <c r="E954" s="867"/>
      <c r="F954" s="149"/>
      <c r="G954" s="176">
        <f>보고서!L1058</f>
        <v>0</v>
      </c>
      <c r="H954" s="176">
        <f>보고서!M1058</f>
        <v>0</v>
      </c>
      <c r="I954" s="176">
        <f>보고서!N1058</f>
        <v>0</v>
      </c>
      <c r="J954" s="208">
        <f>보고서!O1058</f>
        <v>0</v>
      </c>
      <c r="K954" s="208">
        <f>보고서!P1058</f>
        <v>0</v>
      </c>
      <c r="L954" s="208">
        <f>보고서!Q1058</f>
        <v>0</v>
      </c>
    </row>
    <row r="955" spans="2:12">
      <c r="B955" s="868"/>
      <c r="C955" s="869"/>
      <c r="D955" s="869"/>
      <c r="E955" s="870"/>
      <c r="F955" s="149"/>
      <c r="G955" s="176">
        <f>보고서!L1059</f>
        <v>0</v>
      </c>
      <c r="H955" s="176">
        <f>보고서!M1059</f>
        <v>0</v>
      </c>
      <c r="I955" s="176">
        <f>보고서!N1059</f>
        <v>0</v>
      </c>
      <c r="J955" s="208">
        <f>보고서!O1059</f>
        <v>0</v>
      </c>
      <c r="K955" s="208">
        <f>보고서!P1059</f>
        <v>0</v>
      </c>
      <c r="L955" s="208">
        <f>보고서!Q1059</f>
        <v>0</v>
      </c>
    </row>
    <row r="956" spans="2:12">
      <c r="B956" s="868"/>
      <c r="C956" s="869"/>
      <c r="D956" s="869"/>
      <c r="E956" s="870"/>
      <c r="F956" s="149"/>
      <c r="G956" s="176">
        <f>보고서!L1060</f>
        <v>0</v>
      </c>
      <c r="H956" s="176">
        <f>보고서!M1060</f>
        <v>0</v>
      </c>
      <c r="I956" s="176">
        <f>보고서!N1060</f>
        <v>0</v>
      </c>
      <c r="J956" s="208">
        <f>보고서!O1060</f>
        <v>0</v>
      </c>
      <c r="K956" s="208">
        <f>보고서!P1060</f>
        <v>0</v>
      </c>
      <c r="L956" s="208">
        <f>보고서!Q1060</f>
        <v>0</v>
      </c>
    </row>
    <row r="957" spans="2:12">
      <c r="B957" s="868"/>
      <c r="C957" s="869"/>
      <c r="D957" s="869"/>
      <c r="E957" s="870"/>
      <c r="F957" s="149"/>
      <c r="G957" s="176">
        <f>보고서!L1061</f>
        <v>0</v>
      </c>
      <c r="H957" s="176">
        <f>보고서!M1061</f>
        <v>0</v>
      </c>
      <c r="I957" s="176">
        <f>보고서!N1061</f>
        <v>0</v>
      </c>
      <c r="J957" s="208">
        <f>보고서!O1061</f>
        <v>0</v>
      </c>
      <c r="K957" s="208">
        <f>보고서!P1061</f>
        <v>0</v>
      </c>
      <c r="L957" s="208">
        <f>보고서!Q1061</f>
        <v>0</v>
      </c>
    </row>
    <row r="958" spans="2:12" ht="14.25" thickBot="1">
      <c r="B958" s="868"/>
      <c r="C958" s="869"/>
      <c r="D958" s="869"/>
      <c r="E958" s="870"/>
      <c r="F958" s="149"/>
      <c r="G958" s="182">
        <f>보고서!L1062</f>
        <v>0</v>
      </c>
      <c r="H958" s="182">
        <f>보고서!M1062</f>
        <v>0</v>
      </c>
      <c r="I958" s="182">
        <f>보고서!N1062</f>
        <v>0</v>
      </c>
      <c r="J958" s="212">
        <f>보고서!O1062</f>
        <v>0</v>
      </c>
      <c r="K958" s="212">
        <f>보고서!P1062</f>
        <v>0</v>
      </c>
      <c r="L958" s="212">
        <f>보고서!Q1062</f>
        <v>0</v>
      </c>
    </row>
    <row r="959" spans="2:12" ht="14.25" thickTop="1">
      <c r="B959" s="868"/>
      <c r="C959" s="869"/>
      <c r="D959" s="869"/>
      <c r="E959" s="870"/>
      <c r="G959" s="908" t="s">
        <v>3496</v>
      </c>
      <c r="H959" s="908"/>
      <c r="I959" s="908"/>
      <c r="J959" s="908"/>
      <c r="K959" s="223">
        <f>SUM(K948:K958)</f>
        <v>0</v>
      </c>
      <c r="L959" s="223">
        <f>SUM(L948:L958)</f>
        <v>0</v>
      </c>
    </row>
    <row r="960" spans="2:12">
      <c r="B960" s="868"/>
      <c r="C960" s="869"/>
      <c r="D960" s="869"/>
      <c r="E960" s="870"/>
    </row>
    <row r="961" spans="1:12">
      <c r="B961" s="868"/>
      <c r="C961" s="869"/>
      <c r="D961" s="869"/>
      <c r="E961" s="870"/>
    </row>
    <row r="962" spans="1:12">
      <c r="B962" s="868"/>
      <c r="C962" s="869"/>
      <c r="D962" s="869"/>
      <c r="E962" s="870"/>
    </row>
    <row r="963" spans="1:12">
      <c r="B963" s="868"/>
      <c r="C963" s="869"/>
      <c r="D963" s="869"/>
      <c r="E963" s="870"/>
    </row>
    <row r="964" spans="1:12">
      <c r="B964" s="868"/>
      <c r="C964" s="869"/>
      <c r="D964" s="869"/>
      <c r="E964" s="870"/>
    </row>
    <row r="965" spans="1:12">
      <c r="B965" s="871"/>
      <c r="C965" s="872"/>
      <c r="D965" s="872"/>
      <c r="E965" s="873"/>
    </row>
    <row r="966" spans="1:12">
      <c r="B966" s="224" t="s">
        <v>857</v>
      </c>
    </row>
    <row r="967" spans="1:12">
      <c r="A967" s="142">
        <f>A935+1</f>
        <v>22</v>
      </c>
      <c r="B967" s="214" t="str">
        <f>보고서!B1086</f>
        <v>SPC없음</v>
      </c>
      <c r="C967" s="149"/>
      <c r="D967" s="149"/>
      <c r="E967" s="149"/>
      <c r="F967" s="149"/>
      <c r="H967" s="149"/>
      <c r="I967" s="149"/>
      <c r="J967" s="149"/>
      <c r="K967" s="149"/>
      <c r="L967" s="149"/>
    </row>
    <row r="968" spans="1:12">
      <c r="B968" s="214" t="str">
        <f>보고서!B1087</f>
        <v>SPC없음</v>
      </c>
      <c r="C968" s="149"/>
      <c r="D968" s="149"/>
      <c r="E968" s="149"/>
      <c r="F968" s="149"/>
      <c r="H968" s="149"/>
      <c r="I968" s="149"/>
      <c r="J968" s="149"/>
      <c r="K968" s="149"/>
      <c r="L968" s="149"/>
    </row>
    <row r="969" spans="1:12">
      <c r="B969" s="215" t="s">
        <v>750</v>
      </c>
      <c r="C969" s="216"/>
      <c r="D969" s="216"/>
      <c r="E969" s="216"/>
      <c r="F969" s="216"/>
      <c r="G969" s="215" t="s">
        <v>751</v>
      </c>
      <c r="H969" s="216"/>
      <c r="I969" s="216"/>
      <c r="J969" s="149"/>
      <c r="K969" s="149"/>
      <c r="L969" s="149"/>
    </row>
    <row r="970" spans="1:12">
      <c r="B970" s="173" t="s">
        <v>808</v>
      </c>
      <c r="C970" s="173" t="s">
        <v>10</v>
      </c>
      <c r="D970" s="173" t="s">
        <v>236</v>
      </c>
      <c r="E970" s="173" t="s">
        <v>801</v>
      </c>
      <c r="F970" s="217"/>
      <c r="G970" s="173" t="s">
        <v>88</v>
      </c>
      <c r="H970" s="173" t="s">
        <v>90</v>
      </c>
      <c r="I970" s="149"/>
      <c r="J970" s="149"/>
      <c r="K970" s="149"/>
      <c r="L970" s="142"/>
    </row>
    <row r="971" spans="1:12">
      <c r="B971" s="174" t="s">
        <v>3492</v>
      </c>
      <c r="C971" s="175">
        <f>보고서!C1090</f>
        <v>0</v>
      </c>
      <c r="D971" s="175">
        <f>보고서!D1090</f>
        <v>0</v>
      </c>
      <c r="E971" s="149"/>
      <c r="F971" s="149"/>
      <c r="G971" s="176">
        <f>보고서!G1090</f>
        <v>0</v>
      </c>
      <c r="H971" s="207" t="str">
        <f>보고서!I1090</f>
        <v>SPC 없음</v>
      </c>
      <c r="I971" s="149"/>
      <c r="J971" s="149"/>
      <c r="K971" s="149"/>
      <c r="L971" s="142"/>
    </row>
    <row r="972" spans="1:12">
      <c r="B972" s="176" t="s">
        <v>756</v>
      </c>
      <c r="C972" s="177">
        <f>보고서!C1091</f>
        <v>0</v>
      </c>
      <c r="D972" s="177">
        <f>보고서!D1091</f>
        <v>0</v>
      </c>
      <c r="E972" s="176" t="s">
        <v>810</v>
      </c>
      <c r="F972" s="149"/>
      <c r="G972" s="176">
        <f>보고서!G1091</f>
        <v>0</v>
      </c>
      <c r="H972" s="207" t="str">
        <f>보고서!I1091</f>
        <v>SPC 없음</v>
      </c>
      <c r="I972" s="149"/>
      <c r="J972" s="149"/>
      <c r="K972" s="149"/>
      <c r="L972" s="142"/>
    </row>
    <row r="973" spans="1:12">
      <c r="B973" s="176" t="s">
        <v>757</v>
      </c>
      <c r="C973" s="177">
        <f>보고서!C1092</f>
        <v>0</v>
      </c>
      <c r="D973" s="177">
        <f>보고서!D1092</f>
        <v>0</v>
      </c>
      <c r="E973" s="176" t="s">
        <v>810</v>
      </c>
      <c r="F973" s="149"/>
      <c r="G973" s="176">
        <f>보고서!G1092</f>
        <v>0</v>
      </c>
      <c r="H973" s="207" t="str">
        <f>보고서!I1092</f>
        <v>SPC 없음</v>
      </c>
      <c r="I973" s="218"/>
      <c r="J973" s="149"/>
      <c r="K973" s="149"/>
      <c r="L973" s="142"/>
    </row>
    <row r="974" spans="1:12">
      <c r="B974" s="179" t="s">
        <v>3493</v>
      </c>
      <c r="C974" s="175">
        <f>보고서!C1093</f>
        <v>0</v>
      </c>
      <c r="D974" s="175">
        <f>보고서!D1093</f>
        <v>0</v>
      </c>
      <c r="E974" s="219" t="s">
        <v>821</v>
      </c>
      <c r="F974" s="191" t="str">
        <f>IF(D974=H977+L991,"투자자산 합계액 일치","투자자산 합계액 불일치")</f>
        <v>투자자산 합계액 일치</v>
      </c>
      <c r="G974" s="176">
        <f>보고서!G1093</f>
        <v>0</v>
      </c>
      <c r="H974" s="207" t="str">
        <f>보고서!I1093</f>
        <v>SPC 없음</v>
      </c>
      <c r="I974" s="218"/>
      <c r="J974" s="149"/>
      <c r="K974" s="149"/>
      <c r="L974" s="142"/>
    </row>
    <row r="975" spans="1:12">
      <c r="B975" s="179" t="s">
        <v>848</v>
      </c>
      <c r="C975" s="175">
        <f>보고서!C1111</f>
        <v>0</v>
      </c>
      <c r="D975" s="175">
        <f>보고서!D1111</f>
        <v>0</v>
      </c>
      <c r="E975" s="149"/>
      <c r="F975" s="149"/>
      <c r="G975" s="176">
        <f>보고서!G1094</f>
        <v>0</v>
      </c>
      <c r="H975" s="207" t="str">
        <f>보고서!I1094</f>
        <v>SPC 없음</v>
      </c>
      <c r="I975" s="218"/>
      <c r="J975" s="149"/>
      <c r="K975" s="149"/>
      <c r="L975" s="142"/>
    </row>
    <row r="976" spans="1:12" ht="14.25" thickBot="1">
      <c r="B976" s="180" t="s">
        <v>30</v>
      </c>
      <c r="C976" s="181">
        <f>보고서!C1112</f>
        <v>0</v>
      </c>
      <c r="D976" s="181">
        <f>C976</f>
        <v>0</v>
      </c>
      <c r="E976" s="182" t="s">
        <v>810</v>
      </c>
      <c r="F976" s="149"/>
      <c r="G976" s="182">
        <f>보고서!G1095</f>
        <v>0</v>
      </c>
      <c r="H976" s="209" t="str">
        <f>보고서!I1095</f>
        <v>SPC 없음</v>
      </c>
      <c r="I976" s="218"/>
      <c r="J976" s="149"/>
      <c r="K976" s="149"/>
      <c r="L976" s="142"/>
    </row>
    <row r="977" spans="2:12" ht="14.25" thickTop="1">
      <c r="B977" s="179" t="s">
        <v>31</v>
      </c>
      <c r="C977" s="175">
        <f>C975-C976</f>
        <v>0</v>
      </c>
      <c r="D977" s="175">
        <f>D975-D976</f>
        <v>0</v>
      </c>
      <c r="E977" s="149"/>
      <c r="F977" s="149"/>
      <c r="H977" s="210">
        <f>SUM(H971:H976)</f>
        <v>0</v>
      </c>
      <c r="L977" s="142"/>
    </row>
    <row r="978" spans="2:12">
      <c r="B978" s="184" t="s">
        <v>804</v>
      </c>
      <c r="C978" s="177">
        <f>보고서!C1114</f>
        <v>0</v>
      </c>
      <c r="D978" s="177">
        <f>C978</f>
        <v>0</v>
      </c>
      <c r="E978" s="149"/>
      <c r="F978" s="217"/>
      <c r="G978" s="215" t="s">
        <v>752</v>
      </c>
      <c r="H978" s="149"/>
      <c r="I978" s="149"/>
      <c r="J978" s="149"/>
      <c r="K978" s="149"/>
      <c r="L978" s="149"/>
    </row>
    <row r="979" spans="2:12">
      <c r="B979" s="184" t="s">
        <v>964</v>
      </c>
      <c r="C979" s="177">
        <f>보고서!C1115</f>
        <v>0</v>
      </c>
      <c r="D979" s="177">
        <f>C979</f>
        <v>0</v>
      </c>
      <c r="E979" s="149"/>
      <c r="F979" s="149"/>
      <c r="G979" s="173" t="s">
        <v>805</v>
      </c>
      <c r="H979" s="173" t="s">
        <v>1</v>
      </c>
      <c r="I979" s="173" t="s">
        <v>12</v>
      </c>
      <c r="J979" s="173" t="s">
        <v>806</v>
      </c>
      <c r="K979" s="173" t="s">
        <v>3494</v>
      </c>
      <c r="L979" s="173" t="s">
        <v>3497</v>
      </c>
    </row>
    <row r="980" spans="2:12">
      <c r="B980" s="179" t="s">
        <v>842</v>
      </c>
      <c r="C980" s="175">
        <f>C977+C978-C979</f>
        <v>0</v>
      </c>
      <c r="D980" s="175">
        <f>D977+D978-D979</f>
        <v>0</v>
      </c>
      <c r="E980" s="149"/>
      <c r="F980" s="149"/>
      <c r="G980" s="176">
        <f>보고서!L1090</f>
        <v>0</v>
      </c>
      <c r="H980" s="176">
        <f>보고서!M1090</f>
        <v>0</v>
      </c>
      <c r="I980" s="176">
        <f>보고서!N1090</f>
        <v>0</v>
      </c>
      <c r="J980" s="208">
        <f>보고서!O1090</f>
        <v>0</v>
      </c>
      <c r="K980" s="208">
        <f>보고서!P1090</f>
        <v>0</v>
      </c>
      <c r="L980" s="208">
        <f>보고서!Q1090</f>
        <v>0</v>
      </c>
    </row>
    <row r="981" spans="2:12" ht="14.25" thickBot="1">
      <c r="B981" s="182" t="s">
        <v>811</v>
      </c>
      <c r="C981" s="220">
        <f>보고서!C1117</f>
        <v>0</v>
      </c>
      <c r="D981" s="220">
        <f>C981</f>
        <v>0</v>
      </c>
      <c r="E981" s="221"/>
      <c r="F981" s="149"/>
      <c r="G981" s="176">
        <f>보고서!L1091</f>
        <v>0</v>
      </c>
      <c r="H981" s="176">
        <f>보고서!M1091</f>
        <v>0</v>
      </c>
      <c r="I981" s="176">
        <f>보고서!N1091</f>
        <v>0</v>
      </c>
      <c r="J981" s="208">
        <f>보고서!O1091</f>
        <v>0</v>
      </c>
      <c r="K981" s="208">
        <f>보고서!P1091</f>
        <v>0</v>
      </c>
      <c r="L981" s="208">
        <f>보고서!Q1091</f>
        <v>0</v>
      </c>
    </row>
    <row r="982" spans="2:12" ht="14.25" thickTop="1">
      <c r="B982" s="222" t="s">
        <v>746</v>
      </c>
      <c r="C982" s="175">
        <f>C980*C981</f>
        <v>0</v>
      </c>
      <c r="D982" s="175">
        <f>D980*D981</f>
        <v>0</v>
      </c>
      <c r="E982" s="149"/>
      <c r="F982" s="149"/>
      <c r="G982" s="176">
        <f>보고서!L1092</f>
        <v>0</v>
      </c>
      <c r="H982" s="176">
        <f>보고서!M1092</f>
        <v>0</v>
      </c>
      <c r="I982" s="176">
        <f>보고서!N1092</f>
        <v>0</v>
      </c>
      <c r="J982" s="208">
        <f>보고서!O1092</f>
        <v>0</v>
      </c>
      <c r="K982" s="208">
        <f>보고서!P1092</f>
        <v>0</v>
      </c>
      <c r="L982" s="208">
        <f>보고서!Q1092</f>
        <v>0</v>
      </c>
    </row>
    <row r="983" spans="2:12">
      <c r="B983" s="149"/>
      <c r="C983" s="149"/>
      <c r="D983" s="149"/>
      <c r="E983" s="149"/>
      <c r="F983" s="149"/>
      <c r="G983" s="176">
        <f>보고서!L1093</f>
        <v>0</v>
      </c>
      <c r="H983" s="176">
        <f>보고서!M1093</f>
        <v>0</v>
      </c>
      <c r="I983" s="176">
        <f>보고서!N1093</f>
        <v>0</v>
      </c>
      <c r="J983" s="208">
        <f>보고서!O1093</f>
        <v>0</v>
      </c>
      <c r="K983" s="208">
        <f>보고서!P1093</f>
        <v>0</v>
      </c>
      <c r="L983" s="208">
        <f>보고서!Q1093</f>
        <v>0</v>
      </c>
    </row>
    <row r="984" spans="2:12">
      <c r="B984" s="168" t="s">
        <v>38</v>
      </c>
      <c r="C984" s="191" t="b">
        <f>ROUND(C972+C973+C974-C976+C978-C979,0)=ROUND(C980,0)</f>
        <v>1</v>
      </c>
      <c r="D984" s="191" t="b">
        <f>ROUND(D972+D973+D974-D976+D978-D979,0)=ROUND(D980,0)</f>
        <v>1</v>
      </c>
      <c r="E984" s="149"/>
      <c r="F984" s="149"/>
      <c r="G984" s="176">
        <f>보고서!L1094</f>
        <v>0</v>
      </c>
      <c r="H984" s="176">
        <f>보고서!M1094</f>
        <v>0</v>
      </c>
      <c r="I984" s="176">
        <f>보고서!N1094</f>
        <v>0</v>
      </c>
      <c r="J984" s="208">
        <f>보고서!O1094</f>
        <v>0</v>
      </c>
      <c r="K984" s="208">
        <f>보고서!P1094</f>
        <v>0</v>
      </c>
      <c r="L984" s="208">
        <f>보고서!Q1094</f>
        <v>0</v>
      </c>
    </row>
    <row r="985" spans="2:12">
      <c r="B985" s="149"/>
      <c r="C985" s="149"/>
      <c r="D985" s="149"/>
      <c r="E985" s="149"/>
      <c r="F985" s="149"/>
      <c r="G985" s="176">
        <f>보고서!L1095</f>
        <v>0</v>
      </c>
      <c r="H985" s="176">
        <f>보고서!M1095</f>
        <v>0</v>
      </c>
      <c r="I985" s="176">
        <f>보고서!N1095</f>
        <v>0</v>
      </c>
      <c r="J985" s="208">
        <f>보고서!O1095</f>
        <v>0</v>
      </c>
      <c r="K985" s="208">
        <f>보고서!P1095</f>
        <v>0</v>
      </c>
      <c r="L985" s="208">
        <f>보고서!Q1095</f>
        <v>0</v>
      </c>
    </row>
    <row r="986" spans="2:12">
      <c r="B986" s="865" t="str">
        <f>IF(B967="SPC없음","해당사항 없음",B998)</f>
        <v>해당사항 없음</v>
      </c>
      <c r="C986" s="866"/>
      <c r="D986" s="866"/>
      <c r="E986" s="867"/>
      <c r="F986" s="149"/>
      <c r="G986" s="176">
        <f>보고서!L1096</f>
        <v>0</v>
      </c>
      <c r="H986" s="176">
        <f>보고서!M1096</f>
        <v>0</v>
      </c>
      <c r="I986" s="176">
        <f>보고서!N1096</f>
        <v>0</v>
      </c>
      <c r="J986" s="208">
        <f>보고서!O1096</f>
        <v>0</v>
      </c>
      <c r="K986" s="208">
        <f>보고서!P1096</f>
        <v>0</v>
      </c>
      <c r="L986" s="208">
        <f>보고서!Q1096</f>
        <v>0</v>
      </c>
    </row>
    <row r="987" spans="2:12">
      <c r="B987" s="868"/>
      <c r="C987" s="869"/>
      <c r="D987" s="869"/>
      <c r="E987" s="870"/>
      <c r="F987" s="149"/>
      <c r="G987" s="176">
        <f>보고서!L1097</f>
        <v>0</v>
      </c>
      <c r="H987" s="176">
        <f>보고서!M1097</f>
        <v>0</v>
      </c>
      <c r="I987" s="176">
        <f>보고서!N1097</f>
        <v>0</v>
      </c>
      <c r="J987" s="208">
        <f>보고서!O1097</f>
        <v>0</v>
      </c>
      <c r="K987" s="208">
        <f>보고서!P1097</f>
        <v>0</v>
      </c>
      <c r="L987" s="208">
        <f>보고서!Q1097</f>
        <v>0</v>
      </c>
    </row>
    <row r="988" spans="2:12">
      <c r="B988" s="868"/>
      <c r="C988" s="869"/>
      <c r="D988" s="869"/>
      <c r="E988" s="870"/>
      <c r="F988" s="149"/>
      <c r="G988" s="176">
        <f>보고서!L1098</f>
        <v>0</v>
      </c>
      <c r="H988" s="176">
        <f>보고서!M1098</f>
        <v>0</v>
      </c>
      <c r="I988" s="176">
        <f>보고서!N1098</f>
        <v>0</v>
      </c>
      <c r="J988" s="208">
        <f>보고서!O1098</f>
        <v>0</v>
      </c>
      <c r="K988" s="208">
        <f>보고서!P1098</f>
        <v>0</v>
      </c>
      <c r="L988" s="208">
        <f>보고서!Q1098</f>
        <v>0</v>
      </c>
    </row>
    <row r="989" spans="2:12">
      <c r="B989" s="868"/>
      <c r="C989" s="869"/>
      <c r="D989" s="869"/>
      <c r="E989" s="870"/>
      <c r="F989" s="149"/>
      <c r="G989" s="176">
        <f>보고서!L1099</f>
        <v>0</v>
      </c>
      <c r="H989" s="176">
        <f>보고서!M1099</f>
        <v>0</v>
      </c>
      <c r="I989" s="176">
        <f>보고서!N1099</f>
        <v>0</v>
      </c>
      <c r="J989" s="208">
        <f>보고서!O1099</f>
        <v>0</v>
      </c>
      <c r="K989" s="208">
        <f>보고서!P1099</f>
        <v>0</v>
      </c>
      <c r="L989" s="208">
        <f>보고서!Q1099</f>
        <v>0</v>
      </c>
    </row>
    <row r="990" spans="2:12" ht="14.25" thickBot="1">
      <c r="B990" s="868"/>
      <c r="C990" s="869"/>
      <c r="D990" s="869"/>
      <c r="E990" s="870"/>
      <c r="F990" s="149"/>
      <c r="G990" s="176">
        <f>보고서!L1100</f>
        <v>0</v>
      </c>
      <c r="H990" s="182">
        <f>보고서!L1100</f>
        <v>0</v>
      </c>
      <c r="I990" s="182">
        <f>보고서!M1100</f>
        <v>0</v>
      </c>
      <c r="J990" s="212">
        <f>보고서!N1100</f>
        <v>0</v>
      </c>
      <c r="K990" s="212">
        <f>보고서!O1100</f>
        <v>0</v>
      </c>
      <c r="L990" s="212">
        <f>보고서!P1100</f>
        <v>0</v>
      </c>
    </row>
    <row r="991" spans="2:12" ht="14.25" thickTop="1">
      <c r="B991" s="868"/>
      <c r="C991" s="869"/>
      <c r="D991" s="869"/>
      <c r="E991" s="870"/>
      <c r="G991" s="908" t="s">
        <v>3496</v>
      </c>
      <c r="H991" s="908"/>
      <c r="I991" s="908"/>
      <c r="J991" s="908"/>
      <c r="K991" s="223">
        <f>SUM(K980:K990)</f>
        <v>0</v>
      </c>
      <c r="L991" s="223">
        <f>SUM(L980:L990)</f>
        <v>0</v>
      </c>
    </row>
    <row r="992" spans="2:12">
      <c r="B992" s="868"/>
      <c r="C992" s="869"/>
      <c r="D992" s="869"/>
      <c r="E992" s="870"/>
    </row>
    <row r="993" spans="1:12">
      <c r="B993" s="868"/>
      <c r="C993" s="869"/>
      <c r="D993" s="869"/>
      <c r="E993" s="870"/>
    </row>
    <row r="994" spans="1:12">
      <c r="B994" s="868"/>
      <c r="C994" s="869"/>
      <c r="D994" s="869"/>
      <c r="E994" s="870"/>
    </row>
    <row r="995" spans="1:12">
      <c r="B995" s="868"/>
      <c r="C995" s="869"/>
      <c r="D995" s="869"/>
      <c r="E995" s="870"/>
    </row>
    <row r="996" spans="1:12">
      <c r="B996" s="868"/>
      <c r="C996" s="869"/>
      <c r="D996" s="869"/>
      <c r="E996" s="870"/>
    </row>
    <row r="997" spans="1:12">
      <c r="B997" s="871"/>
      <c r="C997" s="872"/>
      <c r="D997" s="872"/>
      <c r="E997" s="873"/>
    </row>
    <row r="998" spans="1:12">
      <c r="B998" s="224" t="s">
        <v>857</v>
      </c>
    </row>
    <row r="999" spans="1:12">
      <c r="A999" s="142">
        <f>A967+1</f>
        <v>23</v>
      </c>
      <c r="B999" s="214" t="str">
        <f>보고서!B1124</f>
        <v>SPC없음</v>
      </c>
      <c r="C999" s="149"/>
      <c r="D999" s="149"/>
      <c r="E999" s="149"/>
      <c r="F999" s="149"/>
      <c r="H999" s="149"/>
      <c r="I999" s="149"/>
      <c r="J999" s="149"/>
      <c r="K999" s="149"/>
      <c r="L999" s="149"/>
    </row>
    <row r="1000" spans="1:12">
      <c r="B1000" s="214" t="str">
        <f>보고서!B1125</f>
        <v>SPC없음</v>
      </c>
      <c r="C1000" s="149"/>
      <c r="D1000" s="149"/>
      <c r="E1000" s="149"/>
      <c r="F1000" s="149"/>
      <c r="H1000" s="149"/>
      <c r="I1000" s="149"/>
      <c r="J1000" s="149"/>
      <c r="K1000" s="149"/>
      <c r="L1000" s="149"/>
    </row>
    <row r="1001" spans="1:12">
      <c r="B1001" s="215" t="s">
        <v>750</v>
      </c>
      <c r="C1001" s="216"/>
      <c r="D1001" s="216"/>
      <c r="E1001" s="216"/>
      <c r="F1001" s="216"/>
      <c r="G1001" s="215" t="s">
        <v>751</v>
      </c>
      <c r="H1001" s="216"/>
      <c r="I1001" s="216"/>
      <c r="J1001" s="149"/>
      <c r="K1001" s="149"/>
      <c r="L1001" s="149"/>
    </row>
    <row r="1002" spans="1:12">
      <c r="B1002" s="173" t="s">
        <v>808</v>
      </c>
      <c r="C1002" s="173" t="s">
        <v>10</v>
      </c>
      <c r="D1002" s="173" t="s">
        <v>236</v>
      </c>
      <c r="E1002" s="173" t="s">
        <v>801</v>
      </c>
      <c r="F1002" s="217"/>
      <c r="G1002" s="173" t="s">
        <v>88</v>
      </c>
      <c r="H1002" s="173" t="s">
        <v>90</v>
      </c>
      <c r="I1002" s="149"/>
      <c r="J1002" s="149"/>
      <c r="K1002" s="149"/>
      <c r="L1002" s="142"/>
    </row>
    <row r="1003" spans="1:12">
      <c r="B1003" s="174" t="s">
        <v>3492</v>
      </c>
      <c r="C1003" s="175">
        <f>보고서!C1128</f>
        <v>0</v>
      </c>
      <c r="D1003" s="175">
        <f>보고서!D1128</f>
        <v>0</v>
      </c>
      <c r="E1003" s="149"/>
      <c r="F1003" s="149"/>
      <c r="G1003" s="176">
        <f>보고서!G1128</f>
        <v>0</v>
      </c>
      <c r="H1003" s="207" t="str">
        <f>보고서!I1128</f>
        <v>SPC 없음</v>
      </c>
      <c r="I1003" s="149"/>
      <c r="J1003" s="149"/>
      <c r="K1003" s="149"/>
      <c r="L1003" s="142"/>
    </row>
    <row r="1004" spans="1:12">
      <c r="B1004" s="176" t="s">
        <v>756</v>
      </c>
      <c r="C1004" s="177">
        <f>보고서!C1129</f>
        <v>0</v>
      </c>
      <c r="D1004" s="177">
        <f>보고서!D1129</f>
        <v>0</v>
      </c>
      <c r="E1004" s="176" t="s">
        <v>810</v>
      </c>
      <c r="F1004" s="149"/>
      <c r="G1004" s="176">
        <f>보고서!G1129</f>
        <v>0</v>
      </c>
      <c r="H1004" s="207" t="str">
        <f>보고서!I1129</f>
        <v>SPC 없음</v>
      </c>
      <c r="I1004" s="149"/>
      <c r="J1004" s="149"/>
      <c r="K1004" s="149"/>
      <c r="L1004" s="142"/>
    </row>
    <row r="1005" spans="1:12">
      <c r="B1005" s="176" t="s">
        <v>757</v>
      </c>
      <c r="C1005" s="177">
        <f>보고서!C1130</f>
        <v>0</v>
      </c>
      <c r="D1005" s="177">
        <f>보고서!D1130</f>
        <v>0</v>
      </c>
      <c r="E1005" s="176" t="s">
        <v>810</v>
      </c>
      <c r="F1005" s="149"/>
      <c r="G1005" s="176">
        <f>보고서!G1130</f>
        <v>0</v>
      </c>
      <c r="H1005" s="207" t="str">
        <f>보고서!I1130</f>
        <v>SPC 없음</v>
      </c>
      <c r="I1005" s="218"/>
      <c r="J1005" s="149"/>
      <c r="K1005" s="149"/>
      <c r="L1005" s="142"/>
    </row>
    <row r="1006" spans="1:12">
      <c r="B1006" s="179" t="s">
        <v>3493</v>
      </c>
      <c r="C1006" s="175">
        <f>보고서!C1131</f>
        <v>0</v>
      </c>
      <c r="D1006" s="175">
        <f>보고서!D1131</f>
        <v>0</v>
      </c>
      <c r="E1006" s="219" t="s">
        <v>821</v>
      </c>
      <c r="F1006" s="191" t="str">
        <f>IF(D1006=H1009+L1023,"투자자산 합계액 일치","투자자산 합계액 불일치")</f>
        <v>투자자산 합계액 일치</v>
      </c>
      <c r="G1006" s="176">
        <f>보고서!G1131</f>
        <v>0</v>
      </c>
      <c r="H1006" s="207" t="str">
        <f>보고서!I1131</f>
        <v>SPC 없음</v>
      </c>
      <c r="I1006" s="218"/>
      <c r="J1006" s="149"/>
      <c r="K1006" s="149"/>
      <c r="L1006" s="142"/>
    </row>
    <row r="1007" spans="1:12">
      <c r="B1007" s="179" t="s">
        <v>848</v>
      </c>
      <c r="C1007" s="175">
        <f>보고서!C1149</f>
        <v>0</v>
      </c>
      <c r="D1007" s="175">
        <f>보고서!D1149</f>
        <v>0</v>
      </c>
      <c r="E1007" s="149"/>
      <c r="F1007" s="149"/>
      <c r="G1007" s="176">
        <f>보고서!G1132</f>
        <v>0</v>
      </c>
      <c r="H1007" s="207" t="str">
        <f>보고서!I1132</f>
        <v>SPC 없음</v>
      </c>
      <c r="I1007" s="218"/>
      <c r="J1007" s="149"/>
      <c r="K1007" s="149"/>
      <c r="L1007" s="142"/>
    </row>
    <row r="1008" spans="1:12" ht="14.25" thickBot="1">
      <c r="B1008" s="180" t="s">
        <v>30</v>
      </c>
      <c r="C1008" s="181">
        <f>보고서!C1150</f>
        <v>0</v>
      </c>
      <c r="D1008" s="181">
        <f>C1008</f>
        <v>0</v>
      </c>
      <c r="E1008" s="182" t="s">
        <v>810</v>
      </c>
      <c r="F1008" s="149"/>
      <c r="G1008" s="182">
        <f>보고서!G1133</f>
        <v>0</v>
      </c>
      <c r="H1008" s="209" t="str">
        <f>보고서!I1133</f>
        <v>SPC 없음</v>
      </c>
      <c r="I1008" s="218"/>
      <c r="J1008" s="149"/>
      <c r="K1008" s="149"/>
      <c r="L1008" s="142"/>
    </row>
    <row r="1009" spans="2:12" ht="14.25" thickTop="1">
      <c r="B1009" s="179" t="s">
        <v>31</v>
      </c>
      <c r="C1009" s="175">
        <f>C1007-C1008</f>
        <v>0</v>
      </c>
      <c r="D1009" s="175">
        <f>D1007-D1008</f>
        <v>0</v>
      </c>
      <c r="E1009" s="149"/>
      <c r="F1009" s="149"/>
      <c r="H1009" s="210">
        <f>SUM(H1003:H1008)</f>
        <v>0</v>
      </c>
      <c r="L1009" s="142"/>
    </row>
    <row r="1010" spans="2:12">
      <c r="B1010" s="184" t="s">
        <v>804</v>
      </c>
      <c r="C1010" s="177">
        <f>보고서!C1152</f>
        <v>0</v>
      </c>
      <c r="D1010" s="177">
        <f>C1010</f>
        <v>0</v>
      </c>
      <c r="E1010" s="149"/>
      <c r="F1010" s="217"/>
      <c r="G1010" s="215" t="s">
        <v>752</v>
      </c>
      <c r="H1010" s="149"/>
      <c r="I1010" s="149"/>
      <c r="J1010" s="149"/>
      <c r="K1010" s="149"/>
      <c r="L1010" s="149"/>
    </row>
    <row r="1011" spans="2:12">
      <c r="B1011" s="184" t="s">
        <v>964</v>
      </c>
      <c r="C1011" s="177">
        <f>보고서!C1153</f>
        <v>0</v>
      </c>
      <c r="D1011" s="177">
        <f>C1011</f>
        <v>0</v>
      </c>
      <c r="E1011" s="149"/>
      <c r="F1011" s="149"/>
      <c r="G1011" s="173" t="s">
        <v>805</v>
      </c>
      <c r="H1011" s="173" t="s">
        <v>1</v>
      </c>
      <c r="I1011" s="173" t="s">
        <v>12</v>
      </c>
      <c r="J1011" s="173" t="s">
        <v>806</v>
      </c>
      <c r="K1011" s="173" t="s">
        <v>3494</v>
      </c>
      <c r="L1011" s="173" t="s">
        <v>3497</v>
      </c>
    </row>
    <row r="1012" spans="2:12">
      <c r="B1012" s="179" t="s">
        <v>842</v>
      </c>
      <c r="C1012" s="175">
        <f>C1009+C1010-C1011</f>
        <v>0</v>
      </c>
      <c r="D1012" s="175">
        <f>D1009+D1010-D1011</f>
        <v>0</v>
      </c>
      <c r="E1012" s="149"/>
      <c r="F1012" s="149"/>
      <c r="G1012" s="176">
        <f>보고서!L1128</f>
        <v>0</v>
      </c>
      <c r="H1012" s="176">
        <f>보고서!M1128</f>
        <v>0</v>
      </c>
      <c r="I1012" s="176">
        <f>보고서!N1128</f>
        <v>0</v>
      </c>
      <c r="J1012" s="208">
        <f>보고서!O1128</f>
        <v>0</v>
      </c>
      <c r="K1012" s="208">
        <f>보고서!P1128</f>
        <v>0</v>
      </c>
      <c r="L1012" s="208">
        <f>보고서!Q1128</f>
        <v>0</v>
      </c>
    </row>
    <row r="1013" spans="2:12" ht="14.25" thickBot="1">
      <c r="B1013" s="182" t="s">
        <v>811</v>
      </c>
      <c r="C1013" s="220">
        <f>보고서!C1155</f>
        <v>0</v>
      </c>
      <c r="D1013" s="220">
        <f>C1013</f>
        <v>0</v>
      </c>
      <c r="E1013" s="221"/>
      <c r="F1013" s="149"/>
      <c r="G1013" s="176">
        <f>보고서!L1129</f>
        <v>0</v>
      </c>
      <c r="H1013" s="176">
        <f>보고서!M1129</f>
        <v>0</v>
      </c>
      <c r="I1013" s="176">
        <f>보고서!N1129</f>
        <v>0</v>
      </c>
      <c r="J1013" s="208">
        <f>보고서!O1129</f>
        <v>0</v>
      </c>
      <c r="K1013" s="208">
        <f>보고서!P1129</f>
        <v>0</v>
      </c>
      <c r="L1013" s="208">
        <f>보고서!Q1129</f>
        <v>0</v>
      </c>
    </row>
    <row r="1014" spans="2:12" ht="14.25" thickTop="1">
      <c r="B1014" s="222" t="s">
        <v>746</v>
      </c>
      <c r="C1014" s="175">
        <f>C1012*C1013</f>
        <v>0</v>
      </c>
      <c r="D1014" s="175">
        <f>D1012*D1013</f>
        <v>0</v>
      </c>
      <c r="E1014" s="149"/>
      <c r="F1014" s="149"/>
      <c r="G1014" s="176">
        <f>보고서!L1130</f>
        <v>0</v>
      </c>
      <c r="H1014" s="176">
        <f>보고서!M1130</f>
        <v>0</v>
      </c>
      <c r="I1014" s="176">
        <f>보고서!N1130</f>
        <v>0</v>
      </c>
      <c r="J1014" s="208">
        <f>보고서!O1130</f>
        <v>0</v>
      </c>
      <c r="K1014" s="208">
        <f>보고서!P1130</f>
        <v>0</v>
      </c>
      <c r="L1014" s="208">
        <f>보고서!Q1130</f>
        <v>0</v>
      </c>
    </row>
    <row r="1015" spans="2:12">
      <c r="B1015" s="149"/>
      <c r="C1015" s="149"/>
      <c r="D1015" s="149"/>
      <c r="E1015" s="149"/>
      <c r="F1015" s="149"/>
      <c r="G1015" s="176">
        <f>보고서!L1131</f>
        <v>0</v>
      </c>
      <c r="H1015" s="176">
        <f>보고서!M1131</f>
        <v>0</v>
      </c>
      <c r="I1015" s="176">
        <f>보고서!N1131</f>
        <v>0</v>
      </c>
      <c r="J1015" s="208">
        <f>보고서!O1131</f>
        <v>0</v>
      </c>
      <c r="K1015" s="208">
        <f>보고서!P1131</f>
        <v>0</v>
      </c>
      <c r="L1015" s="208">
        <f>보고서!Q1131</f>
        <v>0</v>
      </c>
    </row>
    <row r="1016" spans="2:12">
      <c r="B1016" s="168" t="s">
        <v>38</v>
      </c>
      <c r="C1016" s="191" t="b">
        <f>ROUND(C1004+C1005+C1006-C1008+C1010-C1011,0)=ROUND(C1012,0)</f>
        <v>1</v>
      </c>
      <c r="D1016" s="191" t="b">
        <f>ROUND(D1004+D1005+D1006-D1008+D1010-D1011,0)=ROUND(D1012,0)</f>
        <v>1</v>
      </c>
      <c r="E1016" s="149"/>
      <c r="F1016" s="149"/>
      <c r="G1016" s="176">
        <f>보고서!L1132</f>
        <v>0</v>
      </c>
      <c r="H1016" s="176">
        <f>보고서!M1132</f>
        <v>0</v>
      </c>
      <c r="I1016" s="176">
        <f>보고서!N1132</f>
        <v>0</v>
      </c>
      <c r="J1016" s="208">
        <f>보고서!O1132</f>
        <v>0</v>
      </c>
      <c r="K1016" s="208">
        <f>보고서!P1132</f>
        <v>0</v>
      </c>
      <c r="L1016" s="208">
        <f>보고서!Q1132</f>
        <v>0</v>
      </c>
    </row>
    <row r="1017" spans="2:12">
      <c r="B1017" s="149"/>
      <c r="C1017" s="149"/>
      <c r="D1017" s="149"/>
      <c r="E1017" s="149"/>
      <c r="F1017" s="149"/>
      <c r="G1017" s="176">
        <f>보고서!L1133</f>
        <v>0</v>
      </c>
      <c r="H1017" s="176">
        <f>보고서!M1133</f>
        <v>0</v>
      </c>
      <c r="I1017" s="176">
        <f>보고서!N1133</f>
        <v>0</v>
      </c>
      <c r="J1017" s="208">
        <f>보고서!O1133</f>
        <v>0</v>
      </c>
      <c r="K1017" s="208">
        <f>보고서!P1133</f>
        <v>0</v>
      </c>
      <c r="L1017" s="208">
        <f>보고서!Q1133</f>
        <v>0</v>
      </c>
    </row>
    <row r="1018" spans="2:12">
      <c r="B1018" s="865" t="str">
        <f>IF(B999="SPC없음","해당사항 없음",B1030)</f>
        <v>해당사항 없음</v>
      </c>
      <c r="C1018" s="866"/>
      <c r="D1018" s="866"/>
      <c r="E1018" s="867"/>
      <c r="F1018" s="149"/>
      <c r="G1018" s="176">
        <f>보고서!L1134</f>
        <v>0</v>
      </c>
      <c r="H1018" s="176">
        <f>보고서!M1134</f>
        <v>0</v>
      </c>
      <c r="I1018" s="176">
        <f>보고서!N1134</f>
        <v>0</v>
      </c>
      <c r="J1018" s="208">
        <f>보고서!O1134</f>
        <v>0</v>
      </c>
      <c r="K1018" s="208">
        <f>보고서!P1134</f>
        <v>0</v>
      </c>
      <c r="L1018" s="208">
        <f>보고서!Q1134</f>
        <v>0</v>
      </c>
    </row>
    <row r="1019" spans="2:12">
      <c r="B1019" s="868"/>
      <c r="C1019" s="869"/>
      <c r="D1019" s="869"/>
      <c r="E1019" s="870"/>
      <c r="F1019" s="149"/>
      <c r="G1019" s="176">
        <f>보고서!L1135</f>
        <v>0</v>
      </c>
      <c r="H1019" s="176">
        <f>보고서!M1135</f>
        <v>0</v>
      </c>
      <c r="I1019" s="176">
        <f>보고서!N1135</f>
        <v>0</v>
      </c>
      <c r="J1019" s="208">
        <f>보고서!O1135</f>
        <v>0</v>
      </c>
      <c r="K1019" s="208">
        <f>보고서!P1135</f>
        <v>0</v>
      </c>
      <c r="L1019" s="208">
        <f>보고서!Q1135</f>
        <v>0</v>
      </c>
    </row>
    <row r="1020" spans="2:12">
      <c r="B1020" s="868"/>
      <c r="C1020" s="869"/>
      <c r="D1020" s="869"/>
      <c r="E1020" s="870"/>
      <c r="F1020" s="149"/>
      <c r="G1020" s="176">
        <f>보고서!L1136</f>
        <v>0</v>
      </c>
      <c r="H1020" s="176">
        <f>보고서!M1136</f>
        <v>0</v>
      </c>
      <c r="I1020" s="176">
        <f>보고서!N1136</f>
        <v>0</v>
      </c>
      <c r="J1020" s="208">
        <f>보고서!O1136</f>
        <v>0</v>
      </c>
      <c r="K1020" s="208">
        <f>보고서!P1136</f>
        <v>0</v>
      </c>
      <c r="L1020" s="208">
        <f>보고서!Q1136</f>
        <v>0</v>
      </c>
    </row>
    <row r="1021" spans="2:12">
      <c r="B1021" s="868"/>
      <c r="C1021" s="869"/>
      <c r="D1021" s="869"/>
      <c r="E1021" s="870"/>
      <c r="F1021" s="149"/>
      <c r="G1021" s="176">
        <f>보고서!L1137</f>
        <v>0</v>
      </c>
      <c r="H1021" s="176">
        <f>보고서!M1137</f>
        <v>0</v>
      </c>
      <c r="I1021" s="176">
        <f>보고서!N1137</f>
        <v>0</v>
      </c>
      <c r="J1021" s="208">
        <f>보고서!O1137</f>
        <v>0</v>
      </c>
      <c r="K1021" s="208">
        <f>보고서!P1137</f>
        <v>0</v>
      </c>
      <c r="L1021" s="208">
        <f>보고서!Q1137</f>
        <v>0</v>
      </c>
    </row>
    <row r="1022" spans="2:12" ht="14.25" thickBot="1">
      <c r="B1022" s="868"/>
      <c r="C1022" s="869"/>
      <c r="D1022" s="869"/>
      <c r="E1022" s="870"/>
      <c r="F1022" s="149"/>
      <c r="G1022" s="182">
        <f>보고서!L1138</f>
        <v>0</v>
      </c>
      <c r="H1022" s="182">
        <f>보고서!M1138</f>
        <v>0</v>
      </c>
      <c r="I1022" s="182">
        <f>보고서!N1138</f>
        <v>0</v>
      </c>
      <c r="J1022" s="212">
        <f>보고서!O1138</f>
        <v>0</v>
      </c>
      <c r="K1022" s="212">
        <f>보고서!P1138</f>
        <v>0</v>
      </c>
      <c r="L1022" s="212">
        <f>보고서!Q1138</f>
        <v>0</v>
      </c>
    </row>
    <row r="1023" spans="2:12" ht="14.25" thickTop="1">
      <c r="B1023" s="868"/>
      <c r="C1023" s="869"/>
      <c r="D1023" s="869"/>
      <c r="E1023" s="870"/>
      <c r="G1023" s="908" t="s">
        <v>3496</v>
      </c>
      <c r="H1023" s="908"/>
      <c r="I1023" s="908"/>
      <c r="J1023" s="908"/>
      <c r="K1023" s="223">
        <f>SUM(K1012:K1022)</f>
        <v>0</v>
      </c>
      <c r="L1023" s="223">
        <f>SUM(L1012:L1022)</f>
        <v>0</v>
      </c>
    </row>
    <row r="1024" spans="2:12">
      <c r="B1024" s="868"/>
      <c r="C1024" s="869"/>
      <c r="D1024" s="869"/>
      <c r="E1024" s="870"/>
    </row>
    <row r="1025" spans="1:12">
      <c r="B1025" s="868"/>
      <c r="C1025" s="869"/>
      <c r="D1025" s="869"/>
      <c r="E1025" s="870"/>
    </row>
    <row r="1026" spans="1:12">
      <c r="B1026" s="868"/>
      <c r="C1026" s="869"/>
      <c r="D1026" s="869"/>
      <c r="E1026" s="870"/>
    </row>
    <row r="1027" spans="1:12">
      <c r="B1027" s="868"/>
      <c r="C1027" s="869"/>
      <c r="D1027" s="869"/>
      <c r="E1027" s="870"/>
    </row>
    <row r="1028" spans="1:12">
      <c r="B1028" s="868"/>
      <c r="C1028" s="869"/>
      <c r="D1028" s="869"/>
      <c r="E1028" s="870"/>
    </row>
    <row r="1029" spans="1:12">
      <c r="B1029" s="871"/>
      <c r="C1029" s="872"/>
      <c r="D1029" s="872"/>
      <c r="E1029" s="873"/>
    </row>
    <row r="1030" spans="1:12">
      <c r="B1030" s="224" t="s">
        <v>857</v>
      </c>
    </row>
    <row r="1031" spans="1:12">
      <c r="A1031" s="142">
        <f>A999+1</f>
        <v>24</v>
      </c>
      <c r="B1031" s="214" t="str">
        <f>보고서!B1162</f>
        <v>SPC없음</v>
      </c>
      <c r="C1031" s="149"/>
      <c r="D1031" s="149"/>
      <c r="E1031" s="149"/>
      <c r="F1031" s="149"/>
      <c r="H1031" s="149"/>
      <c r="I1031" s="149"/>
      <c r="J1031" s="149"/>
      <c r="K1031" s="149"/>
      <c r="L1031" s="149"/>
    </row>
    <row r="1032" spans="1:12">
      <c r="B1032" s="214" t="str">
        <f>보고서!B1163</f>
        <v>SPC없음</v>
      </c>
      <c r="C1032" s="149"/>
      <c r="D1032" s="149"/>
      <c r="E1032" s="149"/>
      <c r="F1032" s="149"/>
      <c r="H1032" s="149"/>
      <c r="I1032" s="149"/>
      <c r="J1032" s="149"/>
      <c r="K1032" s="149"/>
      <c r="L1032" s="149"/>
    </row>
    <row r="1033" spans="1:12">
      <c r="B1033" s="215" t="s">
        <v>750</v>
      </c>
      <c r="C1033" s="216"/>
      <c r="D1033" s="216"/>
      <c r="E1033" s="216"/>
      <c r="F1033" s="216"/>
      <c r="G1033" s="215" t="s">
        <v>751</v>
      </c>
      <c r="H1033" s="216"/>
      <c r="I1033" s="216"/>
      <c r="J1033" s="149"/>
      <c r="K1033" s="149"/>
      <c r="L1033" s="149"/>
    </row>
    <row r="1034" spans="1:12">
      <c r="B1034" s="173" t="s">
        <v>808</v>
      </c>
      <c r="C1034" s="173" t="s">
        <v>10</v>
      </c>
      <c r="D1034" s="173" t="s">
        <v>236</v>
      </c>
      <c r="E1034" s="173" t="s">
        <v>801</v>
      </c>
      <c r="F1034" s="217"/>
      <c r="G1034" s="173" t="s">
        <v>88</v>
      </c>
      <c r="H1034" s="173" t="s">
        <v>90</v>
      </c>
      <c r="I1034" s="149"/>
      <c r="J1034" s="149"/>
      <c r="K1034" s="149"/>
      <c r="L1034" s="142"/>
    </row>
    <row r="1035" spans="1:12">
      <c r="B1035" s="174" t="s">
        <v>3492</v>
      </c>
      <c r="C1035" s="175">
        <f>보고서!C1166</f>
        <v>0</v>
      </c>
      <c r="D1035" s="175">
        <f>보고서!D1166</f>
        <v>0</v>
      </c>
      <c r="E1035" s="149"/>
      <c r="F1035" s="149"/>
      <c r="G1035" s="176">
        <f>보고서!G1166</f>
        <v>0</v>
      </c>
      <c r="H1035" s="207" t="str">
        <f>보고서!I1166</f>
        <v>SPC 없음</v>
      </c>
      <c r="I1035" s="149"/>
      <c r="J1035" s="149"/>
      <c r="K1035" s="149"/>
      <c r="L1035" s="142"/>
    </row>
    <row r="1036" spans="1:12">
      <c r="B1036" s="176" t="s">
        <v>756</v>
      </c>
      <c r="C1036" s="177">
        <f>보고서!C1167</f>
        <v>0</v>
      </c>
      <c r="D1036" s="177">
        <f>보고서!D1167</f>
        <v>0</v>
      </c>
      <c r="E1036" s="176" t="s">
        <v>810</v>
      </c>
      <c r="F1036" s="149"/>
      <c r="G1036" s="176">
        <f>보고서!G1167</f>
        <v>0</v>
      </c>
      <c r="H1036" s="207" t="str">
        <f>보고서!I1167</f>
        <v>SPC 없음</v>
      </c>
      <c r="I1036" s="149"/>
      <c r="J1036" s="149"/>
      <c r="K1036" s="149"/>
      <c r="L1036" s="142"/>
    </row>
    <row r="1037" spans="1:12">
      <c r="B1037" s="176" t="s">
        <v>757</v>
      </c>
      <c r="C1037" s="177">
        <f>보고서!C1168</f>
        <v>0</v>
      </c>
      <c r="D1037" s="177">
        <f>보고서!D1168</f>
        <v>0</v>
      </c>
      <c r="E1037" s="176" t="s">
        <v>810</v>
      </c>
      <c r="F1037" s="149"/>
      <c r="G1037" s="176">
        <f>보고서!G1168</f>
        <v>0</v>
      </c>
      <c r="H1037" s="207" t="str">
        <f>보고서!I1168</f>
        <v>SPC 없음</v>
      </c>
      <c r="I1037" s="218"/>
      <c r="J1037" s="149"/>
      <c r="K1037" s="149"/>
      <c r="L1037" s="142"/>
    </row>
    <row r="1038" spans="1:12">
      <c r="B1038" s="179" t="s">
        <v>3493</v>
      </c>
      <c r="C1038" s="175">
        <f>보고서!C1169</f>
        <v>0</v>
      </c>
      <c r="D1038" s="175">
        <f>보고서!D1169</f>
        <v>0</v>
      </c>
      <c r="E1038" s="219" t="s">
        <v>821</v>
      </c>
      <c r="F1038" s="191" t="str">
        <f>IF(D1038=H1041+L1055,"투자자산 합계액 일치","투자자산 합계액 불일치")</f>
        <v>투자자산 합계액 일치</v>
      </c>
      <c r="G1038" s="176">
        <f>보고서!G1169</f>
        <v>0</v>
      </c>
      <c r="H1038" s="207" t="str">
        <f>보고서!I1169</f>
        <v>SPC 없음</v>
      </c>
      <c r="I1038" s="218"/>
      <c r="J1038" s="149"/>
      <c r="K1038" s="149"/>
      <c r="L1038" s="142"/>
    </row>
    <row r="1039" spans="1:12">
      <c r="B1039" s="179" t="s">
        <v>848</v>
      </c>
      <c r="C1039" s="175">
        <f>보고서!C1187</f>
        <v>0</v>
      </c>
      <c r="D1039" s="175">
        <f>보고서!D1187</f>
        <v>0</v>
      </c>
      <c r="E1039" s="149"/>
      <c r="F1039" s="149"/>
      <c r="G1039" s="176">
        <f>보고서!G1170</f>
        <v>0</v>
      </c>
      <c r="H1039" s="207" t="str">
        <f>보고서!I1170</f>
        <v>SPC 없음</v>
      </c>
      <c r="I1039" s="218"/>
      <c r="J1039" s="149"/>
      <c r="K1039" s="149"/>
      <c r="L1039" s="142"/>
    </row>
    <row r="1040" spans="1:12" ht="14.25" thickBot="1">
      <c r="B1040" s="180" t="s">
        <v>30</v>
      </c>
      <c r="C1040" s="181">
        <f>보고서!C1188</f>
        <v>0</v>
      </c>
      <c r="D1040" s="181">
        <f>C1040</f>
        <v>0</v>
      </c>
      <c r="E1040" s="182" t="s">
        <v>810</v>
      </c>
      <c r="F1040" s="149"/>
      <c r="G1040" s="182">
        <f>보고서!G1171</f>
        <v>0</v>
      </c>
      <c r="H1040" s="209" t="str">
        <f>보고서!I1171</f>
        <v>SPC 없음</v>
      </c>
      <c r="I1040" s="218"/>
      <c r="J1040" s="149"/>
      <c r="K1040" s="149"/>
      <c r="L1040" s="142"/>
    </row>
    <row r="1041" spans="2:12" ht="14.25" thickTop="1">
      <c r="B1041" s="179" t="s">
        <v>31</v>
      </c>
      <c r="C1041" s="175">
        <f>C1039-C1040</f>
        <v>0</v>
      </c>
      <c r="D1041" s="175">
        <f>D1039-D1040</f>
        <v>0</v>
      </c>
      <c r="E1041" s="149"/>
      <c r="F1041" s="149"/>
      <c r="H1041" s="210">
        <f>SUM(H1035:H1040)</f>
        <v>0</v>
      </c>
      <c r="L1041" s="142"/>
    </row>
    <row r="1042" spans="2:12">
      <c r="B1042" s="184" t="s">
        <v>804</v>
      </c>
      <c r="C1042" s="177">
        <f>보고서!C1190</f>
        <v>0</v>
      </c>
      <c r="D1042" s="177">
        <f>C1042</f>
        <v>0</v>
      </c>
      <c r="E1042" s="149"/>
      <c r="F1042" s="217"/>
      <c r="G1042" s="215" t="s">
        <v>752</v>
      </c>
      <c r="H1042" s="149"/>
      <c r="I1042" s="149"/>
      <c r="J1042" s="149"/>
      <c r="K1042" s="149"/>
      <c r="L1042" s="149"/>
    </row>
    <row r="1043" spans="2:12">
      <c r="B1043" s="184" t="s">
        <v>964</v>
      </c>
      <c r="C1043" s="177">
        <f>보고서!C1191</f>
        <v>0</v>
      </c>
      <c r="D1043" s="177">
        <f>C1043</f>
        <v>0</v>
      </c>
      <c r="E1043" s="149"/>
      <c r="F1043" s="149"/>
      <c r="G1043" s="173" t="s">
        <v>805</v>
      </c>
      <c r="H1043" s="173" t="s">
        <v>1</v>
      </c>
      <c r="I1043" s="173" t="s">
        <v>12</v>
      </c>
      <c r="J1043" s="173" t="s">
        <v>806</v>
      </c>
      <c r="K1043" s="173" t="s">
        <v>3494</v>
      </c>
      <c r="L1043" s="173" t="s">
        <v>3497</v>
      </c>
    </row>
    <row r="1044" spans="2:12">
      <c r="B1044" s="179" t="s">
        <v>842</v>
      </c>
      <c r="C1044" s="175">
        <f>C1041+C1042-C1043</f>
        <v>0</v>
      </c>
      <c r="D1044" s="175">
        <f>D1041+D1042-D1043</f>
        <v>0</v>
      </c>
      <c r="E1044" s="149"/>
      <c r="F1044" s="149"/>
      <c r="G1044" s="176">
        <f>보고서!L1166</f>
        <v>0</v>
      </c>
      <c r="H1044" s="176">
        <f>보고서!M1166</f>
        <v>0</v>
      </c>
      <c r="I1044" s="176">
        <f>보고서!N1166</f>
        <v>0</v>
      </c>
      <c r="J1044" s="208">
        <f>보고서!O1166</f>
        <v>0</v>
      </c>
      <c r="K1044" s="208">
        <f>보고서!P1166</f>
        <v>0</v>
      </c>
      <c r="L1044" s="208">
        <f>보고서!Q1166</f>
        <v>0</v>
      </c>
    </row>
    <row r="1045" spans="2:12" ht="14.25" thickBot="1">
      <c r="B1045" s="182" t="s">
        <v>811</v>
      </c>
      <c r="C1045" s="220">
        <f>보고서!C1193</f>
        <v>0</v>
      </c>
      <c r="D1045" s="220">
        <f>C1045</f>
        <v>0</v>
      </c>
      <c r="E1045" s="221"/>
      <c r="F1045" s="149"/>
      <c r="G1045" s="176">
        <f>보고서!L1167</f>
        <v>0</v>
      </c>
      <c r="H1045" s="176">
        <f>보고서!M1167</f>
        <v>0</v>
      </c>
      <c r="I1045" s="176">
        <f>보고서!N1167</f>
        <v>0</v>
      </c>
      <c r="J1045" s="208">
        <f>보고서!O1167</f>
        <v>0</v>
      </c>
      <c r="K1045" s="208">
        <f>보고서!P1167</f>
        <v>0</v>
      </c>
      <c r="L1045" s="208">
        <f>보고서!Q1167</f>
        <v>0</v>
      </c>
    </row>
    <row r="1046" spans="2:12" ht="14.25" thickTop="1">
      <c r="B1046" s="222" t="s">
        <v>746</v>
      </c>
      <c r="C1046" s="175">
        <f>C1044*C1045</f>
        <v>0</v>
      </c>
      <c r="D1046" s="175">
        <f>D1044*D1045</f>
        <v>0</v>
      </c>
      <c r="E1046" s="149"/>
      <c r="F1046" s="149"/>
      <c r="G1046" s="176">
        <f>보고서!L1168</f>
        <v>0</v>
      </c>
      <c r="H1046" s="176">
        <f>보고서!M1168</f>
        <v>0</v>
      </c>
      <c r="I1046" s="176">
        <f>보고서!N1168</f>
        <v>0</v>
      </c>
      <c r="J1046" s="208">
        <f>보고서!O1168</f>
        <v>0</v>
      </c>
      <c r="K1046" s="208">
        <f>보고서!P1168</f>
        <v>0</v>
      </c>
      <c r="L1046" s="208">
        <f>보고서!Q1168</f>
        <v>0</v>
      </c>
    </row>
    <row r="1047" spans="2:12">
      <c r="B1047" s="149"/>
      <c r="C1047" s="149"/>
      <c r="D1047" s="149"/>
      <c r="E1047" s="149"/>
      <c r="F1047" s="149"/>
      <c r="G1047" s="176">
        <f>보고서!L1169</f>
        <v>0</v>
      </c>
      <c r="H1047" s="176">
        <f>보고서!M1169</f>
        <v>0</v>
      </c>
      <c r="I1047" s="176">
        <f>보고서!N1169</f>
        <v>0</v>
      </c>
      <c r="J1047" s="208">
        <f>보고서!O1169</f>
        <v>0</v>
      </c>
      <c r="K1047" s="208">
        <f>보고서!P1169</f>
        <v>0</v>
      </c>
      <c r="L1047" s="208">
        <f>보고서!Q1169</f>
        <v>0</v>
      </c>
    </row>
    <row r="1048" spans="2:12">
      <c r="B1048" s="168" t="s">
        <v>38</v>
      </c>
      <c r="C1048" s="191" t="b">
        <f>ROUND(C1036+C1037+C1038-C1040+C1042-C1043,0)=ROUND(C1044,0)</f>
        <v>1</v>
      </c>
      <c r="D1048" s="191" t="b">
        <f>ROUND(D1036+D1037+D1038-D1040+D1042-D1043,0)=ROUND(D1044,0)</f>
        <v>1</v>
      </c>
      <c r="E1048" s="149"/>
      <c r="F1048" s="149"/>
      <c r="G1048" s="176">
        <f>보고서!L1170</f>
        <v>0</v>
      </c>
      <c r="H1048" s="176">
        <f>보고서!M1170</f>
        <v>0</v>
      </c>
      <c r="I1048" s="176">
        <f>보고서!N1170</f>
        <v>0</v>
      </c>
      <c r="J1048" s="208">
        <f>보고서!O1170</f>
        <v>0</v>
      </c>
      <c r="K1048" s="208">
        <f>보고서!P1170</f>
        <v>0</v>
      </c>
      <c r="L1048" s="208">
        <f>보고서!Q1170</f>
        <v>0</v>
      </c>
    </row>
    <row r="1049" spans="2:12">
      <c r="B1049" s="149"/>
      <c r="C1049" s="149"/>
      <c r="D1049" s="149"/>
      <c r="E1049" s="149"/>
      <c r="F1049" s="149"/>
      <c r="G1049" s="176">
        <f>보고서!L1171</f>
        <v>0</v>
      </c>
      <c r="H1049" s="176">
        <f>보고서!M1171</f>
        <v>0</v>
      </c>
      <c r="I1049" s="176">
        <f>보고서!N1171</f>
        <v>0</v>
      </c>
      <c r="J1049" s="208">
        <f>보고서!O1171</f>
        <v>0</v>
      </c>
      <c r="K1049" s="208">
        <f>보고서!P1171</f>
        <v>0</v>
      </c>
      <c r="L1049" s="208">
        <f>보고서!Q1171</f>
        <v>0</v>
      </c>
    </row>
    <row r="1050" spans="2:12">
      <c r="B1050" s="865" t="str">
        <f>IF(B1031="SPC없음","해당사항 없음",B1062)</f>
        <v>해당사항 없음</v>
      </c>
      <c r="C1050" s="866"/>
      <c r="D1050" s="866"/>
      <c r="E1050" s="867"/>
      <c r="F1050" s="149"/>
      <c r="G1050" s="176">
        <f>보고서!L1172</f>
        <v>0</v>
      </c>
      <c r="H1050" s="176">
        <f>보고서!M1172</f>
        <v>0</v>
      </c>
      <c r="I1050" s="176">
        <f>보고서!N1172</f>
        <v>0</v>
      </c>
      <c r="J1050" s="208">
        <f>보고서!O1172</f>
        <v>0</v>
      </c>
      <c r="K1050" s="208">
        <f>보고서!P1172</f>
        <v>0</v>
      </c>
      <c r="L1050" s="208">
        <f>보고서!Q1172</f>
        <v>0</v>
      </c>
    </row>
    <row r="1051" spans="2:12">
      <c r="B1051" s="868"/>
      <c r="C1051" s="869"/>
      <c r="D1051" s="869"/>
      <c r="E1051" s="870"/>
      <c r="F1051" s="149"/>
      <c r="G1051" s="176">
        <f>보고서!L1173</f>
        <v>0</v>
      </c>
      <c r="H1051" s="176">
        <f>보고서!M1173</f>
        <v>0</v>
      </c>
      <c r="I1051" s="176">
        <f>보고서!N1173</f>
        <v>0</v>
      </c>
      <c r="J1051" s="208">
        <f>보고서!O1173</f>
        <v>0</v>
      </c>
      <c r="K1051" s="208">
        <f>보고서!P1173</f>
        <v>0</v>
      </c>
      <c r="L1051" s="208">
        <f>보고서!Q1173</f>
        <v>0</v>
      </c>
    </row>
    <row r="1052" spans="2:12">
      <c r="B1052" s="868"/>
      <c r="C1052" s="869"/>
      <c r="D1052" s="869"/>
      <c r="E1052" s="870"/>
      <c r="F1052" s="149"/>
      <c r="G1052" s="176">
        <f>보고서!L1174</f>
        <v>0</v>
      </c>
      <c r="H1052" s="176">
        <f>보고서!M1174</f>
        <v>0</v>
      </c>
      <c r="I1052" s="176">
        <f>보고서!N1174</f>
        <v>0</v>
      </c>
      <c r="J1052" s="208">
        <f>보고서!O1174</f>
        <v>0</v>
      </c>
      <c r="K1052" s="208">
        <f>보고서!P1174</f>
        <v>0</v>
      </c>
      <c r="L1052" s="208">
        <f>보고서!Q1174</f>
        <v>0</v>
      </c>
    </row>
    <row r="1053" spans="2:12">
      <c r="B1053" s="868"/>
      <c r="C1053" s="869"/>
      <c r="D1053" s="869"/>
      <c r="E1053" s="870"/>
      <c r="F1053" s="149"/>
      <c r="G1053" s="176">
        <f>보고서!L1175</f>
        <v>0</v>
      </c>
      <c r="H1053" s="176">
        <f>보고서!M1175</f>
        <v>0</v>
      </c>
      <c r="I1053" s="176">
        <f>보고서!N1175</f>
        <v>0</v>
      </c>
      <c r="J1053" s="208">
        <f>보고서!O1175</f>
        <v>0</v>
      </c>
      <c r="K1053" s="208">
        <f>보고서!P1175</f>
        <v>0</v>
      </c>
      <c r="L1053" s="208">
        <f>보고서!Q1175</f>
        <v>0</v>
      </c>
    </row>
    <row r="1054" spans="2:12" ht="14.25" thickBot="1">
      <c r="B1054" s="868"/>
      <c r="C1054" s="869"/>
      <c r="D1054" s="869"/>
      <c r="E1054" s="870"/>
      <c r="F1054" s="149"/>
      <c r="G1054" s="182">
        <f>보고서!L1176</f>
        <v>0</v>
      </c>
      <c r="H1054" s="182">
        <f>보고서!M1176</f>
        <v>0</v>
      </c>
      <c r="I1054" s="182">
        <f>보고서!N1176</f>
        <v>0</v>
      </c>
      <c r="J1054" s="212">
        <f>보고서!O1176</f>
        <v>0</v>
      </c>
      <c r="K1054" s="212">
        <f>보고서!P1176</f>
        <v>0</v>
      </c>
      <c r="L1054" s="212">
        <f>보고서!Q1176</f>
        <v>0</v>
      </c>
    </row>
    <row r="1055" spans="2:12" ht="14.25" thickTop="1">
      <c r="B1055" s="868"/>
      <c r="C1055" s="869"/>
      <c r="D1055" s="869"/>
      <c r="E1055" s="870"/>
      <c r="G1055" s="908" t="s">
        <v>3496</v>
      </c>
      <c r="H1055" s="908"/>
      <c r="I1055" s="908"/>
      <c r="J1055" s="908"/>
      <c r="K1055" s="223">
        <f>SUM(K1044:K1054)</f>
        <v>0</v>
      </c>
      <c r="L1055" s="223">
        <f>SUM(L1044:L1054)</f>
        <v>0</v>
      </c>
    </row>
    <row r="1056" spans="2:12">
      <c r="B1056" s="868"/>
      <c r="C1056" s="869"/>
      <c r="D1056" s="869"/>
      <c r="E1056" s="870"/>
    </row>
    <row r="1057" spans="1:12">
      <c r="B1057" s="868"/>
      <c r="C1057" s="869"/>
      <c r="D1057" s="869"/>
      <c r="E1057" s="870"/>
    </row>
    <row r="1058" spans="1:12">
      <c r="B1058" s="868"/>
      <c r="C1058" s="869"/>
      <c r="D1058" s="869"/>
      <c r="E1058" s="870"/>
    </row>
    <row r="1059" spans="1:12">
      <c r="B1059" s="868"/>
      <c r="C1059" s="869"/>
      <c r="D1059" s="869"/>
      <c r="E1059" s="870"/>
    </row>
    <row r="1060" spans="1:12">
      <c r="B1060" s="868"/>
      <c r="C1060" s="869"/>
      <c r="D1060" s="869"/>
      <c r="E1060" s="870"/>
    </row>
    <row r="1061" spans="1:12">
      <c r="B1061" s="871"/>
      <c r="C1061" s="872"/>
      <c r="D1061" s="872"/>
      <c r="E1061" s="873"/>
    </row>
    <row r="1062" spans="1:12">
      <c r="B1062" s="224" t="s">
        <v>857</v>
      </c>
    </row>
    <row r="1063" spans="1:12">
      <c r="A1063" s="142">
        <f>A1031+1</f>
        <v>25</v>
      </c>
      <c r="B1063" s="214" t="str">
        <f>보고서!B1200</f>
        <v>SPC없음</v>
      </c>
      <c r="C1063" s="149"/>
      <c r="D1063" s="149"/>
      <c r="E1063" s="149"/>
      <c r="F1063" s="149"/>
      <c r="H1063" s="149"/>
      <c r="I1063" s="149"/>
      <c r="J1063" s="149"/>
      <c r="K1063" s="149"/>
      <c r="L1063" s="149"/>
    </row>
    <row r="1064" spans="1:12">
      <c r="B1064" s="214" t="str">
        <f>보고서!B1201</f>
        <v>SPC없음</v>
      </c>
      <c r="C1064" s="149"/>
      <c r="D1064" s="149"/>
      <c r="E1064" s="149"/>
      <c r="F1064" s="149"/>
      <c r="H1064" s="149"/>
      <c r="I1064" s="149"/>
      <c r="J1064" s="149"/>
      <c r="K1064" s="149"/>
      <c r="L1064" s="149"/>
    </row>
    <row r="1065" spans="1:12">
      <c r="B1065" s="215" t="s">
        <v>750</v>
      </c>
      <c r="C1065" s="216"/>
      <c r="D1065" s="216"/>
      <c r="E1065" s="216"/>
      <c r="F1065" s="216"/>
      <c r="G1065" s="215" t="s">
        <v>751</v>
      </c>
      <c r="H1065" s="216"/>
      <c r="I1065" s="216"/>
      <c r="J1065" s="149"/>
      <c r="K1065" s="149"/>
      <c r="L1065" s="149"/>
    </row>
    <row r="1066" spans="1:12">
      <c r="B1066" s="173" t="s">
        <v>808</v>
      </c>
      <c r="C1066" s="173" t="s">
        <v>10</v>
      </c>
      <c r="D1066" s="173" t="s">
        <v>236</v>
      </c>
      <c r="E1066" s="173" t="s">
        <v>801</v>
      </c>
      <c r="F1066" s="217"/>
      <c r="G1066" s="173" t="s">
        <v>88</v>
      </c>
      <c r="H1066" s="173" t="s">
        <v>90</v>
      </c>
      <c r="I1066" s="149"/>
      <c r="J1066" s="149"/>
      <c r="K1066" s="149"/>
      <c r="L1066" s="142"/>
    </row>
    <row r="1067" spans="1:12">
      <c r="B1067" s="174" t="s">
        <v>3492</v>
      </c>
      <c r="C1067" s="175">
        <f>보고서!C1204</f>
        <v>0</v>
      </c>
      <c r="D1067" s="175">
        <f>보고서!D1204</f>
        <v>0</v>
      </c>
      <c r="E1067" s="149"/>
      <c r="F1067" s="149"/>
      <c r="G1067" s="176">
        <f>보고서!G1204</f>
        <v>0</v>
      </c>
      <c r="H1067" s="207" t="str">
        <f>보고서!I1204</f>
        <v>SPC 없음</v>
      </c>
      <c r="I1067" s="149"/>
      <c r="J1067" s="149"/>
      <c r="K1067" s="149"/>
      <c r="L1067" s="142"/>
    </row>
    <row r="1068" spans="1:12">
      <c r="B1068" s="176" t="s">
        <v>756</v>
      </c>
      <c r="C1068" s="177">
        <f>보고서!C1205</f>
        <v>0</v>
      </c>
      <c r="D1068" s="177">
        <f>보고서!D1205</f>
        <v>0</v>
      </c>
      <c r="E1068" s="176" t="s">
        <v>810</v>
      </c>
      <c r="F1068" s="149"/>
      <c r="G1068" s="176">
        <f>보고서!G1205</f>
        <v>0</v>
      </c>
      <c r="H1068" s="207" t="str">
        <f>보고서!I1205</f>
        <v>SPC 없음</v>
      </c>
      <c r="I1068" s="149"/>
      <c r="J1068" s="149"/>
      <c r="K1068" s="149"/>
      <c r="L1068" s="142"/>
    </row>
    <row r="1069" spans="1:12">
      <c r="B1069" s="176" t="s">
        <v>757</v>
      </c>
      <c r="C1069" s="177">
        <f>보고서!C1206</f>
        <v>0</v>
      </c>
      <c r="D1069" s="177">
        <f>보고서!D1206</f>
        <v>0</v>
      </c>
      <c r="E1069" s="176" t="s">
        <v>810</v>
      </c>
      <c r="F1069" s="149"/>
      <c r="G1069" s="176">
        <f>보고서!G1206</f>
        <v>0</v>
      </c>
      <c r="H1069" s="207" t="str">
        <f>보고서!I1206</f>
        <v>SPC 없음</v>
      </c>
      <c r="I1069" s="218"/>
      <c r="J1069" s="149"/>
      <c r="K1069" s="149"/>
      <c r="L1069" s="142"/>
    </row>
    <row r="1070" spans="1:12">
      <c r="B1070" s="179" t="s">
        <v>3493</v>
      </c>
      <c r="C1070" s="175">
        <f>보고서!C1207</f>
        <v>0</v>
      </c>
      <c r="D1070" s="175">
        <f>보고서!D1207</f>
        <v>0</v>
      </c>
      <c r="E1070" s="219" t="s">
        <v>821</v>
      </c>
      <c r="F1070" s="191" t="str">
        <f>IF(D1070=H1073+L1087,"투자자산 합계액 일치","투자자산 합계액 불일치")</f>
        <v>투자자산 합계액 일치</v>
      </c>
      <c r="G1070" s="176">
        <f>보고서!G1207</f>
        <v>0</v>
      </c>
      <c r="H1070" s="207" t="str">
        <f>보고서!I1207</f>
        <v>SPC 없음</v>
      </c>
      <c r="I1070" s="218"/>
      <c r="J1070" s="149"/>
      <c r="K1070" s="149"/>
      <c r="L1070" s="142"/>
    </row>
    <row r="1071" spans="1:12">
      <c r="B1071" s="179" t="s">
        <v>848</v>
      </c>
      <c r="C1071" s="175">
        <f>보고서!C1225</f>
        <v>0</v>
      </c>
      <c r="D1071" s="175">
        <f>보고서!D1225</f>
        <v>0</v>
      </c>
      <c r="E1071" s="149"/>
      <c r="F1071" s="149"/>
      <c r="G1071" s="176">
        <f>보고서!G1208</f>
        <v>0</v>
      </c>
      <c r="H1071" s="207" t="str">
        <f>보고서!I1208</f>
        <v>SPC 없음</v>
      </c>
      <c r="I1071" s="218"/>
      <c r="J1071" s="149"/>
      <c r="K1071" s="149"/>
      <c r="L1071" s="142"/>
    </row>
    <row r="1072" spans="1:12" ht="14.25" thickBot="1">
      <c r="B1072" s="180" t="s">
        <v>30</v>
      </c>
      <c r="C1072" s="181">
        <f>보고서!C1226</f>
        <v>0</v>
      </c>
      <c r="D1072" s="181">
        <f>C1072</f>
        <v>0</v>
      </c>
      <c r="E1072" s="182" t="s">
        <v>810</v>
      </c>
      <c r="F1072" s="149"/>
      <c r="G1072" s="182">
        <f>보고서!G1209</f>
        <v>0</v>
      </c>
      <c r="H1072" s="209" t="str">
        <f>보고서!I1209</f>
        <v>SPC 없음</v>
      </c>
      <c r="I1072" s="218"/>
      <c r="J1072" s="149"/>
      <c r="K1072" s="149"/>
      <c r="L1072" s="142"/>
    </row>
    <row r="1073" spans="2:12" ht="14.25" thickTop="1">
      <c r="B1073" s="179" t="s">
        <v>31</v>
      </c>
      <c r="C1073" s="175">
        <f>C1071-C1072</f>
        <v>0</v>
      </c>
      <c r="D1073" s="175">
        <f>D1071-D1072</f>
        <v>0</v>
      </c>
      <c r="E1073" s="149"/>
      <c r="F1073" s="149"/>
      <c r="H1073" s="210">
        <f>SUM(H1067:H1072)</f>
        <v>0</v>
      </c>
      <c r="L1073" s="142"/>
    </row>
    <row r="1074" spans="2:12">
      <c r="B1074" s="184" t="s">
        <v>804</v>
      </c>
      <c r="C1074" s="177">
        <f>보고서!C1228</f>
        <v>0</v>
      </c>
      <c r="D1074" s="177">
        <f>C1074</f>
        <v>0</v>
      </c>
      <c r="E1074" s="149"/>
      <c r="F1074" s="217"/>
      <c r="G1074" s="215" t="s">
        <v>752</v>
      </c>
      <c r="H1074" s="149"/>
      <c r="I1074" s="149"/>
      <c r="J1074" s="149"/>
      <c r="K1074" s="149"/>
      <c r="L1074" s="149"/>
    </row>
    <row r="1075" spans="2:12">
      <c r="B1075" s="184" t="s">
        <v>964</v>
      </c>
      <c r="C1075" s="177">
        <f>보고서!C1229</f>
        <v>0</v>
      </c>
      <c r="D1075" s="177">
        <f>C1075</f>
        <v>0</v>
      </c>
      <c r="E1075" s="149"/>
      <c r="F1075" s="149"/>
      <c r="G1075" s="173" t="s">
        <v>805</v>
      </c>
      <c r="H1075" s="173" t="s">
        <v>1</v>
      </c>
      <c r="I1075" s="173" t="s">
        <v>12</v>
      </c>
      <c r="J1075" s="173" t="s">
        <v>806</v>
      </c>
      <c r="K1075" s="173" t="s">
        <v>3494</v>
      </c>
      <c r="L1075" s="173" t="s">
        <v>3497</v>
      </c>
    </row>
    <row r="1076" spans="2:12">
      <c r="B1076" s="179" t="s">
        <v>842</v>
      </c>
      <c r="C1076" s="175">
        <f>C1073+C1074-C1075</f>
        <v>0</v>
      </c>
      <c r="D1076" s="175">
        <f>D1073+D1074-D1075</f>
        <v>0</v>
      </c>
      <c r="E1076" s="149"/>
      <c r="F1076" s="149"/>
      <c r="G1076" s="176">
        <f>보고서!L1204</f>
        <v>0</v>
      </c>
      <c r="H1076" s="176">
        <f>보고서!M1204</f>
        <v>0</v>
      </c>
      <c r="I1076" s="176">
        <f>보고서!N1204</f>
        <v>0</v>
      </c>
      <c r="J1076" s="208">
        <f>보고서!O1204</f>
        <v>0</v>
      </c>
      <c r="K1076" s="208">
        <f>보고서!P1204</f>
        <v>0</v>
      </c>
      <c r="L1076" s="208">
        <f>보고서!Q1204</f>
        <v>0</v>
      </c>
    </row>
    <row r="1077" spans="2:12" ht="14.25" thickBot="1">
      <c r="B1077" s="182" t="s">
        <v>811</v>
      </c>
      <c r="C1077" s="220">
        <f>보고서!C1231</f>
        <v>0</v>
      </c>
      <c r="D1077" s="220">
        <f>C1077</f>
        <v>0</v>
      </c>
      <c r="E1077" s="221"/>
      <c r="F1077" s="149"/>
      <c r="G1077" s="176">
        <f>보고서!L1205</f>
        <v>0</v>
      </c>
      <c r="H1077" s="176">
        <f>보고서!M1205</f>
        <v>0</v>
      </c>
      <c r="I1077" s="176">
        <f>보고서!N1205</f>
        <v>0</v>
      </c>
      <c r="J1077" s="208">
        <f>보고서!O1205</f>
        <v>0</v>
      </c>
      <c r="K1077" s="208">
        <f>보고서!P1205</f>
        <v>0</v>
      </c>
      <c r="L1077" s="208">
        <f>보고서!Q1205</f>
        <v>0</v>
      </c>
    </row>
    <row r="1078" spans="2:12" ht="14.25" thickTop="1">
      <c r="B1078" s="222" t="s">
        <v>746</v>
      </c>
      <c r="C1078" s="175">
        <f>C1076*C1077</f>
        <v>0</v>
      </c>
      <c r="D1078" s="175">
        <f>D1076*D1077</f>
        <v>0</v>
      </c>
      <c r="E1078" s="149"/>
      <c r="F1078" s="149"/>
      <c r="G1078" s="176">
        <f>보고서!L1206</f>
        <v>0</v>
      </c>
      <c r="H1078" s="176">
        <f>보고서!M1206</f>
        <v>0</v>
      </c>
      <c r="I1078" s="176">
        <f>보고서!N1206</f>
        <v>0</v>
      </c>
      <c r="J1078" s="208">
        <f>보고서!O1206</f>
        <v>0</v>
      </c>
      <c r="K1078" s="208">
        <f>보고서!P1206</f>
        <v>0</v>
      </c>
      <c r="L1078" s="208">
        <f>보고서!Q1206</f>
        <v>0</v>
      </c>
    </row>
    <row r="1079" spans="2:12">
      <c r="B1079" s="149"/>
      <c r="C1079" s="149"/>
      <c r="D1079" s="149"/>
      <c r="E1079" s="149"/>
      <c r="F1079" s="149"/>
      <c r="G1079" s="176">
        <f>보고서!L1207</f>
        <v>0</v>
      </c>
      <c r="H1079" s="176">
        <f>보고서!M1207</f>
        <v>0</v>
      </c>
      <c r="I1079" s="176">
        <f>보고서!N1207</f>
        <v>0</v>
      </c>
      <c r="J1079" s="208">
        <f>보고서!O1207</f>
        <v>0</v>
      </c>
      <c r="K1079" s="208">
        <f>보고서!P1207</f>
        <v>0</v>
      </c>
      <c r="L1079" s="208">
        <f>보고서!Q1207</f>
        <v>0</v>
      </c>
    </row>
    <row r="1080" spans="2:12">
      <c r="B1080" s="168" t="s">
        <v>38</v>
      </c>
      <c r="C1080" s="191" t="b">
        <f>ROUND(C1068+C1069+C1070-C1072+C1074-C1075,0)=ROUND(C1076,0)</f>
        <v>1</v>
      </c>
      <c r="D1080" s="191" t="b">
        <f>ROUND(D1068+D1069+D1070-D1072+D1074-D1075,0)=ROUND(D1076,0)</f>
        <v>1</v>
      </c>
      <c r="E1080" s="149"/>
      <c r="F1080" s="149"/>
      <c r="G1080" s="176">
        <f>보고서!L1208</f>
        <v>0</v>
      </c>
      <c r="H1080" s="176">
        <f>보고서!M1208</f>
        <v>0</v>
      </c>
      <c r="I1080" s="176">
        <f>보고서!N1208</f>
        <v>0</v>
      </c>
      <c r="J1080" s="208">
        <f>보고서!O1208</f>
        <v>0</v>
      </c>
      <c r="K1080" s="208">
        <f>보고서!P1208</f>
        <v>0</v>
      </c>
      <c r="L1080" s="208">
        <f>보고서!Q1208</f>
        <v>0</v>
      </c>
    </row>
    <row r="1081" spans="2:12">
      <c r="B1081" s="149"/>
      <c r="C1081" s="149"/>
      <c r="D1081" s="149"/>
      <c r="E1081" s="149"/>
      <c r="F1081" s="149"/>
      <c r="G1081" s="176">
        <f>보고서!L1209</f>
        <v>0</v>
      </c>
      <c r="H1081" s="176">
        <f>보고서!M1209</f>
        <v>0</v>
      </c>
      <c r="I1081" s="176">
        <f>보고서!N1209</f>
        <v>0</v>
      </c>
      <c r="J1081" s="208">
        <f>보고서!O1209</f>
        <v>0</v>
      </c>
      <c r="K1081" s="208">
        <f>보고서!P1209</f>
        <v>0</v>
      </c>
      <c r="L1081" s="208">
        <f>보고서!Q1209</f>
        <v>0</v>
      </c>
    </row>
    <row r="1082" spans="2:12">
      <c r="B1082" s="865" t="str">
        <f>IF(B1063="SPC없음","해당사항 없음",B1094)</f>
        <v>해당사항 없음</v>
      </c>
      <c r="C1082" s="866"/>
      <c r="D1082" s="866"/>
      <c r="E1082" s="867"/>
      <c r="F1082" s="149"/>
      <c r="G1082" s="176">
        <f>보고서!L1210</f>
        <v>0</v>
      </c>
      <c r="H1082" s="176">
        <f>보고서!M1210</f>
        <v>0</v>
      </c>
      <c r="I1082" s="176">
        <f>보고서!N1210</f>
        <v>0</v>
      </c>
      <c r="J1082" s="208">
        <f>보고서!O1210</f>
        <v>0</v>
      </c>
      <c r="K1082" s="208">
        <f>보고서!P1210</f>
        <v>0</v>
      </c>
      <c r="L1082" s="208">
        <f>보고서!Q1210</f>
        <v>0</v>
      </c>
    </row>
    <row r="1083" spans="2:12">
      <c r="B1083" s="868"/>
      <c r="C1083" s="869"/>
      <c r="D1083" s="869"/>
      <c r="E1083" s="870"/>
      <c r="F1083" s="149"/>
      <c r="G1083" s="176">
        <f>보고서!L1211</f>
        <v>0</v>
      </c>
      <c r="H1083" s="176">
        <f>보고서!M1211</f>
        <v>0</v>
      </c>
      <c r="I1083" s="176">
        <f>보고서!N1211</f>
        <v>0</v>
      </c>
      <c r="J1083" s="208">
        <f>보고서!O1211</f>
        <v>0</v>
      </c>
      <c r="K1083" s="208">
        <f>보고서!P1211</f>
        <v>0</v>
      </c>
      <c r="L1083" s="208">
        <f>보고서!Q1211</f>
        <v>0</v>
      </c>
    </row>
    <row r="1084" spans="2:12">
      <c r="B1084" s="868"/>
      <c r="C1084" s="869"/>
      <c r="D1084" s="869"/>
      <c r="E1084" s="870"/>
      <c r="F1084" s="149"/>
      <c r="G1084" s="176">
        <f>보고서!L1212</f>
        <v>0</v>
      </c>
      <c r="H1084" s="176">
        <f>보고서!M1212</f>
        <v>0</v>
      </c>
      <c r="I1084" s="176">
        <f>보고서!N1212</f>
        <v>0</v>
      </c>
      <c r="J1084" s="208">
        <f>보고서!O1212</f>
        <v>0</v>
      </c>
      <c r="K1084" s="208">
        <f>보고서!P1212</f>
        <v>0</v>
      </c>
      <c r="L1084" s="208">
        <f>보고서!Q1212</f>
        <v>0</v>
      </c>
    </row>
    <row r="1085" spans="2:12">
      <c r="B1085" s="868"/>
      <c r="C1085" s="869"/>
      <c r="D1085" s="869"/>
      <c r="E1085" s="870"/>
      <c r="F1085" s="149"/>
      <c r="G1085" s="176">
        <f>보고서!L1213</f>
        <v>0</v>
      </c>
      <c r="H1085" s="176">
        <f>보고서!M1213</f>
        <v>0</v>
      </c>
      <c r="I1085" s="176">
        <f>보고서!N1213</f>
        <v>0</v>
      </c>
      <c r="J1085" s="208">
        <f>보고서!O1213</f>
        <v>0</v>
      </c>
      <c r="K1085" s="208">
        <f>보고서!P1213</f>
        <v>0</v>
      </c>
      <c r="L1085" s="208">
        <f>보고서!Q1213</f>
        <v>0</v>
      </c>
    </row>
    <row r="1086" spans="2:12" ht="14.25" thickBot="1">
      <c r="B1086" s="868"/>
      <c r="C1086" s="869"/>
      <c r="D1086" s="869"/>
      <c r="E1086" s="870"/>
      <c r="F1086" s="149"/>
      <c r="G1086" s="182">
        <f>보고서!L1214</f>
        <v>0</v>
      </c>
      <c r="H1086" s="182">
        <f>보고서!M1214</f>
        <v>0</v>
      </c>
      <c r="I1086" s="182">
        <f>보고서!N1214</f>
        <v>0</v>
      </c>
      <c r="J1086" s="212">
        <f>보고서!O1214</f>
        <v>0</v>
      </c>
      <c r="K1086" s="212">
        <f>보고서!P1214</f>
        <v>0</v>
      </c>
      <c r="L1086" s="212">
        <f>보고서!Q1214</f>
        <v>0</v>
      </c>
    </row>
    <row r="1087" spans="2:12" ht="14.25" thickTop="1">
      <c r="B1087" s="868"/>
      <c r="C1087" s="869"/>
      <c r="D1087" s="869"/>
      <c r="E1087" s="870"/>
      <c r="G1087" s="908" t="s">
        <v>3496</v>
      </c>
      <c r="H1087" s="908"/>
      <c r="I1087" s="908"/>
      <c r="J1087" s="908"/>
      <c r="K1087" s="223">
        <f>SUM(K1076:K1086)</f>
        <v>0</v>
      </c>
      <c r="L1087" s="223">
        <f>SUM(L1076:L1086)</f>
        <v>0</v>
      </c>
    </row>
    <row r="1088" spans="2:12">
      <c r="B1088" s="868"/>
      <c r="C1088" s="869"/>
      <c r="D1088" s="869"/>
      <c r="E1088" s="870"/>
    </row>
    <row r="1089" spans="1:12">
      <c r="B1089" s="868"/>
      <c r="C1089" s="869"/>
      <c r="D1089" s="869"/>
      <c r="E1089" s="870"/>
    </row>
    <row r="1090" spans="1:12">
      <c r="B1090" s="868"/>
      <c r="C1090" s="869"/>
      <c r="D1090" s="869"/>
      <c r="E1090" s="870"/>
    </row>
    <row r="1091" spans="1:12">
      <c r="B1091" s="868"/>
      <c r="C1091" s="869"/>
      <c r="D1091" s="869"/>
      <c r="E1091" s="870"/>
    </row>
    <row r="1092" spans="1:12">
      <c r="B1092" s="868"/>
      <c r="C1092" s="869"/>
      <c r="D1092" s="869"/>
      <c r="E1092" s="870"/>
    </row>
    <row r="1093" spans="1:12">
      <c r="B1093" s="871"/>
      <c r="C1093" s="872"/>
      <c r="D1093" s="872"/>
      <c r="E1093" s="873"/>
    </row>
    <row r="1094" spans="1:12">
      <c r="B1094" s="224" t="s">
        <v>857</v>
      </c>
    </row>
    <row r="1095" spans="1:12">
      <c r="A1095" s="142">
        <f>A1063+1</f>
        <v>26</v>
      </c>
      <c r="B1095" s="214" t="str">
        <f>보고서!B1238</f>
        <v>SPC없음</v>
      </c>
      <c r="C1095" s="149"/>
      <c r="D1095" s="149"/>
      <c r="E1095" s="149"/>
      <c r="F1095" s="149"/>
      <c r="H1095" s="149"/>
      <c r="I1095" s="149"/>
      <c r="J1095" s="149"/>
      <c r="K1095" s="149"/>
      <c r="L1095" s="149"/>
    </row>
    <row r="1096" spans="1:12">
      <c r="B1096" s="214" t="str">
        <f>보고서!B1239</f>
        <v>SPC없음</v>
      </c>
      <c r="C1096" s="149"/>
      <c r="D1096" s="149"/>
      <c r="E1096" s="149"/>
      <c r="F1096" s="149"/>
      <c r="H1096" s="149"/>
      <c r="I1096" s="149"/>
      <c r="J1096" s="149"/>
      <c r="K1096" s="149"/>
      <c r="L1096" s="149"/>
    </row>
    <row r="1097" spans="1:12">
      <c r="B1097" s="215" t="s">
        <v>750</v>
      </c>
      <c r="C1097" s="216"/>
      <c r="D1097" s="216"/>
      <c r="E1097" s="216"/>
      <c r="F1097" s="216"/>
      <c r="G1097" s="215" t="s">
        <v>751</v>
      </c>
      <c r="H1097" s="216"/>
      <c r="I1097" s="216"/>
      <c r="J1097" s="149"/>
      <c r="K1097" s="149"/>
      <c r="L1097" s="149"/>
    </row>
    <row r="1098" spans="1:12">
      <c r="B1098" s="173" t="s">
        <v>808</v>
      </c>
      <c r="C1098" s="173" t="s">
        <v>10</v>
      </c>
      <c r="D1098" s="173" t="s">
        <v>236</v>
      </c>
      <c r="E1098" s="173" t="s">
        <v>801</v>
      </c>
      <c r="F1098" s="217"/>
      <c r="G1098" s="173" t="s">
        <v>88</v>
      </c>
      <c r="H1098" s="173" t="s">
        <v>90</v>
      </c>
      <c r="I1098" s="149"/>
      <c r="J1098" s="149"/>
      <c r="K1098" s="149"/>
      <c r="L1098" s="142"/>
    </row>
    <row r="1099" spans="1:12">
      <c r="B1099" s="174" t="s">
        <v>3492</v>
      </c>
      <c r="C1099" s="175">
        <f>보고서!C1242</f>
        <v>0</v>
      </c>
      <c r="D1099" s="175">
        <f>보고서!D1242</f>
        <v>0</v>
      </c>
      <c r="E1099" s="149"/>
      <c r="F1099" s="149"/>
      <c r="G1099" s="176">
        <f>보고서!G1242</f>
        <v>0</v>
      </c>
      <c r="H1099" s="207" t="str">
        <f>보고서!I1242</f>
        <v>SPC 없음</v>
      </c>
      <c r="I1099" s="149"/>
      <c r="J1099" s="149"/>
      <c r="K1099" s="149"/>
      <c r="L1099" s="142"/>
    </row>
    <row r="1100" spans="1:12">
      <c r="B1100" s="176" t="s">
        <v>756</v>
      </c>
      <c r="C1100" s="177">
        <f>보고서!C1243</f>
        <v>0</v>
      </c>
      <c r="D1100" s="177">
        <f>보고서!D1243</f>
        <v>0</v>
      </c>
      <c r="E1100" s="176" t="s">
        <v>810</v>
      </c>
      <c r="F1100" s="149"/>
      <c r="G1100" s="176">
        <f>보고서!G1243</f>
        <v>0</v>
      </c>
      <c r="H1100" s="207" t="str">
        <f>보고서!I1243</f>
        <v>SPC 없음</v>
      </c>
      <c r="I1100" s="149"/>
      <c r="J1100" s="149"/>
      <c r="K1100" s="149"/>
      <c r="L1100" s="142"/>
    </row>
    <row r="1101" spans="1:12">
      <c r="B1101" s="176" t="s">
        <v>757</v>
      </c>
      <c r="C1101" s="177">
        <f>보고서!C1244</f>
        <v>0</v>
      </c>
      <c r="D1101" s="177">
        <f>보고서!D1244</f>
        <v>0</v>
      </c>
      <c r="E1101" s="176" t="s">
        <v>810</v>
      </c>
      <c r="F1101" s="149"/>
      <c r="G1101" s="176">
        <f>보고서!G1244</f>
        <v>0</v>
      </c>
      <c r="H1101" s="207" t="str">
        <f>보고서!I1244</f>
        <v>SPC 없음</v>
      </c>
      <c r="I1101" s="218"/>
      <c r="J1101" s="149"/>
      <c r="K1101" s="149"/>
      <c r="L1101" s="142"/>
    </row>
    <row r="1102" spans="1:12">
      <c r="B1102" s="179" t="s">
        <v>3493</v>
      </c>
      <c r="C1102" s="175">
        <f>보고서!C1245</f>
        <v>0</v>
      </c>
      <c r="D1102" s="175">
        <f>보고서!D1245</f>
        <v>0</v>
      </c>
      <c r="E1102" s="219" t="s">
        <v>821</v>
      </c>
      <c r="F1102" s="191" t="str">
        <f>IF(D1102=H1105+L1119,"투자자산 합계액 일치","투자자산 합계액 불일치")</f>
        <v>투자자산 합계액 일치</v>
      </c>
      <c r="G1102" s="176">
        <f>보고서!G1245</f>
        <v>0</v>
      </c>
      <c r="H1102" s="207" t="str">
        <f>보고서!I1245</f>
        <v>SPC 없음</v>
      </c>
      <c r="I1102" s="218"/>
      <c r="J1102" s="149"/>
      <c r="K1102" s="149"/>
      <c r="L1102" s="142"/>
    </row>
    <row r="1103" spans="1:12">
      <c r="B1103" s="179" t="s">
        <v>848</v>
      </c>
      <c r="C1103" s="175">
        <f>보고서!C1263</f>
        <v>0</v>
      </c>
      <c r="D1103" s="175">
        <f>보고서!D1263</f>
        <v>0</v>
      </c>
      <c r="E1103" s="149"/>
      <c r="F1103" s="149"/>
      <c r="G1103" s="176">
        <f>보고서!G1246</f>
        <v>0</v>
      </c>
      <c r="H1103" s="207" t="str">
        <f>보고서!I1246</f>
        <v>SPC 없음</v>
      </c>
      <c r="I1103" s="218"/>
      <c r="J1103" s="149"/>
      <c r="K1103" s="149"/>
      <c r="L1103" s="142"/>
    </row>
    <row r="1104" spans="1:12" ht="14.25" thickBot="1">
      <c r="B1104" s="180" t="s">
        <v>30</v>
      </c>
      <c r="C1104" s="181">
        <f>보고서!C1264</f>
        <v>0</v>
      </c>
      <c r="D1104" s="181">
        <f>C1104</f>
        <v>0</v>
      </c>
      <c r="E1104" s="182" t="s">
        <v>810</v>
      </c>
      <c r="F1104" s="149"/>
      <c r="G1104" s="182">
        <f>보고서!G1247</f>
        <v>0</v>
      </c>
      <c r="H1104" s="209" t="str">
        <f>보고서!I1247</f>
        <v>SPC 없음</v>
      </c>
      <c r="I1104" s="218"/>
      <c r="J1104" s="149"/>
      <c r="K1104" s="149"/>
      <c r="L1104" s="142"/>
    </row>
    <row r="1105" spans="2:12" ht="14.25" thickTop="1">
      <c r="B1105" s="179" t="s">
        <v>31</v>
      </c>
      <c r="C1105" s="175">
        <f>C1103-C1104</f>
        <v>0</v>
      </c>
      <c r="D1105" s="175">
        <f>D1103-D1104</f>
        <v>0</v>
      </c>
      <c r="E1105" s="149"/>
      <c r="F1105" s="149"/>
      <c r="H1105" s="210">
        <f>SUM(H1099:H1104)</f>
        <v>0</v>
      </c>
      <c r="L1105" s="142"/>
    </row>
    <row r="1106" spans="2:12">
      <c r="B1106" s="184" t="s">
        <v>804</v>
      </c>
      <c r="C1106" s="177">
        <f>보고서!C1266</f>
        <v>0</v>
      </c>
      <c r="D1106" s="177">
        <f>C1106</f>
        <v>0</v>
      </c>
      <c r="E1106" s="149"/>
      <c r="F1106" s="217"/>
      <c r="G1106" s="215" t="s">
        <v>752</v>
      </c>
      <c r="H1106" s="149"/>
      <c r="I1106" s="149"/>
      <c r="J1106" s="149"/>
      <c r="K1106" s="149"/>
      <c r="L1106" s="149"/>
    </row>
    <row r="1107" spans="2:12">
      <c r="B1107" s="184" t="s">
        <v>964</v>
      </c>
      <c r="C1107" s="177">
        <f>보고서!C1267</f>
        <v>0</v>
      </c>
      <c r="D1107" s="177">
        <f>C1107</f>
        <v>0</v>
      </c>
      <c r="E1107" s="149"/>
      <c r="F1107" s="149"/>
      <c r="G1107" s="173" t="s">
        <v>805</v>
      </c>
      <c r="H1107" s="173" t="s">
        <v>1</v>
      </c>
      <c r="I1107" s="173" t="s">
        <v>12</v>
      </c>
      <c r="J1107" s="173" t="s">
        <v>806</v>
      </c>
      <c r="K1107" s="173" t="s">
        <v>3494</v>
      </c>
      <c r="L1107" s="173" t="s">
        <v>3497</v>
      </c>
    </row>
    <row r="1108" spans="2:12">
      <c r="B1108" s="179" t="s">
        <v>842</v>
      </c>
      <c r="C1108" s="175">
        <f>C1105+C1106-C1107</f>
        <v>0</v>
      </c>
      <c r="D1108" s="175">
        <f>D1105+D1106-D1107</f>
        <v>0</v>
      </c>
      <c r="E1108" s="149"/>
      <c r="F1108" s="149"/>
      <c r="G1108" s="176">
        <f>보고서!L1242</f>
        <v>0</v>
      </c>
      <c r="H1108" s="176">
        <f>보고서!M1242</f>
        <v>0</v>
      </c>
      <c r="I1108" s="176">
        <f>보고서!N1242</f>
        <v>0</v>
      </c>
      <c r="J1108" s="208">
        <f>보고서!O1242</f>
        <v>0</v>
      </c>
      <c r="K1108" s="208">
        <f>보고서!P1242</f>
        <v>0</v>
      </c>
      <c r="L1108" s="208">
        <f>보고서!Q1242</f>
        <v>0</v>
      </c>
    </row>
    <row r="1109" spans="2:12" ht="14.25" thickBot="1">
      <c r="B1109" s="182" t="s">
        <v>811</v>
      </c>
      <c r="C1109" s="220">
        <f>보고서!C1269</f>
        <v>0</v>
      </c>
      <c r="D1109" s="220">
        <f>C1109</f>
        <v>0</v>
      </c>
      <c r="E1109" s="221"/>
      <c r="F1109" s="149"/>
      <c r="G1109" s="176">
        <f>보고서!L1243</f>
        <v>0</v>
      </c>
      <c r="H1109" s="176">
        <f>보고서!M1243</f>
        <v>0</v>
      </c>
      <c r="I1109" s="176">
        <f>보고서!N1243</f>
        <v>0</v>
      </c>
      <c r="J1109" s="208">
        <f>보고서!O1243</f>
        <v>0</v>
      </c>
      <c r="K1109" s="208">
        <f>보고서!P1243</f>
        <v>0</v>
      </c>
      <c r="L1109" s="208">
        <f>보고서!Q1243</f>
        <v>0</v>
      </c>
    </row>
    <row r="1110" spans="2:12" ht="14.25" thickTop="1">
      <c r="B1110" s="222" t="s">
        <v>746</v>
      </c>
      <c r="C1110" s="175">
        <f>C1108*C1109</f>
        <v>0</v>
      </c>
      <c r="D1110" s="175">
        <f>D1108*D1109</f>
        <v>0</v>
      </c>
      <c r="E1110" s="149"/>
      <c r="F1110" s="149"/>
      <c r="G1110" s="176">
        <f>보고서!L1244</f>
        <v>0</v>
      </c>
      <c r="H1110" s="176">
        <f>보고서!M1244</f>
        <v>0</v>
      </c>
      <c r="I1110" s="176">
        <f>보고서!N1244</f>
        <v>0</v>
      </c>
      <c r="J1110" s="208">
        <f>보고서!O1244</f>
        <v>0</v>
      </c>
      <c r="K1110" s="208">
        <f>보고서!P1244</f>
        <v>0</v>
      </c>
      <c r="L1110" s="208">
        <f>보고서!Q1244</f>
        <v>0</v>
      </c>
    </row>
    <row r="1111" spans="2:12">
      <c r="B1111" s="149"/>
      <c r="C1111" s="149"/>
      <c r="D1111" s="149"/>
      <c r="E1111" s="149"/>
      <c r="F1111" s="149"/>
      <c r="G1111" s="176">
        <f>보고서!L1245</f>
        <v>0</v>
      </c>
      <c r="H1111" s="176">
        <f>보고서!M1245</f>
        <v>0</v>
      </c>
      <c r="I1111" s="176">
        <f>보고서!N1245</f>
        <v>0</v>
      </c>
      <c r="J1111" s="208">
        <f>보고서!O1245</f>
        <v>0</v>
      </c>
      <c r="K1111" s="208">
        <f>보고서!P1245</f>
        <v>0</v>
      </c>
      <c r="L1111" s="208">
        <f>보고서!Q1245</f>
        <v>0</v>
      </c>
    </row>
    <row r="1112" spans="2:12">
      <c r="B1112" s="168" t="s">
        <v>38</v>
      </c>
      <c r="C1112" s="191" t="b">
        <f>ROUND(C1100+C1101+C1102-C1104+C1106-C1107,0)=ROUND(C1108,0)</f>
        <v>1</v>
      </c>
      <c r="D1112" s="191" t="b">
        <f>ROUND(D1100+D1101+D1102-D1104+D1106-D1107,0)=ROUND(D1108,0)</f>
        <v>1</v>
      </c>
      <c r="E1112" s="149"/>
      <c r="F1112" s="149"/>
      <c r="G1112" s="176">
        <f>보고서!L1246</f>
        <v>0</v>
      </c>
      <c r="H1112" s="176">
        <f>보고서!M1246</f>
        <v>0</v>
      </c>
      <c r="I1112" s="176">
        <f>보고서!N1246</f>
        <v>0</v>
      </c>
      <c r="J1112" s="208">
        <f>보고서!O1246</f>
        <v>0</v>
      </c>
      <c r="K1112" s="208">
        <f>보고서!P1246</f>
        <v>0</v>
      </c>
      <c r="L1112" s="208">
        <f>보고서!Q1246</f>
        <v>0</v>
      </c>
    </row>
    <row r="1113" spans="2:12">
      <c r="B1113" s="149"/>
      <c r="C1113" s="149"/>
      <c r="D1113" s="149"/>
      <c r="E1113" s="149"/>
      <c r="F1113" s="149"/>
      <c r="G1113" s="176">
        <f>보고서!L1247</f>
        <v>0</v>
      </c>
      <c r="H1113" s="176">
        <f>보고서!M1247</f>
        <v>0</v>
      </c>
      <c r="I1113" s="176">
        <f>보고서!N1247</f>
        <v>0</v>
      </c>
      <c r="J1113" s="208">
        <f>보고서!O1247</f>
        <v>0</v>
      </c>
      <c r="K1113" s="208">
        <f>보고서!P1247</f>
        <v>0</v>
      </c>
      <c r="L1113" s="208">
        <f>보고서!Q1247</f>
        <v>0</v>
      </c>
    </row>
    <row r="1114" spans="2:12">
      <c r="B1114" s="865" t="str">
        <f>IF(B1095="SPC없음","해당사항 없음",B1126)</f>
        <v>해당사항 없음</v>
      </c>
      <c r="C1114" s="866"/>
      <c r="D1114" s="866"/>
      <c r="E1114" s="867"/>
      <c r="F1114" s="149"/>
      <c r="G1114" s="176">
        <f>보고서!L1248</f>
        <v>0</v>
      </c>
      <c r="H1114" s="176">
        <f>보고서!M1248</f>
        <v>0</v>
      </c>
      <c r="I1114" s="176">
        <f>보고서!N1248</f>
        <v>0</v>
      </c>
      <c r="J1114" s="208">
        <f>보고서!O1248</f>
        <v>0</v>
      </c>
      <c r="K1114" s="208">
        <f>보고서!P1248</f>
        <v>0</v>
      </c>
      <c r="L1114" s="208">
        <f>보고서!Q1248</f>
        <v>0</v>
      </c>
    </row>
    <row r="1115" spans="2:12">
      <c r="B1115" s="868"/>
      <c r="C1115" s="869"/>
      <c r="D1115" s="869"/>
      <c r="E1115" s="870"/>
      <c r="F1115" s="149"/>
      <c r="G1115" s="176">
        <f>보고서!L1249</f>
        <v>0</v>
      </c>
      <c r="H1115" s="176">
        <f>보고서!M1249</f>
        <v>0</v>
      </c>
      <c r="I1115" s="176">
        <f>보고서!N1249</f>
        <v>0</v>
      </c>
      <c r="J1115" s="208">
        <f>보고서!O1249</f>
        <v>0</v>
      </c>
      <c r="K1115" s="208">
        <f>보고서!P1249</f>
        <v>0</v>
      </c>
      <c r="L1115" s="208">
        <f>보고서!Q1249</f>
        <v>0</v>
      </c>
    </row>
    <row r="1116" spans="2:12">
      <c r="B1116" s="868"/>
      <c r="C1116" s="869"/>
      <c r="D1116" s="869"/>
      <c r="E1116" s="870"/>
      <c r="F1116" s="149"/>
      <c r="G1116" s="176">
        <f>보고서!L1250</f>
        <v>0</v>
      </c>
      <c r="H1116" s="176">
        <f>보고서!M1250</f>
        <v>0</v>
      </c>
      <c r="I1116" s="176">
        <f>보고서!N1250</f>
        <v>0</v>
      </c>
      <c r="J1116" s="208">
        <f>보고서!O1250</f>
        <v>0</v>
      </c>
      <c r="K1116" s="208">
        <f>보고서!P1250</f>
        <v>0</v>
      </c>
      <c r="L1116" s="208">
        <f>보고서!Q1250</f>
        <v>0</v>
      </c>
    </row>
    <row r="1117" spans="2:12">
      <c r="B1117" s="868"/>
      <c r="C1117" s="869"/>
      <c r="D1117" s="869"/>
      <c r="E1117" s="870"/>
      <c r="F1117" s="149"/>
      <c r="G1117" s="176">
        <f>보고서!L1251</f>
        <v>0</v>
      </c>
      <c r="H1117" s="176">
        <f>보고서!M1251</f>
        <v>0</v>
      </c>
      <c r="I1117" s="176">
        <f>보고서!N1251</f>
        <v>0</v>
      </c>
      <c r="J1117" s="208">
        <f>보고서!O1251</f>
        <v>0</v>
      </c>
      <c r="K1117" s="208">
        <f>보고서!P1251</f>
        <v>0</v>
      </c>
      <c r="L1117" s="208">
        <f>보고서!Q1251</f>
        <v>0</v>
      </c>
    </row>
    <row r="1118" spans="2:12" ht="14.25" thickBot="1">
      <c r="B1118" s="868"/>
      <c r="C1118" s="869"/>
      <c r="D1118" s="869"/>
      <c r="E1118" s="870"/>
      <c r="F1118" s="149"/>
      <c r="G1118" s="182">
        <f>보고서!L1252</f>
        <v>0</v>
      </c>
      <c r="H1118" s="182">
        <f>보고서!M1252</f>
        <v>0</v>
      </c>
      <c r="I1118" s="182">
        <f>보고서!N1252</f>
        <v>0</v>
      </c>
      <c r="J1118" s="212">
        <f>보고서!O1252</f>
        <v>0</v>
      </c>
      <c r="K1118" s="212">
        <f>보고서!P1252</f>
        <v>0</v>
      </c>
      <c r="L1118" s="212">
        <f>보고서!Q1252</f>
        <v>0</v>
      </c>
    </row>
    <row r="1119" spans="2:12" ht="14.25" thickTop="1">
      <c r="B1119" s="868"/>
      <c r="C1119" s="869"/>
      <c r="D1119" s="869"/>
      <c r="E1119" s="870"/>
      <c r="G1119" s="908" t="s">
        <v>3496</v>
      </c>
      <c r="H1119" s="908"/>
      <c r="I1119" s="908"/>
      <c r="J1119" s="908"/>
      <c r="K1119" s="223">
        <f>SUM(K1108:K1118)</f>
        <v>0</v>
      </c>
      <c r="L1119" s="223">
        <f>SUM(L1108:L1118)</f>
        <v>0</v>
      </c>
    </row>
    <row r="1120" spans="2:12">
      <c r="B1120" s="868"/>
      <c r="C1120" s="869"/>
      <c r="D1120" s="869"/>
      <c r="E1120" s="870"/>
    </row>
    <row r="1121" spans="1:12">
      <c r="B1121" s="868"/>
      <c r="C1121" s="869"/>
      <c r="D1121" s="869"/>
      <c r="E1121" s="870"/>
    </row>
    <row r="1122" spans="1:12">
      <c r="B1122" s="868"/>
      <c r="C1122" s="869"/>
      <c r="D1122" s="869"/>
      <c r="E1122" s="870"/>
    </row>
    <row r="1123" spans="1:12">
      <c r="B1123" s="868"/>
      <c r="C1123" s="869"/>
      <c r="D1123" s="869"/>
      <c r="E1123" s="870"/>
    </row>
    <row r="1124" spans="1:12">
      <c r="B1124" s="868"/>
      <c r="C1124" s="869"/>
      <c r="D1124" s="869"/>
      <c r="E1124" s="870"/>
    </row>
    <row r="1125" spans="1:12">
      <c r="B1125" s="871"/>
      <c r="C1125" s="872"/>
      <c r="D1125" s="872"/>
      <c r="E1125" s="873"/>
    </row>
    <row r="1126" spans="1:12">
      <c r="B1126" s="224" t="s">
        <v>857</v>
      </c>
    </row>
    <row r="1127" spans="1:12">
      <c r="A1127" s="142">
        <f>A1095+1</f>
        <v>27</v>
      </c>
      <c r="B1127" s="214" t="str">
        <f>보고서!B1276</f>
        <v>SPC없음</v>
      </c>
      <c r="C1127" s="149"/>
      <c r="D1127" s="149"/>
      <c r="E1127" s="149"/>
      <c r="F1127" s="149"/>
      <c r="H1127" s="149"/>
      <c r="I1127" s="149"/>
      <c r="J1127" s="149"/>
      <c r="K1127" s="149"/>
      <c r="L1127" s="149"/>
    </row>
    <row r="1128" spans="1:12">
      <c r="B1128" s="214" t="str">
        <f>보고서!B1277</f>
        <v>SPC없음</v>
      </c>
      <c r="C1128" s="149"/>
      <c r="D1128" s="149"/>
      <c r="E1128" s="149"/>
      <c r="F1128" s="149"/>
      <c r="H1128" s="149"/>
      <c r="I1128" s="149"/>
      <c r="J1128" s="149"/>
      <c r="K1128" s="149"/>
      <c r="L1128" s="149"/>
    </row>
    <row r="1129" spans="1:12">
      <c r="B1129" s="215" t="s">
        <v>750</v>
      </c>
      <c r="C1129" s="216"/>
      <c r="D1129" s="216"/>
      <c r="E1129" s="216"/>
      <c r="F1129" s="216"/>
      <c r="G1129" s="215" t="s">
        <v>751</v>
      </c>
      <c r="H1129" s="216"/>
      <c r="I1129" s="216"/>
      <c r="J1129" s="149"/>
      <c r="K1129" s="149"/>
      <c r="L1129" s="149"/>
    </row>
    <row r="1130" spans="1:12">
      <c r="B1130" s="173" t="s">
        <v>808</v>
      </c>
      <c r="C1130" s="173" t="s">
        <v>10</v>
      </c>
      <c r="D1130" s="173" t="s">
        <v>236</v>
      </c>
      <c r="E1130" s="173" t="s">
        <v>801</v>
      </c>
      <c r="F1130" s="217"/>
      <c r="G1130" s="173" t="s">
        <v>88</v>
      </c>
      <c r="H1130" s="173" t="s">
        <v>90</v>
      </c>
      <c r="I1130" s="149"/>
      <c r="J1130" s="149"/>
      <c r="K1130" s="149"/>
      <c r="L1130" s="142"/>
    </row>
    <row r="1131" spans="1:12">
      <c r="B1131" s="174" t="s">
        <v>3492</v>
      </c>
      <c r="C1131" s="175">
        <f>보고서!C1280</f>
        <v>0</v>
      </c>
      <c r="D1131" s="175">
        <f>보고서!D1280</f>
        <v>0</v>
      </c>
      <c r="E1131" s="149"/>
      <c r="F1131" s="149"/>
      <c r="G1131" s="176">
        <f>보고서!G1280</f>
        <v>0</v>
      </c>
      <c r="H1131" s="207" t="str">
        <f>보고서!I1280</f>
        <v>SPC 없음</v>
      </c>
      <c r="I1131" s="149"/>
      <c r="J1131" s="149"/>
      <c r="K1131" s="149"/>
      <c r="L1131" s="142"/>
    </row>
    <row r="1132" spans="1:12">
      <c r="B1132" s="176" t="s">
        <v>756</v>
      </c>
      <c r="C1132" s="177">
        <f>보고서!C1281</f>
        <v>0</v>
      </c>
      <c r="D1132" s="177">
        <f>보고서!D1281</f>
        <v>0</v>
      </c>
      <c r="E1132" s="176" t="s">
        <v>810</v>
      </c>
      <c r="F1132" s="149"/>
      <c r="G1132" s="176">
        <f>보고서!G1281</f>
        <v>0</v>
      </c>
      <c r="H1132" s="207" t="str">
        <f>보고서!I1281</f>
        <v>SPC 없음</v>
      </c>
      <c r="I1132" s="149"/>
      <c r="J1132" s="149"/>
      <c r="K1132" s="149"/>
      <c r="L1132" s="142"/>
    </row>
    <row r="1133" spans="1:12">
      <c r="B1133" s="176" t="s">
        <v>757</v>
      </c>
      <c r="C1133" s="177">
        <f>보고서!C1282</f>
        <v>0</v>
      </c>
      <c r="D1133" s="177">
        <f>보고서!D1282</f>
        <v>0</v>
      </c>
      <c r="E1133" s="176" t="s">
        <v>810</v>
      </c>
      <c r="F1133" s="149"/>
      <c r="G1133" s="176">
        <f>보고서!G1282</f>
        <v>0</v>
      </c>
      <c r="H1133" s="207" t="str">
        <f>보고서!I1282</f>
        <v>SPC 없음</v>
      </c>
      <c r="I1133" s="218"/>
      <c r="J1133" s="149"/>
      <c r="K1133" s="149"/>
      <c r="L1133" s="142"/>
    </row>
    <row r="1134" spans="1:12">
      <c r="B1134" s="179" t="s">
        <v>3493</v>
      </c>
      <c r="C1134" s="175">
        <f>보고서!C1283</f>
        <v>0</v>
      </c>
      <c r="D1134" s="175">
        <f>보고서!D1283</f>
        <v>0</v>
      </c>
      <c r="E1134" s="219" t="s">
        <v>821</v>
      </c>
      <c r="F1134" s="191" t="str">
        <f>IF(D1134=H1137+L1151,"투자자산 합계액 일치","투자자산 합계액 불일치")</f>
        <v>투자자산 합계액 일치</v>
      </c>
      <c r="G1134" s="176">
        <f>보고서!G1283</f>
        <v>0</v>
      </c>
      <c r="H1134" s="207" t="str">
        <f>보고서!I1283</f>
        <v>SPC 없음</v>
      </c>
      <c r="I1134" s="218"/>
      <c r="J1134" s="149"/>
      <c r="K1134" s="149"/>
      <c r="L1134" s="142"/>
    </row>
    <row r="1135" spans="1:12">
      <c r="B1135" s="179" t="s">
        <v>848</v>
      </c>
      <c r="C1135" s="175">
        <f>보고서!C1301</f>
        <v>0</v>
      </c>
      <c r="D1135" s="175">
        <f>보고서!D1301</f>
        <v>0</v>
      </c>
      <c r="E1135" s="149"/>
      <c r="F1135" s="149"/>
      <c r="G1135" s="176">
        <f>보고서!G1284</f>
        <v>0</v>
      </c>
      <c r="H1135" s="207" t="str">
        <f>보고서!I1284</f>
        <v>SPC 없음</v>
      </c>
      <c r="I1135" s="218"/>
      <c r="J1135" s="149"/>
      <c r="K1135" s="149"/>
      <c r="L1135" s="142"/>
    </row>
    <row r="1136" spans="1:12" ht="14.25" thickBot="1">
      <c r="B1136" s="180" t="s">
        <v>30</v>
      </c>
      <c r="C1136" s="181">
        <f>보고서!C1302</f>
        <v>0</v>
      </c>
      <c r="D1136" s="181">
        <f>C1136</f>
        <v>0</v>
      </c>
      <c r="E1136" s="182" t="s">
        <v>810</v>
      </c>
      <c r="F1136" s="149"/>
      <c r="G1136" s="182">
        <f>보고서!G1285</f>
        <v>0</v>
      </c>
      <c r="H1136" s="209" t="str">
        <f>보고서!I1285</f>
        <v>SPC 없음</v>
      </c>
      <c r="I1136" s="218"/>
      <c r="J1136" s="149"/>
      <c r="K1136" s="149"/>
      <c r="L1136" s="142"/>
    </row>
    <row r="1137" spans="2:12" ht="14.25" thickTop="1">
      <c r="B1137" s="179" t="s">
        <v>31</v>
      </c>
      <c r="C1137" s="175">
        <f>C1135-C1136</f>
        <v>0</v>
      </c>
      <c r="D1137" s="175">
        <f>D1135-D1136</f>
        <v>0</v>
      </c>
      <c r="E1137" s="149"/>
      <c r="F1137" s="149"/>
      <c r="H1137" s="210">
        <f>SUM(H1131:H1136)</f>
        <v>0</v>
      </c>
      <c r="L1137" s="142"/>
    </row>
    <row r="1138" spans="2:12">
      <c r="B1138" s="184" t="s">
        <v>804</v>
      </c>
      <c r="C1138" s="177">
        <f>보고서!C1304</f>
        <v>0</v>
      </c>
      <c r="D1138" s="177">
        <f>C1138</f>
        <v>0</v>
      </c>
      <c r="E1138" s="149"/>
      <c r="F1138" s="217"/>
      <c r="G1138" s="215" t="s">
        <v>752</v>
      </c>
      <c r="H1138" s="149"/>
      <c r="I1138" s="149"/>
      <c r="J1138" s="149"/>
      <c r="K1138" s="149"/>
      <c r="L1138" s="149"/>
    </row>
    <row r="1139" spans="2:12">
      <c r="B1139" s="184" t="s">
        <v>964</v>
      </c>
      <c r="C1139" s="177">
        <f>보고서!C1305</f>
        <v>0</v>
      </c>
      <c r="D1139" s="177">
        <f>C1139</f>
        <v>0</v>
      </c>
      <c r="E1139" s="149"/>
      <c r="F1139" s="149"/>
      <c r="G1139" s="173" t="s">
        <v>805</v>
      </c>
      <c r="H1139" s="173" t="s">
        <v>1</v>
      </c>
      <c r="I1139" s="173" t="s">
        <v>12</v>
      </c>
      <c r="J1139" s="173" t="s">
        <v>806</v>
      </c>
      <c r="K1139" s="173" t="s">
        <v>3494</v>
      </c>
      <c r="L1139" s="173" t="s">
        <v>3497</v>
      </c>
    </row>
    <row r="1140" spans="2:12">
      <c r="B1140" s="179" t="s">
        <v>842</v>
      </c>
      <c r="C1140" s="175">
        <f>C1137+C1138-C1139</f>
        <v>0</v>
      </c>
      <c r="D1140" s="175">
        <f>D1137+D1138-D1139</f>
        <v>0</v>
      </c>
      <c r="E1140" s="149"/>
      <c r="F1140" s="149"/>
      <c r="G1140" s="176">
        <f>보고서!L1280</f>
        <v>0</v>
      </c>
      <c r="H1140" s="176">
        <f>보고서!M1280</f>
        <v>0</v>
      </c>
      <c r="I1140" s="176">
        <f>보고서!N1280</f>
        <v>0</v>
      </c>
      <c r="J1140" s="208">
        <f>보고서!O1280</f>
        <v>0</v>
      </c>
      <c r="K1140" s="208">
        <f>보고서!P1280</f>
        <v>0</v>
      </c>
      <c r="L1140" s="208">
        <f>보고서!Q1280</f>
        <v>0</v>
      </c>
    </row>
    <row r="1141" spans="2:12" ht="14.25" thickBot="1">
      <c r="B1141" s="182" t="s">
        <v>811</v>
      </c>
      <c r="C1141" s="220">
        <f>보고서!C1307</f>
        <v>0</v>
      </c>
      <c r="D1141" s="220">
        <f>C1141</f>
        <v>0</v>
      </c>
      <c r="E1141" s="221"/>
      <c r="F1141" s="149"/>
      <c r="G1141" s="176">
        <f>보고서!L1281</f>
        <v>0</v>
      </c>
      <c r="H1141" s="176">
        <f>보고서!M1281</f>
        <v>0</v>
      </c>
      <c r="I1141" s="176">
        <f>보고서!N1281</f>
        <v>0</v>
      </c>
      <c r="J1141" s="208">
        <f>보고서!O1281</f>
        <v>0</v>
      </c>
      <c r="K1141" s="208">
        <f>보고서!P1281</f>
        <v>0</v>
      </c>
      <c r="L1141" s="208">
        <f>보고서!Q1281</f>
        <v>0</v>
      </c>
    </row>
    <row r="1142" spans="2:12" ht="14.25" thickTop="1">
      <c r="B1142" s="222" t="s">
        <v>746</v>
      </c>
      <c r="C1142" s="175">
        <f>C1140*C1141</f>
        <v>0</v>
      </c>
      <c r="D1142" s="175">
        <f>D1140*D1141</f>
        <v>0</v>
      </c>
      <c r="E1142" s="149"/>
      <c r="F1142" s="149"/>
      <c r="G1142" s="176">
        <f>보고서!L1282</f>
        <v>0</v>
      </c>
      <c r="H1142" s="176">
        <f>보고서!M1282</f>
        <v>0</v>
      </c>
      <c r="I1142" s="176">
        <f>보고서!N1282</f>
        <v>0</v>
      </c>
      <c r="J1142" s="208">
        <f>보고서!O1282</f>
        <v>0</v>
      </c>
      <c r="K1142" s="208">
        <f>보고서!P1282</f>
        <v>0</v>
      </c>
      <c r="L1142" s="208">
        <f>보고서!Q1282</f>
        <v>0</v>
      </c>
    </row>
    <row r="1143" spans="2:12">
      <c r="B1143" s="149"/>
      <c r="C1143" s="149"/>
      <c r="D1143" s="149"/>
      <c r="E1143" s="149"/>
      <c r="F1143" s="149"/>
      <c r="G1143" s="176">
        <f>보고서!L1283</f>
        <v>0</v>
      </c>
      <c r="H1143" s="176">
        <f>보고서!M1283</f>
        <v>0</v>
      </c>
      <c r="I1143" s="176">
        <f>보고서!N1283</f>
        <v>0</v>
      </c>
      <c r="J1143" s="208">
        <f>보고서!O1283</f>
        <v>0</v>
      </c>
      <c r="K1143" s="208">
        <f>보고서!P1283</f>
        <v>0</v>
      </c>
      <c r="L1143" s="208">
        <f>보고서!Q1283</f>
        <v>0</v>
      </c>
    </row>
    <row r="1144" spans="2:12">
      <c r="B1144" s="168" t="s">
        <v>38</v>
      </c>
      <c r="C1144" s="191" t="b">
        <f>ROUND(C1132+C1133+C1134-C1136+C1138-C1139,0)=ROUND(C1140,0)</f>
        <v>1</v>
      </c>
      <c r="D1144" s="191" t="b">
        <f>ROUND(D1132+D1133+D1134-D1136+D1138-D1139,0)=ROUND(D1140,0)</f>
        <v>1</v>
      </c>
      <c r="E1144" s="149"/>
      <c r="F1144" s="149"/>
      <c r="G1144" s="176">
        <f>보고서!L1284</f>
        <v>0</v>
      </c>
      <c r="H1144" s="176">
        <f>보고서!M1284</f>
        <v>0</v>
      </c>
      <c r="I1144" s="176">
        <f>보고서!N1284</f>
        <v>0</v>
      </c>
      <c r="J1144" s="208">
        <f>보고서!O1284</f>
        <v>0</v>
      </c>
      <c r="K1144" s="208">
        <f>보고서!P1284</f>
        <v>0</v>
      </c>
      <c r="L1144" s="208">
        <f>보고서!Q1284</f>
        <v>0</v>
      </c>
    </row>
    <row r="1145" spans="2:12">
      <c r="B1145" s="149"/>
      <c r="C1145" s="149"/>
      <c r="D1145" s="149"/>
      <c r="E1145" s="149"/>
      <c r="F1145" s="149"/>
      <c r="G1145" s="176">
        <f>보고서!L1285</f>
        <v>0</v>
      </c>
      <c r="H1145" s="176">
        <f>보고서!M1285</f>
        <v>0</v>
      </c>
      <c r="I1145" s="176">
        <f>보고서!N1285</f>
        <v>0</v>
      </c>
      <c r="J1145" s="208">
        <f>보고서!O1285</f>
        <v>0</v>
      </c>
      <c r="K1145" s="208">
        <f>보고서!P1285</f>
        <v>0</v>
      </c>
      <c r="L1145" s="208">
        <f>보고서!Q1285</f>
        <v>0</v>
      </c>
    </row>
    <row r="1146" spans="2:12">
      <c r="B1146" s="865" t="str">
        <f>IF(B1127="SPC없음","해당사항 없음",B1158)</f>
        <v>해당사항 없음</v>
      </c>
      <c r="C1146" s="866"/>
      <c r="D1146" s="866"/>
      <c r="E1146" s="867"/>
      <c r="F1146" s="149"/>
      <c r="G1146" s="176">
        <f>보고서!L1286</f>
        <v>0</v>
      </c>
      <c r="H1146" s="176">
        <f>보고서!M1286</f>
        <v>0</v>
      </c>
      <c r="I1146" s="176">
        <f>보고서!N1286</f>
        <v>0</v>
      </c>
      <c r="J1146" s="208">
        <f>보고서!O1286</f>
        <v>0</v>
      </c>
      <c r="K1146" s="208">
        <f>보고서!P1286</f>
        <v>0</v>
      </c>
      <c r="L1146" s="208">
        <f>보고서!Q1286</f>
        <v>0</v>
      </c>
    </row>
    <row r="1147" spans="2:12">
      <c r="B1147" s="868"/>
      <c r="C1147" s="869"/>
      <c r="D1147" s="869"/>
      <c r="E1147" s="870"/>
      <c r="F1147" s="149"/>
      <c r="G1147" s="176">
        <f>보고서!L1287</f>
        <v>0</v>
      </c>
      <c r="H1147" s="176">
        <f>보고서!M1287</f>
        <v>0</v>
      </c>
      <c r="I1147" s="176">
        <f>보고서!N1287</f>
        <v>0</v>
      </c>
      <c r="J1147" s="208">
        <f>보고서!O1287</f>
        <v>0</v>
      </c>
      <c r="K1147" s="208">
        <f>보고서!P1287</f>
        <v>0</v>
      </c>
      <c r="L1147" s="208">
        <f>보고서!Q1287</f>
        <v>0</v>
      </c>
    </row>
    <row r="1148" spans="2:12">
      <c r="B1148" s="868"/>
      <c r="C1148" s="869"/>
      <c r="D1148" s="869"/>
      <c r="E1148" s="870"/>
      <c r="F1148" s="149"/>
      <c r="G1148" s="176">
        <f>보고서!L1288</f>
        <v>0</v>
      </c>
      <c r="H1148" s="176">
        <f>보고서!M1288</f>
        <v>0</v>
      </c>
      <c r="I1148" s="176">
        <f>보고서!N1288</f>
        <v>0</v>
      </c>
      <c r="J1148" s="208">
        <f>보고서!O1288</f>
        <v>0</v>
      </c>
      <c r="K1148" s="208">
        <f>보고서!P1288</f>
        <v>0</v>
      </c>
      <c r="L1148" s="208">
        <f>보고서!Q1288</f>
        <v>0</v>
      </c>
    </row>
    <row r="1149" spans="2:12">
      <c r="B1149" s="868"/>
      <c r="C1149" s="869"/>
      <c r="D1149" s="869"/>
      <c r="E1149" s="870"/>
      <c r="F1149" s="149"/>
      <c r="G1149" s="176">
        <f>보고서!L1289</f>
        <v>0</v>
      </c>
      <c r="H1149" s="176">
        <f>보고서!M1289</f>
        <v>0</v>
      </c>
      <c r="I1149" s="176">
        <f>보고서!N1289</f>
        <v>0</v>
      </c>
      <c r="J1149" s="208">
        <f>보고서!O1289</f>
        <v>0</v>
      </c>
      <c r="K1149" s="208">
        <f>보고서!P1289</f>
        <v>0</v>
      </c>
      <c r="L1149" s="208">
        <f>보고서!Q1289</f>
        <v>0</v>
      </c>
    </row>
    <row r="1150" spans="2:12" ht="14.25" thickBot="1">
      <c r="B1150" s="868"/>
      <c r="C1150" s="869"/>
      <c r="D1150" s="869"/>
      <c r="E1150" s="870"/>
      <c r="F1150" s="149"/>
      <c r="G1150" s="182">
        <f>보고서!L1290</f>
        <v>0</v>
      </c>
      <c r="H1150" s="182">
        <f>보고서!M1290</f>
        <v>0</v>
      </c>
      <c r="I1150" s="182">
        <f>보고서!N1290</f>
        <v>0</v>
      </c>
      <c r="J1150" s="212">
        <f>보고서!O1290</f>
        <v>0</v>
      </c>
      <c r="K1150" s="212">
        <f>보고서!P1290</f>
        <v>0</v>
      </c>
      <c r="L1150" s="212">
        <f>보고서!Q1290</f>
        <v>0</v>
      </c>
    </row>
    <row r="1151" spans="2:12" ht="14.25" thickTop="1">
      <c r="B1151" s="868"/>
      <c r="C1151" s="869"/>
      <c r="D1151" s="869"/>
      <c r="E1151" s="870"/>
      <c r="G1151" s="908" t="s">
        <v>3496</v>
      </c>
      <c r="H1151" s="908"/>
      <c r="I1151" s="908"/>
      <c r="J1151" s="908"/>
      <c r="K1151" s="223">
        <f>SUM(K1140:K1150)</f>
        <v>0</v>
      </c>
      <c r="L1151" s="223">
        <f>SUM(L1140:L1150)</f>
        <v>0</v>
      </c>
    </row>
    <row r="1152" spans="2:12">
      <c r="B1152" s="868"/>
      <c r="C1152" s="869"/>
      <c r="D1152" s="869"/>
      <c r="E1152" s="870"/>
    </row>
    <row r="1153" spans="1:12">
      <c r="B1153" s="868"/>
      <c r="C1153" s="869"/>
      <c r="D1153" s="869"/>
      <c r="E1153" s="870"/>
    </row>
    <row r="1154" spans="1:12">
      <c r="B1154" s="868"/>
      <c r="C1154" s="869"/>
      <c r="D1154" s="869"/>
      <c r="E1154" s="870"/>
    </row>
    <row r="1155" spans="1:12">
      <c r="B1155" s="868"/>
      <c r="C1155" s="869"/>
      <c r="D1155" s="869"/>
      <c r="E1155" s="870"/>
    </row>
    <row r="1156" spans="1:12">
      <c r="B1156" s="868"/>
      <c r="C1156" s="869"/>
      <c r="D1156" s="869"/>
      <c r="E1156" s="870"/>
    </row>
    <row r="1157" spans="1:12">
      <c r="B1157" s="871"/>
      <c r="C1157" s="872"/>
      <c r="D1157" s="872"/>
      <c r="E1157" s="873"/>
    </row>
    <row r="1158" spans="1:12">
      <c r="B1158" s="224" t="s">
        <v>857</v>
      </c>
    </row>
    <row r="1159" spans="1:12">
      <c r="A1159" s="142">
        <f>A1127+1</f>
        <v>28</v>
      </c>
      <c r="B1159" s="214" t="str">
        <f>보고서!B1314</f>
        <v>SPC없음</v>
      </c>
      <c r="C1159" s="149"/>
      <c r="D1159" s="149"/>
      <c r="E1159" s="149"/>
      <c r="F1159" s="149"/>
      <c r="H1159" s="149"/>
      <c r="I1159" s="149"/>
      <c r="J1159" s="149"/>
      <c r="K1159" s="149"/>
      <c r="L1159" s="149"/>
    </row>
    <row r="1160" spans="1:12">
      <c r="B1160" s="214" t="str">
        <f>보고서!B1315</f>
        <v>SPC없음</v>
      </c>
      <c r="C1160" s="149"/>
      <c r="D1160" s="149"/>
      <c r="E1160" s="149"/>
      <c r="F1160" s="149"/>
      <c r="H1160" s="149"/>
      <c r="I1160" s="149"/>
      <c r="J1160" s="149"/>
      <c r="K1160" s="149"/>
      <c r="L1160" s="149"/>
    </row>
    <row r="1161" spans="1:12">
      <c r="B1161" s="215" t="s">
        <v>750</v>
      </c>
      <c r="C1161" s="216"/>
      <c r="D1161" s="216"/>
      <c r="E1161" s="216"/>
      <c r="F1161" s="216"/>
      <c r="G1161" s="215" t="s">
        <v>751</v>
      </c>
      <c r="H1161" s="216"/>
      <c r="I1161" s="216"/>
      <c r="J1161" s="149"/>
      <c r="K1161" s="149"/>
      <c r="L1161" s="149"/>
    </row>
    <row r="1162" spans="1:12">
      <c r="B1162" s="173" t="s">
        <v>808</v>
      </c>
      <c r="C1162" s="173" t="s">
        <v>10</v>
      </c>
      <c r="D1162" s="173" t="s">
        <v>236</v>
      </c>
      <c r="E1162" s="173" t="s">
        <v>801</v>
      </c>
      <c r="F1162" s="217"/>
      <c r="G1162" s="173" t="s">
        <v>88</v>
      </c>
      <c r="H1162" s="173" t="s">
        <v>90</v>
      </c>
      <c r="I1162" s="149"/>
      <c r="J1162" s="149"/>
      <c r="K1162" s="149"/>
      <c r="L1162" s="142"/>
    </row>
    <row r="1163" spans="1:12">
      <c r="B1163" s="174" t="s">
        <v>3492</v>
      </c>
      <c r="C1163" s="175">
        <f>보고서!C1318</f>
        <v>0</v>
      </c>
      <c r="D1163" s="175">
        <f>보고서!D1318</f>
        <v>0</v>
      </c>
      <c r="E1163" s="149"/>
      <c r="F1163" s="149"/>
      <c r="G1163" s="176">
        <f>보고서!G1318</f>
        <v>0</v>
      </c>
      <c r="H1163" s="207" t="str">
        <f>보고서!I1318</f>
        <v>SPC 없음</v>
      </c>
      <c r="I1163" s="149"/>
      <c r="J1163" s="149"/>
      <c r="K1163" s="149"/>
      <c r="L1163" s="142"/>
    </row>
    <row r="1164" spans="1:12">
      <c r="B1164" s="176" t="s">
        <v>756</v>
      </c>
      <c r="C1164" s="177">
        <f>보고서!C1319</f>
        <v>0</v>
      </c>
      <c r="D1164" s="177">
        <f>보고서!D1319</f>
        <v>0</v>
      </c>
      <c r="E1164" s="176" t="s">
        <v>810</v>
      </c>
      <c r="F1164" s="149"/>
      <c r="G1164" s="176">
        <f>보고서!G1319</f>
        <v>0</v>
      </c>
      <c r="H1164" s="207" t="str">
        <f>보고서!I1319</f>
        <v>SPC 없음</v>
      </c>
      <c r="I1164" s="149"/>
      <c r="J1164" s="149"/>
      <c r="K1164" s="149"/>
      <c r="L1164" s="142"/>
    </row>
    <row r="1165" spans="1:12">
      <c r="B1165" s="176" t="s">
        <v>757</v>
      </c>
      <c r="C1165" s="177">
        <f>보고서!C1320</f>
        <v>0</v>
      </c>
      <c r="D1165" s="177">
        <f>보고서!D1320</f>
        <v>0</v>
      </c>
      <c r="E1165" s="176" t="s">
        <v>810</v>
      </c>
      <c r="F1165" s="149"/>
      <c r="G1165" s="176">
        <f>보고서!G1320</f>
        <v>0</v>
      </c>
      <c r="H1165" s="207" t="str">
        <f>보고서!I1320</f>
        <v>SPC 없음</v>
      </c>
      <c r="I1165" s="218"/>
      <c r="J1165" s="149"/>
      <c r="K1165" s="149"/>
      <c r="L1165" s="142"/>
    </row>
    <row r="1166" spans="1:12">
      <c r="B1166" s="179" t="s">
        <v>3493</v>
      </c>
      <c r="C1166" s="175">
        <f>보고서!C1321</f>
        <v>0</v>
      </c>
      <c r="D1166" s="175">
        <f>보고서!D1321</f>
        <v>0</v>
      </c>
      <c r="E1166" s="219" t="s">
        <v>821</v>
      </c>
      <c r="F1166" s="191" t="str">
        <f>IF(D1166=H1169+L1183,"투자자산 합계액 일치","투자자산 합계액 불일치")</f>
        <v>투자자산 합계액 일치</v>
      </c>
      <c r="G1166" s="176">
        <f>보고서!G1321</f>
        <v>0</v>
      </c>
      <c r="H1166" s="207" t="str">
        <f>보고서!I1321</f>
        <v>SPC 없음</v>
      </c>
      <c r="I1166" s="218"/>
      <c r="J1166" s="149"/>
      <c r="K1166" s="149"/>
      <c r="L1166" s="142"/>
    </row>
    <row r="1167" spans="1:12">
      <c r="B1167" s="179" t="s">
        <v>848</v>
      </c>
      <c r="C1167" s="175">
        <f>보고서!C1339</f>
        <v>0</v>
      </c>
      <c r="D1167" s="175">
        <f>보고서!D1339</f>
        <v>0</v>
      </c>
      <c r="E1167" s="149"/>
      <c r="F1167" s="149"/>
      <c r="G1167" s="176">
        <f>보고서!G1322</f>
        <v>0</v>
      </c>
      <c r="H1167" s="207" t="str">
        <f>보고서!I1322</f>
        <v>SPC 없음</v>
      </c>
      <c r="I1167" s="218"/>
      <c r="J1167" s="149"/>
      <c r="K1167" s="149"/>
      <c r="L1167" s="142"/>
    </row>
    <row r="1168" spans="1:12" ht="14.25" thickBot="1">
      <c r="B1168" s="180" t="s">
        <v>30</v>
      </c>
      <c r="C1168" s="181">
        <f>보고서!C1340</f>
        <v>0</v>
      </c>
      <c r="D1168" s="181">
        <f>C1168</f>
        <v>0</v>
      </c>
      <c r="E1168" s="182" t="s">
        <v>810</v>
      </c>
      <c r="F1168" s="149"/>
      <c r="G1168" s="182">
        <f>보고서!G1323</f>
        <v>0</v>
      </c>
      <c r="H1168" s="209" t="str">
        <f>보고서!I1323</f>
        <v>SPC 없음</v>
      </c>
      <c r="I1168" s="218"/>
      <c r="J1168" s="149"/>
      <c r="K1168" s="149"/>
      <c r="L1168" s="142"/>
    </row>
    <row r="1169" spans="2:12" ht="14.25" thickTop="1">
      <c r="B1169" s="179" t="s">
        <v>31</v>
      </c>
      <c r="C1169" s="175">
        <f>C1167-C1168</f>
        <v>0</v>
      </c>
      <c r="D1169" s="175">
        <f>D1167-D1168</f>
        <v>0</v>
      </c>
      <c r="E1169" s="149"/>
      <c r="F1169" s="149"/>
      <c r="H1169" s="210">
        <f>SUM(H1163:H1168)</f>
        <v>0</v>
      </c>
      <c r="L1169" s="142"/>
    </row>
    <row r="1170" spans="2:12">
      <c r="B1170" s="184" t="s">
        <v>804</v>
      </c>
      <c r="C1170" s="177">
        <f>보고서!C1342</f>
        <v>0</v>
      </c>
      <c r="D1170" s="177">
        <f>C1170</f>
        <v>0</v>
      </c>
      <c r="E1170" s="149"/>
      <c r="F1170" s="217"/>
      <c r="G1170" s="215" t="s">
        <v>752</v>
      </c>
      <c r="H1170" s="149"/>
      <c r="I1170" s="149"/>
      <c r="J1170" s="149"/>
      <c r="K1170" s="149"/>
      <c r="L1170" s="149"/>
    </row>
    <row r="1171" spans="2:12">
      <c r="B1171" s="184" t="s">
        <v>964</v>
      </c>
      <c r="C1171" s="177">
        <f>보고서!C1343</f>
        <v>0</v>
      </c>
      <c r="D1171" s="177">
        <f>C1171</f>
        <v>0</v>
      </c>
      <c r="E1171" s="149"/>
      <c r="F1171" s="149"/>
      <c r="G1171" s="173" t="s">
        <v>805</v>
      </c>
      <c r="H1171" s="173" t="s">
        <v>1</v>
      </c>
      <c r="I1171" s="173" t="s">
        <v>12</v>
      </c>
      <c r="J1171" s="173" t="s">
        <v>806</v>
      </c>
      <c r="K1171" s="173" t="s">
        <v>3494</v>
      </c>
      <c r="L1171" s="173" t="s">
        <v>3497</v>
      </c>
    </row>
    <row r="1172" spans="2:12">
      <c r="B1172" s="179" t="s">
        <v>842</v>
      </c>
      <c r="C1172" s="175">
        <f>C1169+C1170-C1171</f>
        <v>0</v>
      </c>
      <c r="D1172" s="175">
        <f>D1169+D1170-D1171</f>
        <v>0</v>
      </c>
      <c r="E1172" s="149"/>
      <c r="F1172" s="149"/>
      <c r="G1172" s="176">
        <f>보고서!L1318</f>
        <v>0</v>
      </c>
      <c r="H1172" s="176">
        <f>보고서!M1318</f>
        <v>0</v>
      </c>
      <c r="I1172" s="176">
        <f>보고서!N1318</f>
        <v>0</v>
      </c>
      <c r="J1172" s="208">
        <f>보고서!O1318</f>
        <v>0</v>
      </c>
      <c r="K1172" s="208">
        <f>보고서!P1318</f>
        <v>0</v>
      </c>
      <c r="L1172" s="208">
        <f>보고서!Q1318</f>
        <v>0</v>
      </c>
    </row>
    <row r="1173" spans="2:12" ht="14.25" thickBot="1">
      <c r="B1173" s="182" t="s">
        <v>811</v>
      </c>
      <c r="C1173" s="220">
        <f>보고서!C1345</f>
        <v>0</v>
      </c>
      <c r="D1173" s="220">
        <f>C1173</f>
        <v>0</v>
      </c>
      <c r="E1173" s="221"/>
      <c r="F1173" s="149"/>
      <c r="G1173" s="176">
        <f>보고서!L1319</f>
        <v>0</v>
      </c>
      <c r="H1173" s="176">
        <f>보고서!M1319</f>
        <v>0</v>
      </c>
      <c r="I1173" s="176">
        <f>보고서!N1319</f>
        <v>0</v>
      </c>
      <c r="J1173" s="208">
        <f>보고서!O1319</f>
        <v>0</v>
      </c>
      <c r="K1173" s="208">
        <f>보고서!P1319</f>
        <v>0</v>
      </c>
      <c r="L1173" s="208">
        <f>보고서!Q1319</f>
        <v>0</v>
      </c>
    </row>
    <row r="1174" spans="2:12" ht="14.25" thickTop="1">
      <c r="B1174" s="222" t="s">
        <v>746</v>
      </c>
      <c r="C1174" s="175">
        <f>C1172*C1173</f>
        <v>0</v>
      </c>
      <c r="D1174" s="175">
        <f>D1172*D1173</f>
        <v>0</v>
      </c>
      <c r="E1174" s="149"/>
      <c r="F1174" s="149"/>
      <c r="G1174" s="176">
        <f>보고서!L1320</f>
        <v>0</v>
      </c>
      <c r="H1174" s="176">
        <f>보고서!M1320</f>
        <v>0</v>
      </c>
      <c r="I1174" s="176">
        <f>보고서!N1320</f>
        <v>0</v>
      </c>
      <c r="J1174" s="208">
        <f>보고서!O1320</f>
        <v>0</v>
      </c>
      <c r="K1174" s="208">
        <f>보고서!P1320</f>
        <v>0</v>
      </c>
      <c r="L1174" s="208">
        <f>보고서!Q1320</f>
        <v>0</v>
      </c>
    </row>
    <row r="1175" spans="2:12">
      <c r="B1175" s="149"/>
      <c r="C1175" s="149"/>
      <c r="D1175" s="149"/>
      <c r="E1175" s="149"/>
      <c r="F1175" s="149"/>
      <c r="G1175" s="176">
        <f>보고서!L1321</f>
        <v>0</v>
      </c>
      <c r="H1175" s="176">
        <f>보고서!M1321</f>
        <v>0</v>
      </c>
      <c r="I1175" s="176">
        <f>보고서!N1321</f>
        <v>0</v>
      </c>
      <c r="J1175" s="208">
        <f>보고서!O1321</f>
        <v>0</v>
      </c>
      <c r="K1175" s="208">
        <f>보고서!P1321</f>
        <v>0</v>
      </c>
      <c r="L1175" s="208">
        <f>보고서!Q1321</f>
        <v>0</v>
      </c>
    </row>
    <row r="1176" spans="2:12">
      <c r="B1176" s="168" t="s">
        <v>38</v>
      </c>
      <c r="C1176" s="191" t="b">
        <f>ROUND(C1164+C1165+C1166-C1168+C1170-C1171,0)=ROUND(C1172,0)</f>
        <v>1</v>
      </c>
      <c r="D1176" s="191" t="b">
        <f>ROUND(D1164+D1165+D1166-D1168+D1170-D1171,0)=ROUND(D1172,0)</f>
        <v>1</v>
      </c>
      <c r="E1176" s="149"/>
      <c r="F1176" s="149"/>
      <c r="G1176" s="176">
        <f>보고서!L1322</f>
        <v>0</v>
      </c>
      <c r="H1176" s="176">
        <f>보고서!M1322</f>
        <v>0</v>
      </c>
      <c r="I1176" s="176">
        <f>보고서!N1322</f>
        <v>0</v>
      </c>
      <c r="J1176" s="208">
        <f>보고서!O1322</f>
        <v>0</v>
      </c>
      <c r="K1176" s="208">
        <f>보고서!P1322</f>
        <v>0</v>
      </c>
      <c r="L1176" s="208">
        <f>보고서!Q1322</f>
        <v>0</v>
      </c>
    </row>
    <row r="1177" spans="2:12">
      <c r="B1177" s="149"/>
      <c r="C1177" s="149"/>
      <c r="D1177" s="149"/>
      <c r="E1177" s="149"/>
      <c r="F1177" s="149"/>
      <c r="G1177" s="176">
        <f>보고서!L1323</f>
        <v>0</v>
      </c>
      <c r="H1177" s="176">
        <f>보고서!M1323</f>
        <v>0</v>
      </c>
      <c r="I1177" s="176">
        <f>보고서!N1323</f>
        <v>0</v>
      </c>
      <c r="J1177" s="208">
        <f>보고서!O1323</f>
        <v>0</v>
      </c>
      <c r="K1177" s="208">
        <f>보고서!P1323</f>
        <v>0</v>
      </c>
      <c r="L1177" s="208">
        <f>보고서!Q1323</f>
        <v>0</v>
      </c>
    </row>
    <row r="1178" spans="2:12">
      <c r="B1178" s="865" t="str">
        <f>IF(B1159="SPC없음","해당사항 없음",B1190)</f>
        <v>해당사항 없음</v>
      </c>
      <c r="C1178" s="866"/>
      <c r="D1178" s="866"/>
      <c r="E1178" s="867"/>
      <c r="F1178" s="149"/>
      <c r="G1178" s="176">
        <f>보고서!L1324</f>
        <v>0</v>
      </c>
      <c r="H1178" s="176">
        <f>보고서!M1324</f>
        <v>0</v>
      </c>
      <c r="I1178" s="176">
        <f>보고서!N1324</f>
        <v>0</v>
      </c>
      <c r="J1178" s="208">
        <f>보고서!O1324</f>
        <v>0</v>
      </c>
      <c r="K1178" s="208">
        <f>보고서!P1324</f>
        <v>0</v>
      </c>
      <c r="L1178" s="208">
        <f>보고서!Q1324</f>
        <v>0</v>
      </c>
    </row>
    <row r="1179" spans="2:12">
      <c r="B1179" s="868"/>
      <c r="C1179" s="869"/>
      <c r="D1179" s="869"/>
      <c r="E1179" s="870"/>
      <c r="F1179" s="149"/>
      <c r="G1179" s="176">
        <f>보고서!L1325</f>
        <v>0</v>
      </c>
      <c r="H1179" s="176">
        <f>보고서!M1325</f>
        <v>0</v>
      </c>
      <c r="I1179" s="176">
        <f>보고서!N1325</f>
        <v>0</v>
      </c>
      <c r="J1179" s="208">
        <f>보고서!O1325</f>
        <v>0</v>
      </c>
      <c r="K1179" s="208">
        <f>보고서!P1325</f>
        <v>0</v>
      </c>
      <c r="L1179" s="208">
        <f>보고서!Q1325</f>
        <v>0</v>
      </c>
    </row>
    <row r="1180" spans="2:12">
      <c r="B1180" s="868"/>
      <c r="C1180" s="869"/>
      <c r="D1180" s="869"/>
      <c r="E1180" s="870"/>
      <c r="F1180" s="149"/>
      <c r="G1180" s="176">
        <f>보고서!L1326</f>
        <v>0</v>
      </c>
      <c r="H1180" s="176">
        <f>보고서!M1326</f>
        <v>0</v>
      </c>
      <c r="I1180" s="176">
        <f>보고서!N1326</f>
        <v>0</v>
      </c>
      <c r="J1180" s="208">
        <f>보고서!O1326</f>
        <v>0</v>
      </c>
      <c r="K1180" s="208">
        <f>보고서!P1326</f>
        <v>0</v>
      </c>
      <c r="L1180" s="208">
        <f>보고서!Q1326</f>
        <v>0</v>
      </c>
    </row>
    <row r="1181" spans="2:12">
      <c r="B1181" s="868"/>
      <c r="C1181" s="869"/>
      <c r="D1181" s="869"/>
      <c r="E1181" s="870"/>
      <c r="F1181" s="149"/>
      <c r="G1181" s="176">
        <f>보고서!L1327</f>
        <v>0</v>
      </c>
      <c r="H1181" s="176">
        <f>보고서!M1327</f>
        <v>0</v>
      </c>
      <c r="I1181" s="176">
        <f>보고서!N1327</f>
        <v>0</v>
      </c>
      <c r="J1181" s="208">
        <f>보고서!O1327</f>
        <v>0</v>
      </c>
      <c r="K1181" s="208">
        <f>보고서!P1327</f>
        <v>0</v>
      </c>
      <c r="L1181" s="208">
        <f>보고서!Q1327</f>
        <v>0</v>
      </c>
    </row>
    <row r="1182" spans="2:12" ht="14.25" thickBot="1">
      <c r="B1182" s="868"/>
      <c r="C1182" s="869"/>
      <c r="D1182" s="869"/>
      <c r="E1182" s="870"/>
      <c r="F1182" s="149"/>
      <c r="G1182" s="182">
        <f>보고서!L1328</f>
        <v>0</v>
      </c>
      <c r="H1182" s="182">
        <f>보고서!M1328</f>
        <v>0</v>
      </c>
      <c r="I1182" s="182">
        <f>보고서!N1328</f>
        <v>0</v>
      </c>
      <c r="J1182" s="212">
        <f>보고서!O1328</f>
        <v>0</v>
      </c>
      <c r="K1182" s="212">
        <f>보고서!P1328</f>
        <v>0</v>
      </c>
      <c r="L1182" s="212">
        <f>보고서!Q1328</f>
        <v>0</v>
      </c>
    </row>
    <row r="1183" spans="2:12" ht="14.25" thickTop="1">
      <c r="B1183" s="868"/>
      <c r="C1183" s="869"/>
      <c r="D1183" s="869"/>
      <c r="E1183" s="870"/>
      <c r="G1183" s="908" t="s">
        <v>3496</v>
      </c>
      <c r="H1183" s="908"/>
      <c r="I1183" s="908"/>
      <c r="J1183" s="908"/>
      <c r="K1183" s="223">
        <f>SUM(K1172:K1182)</f>
        <v>0</v>
      </c>
      <c r="L1183" s="223">
        <f>SUM(L1172:L1182)</f>
        <v>0</v>
      </c>
    </row>
    <row r="1184" spans="2:12">
      <c r="B1184" s="868"/>
      <c r="C1184" s="869"/>
      <c r="D1184" s="869"/>
      <c r="E1184" s="870"/>
    </row>
    <row r="1185" spans="1:12">
      <c r="B1185" s="868"/>
      <c r="C1185" s="869"/>
      <c r="D1185" s="869"/>
      <c r="E1185" s="870"/>
    </row>
    <row r="1186" spans="1:12">
      <c r="B1186" s="868"/>
      <c r="C1186" s="869"/>
      <c r="D1186" s="869"/>
      <c r="E1186" s="870"/>
    </row>
    <row r="1187" spans="1:12">
      <c r="B1187" s="868"/>
      <c r="C1187" s="869"/>
      <c r="D1187" s="869"/>
      <c r="E1187" s="870"/>
    </row>
    <row r="1188" spans="1:12">
      <c r="B1188" s="868"/>
      <c r="C1188" s="869"/>
      <c r="D1188" s="869"/>
      <c r="E1188" s="870"/>
    </row>
    <row r="1189" spans="1:12">
      <c r="B1189" s="871"/>
      <c r="C1189" s="872"/>
      <c r="D1189" s="872"/>
      <c r="E1189" s="873"/>
    </row>
    <row r="1190" spans="1:12">
      <c r="B1190" s="224" t="s">
        <v>857</v>
      </c>
    </row>
    <row r="1191" spans="1:12">
      <c r="A1191" s="142">
        <f>A1159+1</f>
        <v>29</v>
      </c>
      <c r="B1191" s="214" t="str">
        <f>보고서!B1352</f>
        <v>SPC없음</v>
      </c>
      <c r="C1191" s="149"/>
      <c r="D1191" s="149"/>
      <c r="E1191" s="149"/>
      <c r="F1191" s="149"/>
      <c r="H1191" s="149"/>
      <c r="I1191" s="149"/>
      <c r="J1191" s="149"/>
      <c r="K1191" s="149"/>
      <c r="L1191" s="149"/>
    </row>
    <row r="1192" spans="1:12">
      <c r="B1192" s="214" t="str">
        <f>보고서!B1353</f>
        <v>SPC없음</v>
      </c>
      <c r="C1192" s="149"/>
      <c r="D1192" s="149"/>
      <c r="E1192" s="149"/>
      <c r="F1192" s="149"/>
      <c r="H1192" s="149"/>
      <c r="I1192" s="149"/>
      <c r="J1192" s="149"/>
      <c r="K1192" s="149"/>
      <c r="L1192" s="149"/>
    </row>
    <row r="1193" spans="1:12">
      <c r="B1193" s="215" t="s">
        <v>750</v>
      </c>
      <c r="C1193" s="216"/>
      <c r="D1193" s="216"/>
      <c r="E1193" s="216"/>
      <c r="F1193" s="216"/>
      <c r="G1193" s="215" t="s">
        <v>751</v>
      </c>
      <c r="H1193" s="216"/>
      <c r="I1193" s="216"/>
      <c r="J1193" s="149"/>
      <c r="K1193" s="149"/>
      <c r="L1193" s="149"/>
    </row>
    <row r="1194" spans="1:12">
      <c r="B1194" s="173" t="s">
        <v>808</v>
      </c>
      <c r="C1194" s="173" t="s">
        <v>10</v>
      </c>
      <c r="D1194" s="173" t="s">
        <v>236</v>
      </c>
      <c r="E1194" s="173" t="s">
        <v>801</v>
      </c>
      <c r="F1194" s="217"/>
      <c r="G1194" s="173" t="s">
        <v>88</v>
      </c>
      <c r="H1194" s="173" t="s">
        <v>90</v>
      </c>
      <c r="I1194" s="149"/>
      <c r="J1194" s="149"/>
      <c r="K1194" s="149"/>
      <c r="L1194" s="142"/>
    </row>
    <row r="1195" spans="1:12">
      <c r="B1195" s="174" t="s">
        <v>3492</v>
      </c>
      <c r="C1195" s="175">
        <f>보고서!C1356</f>
        <v>0</v>
      </c>
      <c r="D1195" s="175">
        <f>보고서!D1356</f>
        <v>0</v>
      </c>
      <c r="E1195" s="149"/>
      <c r="F1195" s="149"/>
      <c r="G1195" s="176">
        <f>보고서!G1356</f>
        <v>0</v>
      </c>
      <c r="H1195" s="207" t="str">
        <f>보고서!I1356</f>
        <v>SPC 없음</v>
      </c>
      <c r="I1195" s="149"/>
      <c r="J1195" s="149"/>
      <c r="K1195" s="149"/>
      <c r="L1195" s="142"/>
    </row>
    <row r="1196" spans="1:12">
      <c r="B1196" s="176" t="s">
        <v>756</v>
      </c>
      <c r="C1196" s="177">
        <f>보고서!C1357</f>
        <v>0</v>
      </c>
      <c r="D1196" s="177">
        <f>보고서!D1357</f>
        <v>0</v>
      </c>
      <c r="E1196" s="176" t="s">
        <v>810</v>
      </c>
      <c r="F1196" s="149"/>
      <c r="G1196" s="176">
        <f>보고서!G1357</f>
        <v>0</v>
      </c>
      <c r="H1196" s="207" t="str">
        <f>보고서!I1357</f>
        <v>SPC 없음</v>
      </c>
      <c r="I1196" s="149"/>
      <c r="J1196" s="149"/>
      <c r="K1196" s="149"/>
      <c r="L1196" s="142"/>
    </row>
    <row r="1197" spans="1:12">
      <c r="B1197" s="176" t="s">
        <v>757</v>
      </c>
      <c r="C1197" s="177">
        <f>보고서!C1358</f>
        <v>0</v>
      </c>
      <c r="D1197" s="177">
        <f>보고서!D1358</f>
        <v>0</v>
      </c>
      <c r="E1197" s="176" t="s">
        <v>810</v>
      </c>
      <c r="F1197" s="149"/>
      <c r="G1197" s="176">
        <f>보고서!G1358</f>
        <v>0</v>
      </c>
      <c r="H1197" s="207" t="str">
        <f>보고서!I1358</f>
        <v>SPC 없음</v>
      </c>
      <c r="I1197" s="218"/>
      <c r="J1197" s="149"/>
      <c r="K1197" s="149"/>
      <c r="L1197" s="142"/>
    </row>
    <row r="1198" spans="1:12">
      <c r="B1198" s="179" t="s">
        <v>3493</v>
      </c>
      <c r="C1198" s="175">
        <f>보고서!C1359</f>
        <v>0</v>
      </c>
      <c r="D1198" s="175">
        <f>보고서!D1359</f>
        <v>0</v>
      </c>
      <c r="E1198" s="219" t="s">
        <v>821</v>
      </c>
      <c r="F1198" s="191" t="str">
        <f>IF(D1198=H1201+L1215,"투자자산 합계액 일치","투자자산 합계액 불일치")</f>
        <v>투자자산 합계액 일치</v>
      </c>
      <c r="G1198" s="176">
        <f>보고서!G1359</f>
        <v>0</v>
      </c>
      <c r="H1198" s="207" t="str">
        <f>보고서!I1359</f>
        <v>SPC 없음</v>
      </c>
      <c r="I1198" s="218"/>
      <c r="J1198" s="149"/>
      <c r="K1198" s="149"/>
      <c r="L1198" s="142"/>
    </row>
    <row r="1199" spans="1:12">
      <c r="B1199" s="179" t="s">
        <v>848</v>
      </c>
      <c r="C1199" s="175">
        <f>보고서!C1377</f>
        <v>0</v>
      </c>
      <c r="D1199" s="175">
        <f>보고서!D1377</f>
        <v>0</v>
      </c>
      <c r="E1199" s="149"/>
      <c r="F1199" s="149"/>
      <c r="G1199" s="176">
        <f>보고서!G1360</f>
        <v>0</v>
      </c>
      <c r="H1199" s="207" t="str">
        <f>보고서!I1360</f>
        <v>SPC 없음</v>
      </c>
      <c r="I1199" s="218"/>
      <c r="J1199" s="149"/>
      <c r="K1199" s="149"/>
      <c r="L1199" s="142"/>
    </row>
    <row r="1200" spans="1:12" ht="14.25" thickBot="1">
      <c r="B1200" s="180" t="s">
        <v>30</v>
      </c>
      <c r="C1200" s="181">
        <f>보고서!C1378</f>
        <v>0</v>
      </c>
      <c r="D1200" s="181">
        <f>C1200</f>
        <v>0</v>
      </c>
      <c r="E1200" s="182" t="s">
        <v>810</v>
      </c>
      <c r="F1200" s="149"/>
      <c r="G1200" s="182">
        <f>보고서!G1361</f>
        <v>0</v>
      </c>
      <c r="H1200" s="209" t="str">
        <f>보고서!I1361</f>
        <v>SPC 없음</v>
      </c>
      <c r="I1200" s="218"/>
      <c r="J1200" s="149"/>
      <c r="K1200" s="149"/>
      <c r="L1200" s="142"/>
    </row>
    <row r="1201" spans="2:12" ht="14.25" thickTop="1">
      <c r="B1201" s="179" t="s">
        <v>31</v>
      </c>
      <c r="C1201" s="175">
        <f>C1199-C1200</f>
        <v>0</v>
      </c>
      <c r="D1201" s="175">
        <f>D1199-D1200</f>
        <v>0</v>
      </c>
      <c r="E1201" s="149"/>
      <c r="F1201" s="149"/>
      <c r="H1201" s="210">
        <f>SUM(H1195:H1200)</f>
        <v>0</v>
      </c>
      <c r="L1201" s="142"/>
    </row>
    <row r="1202" spans="2:12">
      <c r="B1202" s="184" t="s">
        <v>804</v>
      </c>
      <c r="C1202" s="177">
        <f>보고서!C1380</f>
        <v>0</v>
      </c>
      <c r="D1202" s="177">
        <f>C1202</f>
        <v>0</v>
      </c>
      <c r="E1202" s="149"/>
      <c r="F1202" s="217"/>
      <c r="G1202" s="215" t="s">
        <v>752</v>
      </c>
      <c r="H1202" s="149"/>
      <c r="I1202" s="149"/>
      <c r="J1202" s="149"/>
      <c r="K1202" s="149"/>
      <c r="L1202" s="149"/>
    </row>
    <row r="1203" spans="2:12">
      <c r="B1203" s="184" t="s">
        <v>964</v>
      </c>
      <c r="C1203" s="177">
        <f>보고서!C1381</f>
        <v>0</v>
      </c>
      <c r="D1203" s="177">
        <f>C1203</f>
        <v>0</v>
      </c>
      <c r="E1203" s="149"/>
      <c r="F1203" s="149"/>
      <c r="G1203" s="173" t="s">
        <v>805</v>
      </c>
      <c r="H1203" s="173" t="s">
        <v>1</v>
      </c>
      <c r="I1203" s="173" t="s">
        <v>12</v>
      </c>
      <c r="J1203" s="173" t="s">
        <v>806</v>
      </c>
      <c r="K1203" s="173" t="s">
        <v>3494</v>
      </c>
      <c r="L1203" s="173" t="s">
        <v>3497</v>
      </c>
    </row>
    <row r="1204" spans="2:12">
      <c r="B1204" s="179" t="s">
        <v>842</v>
      </c>
      <c r="C1204" s="175">
        <f>C1201+C1202-C1203</f>
        <v>0</v>
      </c>
      <c r="D1204" s="175">
        <f>D1201+D1202-D1203</f>
        <v>0</v>
      </c>
      <c r="E1204" s="149"/>
      <c r="F1204" s="149"/>
      <c r="G1204" s="176">
        <f>보고서!L1356</f>
        <v>0</v>
      </c>
      <c r="H1204" s="176">
        <f>보고서!M1356</f>
        <v>0</v>
      </c>
      <c r="I1204" s="176">
        <f>보고서!N1356</f>
        <v>0</v>
      </c>
      <c r="J1204" s="208">
        <f>보고서!O1356</f>
        <v>0</v>
      </c>
      <c r="K1204" s="208">
        <f>보고서!P1356</f>
        <v>0</v>
      </c>
      <c r="L1204" s="208">
        <f>보고서!Q1356</f>
        <v>0</v>
      </c>
    </row>
    <row r="1205" spans="2:12" ht="14.25" thickBot="1">
      <c r="B1205" s="182" t="s">
        <v>811</v>
      </c>
      <c r="C1205" s="220">
        <f>보고서!C1383</f>
        <v>0</v>
      </c>
      <c r="D1205" s="220">
        <f>C1205</f>
        <v>0</v>
      </c>
      <c r="E1205" s="221"/>
      <c r="F1205" s="149"/>
      <c r="G1205" s="176">
        <f>보고서!L1357</f>
        <v>0</v>
      </c>
      <c r="H1205" s="176">
        <f>보고서!M1357</f>
        <v>0</v>
      </c>
      <c r="I1205" s="176">
        <f>보고서!N1357</f>
        <v>0</v>
      </c>
      <c r="J1205" s="208">
        <f>보고서!O1357</f>
        <v>0</v>
      </c>
      <c r="K1205" s="208">
        <f>보고서!P1357</f>
        <v>0</v>
      </c>
      <c r="L1205" s="208">
        <f>보고서!Q1357</f>
        <v>0</v>
      </c>
    </row>
    <row r="1206" spans="2:12" ht="14.25" thickTop="1">
      <c r="B1206" s="222" t="s">
        <v>746</v>
      </c>
      <c r="C1206" s="175">
        <f>C1204*C1205</f>
        <v>0</v>
      </c>
      <c r="D1206" s="175">
        <f>D1204*D1205</f>
        <v>0</v>
      </c>
      <c r="E1206" s="149"/>
      <c r="F1206" s="149"/>
      <c r="G1206" s="176">
        <f>보고서!L1358</f>
        <v>0</v>
      </c>
      <c r="H1206" s="176">
        <f>보고서!M1358</f>
        <v>0</v>
      </c>
      <c r="I1206" s="176">
        <f>보고서!N1358</f>
        <v>0</v>
      </c>
      <c r="J1206" s="208">
        <f>보고서!O1358</f>
        <v>0</v>
      </c>
      <c r="K1206" s="208">
        <f>보고서!P1358</f>
        <v>0</v>
      </c>
      <c r="L1206" s="208">
        <f>보고서!Q1358</f>
        <v>0</v>
      </c>
    </row>
    <row r="1207" spans="2:12">
      <c r="B1207" s="149"/>
      <c r="C1207" s="149"/>
      <c r="D1207" s="149"/>
      <c r="E1207" s="149"/>
      <c r="F1207" s="149"/>
      <c r="G1207" s="176">
        <f>보고서!L1359</f>
        <v>0</v>
      </c>
      <c r="H1207" s="176">
        <f>보고서!M1359</f>
        <v>0</v>
      </c>
      <c r="I1207" s="176">
        <f>보고서!N1359</f>
        <v>0</v>
      </c>
      <c r="J1207" s="208">
        <f>보고서!O1359</f>
        <v>0</v>
      </c>
      <c r="K1207" s="208">
        <f>보고서!P1359</f>
        <v>0</v>
      </c>
      <c r="L1207" s="208">
        <f>보고서!Q1359</f>
        <v>0</v>
      </c>
    </row>
    <row r="1208" spans="2:12">
      <c r="B1208" s="168" t="s">
        <v>38</v>
      </c>
      <c r="C1208" s="191" t="b">
        <f>ROUND(C1196+C1197+C1198-C1200+C1202-C1203,0)=ROUND(C1204,0)</f>
        <v>1</v>
      </c>
      <c r="D1208" s="191" t="b">
        <f>ROUND(D1196+D1197+D1198-D1200+D1202-D1203,0)=ROUND(D1204,0)</f>
        <v>1</v>
      </c>
      <c r="E1208" s="149"/>
      <c r="F1208" s="149"/>
      <c r="G1208" s="176">
        <f>보고서!L1360</f>
        <v>0</v>
      </c>
      <c r="H1208" s="176">
        <f>보고서!M1360</f>
        <v>0</v>
      </c>
      <c r="I1208" s="176">
        <f>보고서!N1360</f>
        <v>0</v>
      </c>
      <c r="J1208" s="208">
        <f>보고서!O1360</f>
        <v>0</v>
      </c>
      <c r="K1208" s="208">
        <f>보고서!P1360</f>
        <v>0</v>
      </c>
      <c r="L1208" s="208">
        <f>보고서!Q1360</f>
        <v>0</v>
      </c>
    </row>
    <row r="1209" spans="2:12">
      <c r="B1209" s="149"/>
      <c r="C1209" s="149"/>
      <c r="D1209" s="149"/>
      <c r="E1209" s="149"/>
      <c r="F1209" s="149"/>
      <c r="G1209" s="176">
        <f>보고서!L1361</f>
        <v>0</v>
      </c>
      <c r="H1209" s="176">
        <f>보고서!M1361</f>
        <v>0</v>
      </c>
      <c r="I1209" s="176">
        <f>보고서!N1361</f>
        <v>0</v>
      </c>
      <c r="J1209" s="208">
        <f>보고서!O1361</f>
        <v>0</v>
      </c>
      <c r="K1209" s="208">
        <f>보고서!P1361</f>
        <v>0</v>
      </c>
      <c r="L1209" s="208">
        <f>보고서!Q1361</f>
        <v>0</v>
      </c>
    </row>
    <row r="1210" spans="2:12">
      <c r="B1210" s="865" t="str">
        <f>IF(B1191="SPC없음","해당사항 없음",B1222)</f>
        <v>해당사항 없음</v>
      </c>
      <c r="C1210" s="866"/>
      <c r="D1210" s="866"/>
      <c r="E1210" s="867"/>
      <c r="F1210" s="149"/>
      <c r="G1210" s="176">
        <f>보고서!L1362</f>
        <v>0</v>
      </c>
      <c r="H1210" s="176">
        <f>보고서!M1362</f>
        <v>0</v>
      </c>
      <c r="I1210" s="176">
        <f>보고서!N1362</f>
        <v>0</v>
      </c>
      <c r="J1210" s="208">
        <f>보고서!O1362</f>
        <v>0</v>
      </c>
      <c r="K1210" s="208">
        <f>보고서!P1362</f>
        <v>0</v>
      </c>
      <c r="L1210" s="208">
        <f>보고서!Q1362</f>
        <v>0</v>
      </c>
    </row>
    <row r="1211" spans="2:12">
      <c r="B1211" s="868"/>
      <c r="C1211" s="869"/>
      <c r="D1211" s="869"/>
      <c r="E1211" s="870"/>
      <c r="F1211" s="149"/>
      <c r="G1211" s="176">
        <f>보고서!L1363</f>
        <v>0</v>
      </c>
      <c r="H1211" s="176">
        <f>보고서!M1363</f>
        <v>0</v>
      </c>
      <c r="I1211" s="176">
        <f>보고서!N1363</f>
        <v>0</v>
      </c>
      <c r="J1211" s="208">
        <f>보고서!O1363</f>
        <v>0</v>
      </c>
      <c r="K1211" s="208">
        <f>보고서!P1363</f>
        <v>0</v>
      </c>
      <c r="L1211" s="208">
        <f>보고서!Q1363</f>
        <v>0</v>
      </c>
    </row>
    <row r="1212" spans="2:12">
      <c r="B1212" s="868"/>
      <c r="C1212" s="869"/>
      <c r="D1212" s="869"/>
      <c r="E1212" s="870"/>
      <c r="F1212" s="149"/>
      <c r="G1212" s="176">
        <f>보고서!L1364</f>
        <v>0</v>
      </c>
      <c r="H1212" s="176">
        <f>보고서!M1364</f>
        <v>0</v>
      </c>
      <c r="I1212" s="176">
        <f>보고서!N1364</f>
        <v>0</v>
      </c>
      <c r="J1212" s="208">
        <f>보고서!O1364</f>
        <v>0</v>
      </c>
      <c r="K1212" s="208">
        <f>보고서!P1364</f>
        <v>0</v>
      </c>
      <c r="L1212" s="208">
        <f>보고서!Q1364</f>
        <v>0</v>
      </c>
    </row>
    <row r="1213" spans="2:12">
      <c r="B1213" s="868"/>
      <c r="C1213" s="869"/>
      <c r="D1213" s="869"/>
      <c r="E1213" s="870"/>
      <c r="F1213" s="149"/>
      <c r="G1213" s="176">
        <f>보고서!L1365</f>
        <v>0</v>
      </c>
      <c r="H1213" s="176">
        <f>보고서!M1365</f>
        <v>0</v>
      </c>
      <c r="I1213" s="176">
        <f>보고서!N1365</f>
        <v>0</v>
      </c>
      <c r="J1213" s="208">
        <f>보고서!O1365</f>
        <v>0</v>
      </c>
      <c r="K1213" s="208">
        <f>보고서!P1365</f>
        <v>0</v>
      </c>
      <c r="L1213" s="208">
        <f>보고서!Q1365</f>
        <v>0</v>
      </c>
    </row>
    <row r="1214" spans="2:12" ht="14.25" thickBot="1">
      <c r="B1214" s="868"/>
      <c r="C1214" s="869"/>
      <c r="D1214" s="869"/>
      <c r="E1214" s="870"/>
      <c r="F1214" s="149"/>
      <c r="G1214" s="182">
        <f>보고서!L1366</f>
        <v>0</v>
      </c>
      <c r="H1214" s="182">
        <f>보고서!M1366</f>
        <v>0</v>
      </c>
      <c r="I1214" s="182">
        <f>보고서!N1366</f>
        <v>0</v>
      </c>
      <c r="J1214" s="212">
        <f>보고서!O1366</f>
        <v>0</v>
      </c>
      <c r="K1214" s="212">
        <f>보고서!P1366</f>
        <v>0</v>
      </c>
      <c r="L1214" s="212">
        <f>보고서!Q1366</f>
        <v>0</v>
      </c>
    </row>
    <row r="1215" spans="2:12" ht="14.25" thickTop="1">
      <c r="B1215" s="868"/>
      <c r="C1215" s="869"/>
      <c r="D1215" s="869"/>
      <c r="E1215" s="870"/>
      <c r="G1215" s="908" t="s">
        <v>3496</v>
      </c>
      <c r="H1215" s="908"/>
      <c r="I1215" s="908"/>
      <c r="J1215" s="908"/>
      <c r="K1215" s="223">
        <f>SUM(K1204:K1214)</f>
        <v>0</v>
      </c>
      <c r="L1215" s="223">
        <f>SUM(L1204:L1214)</f>
        <v>0</v>
      </c>
    </row>
    <row r="1216" spans="2:12">
      <c r="B1216" s="868"/>
      <c r="C1216" s="869"/>
      <c r="D1216" s="869"/>
      <c r="E1216" s="870"/>
    </row>
    <row r="1217" spans="2:5">
      <c r="B1217" s="868"/>
      <c r="C1217" s="869"/>
      <c r="D1217" s="869"/>
      <c r="E1217" s="870"/>
    </row>
    <row r="1218" spans="2:5">
      <c r="B1218" s="868"/>
      <c r="C1218" s="869"/>
      <c r="D1218" s="869"/>
      <c r="E1218" s="870"/>
    </row>
    <row r="1219" spans="2:5">
      <c r="B1219" s="868"/>
      <c r="C1219" s="869"/>
      <c r="D1219" s="869"/>
      <c r="E1219" s="870"/>
    </row>
    <row r="1220" spans="2:5">
      <c r="B1220" s="868"/>
      <c r="C1220" s="869"/>
      <c r="D1220" s="869"/>
      <c r="E1220" s="870"/>
    </row>
    <row r="1221" spans="2:5">
      <c r="B1221" s="871"/>
      <c r="C1221" s="872"/>
      <c r="D1221" s="872"/>
      <c r="E1221" s="873"/>
    </row>
    <row r="1222" spans="2:5">
      <c r="B1222" s="224" t="s">
        <v>857</v>
      </c>
    </row>
  </sheetData>
  <mergeCells count="80">
    <mergeCell ref="G1119:J1119"/>
    <mergeCell ref="G1151:J1151"/>
    <mergeCell ref="G1183:J1183"/>
    <mergeCell ref="G1215:J1215"/>
    <mergeCell ref="G290:J290"/>
    <mergeCell ref="G991:J991"/>
    <mergeCell ref="G1023:J1023"/>
    <mergeCell ref="G1055:J1055"/>
    <mergeCell ref="G1087:J1087"/>
    <mergeCell ref="G831:J831"/>
    <mergeCell ref="G863:J863"/>
    <mergeCell ref="G895:J895"/>
    <mergeCell ref="G927:J927"/>
    <mergeCell ref="G959:J959"/>
    <mergeCell ref="G671:J671"/>
    <mergeCell ref="G703:J703"/>
    <mergeCell ref="G735:J735"/>
    <mergeCell ref="G767:J767"/>
    <mergeCell ref="G799:J799"/>
    <mergeCell ref="G511:J511"/>
    <mergeCell ref="G543:J543"/>
    <mergeCell ref="G575:J575"/>
    <mergeCell ref="G607:J607"/>
    <mergeCell ref="G639:J639"/>
    <mergeCell ref="G351:J351"/>
    <mergeCell ref="G383:J383"/>
    <mergeCell ref="G415:J415"/>
    <mergeCell ref="G447:J447"/>
    <mergeCell ref="G479:J479"/>
    <mergeCell ref="B107:C107"/>
    <mergeCell ref="G319:J319"/>
    <mergeCell ref="B76:C76"/>
    <mergeCell ref="B101:C101"/>
    <mergeCell ref="B102:C102"/>
    <mergeCell ref="B103:C103"/>
    <mergeCell ref="B104:C104"/>
    <mergeCell ref="B314:E325"/>
    <mergeCell ref="B346:E357"/>
    <mergeCell ref="B114:E133"/>
    <mergeCell ref="B112:E112"/>
    <mergeCell ref="C6:D6"/>
    <mergeCell ref="C7:D7"/>
    <mergeCell ref="C8:D8"/>
    <mergeCell ref="C9:D9"/>
    <mergeCell ref="C10:D10"/>
    <mergeCell ref="C13:D13"/>
    <mergeCell ref="C14:D14"/>
    <mergeCell ref="C15:D15"/>
    <mergeCell ref="C16:D16"/>
    <mergeCell ref="B21:B22"/>
    <mergeCell ref="C11:D11"/>
    <mergeCell ref="C12:D12"/>
    <mergeCell ref="B106:C106"/>
    <mergeCell ref="B538:E549"/>
    <mergeCell ref="B570:E581"/>
    <mergeCell ref="B602:E613"/>
    <mergeCell ref="B634:E645"/>
    <mergeCell ref="B378:E389"/>
    <mergeCell ref="B410:E421"/>
    <mergeCell ref="B442:E453"/>
    <mergeCell ref="B474:E485"/>
    <mergeCell ref="B506:E517"/>
    <mergeCell ref="B666:E677"/>
    <mergeCell ref="B698:E709"/>
    <mergeCell ref="B730:E741"/>
    <mergeCell ref="B762:E773"/>
    <mergeCell ref="B794:E805"/>
    <mergeCell ref="B826:E837"/>
    <mergeCell ref="B858:E869"/>
    <mergeCell ref="B890:E901"/>
    <mergeCell ref="B922:E933"/>
    <mergeCell ref="B954:E965"/>
    <mergeCell ref="B1146:E1157"/>
    <mergeCell ref="B1178:E1189"/>
    <mergeCell ref="B1210:E1221"/>
    <mergeCell ref="B986:E997"/>
    <mergeCell ref="B1018:E1029"/>
    <mergeCell ref="B1050:E1061"/>
    <mergeCell ref="B1082:E1093"/>
    <mergeCell ref="B1114:E1125"/>
  </mergeCells>
  <phoneticPr fontId="8" type="noConversion"/>
  <dataValidations disablePrompts="1" count="1">
    <dataValidation type="list" allowBlank="1" showInputMessage="1" showErrorMessage="1" sqref="E101">
      <formula1>"#1. 특이사항 없음, #2. 우선분배/손실 반영, #3. GP성과보수 반영"</formula1>
    </dataValidation>
  </dataValidations>
  <pageMargins left="0.7" right="0.7" top="0.75" bottom="0.75" header="0.3" footer="0.3"/>
  <pageSetup paperSize="9" orientation="portrait" r:id="rId1"/>
  <ignoredErrors>
    <ignoredError sqref="D305:E311 D89:E89 D313:E313 E312 D92:E92 D90 D91 E94 D93" formula="1"/>
    <ignoredError sqref="D106 D103 F103:F105 F107 F106 D105" evalError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0" tint="-0.34998626667073579"/>
  </sheetPr>
  <dimension ref="A1:V471"/>
  <sheetViews>
    <sheetView zoomScale="70" zoomScaleNormal="70" workbookViewId="0"/>
  </sheetViews>
  <sheetFormatPr defaultRowHeight="15"/>
  <cols>
    <col min="1" max="7" width="11.44140625" style="1" customWidth="1"/>
    <col min="8" max="9" width="12.21875" style="1" customWidth="1"/>
    <col min="10" max="13" width="11.44140625" style="1" customWidth="1"/>
    <col min="14" max="14" width="14.44140625" style="1" customWidth="1"/>
    <col min="15" max="19" width="11.44140625" style="1" customWidth="1"/>
  </cols>
  <sheetData>
    <row r="1" spans="1:22" ht="13.5">
      <c r="A1" s="4" t="s">
        <v>3217</v>
      </c>
      <c r="B1" s="4" t="s">
        <v>3216</v>
      </c>
      <c r="C1" s="4" t="s">
        <v>984</v>
      </c>
      <c r="D1" s="4" t="s">
        <v>3222</v>
      </c>
      <c r="E1" s="4" t="s">
        <v>3208</v>
      </c>
      <c r="F1" s="4" t="s">
        <v>3203</v>
      </c>
      <c r="G1" s="4" t="s">
        <v>3223</v>
      </c>
      <c r="H1" s="4" t="s">
        <v>3224</v>
      </c>
      <c r="I1" s="4" t="s">
        <v>3204</v>
      </c>
      <c r="J1" s="4" t="s">
        <v>3205</v>
      </c>
      <c r="K1" s="3" t="s">
        <v>3209</v>
      </c>
      <c r="L1" s="3" t="s">
        <v>3210</v>
      </c>
      <c r="M1" s="4" t="s">
        <v>47</v>
      </c>
      <c r="N1" s="4" t="s">
        <v>3211</v>
      </c>
      <c r="O1" s="4" t="s">
        <v>3212</v>
      </c>
      <c r="P1" s="4" t="s">
        <v>28</v>
      </c>
      <c r="Q1" s="4" t="s">
        <v>3213</v>
      </c>
      <c r="R1" s="4" t="s">
        <v>3206</v>
      </c>
      <c r="S1" s="4" t="s">
        <v>3207</v>
      </c>
      <c r="T1" s="4" t="s">
        <v>3214</v>
      </c>
      <c r="U1" s="4" t="s">
        <v>3225</v>
      </c>
      <c r="V1" s="4" t="s">
        <v>3215</v>
      </c>
    </row>
    <row r="2" spans="1:22">
      <c r="A2" s="7">
        <f t="shared" ref="A2:A65" si="0">ROW()-1</f>
        <v>1</v>
      </c>
      <c r="B2" s="7">
        <f>TYPE(종목정보tbl!$C2)</f>
        <v>2</v>
      </c>
      <c r="C2" s="6" t="str">
        <f>NAV!J43</f>
        <v xml:space="preserve">성림첨단산업                                      </v>
      </c>
      <c r="D2" s="6">
        <f>NAV!K43</f>
        <v>1701110075540</v>
      </c>
      <c r="E2" s="6" t="str">
        <f>NAV!L43</f>
        <v>유재호</v>
      </c>
      <c r="F2" s="6" t="str">
        <f>NAV!M43</f>
        <v>비상장</v>
      </c>
      <c r="G2" s="6" t="str">
        <f>NAV!N43</f>
        <v>보통주</v>
      </c>
      <c r="H2" s="6">
        <f>NAV!O43</f>
        <v>0</v>
      </c>
      <c r="I2" s="6" t="str">
        <f>NAV!P43</f>
        <v>주당</v>
      </c>
      <c r="J2" s="6">
        <f>NAV!Q43</f>
        <v>909090</v>
      </c>
      <c r="K2" s="9">
        <f>NAV!R43</f>
        <v>28558</v>
      </c>
      <c r="L2" s="6">
        <f>NAV!S43</f>
        <v>25961792220</v>
      </c>
      <c r="M2" s="6" t="str">
        <f>NAV!T43</f>
        <v>DCF</v>
      </c>
      <c r="N2" s="6" t="str">
        <f>NAV!U43</f>
        <v>한국 원화(KRW)</v>
      </c>
      <c r="O2" s="6">
        <f>NAV!V43</f>
        <v>1</v>
      </c>
      <c r="P2" s="6">
        <f>NAV!W43</f>
        <v>9999990000</v>
      </c>
      <c r="Q2" s="6">
        <f>NAV!X43</f>
        <v>11000</v>
      </c>
      <c r="R2" s="6">
        <f>NAV!Y43</f>
        <v>9999990000</v>
      </c>
      <c r="S2" s="6">
        <f>NAV!Z43</f>
        <v>27328154490</v>
      </c>
      <c r="T2" s="6">
        <f>NAV!AA43</f>
        <v>-4.9998336715345482E-2</v>
      </c>
      <c r="U2" s="10">
        <f>NAV!AB43</f>
        <v>44390</v>
      </c>
      <c r="V2" s="6" t="str">
        <f>NAV!AC43</f>
        <v>2년이상</v>
      </c>
    </row>
    <row r="3" spans="1:22">
      <c r="A3" s="7">
        <f t="shared" si="0"/>
        <v>2</v>
      </c>
      <c r="B3" s="7">
        <f>TYPE(종목정보tbl!$C3)</f>
        <v>1</v>
      </c>
      <c r="C3" s="6">
        <f>NAV!J44</f>
        <v>0</v>
      </c>
      <c r="D3" s="6">
        <f>NAV!K44</f>
        <v>0</v>
      </c>
      <c r="E3" s="6">
        <f>NAV!L44</f>
        <v>0</v>
      </c>
      <c r="F3" s="8">
        <f>NAV!M44</f>
        <v>0</v>
      </c>
      <c r="G3" s="6">
        <f>NAV!N44</f>
        <v>0</v>
      </c>
      <c r="H3" s="6">
        <f>NAV!O44</f>
        <v>0</v>
      </c>
      <c r="I3" s="6">
        <f>NAV!P44</f>
        <v>0</v>
      </c>
      <c r="J3" s="6">
        <f>NAV!Q44</f>
        <v>0</v>
      </c>
      <c r="K3" s="9">
        <f>NAV!R44</f>
        <v>0</v>
      </c>
      <c r="L3" s="6">
        <f>NAV!S44</f>
        <v>0</v>
      </c>
      <c r="M3" s="6">
        <f>NAV!T44</f>
        <v>0</v>
      </c>
      <c r="N3" s="6" t="str">
        <f>NAV!U44</f>
        <v>한국 원화(KRW)</v>
      </c>
      <c r="O3" s="6">
        <f>NAV!V44</f>
        <v>1</v>
      </c>
      <c r="P3" s="6">
        <f>NAV!W44</f>
        <v>0</v>
      </c>
      <c r="Q3" s="6">
        <f>NAV!X44</f>
        <v>0</v>
      </c>
      <c r="R3" s="6">
        <f>NAV!Y44</f>
        <v>0</v>
      </c>
      <c r="S3" s="6">
        <f>NAV!Z44</f>
        <v>0</v>
      </c>
      <c r="T3" s="6">
        <f>NAV!AA44</f>
        <v>0</v>
      </c>
      <c r="U3" s="10">
        <f>NAV!AB44</f>
        <v>0</v>
      </c>
      <c r="V3" s="6" t="str">
        <f>NAV!AC44</f>
        <v>2년이상</v>
      </c>
    </row>
    <row r="4" spans="1:22">
      <c r="A4" s="7">
        <f t="shared" si="0"/>
        <v>3</v>
      </c>
      <c r="B4" s="7">
        <f>TYPE(종목정보tbl!$C4)</f>
        <v>1</v>
      </c>
      <c r="C4" s="6">
        <f>NAV!J45</f>
        <v>0</v>
      </c>
      <c r="D4" s="6">
        <f>NAV!K45</f>
        <v>0</v>
      </c>
      <c r="E4" s="6">
        <f>NAV!L45</f>
        <v>0</v>
      </c>
      <c r="F4" s="6">
        <f>NAV!M45</f>
        <v>0</v>
      </c>
      <c r="G4" s="6">
        <f>NAV!N45</f>
        <v>0</v>
      </c>
      <c r="H4" s="6">
        <f>NAV!O45</f>
        <v>0</v>
      </c>
      <c r="I4" s="6">
        <f>NAV!P45</f>
        <v>0</v>
      </c>
      <c r="J4" s="6">
        <f>NAV!Q45</f>
        <v>0</v>
      </c>
      <c r="K4" s="9">
        <f>NAV!R45</f>
        <v>0</v>
      </c>
      <c r="L4" s="6">
        <f>NAV!S45</f>
        <v>0</v>
      </c>
      <c r="M4" s="6">
        <f>NAV!T45</f>
        <v>0</v>
      </c>
      <c r="N4" s="6" t="str">
        <f>NAV!U45</f>
        <v>한국 원화(KRW)</v>
      </c>
      <c r="O4" s="6">
        <f>NAV!V45</f>
        <v>1</v>
      </c>
      <c r="P4" s="6">
        <f>NAV!W45</f>
        <v>0</v>
      </c>
      <c r="Q4" s="6">
        <f>NAV!X45</f>
        <v>0</v>
      </c>
      <c r="R4" s="6">
        <f>NAV!Y45</f>
        <v>0</v>
      </c>
      <c r="S4" s="6">
        <f>NAV!Z45</f>
        <v>0</v>
      </c>
      <c r="T4" s="6">
        <f>NAV!AA45</f>
        <v>0</v>
      </c>
      <c r="U4" s="10">
        <f>NAV!AB45</f>
        <v>0</v>
      </c>
      <c r="V4" s="6" t="str">
        <f>NAV!AC45</f>
        <v>2년이상</v>
      </c>
    </row>
    <row r="5" spans="1:22">
      <c r="A5" s="7">
        <f t="shared" si="0"/>
        <v>4</v>
      </c>
      <c r="B5" s="7">
        <f>TYPE(종목정보tbl!$C5)</f>
        <v>1</v>
      </c>
      <c r="C5" s="6">
        <f>NAV!J46</f>
        <v>0</v>
      </c>
      <c r="D5" s="6">
        <f>NAV!K46</f>
        <v>0</v>
      </c>
      <c r="E5" s="6">
        <f>NAV!L46</f>
        <v>0</v>
      </c>
      <c r="F5" s="6">
        <f>NAV!M46</f>
        <v>0</v>
      </c>
      <c r="G5" s="6">
        <f>NAV!N46</f>
        <v>0</v>
      </c>
      <c r="H5" s="6">
        <f>NAV!O46</f>
        <v>0</v>
      </c>
      <c r="I5" s="6">
        <f>NAV!P46</f>
        <v>0</v>
      </c>
      <c r="J5" s="6">
        <f>NAV!Q46</f>
        <v>0</v>
      </c>
      <c r="K5" s="9">
        <f>NAV!R46</f>
        <v>0</v>
      </c>
      <c r="L5" s="6">
        <f>NAV!S46</f>
        <v>0</v>
      </c>
      <c r="M5" s="6">
        <f>NAV!T46</f>
        <v>0</v>
      </c>
      <c r="N5" s="6" t="str">
        <f>NAV!U46</f>
        <v>한국 원화(KRW)</v>
      </c>
      <c r="O5" s="6">
        <f>NAV!V46</f>
        <v>1</v>
      </c>
      <c r="P5" s="6">
        <f>NAV!W46</f>
        <v>0</v>
      </c>
      <c r="Q5" s="6">
        <f>NAV!X46</f>
        <v>0</v>
      </c>
      <c r="R5" s="6">
        <f>NAV!Y46</f>
        <v>0</v>
      </c>
      <c r="S5" s="6">
        <f>NAV!Z46</f>
        <v>0</v>
      </c>
      <c r="T5" s="6">
        <f>NAV!AA46</f>
        <v>0</v>
      </c>
      <c r="U5" s="10">
        <f>NAV!AB46</f>
        <v>0</v>
      </c>
      <c r="V5" s="6" t="str">
        <f>NAV!AC46</f>
        <v>2년이상</v>
      </c>
    </row>
    <row r="6" spans="1:22">
      <c r="A6" s="7">
        <f t="shared" si="0"/>
        <v>5</v>
      </c>
      <c r="B6" s="7">
        <f>TYPE(종목정보tbl!$C6)</f>
        <v>1</v>
      </c>
      <c r="C6" s="6">
        <f>NAV!J47</f>
        <v>0</v>
      </c>
      <c r="D6" s="6">
        <f>NAV!K47</f>
        <v>0</v>
      </c>
      <c r="E6" s="6">
        <f>NAV!L47</f>
        <v>0</v>
      </c>
      <c r="F6" s="6">
        <f>NAV!M47</f>
        <v>0</v>
      </c>
      <c r="G6" s="6">
        <f>NAV!N47</f>
        <v>0</v>
      </c>
      <c r="H6" s="6">
        <f>NAV!O47</f>
        <v>0</v>
      </c>
      <c r="I6" s="6">
        <f>NAV!P47</f>
        <v>0</v>
      </c>
      <c r="J6" s="6">
        <f>NAV!Q47</f>
        <v>0</v>
      </c>
      <c r="K6" s="9">
        <f>NAV!R47</f>
        <v>0</v>
      </c>
      <c r="L6" s="6">
        <f>NAV!S47</f>
        <v>0</v>
      </c>
      <c r="M6" s="6">
        <f>NAV!T47</f>
        <v>0</v>
      </c>
      <c r="N6" s="6" t="str">
        <f>NAV!U47</f>
        <v>한국 원화(KRW)</v>
      </c>
      <c r="O6" s="6">
        <f>NAV!V47</f>
        <v>1</v>
      </c>
      <c r="P6" s="6">
        <f>NAV!W47</f>
        <v>0</v>
      </c>
      <c r="Q6" s="6">
        <f>NAV!X47</f>
        <v>0</v>
      </c>
      <c r="R6" s="6">
        <f>NAV!Y47</f>
        <v>0</v>
      </c>
      <c r="S6" s="6">
        <f>NAV!Z47</f>
        <v>0</v>
      </c>
      <c r="T6" s="6">
        <f>NAV!AA47</f>
        <v>0</v>
      </c>
      <c r="U6" s="10">
        <f>NAV!AB47</f>
        <v>0</v>
      </c>
      <c r="V6" s="6" t="str">
        <f>NAV!AC47</f>
        <v>2년이상</v>
      </c>
    </row>
    <row r="7" spans="1:22">
      <c r="A7" s="7">
        <f t="shared" si="0"/>
        <v>6</v>
      </c>
      <c r="B7" s="7">
        <f>TYPE(종목정보tbl!$C7)</f>
        <v>1</v>
      </c>
      <c r="C7" s="6">
        <f>NAV!J48</f>
        <v>0</v>
      </c>
      <c r="D7" s="6">
        <f>NAV!K48</f>
        <v>0</v>
      </c>
      <c r="E7" s="6">
        <f>NAV!L48</f>
        <v>0</v>
      </c>
      <c r="F7" s="6">
        <f>NAV!M48</f>
        <v>0</v>
      </c>
      <c r="G7" s="6">
        <f>NAV!N48</f>
        <v>0</v>
      </c>
      <c r="H7" s="6">
        <f>NAV!O48</f>
        <v>0</v>
      </c>
      <c r="I7" s="6">
        <f>NAV!P48</f>
        <v>0</v>
      </c>
      <c r="J7" s="6">
        <f>NAV!Q48</f>
        <v>0</v>
      </c>
      <c r="K7" s="9">
        <f>NAV!R48</f>
        <v>0</v>
      </c>
      <c r="L7" s="6">
        <f>NAV!S48</f>
        <v>0</v>
      </c>
      <c r="M7" s="6">
        <f>NAV!T48</f>
        <v>0</v>
      </c>
      <c r="N7" s="6" t="str">
        <f>NAV!U48</f>
        <v>한국 원화(KRW)</v>
      </c>
      <c r="O7" s="6">
        <f>NAV!V48</f>
        <v>1</v>
      </c>
      <c r="P7" s="6">
        <f>NAV!W48</f>
        <v>0</v>
      </c>
      <c r="Q7" s="6">
        <f>NAV!X48</f>
        <v>0</v>
      </c>
      <c r="R7" s="6">
        <f>NAV!Y48</f>
        <v>0</v>
      </c>
      <c r="S7" s="6">
        <f>NAV!Z48</f>
        <v>0</v>
      </c>
      <c r="T7" s="6">
        <f>NAV!AA48</f>
        <v>0</v>
      </c>
      <c r="U7" s="10">
        <f>NAV!AB48</f>
        <v>0</v>
      </c>
      <c r="V7" s="6" t="str">
        <f>NAV!AC48</f>
        <v>2년이상</v>
      </c>
    </row>
    <row r="8" spans="1:22">
      <c r="A8" s="7">
        <f t="shared" si="0"/>
        <v>7</v>
      </c>
      <c r="B8" s="7">
        <f>TYPE(종목정보tbl!$C8)</f>
        <v>1</v>
      </c>
      <c r="C8" s="6">
        <f>NAV!J49</f>
        <v>0</v>
      </c>
      <c r="D8" s="6">
        <f>NAV!K49</f>
        <v>0</v>
      </c>
      <c r="E8" s="6">
        <f>NAV!L49</f>
        <v>0</v>
      </c>
      <c r="F8" s="6">
        <f>NAV!M49</f>
        <v>0</v>
      </c>
      <c r="G8" s="6">
        <f>NAV!N49</f>
        <v>0</v>
      </c>
      <c r="H8" s="6">
        <f>NAV!O49</f>
        <v>0</v>
      </c>
      <c r="I8" s="6">
        <f>NAV!P49</f>
        <v>0</v>
      </c>
      <c r="J8" s="6">
        <f>NAV!Q49</f>
        <v>0</v>
      </c>
      <c r="K8" s="9">
        <f>NAV!R49</f>
        <v>0</v>
      </c>
      <c r="L8" s="6">
        <f>NAV!S49</f>
        <v>0</v>
      </c>
      <c r="M8" s="6">
        <f>NAV!T49</f>
        <v>0</v>
      </c>
      <c r="N8" s="6" t="str">
        <f>NAV!U49</f>
        <v>한국 원화(KRW)</v>
      </c>
      <c r="O8" s="6">
        <f>NAV!V49</f>
        <v>1</v>
      </c>
      <c r="P8" s="6">
        <f>NAV!W49</f>
        <v>0</v>
      </c>
      <c r="Q8" s="6">
        <f>NAV!X49</f>
        <v>0</v>
      </c>
      <c r="R8" s="6">
        <f>NAV!Y49</f>
        <v>0</v>
      </c>
      <c r="S8" s="6">
        <f>NAV!Z49</f>
        <v>0</v>
      </c>
      <c r="T8" s="6">
        <f>NAV!AA49</f>
        <v>0</v>
      </c>
      <c r="U8" s="10">
        <f>NAV!AB49</f>
        <v>0</v>
      </c>
      <c r="V8" s="6" t="str">
        <f>NAV!AC49</f>
        <v>2년이상</v>
      </c>
    </row>
    <row r="9" spans="1:22">
      <c r="A9" s="7">
        <f t="shared" si="0"/>
        <v>8</v>
      </c>
      <c r="B9" s="7">
        <f>TYPE(종목정보tbl!$C9)</f>
        <v>1</v>
      </c>
      <c r="C9" s="6">
        <f>NAV!J50</f>
        <v>0</v>
      </c>
      <c r="D9" s="6">
        <f>NAV!K50</f>
        <v>0</v>
      </c>
      <c r="E9" s="6">
        <f>NAV!L50</f>
        <v>0</v>
      </c>
      <c r="F9" s="6">
        <f>NAV!M50</f>
        <v>0</v>
      </c>
      <c r="G9" s="6">
        <f>NAV!N50</f>
        <v>0</v>
      </c>
      <c r="H9" s="6">
        <f>NAV!O50</f>
        <v>0</v>
      </c>
      <c r="I9" s="6">
        <f>NAV!P50</f>
        <v>0</v>
      </c>
      <c r="J9" s="6">
        <f>NAV!Q50</f>
        <v>0</v>
      </c>
      <c r="K9" s="9">
        <f>NAV!R50</f>
        <v>0</v>
      </c>
      <c r="L9" s="6">
        <f>NAV!S50</f>
        <v>0</v>
      </c>
      <c r="M9" s="6">
        <f>NAV!T50</f>
        <v>0</v>
      </c>
      <c r="N9" s="6" t="str">
        <f>NAV!U50</f>
        <v>한국 원화(KRW)</v>
      </c>
      <c r="O9" s="6">
        <f>NAV!V50</f>
        <v>1</v>
      </c>
      <c r="P9" s="6">
        <f>NAV!W50</f>
        <v>0</v>
      </c>
      <c r="Q9" s="6">
        <f>NAV!X50</f>
        <v>0</v>
      </c>
      <c r="R9" s="6">
        <f>NAV!Y50</f>
        <v>0</v>
      </c>
      <c r="S9" s="6">
        <f>NAV!Z50</f>
        <v>0</v>
      </c>
      <c r="T9" s="6">
        <f>NAV!AA50</f>
        <v>0</v>
      </c>
      <c r="U9" s="10">
        <f>NAV!AB50</f>
        <v>0</v>
      </c>
      <c r="V9" s="6" t="str">
        <f>NAV!AC50</f>
        <v>2년이상</v>
      </c>
    </row>
    <row r="10" spans="1:22">
      <c r="A10" s="7">
        <f t="shared" si="0"/>
        <v>9</v>
      </c>
      <c r="B10" s="7">
        <f>TYPE(종목정보tbl!$C10)</f>
        <v>1</v>
      </c>
      <c r="C10" s="6">
        <f>NAV!J51</f>
        <v>0</v>
      </c>
      <c r="D10" s="6">
        <f>NAV!K51</f>
        <v>0</v>
      </c>
      <c r="E10" s="6">
        <f>NAV!L51</f>
        <v>0</v>
      </c>
      <c r="F10" s="6">
        <f>NAV!M51</f>
        <v>0</v>
      </c>
      <c r="G10" s="6">
        <f>NAV!N51</f>
        <v>0</v>
      </c>
      <c r="H10" s="6">
        <f>NAV!O51</f>
        <v>0</v>
      </c>
      <c r="I10" s="6">
        <f>NAV!P51</f>
        <v>0</v>
      </c>
      <c r="J10" s="6">
        <f>NAV!Q51</f>
        <v>0</v>
      </c>
      <c r="K10" s="9">
        <f>NAV!R51</f>
        <v>0</v>
      </c>
      <c r="L10" s="6">
        <f>NAV!S51</f>
        <v>0</v>
      </c>
      <c r="M10" s="6">
        <f>NAV!T51</f>
        <v>0</v>
      </c>
      <c r="N10" s="6" t="str">
        <f>NAV!U51</f>
        <v>한국 원화(KRW)</v>
      </c>
      <c r="O10" s="6">
        <f>NAV!V51</f>
        <v>1</v>
      </c>
      <c r="P10" s="6">
        <f>NAV!W51</f>
        <v>0</v>
      </c>
      <c r="Q10" s="6">
        <f>NAV!X51</f>
        <v>0</v>
      </c>
      <c r="R10" s="6">
        <f>NAV!Y51</f>
        <v>0</v>
      </c>
      <c r="S10" s="6">
        <f>NAV!Z51</f>
        <v>0</v>
      </c>
      <c r="T10" s="6">
        <f>NAV!AA51</f>
        <v>0</v>
      </c>
      <c r="U10" s="10">
        <f>NAV!AB51</f>
        <v>0</v>
      </c>
      <c r="V10" s="6" t="str">
        <f>NAV!AC51</f>
        <v>2년이상</v>
      </c>
    </row>
    <row r="11" spans="1:22">
      <c r="A11" s="7">
        <f t="shared" si="0"/>
        <v>10</v>
      </c>
      <c r="B11" s="7">
        <f>TYPE(종목정보tbl!$C11)</f>
        <v>1</v>
      </c>
      <c r="C11" s="6">
        <f>NAV!J52</f>
        <v>0</v>
      </c>
      <c r="D11" s="6">
        <f>NAV!K52</f>
        <v>0</v>
      </c>
      <c r="E11" s="6">
        <f>NAV!L52</f>
        <v>0</v>
      </c>
      <c r="F11" s="6">
        <f>NAV!M52</f>
        <v>0</v>
      </c>
      <c r="G11" s="6">
        <f>NAV!N52</f>
        <v>0</v>
      </c>
      <c r="H11" s="6">
        <f>NAV!O52</f>
        <v>0</v>
      </c>
      <c r="I11" s="6">
        <f>NAV!P52</f>
        <v>0</v>
      </c>
      <c r="J11" s="6">
        <f>NAV!Q52</f>
        <v>0</v>
      </c>
      <c r="K11" s="9">
        <f>NAV!R52</f>
        <v>0</v>
      </c>
      <c r="L11" s="6">
        <f>NAV!S52</f>
        <v>0</v>
      </c>
      <c r="M11" s="6">
        <f>NAV!T52</f>
        <v>0</v>
      </c>
      <c r="N11" s="6" t="str">
        <f>NAV!U52</f>
        <v>한국 원화(KRW)</v>
      </c>
      <c r="O11" s="6">
        <f>NAV!V52</f>
        <v>1</v>
      </c>
      <c r="P11" s="6">
        <f>NAV!W52</f>
        <v>0</v>
      </c>
      <c r="Q11" s="6">
        <f>NAV!X52</f>
        <v>0</v>
      </c>
      <c r="R11" s="6">
        <f>NAV!Y52</f>
        <v>0</v>
      </c>
      <c r="S11" s="6">
        <f>NAV!Z52</f>
        <v>0</v>
      </c>
      <c r="T11" s="6">
        <f>NAV!AA52</f>
        <v>0</v>
      </c>
      <c r="U11" s="10">
        <f>NAV!AB52</f>
        <v>0</v>
      </c>
      <c r="V11" s="6" t="str">
        <f>NAV!AC52</f>
        <v>2년이상</v>
      </c>
    </row>
    <row r="12" spans="1:22">
      <c r="A12" s="7">
        <f t="shared" si="0"/>
        <v>11</v>
      </c>
      <c r="B12" s="7">
        <f>TYPE(종목정보tbl!$C12)</f>
        <v>1</v>
      </c>
      <c r="C12" s="6">
        <f>NAV!J53</f>
        <v>0</v>
      </c>
      <c r="D12" s="6">
        <f>NAV!K53</f>
        <v>0</v>
      </c>
      <c r="E12" s="6">
        <f>NAV!L53</f>
        <v>0</v>
      </c>
      <c r="F12" s="6">
        <f>NAV!M53</f>
        <v>0</v>
      </c>
      <c r="G12" s="6">
        <f>NAV!N53</f>
        <v>0</v>
      </c>
      <c r="H12" s="6">
        <f>NAV!O53</f>
        <v>0</v>
      </c>
      <c r="I12" s="6">
        <f>NAV!P53</f>
        <v>0</v>
      </c>
      <c r="J12" s="6">
        <f>NAV!Q53</f>
        <v>0</v>
      </c>
      <c r="K12" s="9">
        <f>NAV!R53</f>
        <v>0</v>
      </c>
      <c r="L12" s="6">
        <f>NAV!S53</f>
        <v>0</v>
      </c>
      <c r="M12" s="6">
        <f>NAV!T53</f>
        <v>0</v>
      </c>
      <c r="N12" s="6" t="str">
        <f>NAV!U53</f>
        <v>한국 원화(KRW)</v>
      </c>
      <c r="O12" s="6">
        <f>NAV!V53</f>
        <v>1</v>
      </c>
      <c r="P12" s="6">
        <f>NAV!W53</f>
        <v>0</v>
      </c>
      <c r="Q12" s="6">
        <f>NAV!X53</f>
        <v>0</v>
      </c>
      <c r="R12" s="6">
        <f>NAV!Y53</f>
        <v>0</v>
      </c>
      <c r="S12" s="6">
        <f>NAV!Z53</f>
        <v>0</v>
      </c>
      <c r="T12" s="6">
        <f>NAV!AA53</f>
        <v>0</v>
      </c>
      <c r="U12" s="10">
        <f>NAV!AB53</f>
        <v>0</v>
      </c>
      <c r="V12" s="6" t="str">
        <f>NAV!AC53</f>
        <v>2년이상</v>
      </c>
    </row>
    <row r="13" spans="1:22">
      <c r="A13" s="7">
        <f t="shared" si="0"/>
        <v>12</v>
      </c>
      <c r="B13" s="7">
        <f>TYPE(종목정보tbl!$C13)</f>
        <v>1</v>
      </c>
      <c r="C13" s="6">
        <f>NAV!J54</f>
        <v>0</v>
      </c>
      <c r="D13" s="6">
        <f>NAV!K54</f>
        <v>0</v>
      </c>
      <c r="E13" s="6">
        <f>NAV!L54</f>
        <v>0</v>
      </c>
      <c r="F13" s="6">
        <f>NAV!M54</f>
        <v>0</v>
      </c>
      <c r="G13" s="6">
        <f>NAV!N54</f>
        <v>0</v>
      </c>
      <c r="H13" s="6">
        <f>NAV!O54</f>
        <v>0</v>
      </c>
      <c r="I13" s="6">
        <f>NAV!P54</f>
        <v>0</v>
      </c>
      <c r="J13" s="6">
        <f>NAV!Q54</f>
        <v>0</v>
      </c>
      <c r="K13" s="9">
        <f>NAV!R54</f>
        <v>0</v>
      </c>
      <c r="L13" s="6">
        <f>NAV!S54</f>
        <v>0</v>
      </c>
      <c r="M13" s="6">
        <f>NAV!T54</f>
        <v>0</v>
      </c>
      <c r="N13" s="6" t="str">
        <f>NAV!U54</f>
        <v>한국 원화(KRW)</v>
      </c>
      <c r="O13" s="6">
        <f>NAV!V54</f>
        <v>1</v>
      </c>
      <c r="P13" s="6">
        <f>NAV!W54</f>
        <v>0</v>
      </c>
      <c r="Q13" s="6">
        <f>NAV!X54</f>
        <v>0</v>
      </c>
      <c r="R13" s="6">
        <f>NAV!Y54</f>
        <v>0</v>
      </c>
      <c r="S13" s="6">
        <f>NAV!Z54</f>
        <v>0</v>
      </c>
      <c r="T13" s="6">
        <f>NAV!AA54</f>
        <v>0</v>
      </c>
      <c r="U13" s="10">
        <f>NAV!AB54</f>
        <v>0</v>
      </c>
      <c r="V13" s="6" t="str">
        <f>NAV!AC54</f>
        <v>2년이상</v>
      </c>
    </row>
    <row r="14" spans="1:22">
      <c r="A14" s="7">
        <f t="shared" si="0"/>
        <v>13</v>
      </c>
      <c r="B14" s="7">
        <f>TYPE(종목정보tbl!$C14)</f>
        <v>1</v>
      </c>
      <c r="C14" s="6">
        <f>NAV!J55</f>
        <v>0</v>
      </c>
      <c r="D14" s="6">
        <f>NAV!K55</f>
        <v>0</v>
      </c>
      <c r="E14" s="6">
        <f>NAV!L55</f>
        <v>0</v>
      </c>
      <c r="F14" s="6">
        <f>NAV!M55</f>
        <v>0</v>
      </c>
      <c r="G14" s="6">
        <f>NAV!N55</f>
        <v>0</v>
      </c>
      <c r="H14" s="6">
        <f>NAV!O55</f>
        <v>0</v>
      </c>
      <c r="I14" s="6">
        <f>NAV!P55</f>
        <v>0</v>
      </c>
      <c r="J14" s="6">
        <f>NAV!Q55</f>
        <v>0</v>
      </c>
      <c r="K14" s="9">
        <f>NAV!R55</f>
        <v>0</v>
      </c>
      <c r="L14" s="6">
        <f>NAV!S55</f>
        <v>0</v>
      </c>
      <c r="M14" s="6">
        <f>NAV!T55</f>
        <v>0</v>
      </c>
      <c r="N14" s="6" t="str">
        <f>NAV!U55</f>
        <v>한국 원화(KRW)</v>
      </c>
      <c r="O14" s="6">
        <f>NAV!V55</f>
        <v>1</v>
      </c>
      <c r="P14" s="6">
        <f>NAV!W55</f>
        <v>0</v>
      </c>
      <c r="Q14" s="6">
        <f>NAV!X55</f>
        <v>0</v>
      </c>
      <c r="R14" s="6">
        <f>NAV!Y55</f>
        <v>0</v>
      </c>
      <c r="S14" s="6">
        <f>NAV!Z55</f>
        <v>0</v>
      </c>
      <c r="T14" s="6">
        <f>NAV!AA55</f>
        <v>0</v>
      </c>
      <c r="U14" s="10">
        <f>NAV!AB55</f>
        <v>0</v>
      </c>
      <c r="V14" s="6" t="str">
        <f>NAV!AC55</f>
        <v>2년이상</v>
      </c>
    </row>
    <row r="15" spans="1:22">
      <c r="A15" s="7">
        <f t="shared" si="0"/>
        <v>14</v>
      </c>
      <c r="B15" s="7">
        <f>TYPE(종목정보tbl!$C15)</f>
        <v>1</v>
      </c>
      <c r="C15" s="6">
        <f>NAV!J56</f>
        <v>0</v>
      </c>
      <c r="D15" s="6">
        <f>NAV!K56</f>
        <v>0</v>
      </c>
      <c r="E15" s="6">
        <f>NAV!L56</f>
        <v>0</v>
      </c>
      <c r="F15" s="6">
        <f>NAV!M56</f>
        <v>0</v>
      </c>
      <c r="G15" s="6">
        <f>NAV!N56</f>
        <v>0</v>
      </c>
      <c r="H15" s="6">
        <f>NAV!O56</f>
        <v>0</v>
      </c>
      <c r="I15" s="6">
        <f>NAV!P56</f>
        <v>0</v>
      </c>
      <c r="J15" s="6">
        <f>NAV!Q56</f>
        <v>0</v>
      </c>
      <c r="K15" s="9">
        <f>NAV!R56</f>
        <v>0</v>
      </c>
      <c r="L15" s="6">
        <f>NAV!S56</f>
        <v>0</v>
      </c>
      <c r="M15" s="6">
        <f>NAV!T56</f>
        <v>0</v>
      </c>
      <c r="N15" s="6" t="str">
        <f>NAV!U56</f>
        <v>한국 원화(KRW)</v>
      </c>
      <c r="O15" s="6">
        <f>NAV!V56</f>
        <v>1</v>
      </c>
      <c r="P15" s="6">
        <f>NAV!W56</f>
        <v>0</v>
      </c>
      <c r="Q15" s="6">
        <f>NAV!X56</f>
        <v>0</v>
      </c>
      <c r="R15" s="6">
        <f>NAV!Y56</f>
        <v>0</v>
      </c>
      <c r="S15" s="6">
        <f>NAV!Z56</f>
        <v>0</v>
      </c>
      <c r="T15" s="6">
        <f>NAV!AA56</f>
        <v>0</v>
      </c>
      <c r="U15" s="10">
        <f>NAV!AB56</f>
        <v>0</v>
      </c>
      <c r="V15" s="6" t="str">
        <f>NAV!AC56</f>
        <v>2년이상</v>
      </c>
    </row>
    <row r="16" spans="1:22">
      <c r="A16" s="7">
        <f t="shared" si="0"/>
        <v>15</v>
      </c>
      <c r="B16" s="7">
        <f>TYPE(종목정보tbl!$C16)</f>
        <v>1</v>
      </c>
      <c r="C16" s="6">
        <f>NAV!J57</f>
        <v>0</v>
      </c>
      <c r="D16" s="6">
        <f>NAV!K57</f>
        <v>0</v>
      </c>
      <c r="E16" s="6">
        <f>NAV!L57</f>
        <v>0</v>
      </c>
      <c r="F16" s="6">
        <f>NAV!M57</f>
        <v>0</v>
      </c>
      <c r="G16" s="6">
        <f>NAV!N57</f>
        <v>0</v>
      </c>
      <c r="H16" s="6">
        <f>NAV!O57</f>
        <v>0</v>
      </c>
      <c r="I16" s="6">
        <f>NAV!P57</f>
        <v>0</v>
      </c>
      <c r="J16" s="6">
        <f>NAV!Q57</f>
        <v>0</v>
      </c>
      <c r="K16" s="9">
        <f>NAV!R57</f>
        <v>0</v>
      </c>
      <c r="L16" s="6">
        <f>NAV!S57</f>
        <v>0</v>
      </c>
      <c r="M16" s="6">
        <f>NAV!T57</f>
        <v>0</v>
      </c>
      <c r="N16" s="6" t="str">
        <f>NAV!U57</f>
        <v>한국 원화(KRW)</v>
      </c>
      <c r="O16" s="6">
        <f>NAV!V57</f>
        <v>1</v>
      </c>
      <c r="P16" s="6">
        <f>NAV!W57</f>
        <v>0</v>
      </c>
      <c r="Q16" s="6">
        <f>NAV!X57</f>
        <v>0</v>
      </c>
      <c r="R16" s="6">
        <f>NAV!Y57</f>
        <v>0</v>
      </c>
      <c r="S16" s="6">
        <f>NAV!Z57</f>
        <v>0</v>
      </c>
      <c r="T16" s="6">
        <f>NAV!AA57</f>
        <v>0</v>
      </c>
      <c r="U16" s="10">
        <f>NAV!AB57</f>
        <v>0</v>
      </c>
      <c r="V16" s="6" t="str">
        <f>NAV!AC57</f>
        <v>2년이상</v>
      </c>
    </row>
    <row r="17" spans="1:22">
      <c r="A17" s="7">
        <f t="shared" si="0"/>
        <v>16</v>
      </c>
      <c r="B17" s="7">
        <f>TYPE(종목정보tbl!$C17)</f>
        <v>1</v>
      </c>
      <c r="C17" s="6">
        <f>NAV!J58</f>
        <v>0</v>
      </c>
      <c r="D17" s="6">
        <f>NAV!K58</f>
        <v>0</v>
      </c>
      <c r="E17" s="6">
        <f>NAV!L58</f>
        <v>0</v>
      </c>
      <c r="F17" s="6">
        <f>NAV!M58</f>
        <v>0</v>
      </c>
      <c r="G17" s="6">
        <f>NAV!N58</f>
        <v>0</v>
      </c>
      <c r="H17" s="6">
        <f>NAV!O58</f>
        <v>0</v>
      </c>
      <c r="I17" s="6">
        <f>NAV!P58</f>
        <v>0</v>
      </c>
      <c r="J17" s="6">
        <f>NAV!Q58</f>
        <v>0</v>
      </c>
      <c r="K17" s="9">
        <f>NAV!R58</f>
        <v>0</v>
      </c>
      <c r="L17" s="6">
        <f>NAV!S58</f>
        <v>0</v>
      </c>
      <c r="M17" s="6">
        <f>NAV!T58</f>
        <v>0</v>
      </c>
      <c r="N17" s="6" t="str">
        <f>NAV!U58</f>
        <v>한국 원화(KRW)</v>
      </c>
      <c r="O17" s="6">
        <f>NAV!V58</f>
        <v>1</v>
      </c>
      <c r="P17" s="6">
        <f>NAV!W58</f>
        <v>0</v>
      </c>
      <c r="Q17" s="6">
        <f>NAV!X58</f>
        <v>0</v>
      </c>
      <c r="R17" s="6">
        <f>NAV!Y58</f>
        <v>0</v>
      </c>
      <c r="S17" s="6">
        <f>NAV!Z58</f>
        <v>0</v>
      </c>
      <c r="T17" s="6">
        <f>NAV!AA58</f>
        <v>0</v>
      </c>
      <c r="U17" s="10">
        <f>NAV!AB58</f>
        <v>0</v>
      </c>
      <c r="V17" s="6" t="str">
        <f>NAV!AC58</f>
        <v>2년이상</v>
      </c>
    </row>
    <row r="18" spans="1:22">
      <c r="A18" s="7">
        <f t="shared" si="0"/>
        <v>17</v>
      </c>
      <c r="B18" s="7">
        <f>TYPE(종목정보tbl!$C18)</f>
        <v>1</v>
      </c>
      <c r="C18" s="6">
        <f>NAV!J59</f>
        <v>0</v>
      </c>
      <c r="D18" s="6">
        <f>NAV!K59</f>
        <v>0</v>
      </c>
      <c r="E18" s="6">
        <f>NAV!L59</f>
        <v>0</v>
      </c>
      <c r="F18" s="6">
        <f>NAV!M59</f>
        <v>0</v>
      </c>
      <c r="G18" s="6">
        <f>NAV!N59</f>
        <v>0</v>
      </c>
      <c r="H18" s="6">
        <f>NAV!O59</f>
        <v>0</v>
      </c>
      <c r="I18" s="6">
        <f>NAV!P59</f>
        <v>0</v>
      </c>
      <c r="J18" s="6">
        <f>NAV!Q59</f>
        <v>0</v>
      </c>
      <c r="K18" s="9">
        <f>NAV!R59</f>
        <v>0</v>
      </c>
      <c r="L18" s="6">
        <f>NAV!S59</f>
        <v>0</v>
      </c>
      <c r="M18" s="6">
        <f>NAV!T59</f>
        <v>0</v>
      </c>
      <c r="N18" s="6" t="str">
        <f>NAV!U59</f>
        <v>한국 원화(KRW)</v>
      </c>
      <c r="O18" s="6">
        <f>NAV!V59</f>
        <v>1</v>
      </c>
      <c r="P18" s="6">
        <f>NAV!W59</f>
        <v>0</v>
      </c>
      <c r="Q18" s="6">
        <f>NAV!X59</f>
        <v>0</v>
      </c>
      <c r="R18" s="6">
        <f>NAV!Y59</f>
        <v>0</v>
      </c>
      <c r="S18" s="6">
        <f>NAV!Z59</f>
        <v>0</v>
      </c>
      <c r="T18" s="6">
        <f>NAV!AA59</f>
        <v>0</v>
      </c>
      <c r="U18" s="10">
        <f>NAV!AB59</f>
        <v>0</v>
      </c>
      <c r="V18" s="6" t="str">
        <f>NAV!AC59</f>
        <v>2년이상</v>
      </c>
    </row>
    <row r="19" spans="1:22">
      <c r="A19" s="7">
        <f t="shared" si="0"/>
        <v>18</v>
      </c>
      <c r="B19" s="7">
        <f>TYPE(종목정보tbl!$C19)</f>
        <v>1</v>
      </c>
      <c r="C19" s="6">
        <f>NAV!J60</f>
        <v>0</v>
      </c>
      <c r="D19" s="6">
        <f>NAV!K60</f>
        <v>0</v>
      </c>
      <c r="E19" s="6">
        <f>NAV!L60</f>
        <v>0</v>
      </c>
      <c r="F19" s="6">
        <f>NAV!M60</f>
        <v>0</v>
      </c>
      <c r="G19" s="6">
        <f>NAV!N60</f>
        <v>0</v>
      </c>
      <c r="H19" s="6">
        <f>NAV!O60</f>
        <v>0</v>
      </c>
      <c r="I19" s="6">
        <f>NAV!P60</f>
        <v>0</v>
      </c>
      <c r="J19" s="6">
        <f>NAV!Q60</f>
        <v>0</v>
      </c>
      <c r="K19" s="9">
        <f>NAV!R60</f>
        <v>0</v>
      </c>
      <c r="L19" s="6">
        <f>NAV!S60</f>
        <v>0</v>
      </c>
      <c r="M19" s="6">
        <f>NAV!T60</f>
        <v>0</v>
      </c>
      <c r="N19" s="6" t="str">
        <f>NAV!U60</f>
        <v>한국 원화(KRW)</v>
      </c>
      <c r="O19" s="6">
        <f>NAV!V60</f>
        <v>1</v>
      </c>
      <c r="P19" s="6">
        <f>NAV!W60</f>
        <v>0</v>
      </c>
      <c r="Q19" s="6">
        <f>NAV!X60</f>
        <v>0</v>
      </c>
      <c r="R19" s="6">
        <f>NAV!Y60</f>
        <v>0</v>
      </c>
      <c r="S19" s="6">
        <f>NAV!Z60</f>
        <v>0</v>
      </c>
      <c r="T19" s="6">
        <f>NAV!AA60</f>
        <v>0</v>
      </c>
      <c r="U19" s="10">
        <f>NAV!AB60</f>
        <v>0</v>
      </c>
      <c r="V19" s="6" t="str">
        <f>NAV!AC60</f>
        <v>2년이상</v>
      </c>
    </row>
    <row r="20" spans="1:22">
      <c r="A20" s="7">
        <f t="shared" si="0"/>
        <v>19</v>
      </c>
      <c r="B20" s="7">
        <f>TYPE(종목정보tbl!$C20)</f>
        <v>1</v>
      </c>
      <c r="C20" s="6">
        <f>NAV!J61</f>
        <v>0</v>
      </c>
      <c r="D20" s="6">
        <f>NAV!K61</f>
        <v>0</v>
      </c>
      <c r="E20" s="6">
        <f>NAV!L61</f>
        <v>0</v>
      </c>
      <c r="F20" s="6">
        <f>NAV!M61</f>
        <v>0</v>
      </c>
      <c r="G20" s="6">
        <f>NAV!N61</f>
        <v>0</v>
      </c>
      <c r="H20" s="6">
        <f>NAV!O61</f>
        <v>0</v>
      </c>
      <c r="I20" s="6">
        <f>NAV!P61</f>
        <v>0</v>
      </c>
      <c r="J20" s="6">
        <f>NAV!Q61</f>
        <v>0</v>
      </c>
      <c r="K20" s="9">
        <f>NAV!R61</f>
        <v>0</v>
      </c>
      <c r="L20" s="6">
        <f>NAV!S61</f>
        <v>0</v>
      </c>
      <c r="M20" s="6">
        <f>NAV!T61</f>
        <v>0</v>
      </c>
      <c r="N20" s="6" t="str">
        <f>NAV!U61</f>
        <v>한국 원화(KRW)</v>
      </c>
      <c r="O20" s="6">
        <f>NAV!V61</f>
        <v>1</v>
      </c>
      <c r="P20" s="6">
        <f>NAV!W61</f>
        <v>0</v>
      </c>
      <c r="Q20" s="6">
        <f>NAV!X61</f>
        <v>0</v>
      </c>
      <c r="R20" s="6">
        <f>NAV!Y61</f>
        <v>0</v>
      </c>
      <c r="S20" s="6">
        <f>NAV!Z61</f>
        <v>0</v>
      </c>
      <c r="T20" s="6">
        <f>NAV!AA61</f>
        <v>0</v>
      </c>
      <c r="U20" s="10">
        <f>NAV!AB61</f>
        <v>0</v>
      </c>
      <c r="V20" s="6" t="str">
        <f>NAV!AC61</f>
        <v>2년이상</v>
      </c>
    </row>
    <row r="21" spans="1:22">
      <c r="A21" s="7">
        <f t="shared" si="0"/>
        <v>20</v>
      </c>
      <c r="B21" s="7">
        <f>TYPE(종목정보tbl!$C21)</f>
        <v>1</v>
      </c>
      <c r="C21" s="6">
        <f>NAV!J62</f>
        <v>0</v>
      </c>
      <c r="D21" s="6">
        <f>NAV!K62</f>
        <v>0</v>
      </c>
      <c r="E21" s="6">
        <f>NAV!L62</f>
        <v>0</v>
      </c>
      <c r="F21" s="6">
        <f>NAV!M62</f>
        <v>0</v>
      </c>
      <c r="G21" s="6">
        <f>NAV!N62</f>
        <v>0</v>
      </c>
      <c r="H21" s="6">
        <f>NAV!O62</f>
        <v>0</v>
      </c>
      <c r="I21" s="6">
        <f>NAV!P62</f>
        <v>0</v>
      </c>
      <c r="J21" s="6">
        <f>NAV!Q62</f>
        <v>0</v>
      </c>
      <c r="K21" s="9">
        <f>NAV!R62</f>
        <v>0</v>
      </c>
      <c r="L21" s="6">
        <f>NAV!S62</f>
        <v>0</v>
      </c>
      <c r="M21" s="6">
        <f>NAV!T62</f>
        <v>0</v>
      </c>
      <c r="N21" s="6" t="str">
        <f>NAV!U62</f>
        <v>한국 원화(KRW)</v>
      </c>
      <c r="O21" s="6">
        <f>NAV!V62</f>
        <v>1</v>
      </c>
      <c r="P21" s="6">
        <f>NAV!W62</f>
        <v>0</v>
      </c>
      <c r="Q21" s="6">
        <f>NAV!X62</f>
        <v>0</v>
      </c>
      <c r="R21" s="6">
        <f>NAV!Y62</f>
        <v>0</v>
      </c>
      <c r="S21" s="6">
        <f>NAV!Z62</f>
        <v>0</v>
      </c>
      <c r="T21" s="6">
        <f>NAV!AA62</f>
        <v>0</v>
      </c>
      <c r="U21" s="10">
        <f>NAV!AB62</f>
        <v>0</v>
      </c>
      <c r="V21" s="6" t="str">
        <f>NAV!AC62</f>
        <v>2년이상</v>
      </c>
    </row>
    <row r="22" spans="1:22">
      <c r="A22" s="7">
        <f t="shared" si="0"/>
        <v>21</v>
      </c>
      <c r="B22" s="7">
        <f>TYPE(종목정보tbl!$C22)</f>
        <v>1</v>
      </c>
      <c r="C22" s="6">
        <f>NAV!J63</f>
        <v>0</v>
      </c>
      <c r="D22" s="6">
        <f>NAV!K63</f>
        <v>0</v>
      </c>
      <c r="E22" s="6">
        <f>NAV!L63</f>
        <v>0</v>
      </c>
      <c r="F22" s="6">
        <f>NAV!M63</f>
        <v>0</v>
      </c>
      <c r="G22" s="6">
        <f>NAV!N63</f>
        <v>0</v>
      </c>
      <c r="H22" s="6">
        <f>NAV!O63</f>
        <v>0</v>
      </c>
      <c r="I22" s="6">
        <f>NAV!P63</f>
        <v>0</v>
      </c>
      <c r="J22" s="6">
        <f>NAV!Q63</f>
        <v>0</v>
      </c>
      <c r="K22" s="9">
        <f>NAV!R63</f>
        <v>0</v>
      </c>
      <c r="L22" s="6">
        <f>NAV!S63</f>
        <v>0</v>
      </c>
      <c r="M22" s="6">
        <f>NAV!T63</f>
        <v>0</v>
      </c>
      <c r="N22" s="6" t="str">
        <f>NAV!U63</f>
        <v>한국 원화(KRW)</v>
      </c>
      <c r="O22" s="6">
        <f>NAV!V63</f>
        <v>1</v>
      </c>
      <c r="P22" s="6">
        <f>NAV!W63</f>
        <v>0</v>
      </c>
      <c r="Q22" s="6">
        <f>NAV!X63</f>
        <v>0</v>
      </c>
      <c r="R22" s="6">
        <f>NAV!Y63</f>
        <v>0</v>
      </c>
      <c r="S22" s="6">
        <f>NAV!Z63</f>
        <v>0</v>
      </c>
      <c r="T22" s="6">
        <f>NAV!AA63</f>
        <v>0</v>
      </c>
      <c r="U22" s="10">
        <f>NAV!AB63</f>
        <v>0</v>
      </c>
      <c r="V22" s="6" t="str">
        <f>NAV!AC63</f>
        <v>2년이상</v>
      </c>
    </row>
    <row r="23" spans="1:22">
      <c r="A23" s="7">
        <f t="shared" si="0"/>
        <v>22</v>
      </c>
      <c r="B23" s="7">
        <f>TYPE(종목정보tbl!$C23)</f>
        <v>1</v>
      </c>
      <c r="C23" s="6">
        <f>NAV!J64</f>
        <v>0</v>
      </c>
      <c r="D23" s="6">
        <f>NAV!K64</f>
        <v>0</v>
      </c>
      <c r="E23" s="6">
        <f>NAV!L64</f>
        <v>0</v>
      </c>
      <c r="F23" s="6">
        <f>NAV!M64</f>
        <v>0</v>
      </c>
      <c r="G23" s="6">
        <f>NAV!N64</f>
        <v>0</v>
      </c>
      <c r="H23" s="6">
        <f>NAV!O64</f>
        <v>0</v>
      </c>
      <c r="I23" s="6">
        <f>NAV!P64</f>
        <v>0</v>
      </c>
      <c r="J23" s="6">
        <f>NAV!Q64</f>
        <v>0</v>
      </c>
      <c r="K23" s="9">
        <f>NAV!R64</f>
        <v>0</v>
      </c>
      <c r="L23" s="6">
        <f>NAV!S64</f>
        <v>0</v>
      </c>
      <c r="M23" s="6">
        <f>NAV!T64</f>
        <v>0</v>
      </c>
      <c r="N23" s="6" t="str">
        <f>NAV!U64</f>
        <v>한국 원화(KRW)</v>
      </c>
      <c r="O23" s="6">
        <f>NAV!V64</f>
        <v>1</v>
      </c>
      <c r="P23" s="6">
        <f>NAV!W64</f>
        <v>0</v>
      </c>
      <c r="Q23" s="6">
        <f>NAV!X64</f>
        <v>0</v>
      </c>
      <c r="R23" s="6">
        <f>NAV!Y64</f>
        <v>0</v>
      </c>
      <c r="S23" s="6">
        <f>NAV!Z64</f>
        <v>0</v>
      </c>
      <c r="T23" s="6">
        <f>NAV!AA64</f>
        <v>0</v>
      </c>
      <c r="U23" s="10">
        <f>NAV!AB64</f>
        <v>0</v>
      </c>
      <c r="V23" s="6" t="str">
        <f>NAV!AC64</f>
        <v>2년이상</v>
      </c>
    </row>
    <row r="24" spans="1:22">
      <c r="A24" s="7">
        <f t="shared" si="0"/>
        <v>23</v>
      </c>
      <c r="B24" s="7">
        <f>TYPE(종목정보tbl!$C24)</f>
        <v>1</v>
      </c>
      <c r="C24" s="6">
        <f>NAV!J65</f>
        <v>0</v>
      </c>
      <c r="D24" s="6">
        <f>NAV!K65</f>
        <v>0</v>
      </c>
      <c r="E24" s="6">
        <f>NAV!L65</f>
        <v>0</v>
      </c>
      <c r="F24" s="6">
        <f>NAV!M65</f>
        <v>0</v>
      </c>
      <c r="G24" s="6">
        <f>NAV!N65</f>
        <v>0</v>
      </c>
      <c r="H24" s="6">
        <f>NAV!O65</f>
        <v>0</v>
      </c>
      <c r="I24" s="6">
        <f>NAV!P65</f>
        <v>0</v>
      </c>
      <c r="J24" s="6">
        <f>NAV!Q65</f>
        <v>0</v>
      </c>
      <c r="K24" s="9">
        <f>NAV!R65</f>
        <v>0</v>
      </c>
      <c r="L24" s="6">
        <f>NAV!S65</f>
        <v>0</v>
      </c>
      <c r="M24" s="6">
        <f>NAV!T65</f>
        <v>0</v>
      </c>
      <c r="N24" s="6" t="str">
        <f>NAV!U65</f>
        <v>한국 원화(KRW)</v>
      </c>
      <c r="O24" s="6">
        <f>NAV!V65</f>
        <v>1</v>
      </c>
      <c r="P24" s="6">
        <f>NAV!W65</f>
        <v>0</v>
      </c>
      <c r="Q24" s="6">
        <f>NAV!X65</f>
        <v>0</v>
      </c>
      <c r="R24" s="6">
        <f>NAV!Y65</f>
        <v>0</v>
      </c>
      <c r="S24" s="6">
        <f>NAV!Z65</f>
        <v>0</v>
      </c>
      <c r="T24" s="6">
        <f>NAV!AA65</f>
        <v>0</v>
      </c>
      <c r="U24" s="10">
        <f>NAV!AB65</f>
        <v>0</v>
      </c>
      <c r="V24" s="6" t="str">
        <f>NAV!AC65</f>
        <v>2년이상</v>
      </c>
    </row>
    <row r="25" spans="1:22">
      <c r="A25" s="7">
        <f t="shared" si="0"/>
        <v>24</v>
      </c>
      <c r="B25" s="7">
        <f>TYPE(종목정보tbl!$C25)</f>
        <v>1</v>
      </c>
      <c r="C25" s="6">
        <f>NAV!J66</f>
        <v>0</v>
      </c>
      <c r="D25" s="6">
        <f>NAV!K66</f>
        <v>0</v>
      </c>
      <c r="E25" s="6">
        <f>NAV!L66</f>
        <v>0</v>
      </c>
      <c r="F25" s="6">
        <f>NAV!M66</f>
        <v>0</v>
      </c>
      <c r="G25" s="6">
        <f>NAV!N66</f>
        <v>0</v>
      </c>
      <c r="H25" s="6">
        <f>NAV!O66</f>
        <v>0</v>
      </c>
      <c r="I25" s="6">
        <f>NAV!P66</f>
        <v>0</v>
      </c>
      <c r="J25" s="6">
        <f>NAV!Q66</f>
        <v>0</v>
      </c>
      <c r="K25" s="9">
        <f>NAV!R66</f>
        <v>0</v>
      </c>
      <c r="L25" s="6">
        <f>NAV!S66</f>
        <v>0</v>
      </c>
      <c r="M25" s="6">
        <f>NAV!T66</f>
        <v>0</v>
      </c>
      <c r="N25" s="6" t="str">
        <f>NAV!U66</f>
        <v>한국 원화(KRW)</v>
      </c>
      <c r="O25" s="6">
        <f>NAV!V66</f>
        <v>1</v>
      </c>
      <c r="P25" s="6">
        <f>NAV!W66</f>
        <v>0</v>
      </c>
      <c r="Q25" s="6">
        <f>NAV!X66</f>
        <v>0</v>
      </c>
      <c r="R25" s="6">
        <f>NAV!Y66</f>
        <v>0</v>
      </c>
      <c r="S25" s="6">
        <f>NAV!Z66</f>
        <v>0</v>
      </c>
      <c r="T25" s="6">
        <f>NAV!AA66</f>
        <v>0</v>
      </c>
      <c r="U25" s="10">
        <f>NAV!AB66</f>
        <v>0</v>
      </c>
      <c r="V25" s="6" t="str">
        <f>NAV!AC66</f>
        <v>2년이상</v>
      </c>
    </row>
    <row r="26" spans="1:22">
      <c r="A26" s="7">
        <f t="shared" si="0"/>
        <v>25</v>
      </c>
      <c r="B26" s="7">
        <f>TYPE(종목정보tbl!$C26)</f>
        <v>1</v>
      </c>
      <c r="C26" s="6">
        <f>NAV!J67</f>
        <v>0</v>
      </c>
      <c r="D26" s="6">
        <f>NAV!K67</f>
        <v>0</v>
      </c>
      <c r="E26" s="6">
        <f>NAV!L67</f>
        <v>0</v>
      </c>
      <c r="F26" s="6">
        <f>NAV!M67</f>
        <v>0</v>
      </c>
      <c r="G26" s="6">
        <f>NAV!N67</f>
        <v>0</v>
      </c>
      <c r="H26" s="6">
        <f>NAV!O67</f>
        <v>0</v>
      </c>
      <c r="I26" s="6">
        <f>NAV!P67</f>
        <v>0</v>
      </c>
      <c r="J26" s="6">
        <f>NAV!Q67</f>
        <v>0</v>
      </c>
      <c r="K26" s="9">
        <f>NAV!R67</f>
        <v>0</v>
      </c>
      <c r="L26" s="6">
        <f>NAV!S67</f>
        <v>0</v>
      </c>
      <c r="M26" s="6">
        <f>NAV!T67</f>
        <v>0</v>
      </c>
      <c r="N26" s="6" t="str">
        <f>NAV!U67</f>
        <v>한국 원화(KRW)</v>
      </c>
      <c r="O26" s="6">
        <f>NAV!V67</f>
        <v>1</v>
      </c>
      <c r="P26" s="6">
        <f>NAV!W67</f>
        <v>0</v>
      </c>
      <c r="Q26" s="6">
        <f>NAV!X67</f>
        <v>0</v>
      </c>
      <c r="R26" s="6">
        <f>NAV!Y67</f>
        <v>0</v>
      </c>
      <c r="S26" s="6">
        <f>NAV!Z67</f>
        <v>0</v>
      </c>
      <c r="T26" s="6">
        <f>NAV!AA67</f>
        <v>0</v>
      </c>
      <c r="U26" s="10">
        <f>NAV!AB67</f>
        <v>0</v>
      </c>
      <c r="V26" s="6" t="str">
        <f>NAV!AC67</f>
        <v>2년이상</v>
      </c>
    </row>
    <row r="27" spans="1:22">
      <c r="A27" s="7">
        <f t="shared" si="0"/>
        <v>26</v>
      </c>
      <c r="B27" s="7">
        <f>TYPE(종목정보tbl!$C27)</f>
        <v>1</v>
      </c>
      <c r="C27" s="6">
        <f>NAV!J68</f>
        <v>0</v>
      </c>
      <c r="D27" s="6">
        <f>NAV!K68</f>
        <v>0</v>
      </c>
      <c r="E27" s="6">
        <f>NAV!L68</f>
        <v>0</v>
      </c>
      <c r="F27" s="6">
        <f>NAV!M68</f>
        <v>0</v>
      </c>
      <c r="G27" s="6">
        <f>NAV!N68</f>
        <v>0</v>
      </c>
      <c r="H27" s="6">
        <f>NAV!O68</f>
        <v>0</v>
      </c>
      <c r="I27" s="6">
        <f>NAV!P68</f>
        <v>0</v>
      </c>
      <c r="J27" s="6">
        <f>NAV!Q68</f>
        <v>0</v>
      </c>
      <c r="K27" s="9">
        <f>NAV!R68</f>
        <v>0</v>
      </c>
      <c r="L27" s="6">
        <f>NAV!S68</f>
        <v>0</v>
      </c>
      <c r="M27" s="6">
        <f>NAV!T68</f>
        <v>0</v>
      </c>
      <c r="N27" s="6" t="str">
        <f>NAV!U68</f>
        <v>한국 원화(KRW)</v>
      </c>
      <c r="O27" s="6">
        <f>NAV!V68</f>
        <v>1</v>
      </c>
      <c r="P27" s="6">
        <f>NAV!W68</f>
        <v>0</v>
      </c>
      <c r="Q27" s="6">
        <f>NAV!X68</f>
        <v>0</v>
      </c>
      <c r="R27" s="6">
        <f>NAV!Y68</f>
        <v>0</v>
      </c>
      <c r="S27" s="6">
        <f>NAV!Z68</f>
        <v>0</v>
      </c>
      <c r="T27" s="6">
        <f>NAV!AA68</f>
        <v>0</v>
      </c>
      <c r="U27" s="10">
        <f>NAV!AB68</f>
        <v>0</v>
      </c>
      <c r="V27" s="6" t="str">
        <f>NAV!AC68</f>
        <v>2년이상</v>
      </c>
    </row>
    <row r="28" spans="1:22">
      <c r="A28" s="7">
        <f t="shared" si="0"/>
        <v>27</v>
      </c>
      <c r="B28" s="7">
        <f>TYPE(종목정보tbl!$C28)</f>
        <v>1</v>
      </c>
      <c r="C28" s="6">
        <f>NAV!J69</f>
        <v>0</v>
      </c>
      <c r="D28" s="6">
        <f>NAV!K69</f>
        <v>0</v>
      </c>
      <c r="E28" s="6">
        <f>NAV!L69</f>
        <v>0</v>
      </c>
      <c r="F28" s="6">
        <f>NAV!M69</f>
        <v>0</v>
      </c>
      <c r="G28" s="6">
        <f>NAV!N69</f>
        <v>0</v>
      </c>
      <c r="H28" s="6">
        <f>NAV!O69</f>
        <v>0</v>
      </c>
      <c r="I28" s="6">
        <f>NAV!P69</f>
        <v>0</v>
      </c>
      <c r="J28" s="6">
        <f>NAV!Q69</f>
        <v>0</v>
      </c>
      <c r="K28" s="9">
        <f>NAV!R69</f>
        <v>0</v>
      </c>
      <c r="L28" s="6">
        <f>NAV!S69</f>
        <v>0</v>
      </c>
      <c r="M28" s="6">
        <f>NAV!T69</f>
        <v>0</v>
      </c>
      <c r="N28" s="6" t="str">
        <f>NAV!U69</f>
        <v>한국 원화(KRW)</v>
      </c>
      <c r="O28" s="6">
        <f>NAV!V69</f>
        <v>1</v>
      </c>
      <c r="P28" s="6">
        <f>NAV!W69</f>
        <v>0</v>
      </c>
      <c r="Q28" s="6">
        <f>NAV!X69</f>
        <v>0</v>
      </c>
      <c r="R28" s="6">
        <f>NAV!Y69</f>
        <v>0</v>
      </c>
      <c r="S28" s="6">
        <f>NAV!Z69</f>
        <v>0</v>
      </c>
      <c r="T28" s="6">
        <f>NAV!AA69</f>
        <v>0</v>
      </c>
      <c r="U28" s="10">
        <f>NAV!AB69</f>
        <v>0</v>
      </c>
      <c r="V28" s="6" t="str">
        <f>NAV!AC69</f>
        <v>2년이상</v>
      </c>
    </row>
    <row r="29" spans="1:22">
      <c r="A29" s="7">
        <f t="shared" si="0"/>
        <v>28</v>
      </c>
      <c r="B29" s="7">
        <f>TYPE(종목정보tbl!$C29)</f>
        <v>1</v>
      </c>
      <c r="C29" s="6">
        <f>NAV!J70</f>
        <v>0</v>
      </c>
      <c r="D29" s="6">
        <f>NAV!K70</f>
        <v>0</v>
      </c>
      <c r="E29" s="6">
        <f>NAV!L70</f>
        <v>0</v>
      </c>
      <c r="F29" s="6">
        <f>NAV!M70</f>
        <v>0</v>
      </c>
      <c r="G29" s="6">
        <f>NAV!N70</f>
        <v>0</v>
      </c>
      <c r="H29" s="6">
        <f>NAV!O70</f>
        <v>0</v>
      </c>
      <c r="I29" s="6">
        <f>NAV!P70</f>
        <v>0</v>
      </c>
      <c r="J29" s="6">
        <f>NAV!Q70</f>
        <v>0</v>
      </c>
      <c r="K29" s="9">
        <f>NAV!R70</f>
        <v>0</v>
      </c>
      <c r="L29" s="6">
        <f>NAV!S70</f>
        <v>0</v>
      </c>
      <c r="M29" s="6">
        <f>NAV!T70</f>
        <v>0</v>
      </c>
      <c r="N29" s="6" t="str">
        <f>NAV!U70</f>
        <v>한국 원화(KRW)</v>
      </c>
      <c r="O29" s="6">
        <f>NAV!V70</f>
        <v>1</v>
      </c>
      <c r="P29" s="6">
        <f>NAV!W70</f>
        <v>0</v>
      </c>
      <c r="Q29" s="6">
        <f>NAV!X70</f>
        <v>0</v>
      </c>
      <c r="R29" s="6">
        <f>NAV!Y70</f>
        <v>0</v>
      </c>
      <c r="S29" s="6">
        <f>NAV!Z70</f>
        <v>0</v>
      </c>
      <c r="T29" s="6">
        <f>NAV!AA70</f>
        <v>0</v>
      </c>
      <c r="U29" s="10">
        <f>NAV!AB70</f>
        <v>0</v>
      </c>
      <c r="V29" s="6" t="str">
        <f>NAV!AC70</f>
        <v>2년이상</v>
      </c>
    </row>
    <row r="30" spans="1:22">
      <c r="A30" s="7">
        <f t="shared" si="0"/>
        <v>29</v>
      </c>
      <c r="B30" s="7">
        <f>TYPE(종목정보tbl!$C30)</f>
        <v>1</v>
      </c>
      <c r="C30" s="6">
        <f>NAV!J71</f>
        <v>0</v>
      </c>
      <c r="D30" s="6">
        <f>NAV!K71</f>
        <v>0</v>
      </c>
      <c r="E30" s="6">
        <f>NAV!L71</f>
        <v>0</v>
      </c>
      <c r="F30" s="6">
        <f>NAV!M71</f>
        <v>0</v>
      </c>
      <c r="G30" s="6">
        <f>NAV!N71</f>
        <v>0</v>
      </c>
      <c r="H30" s="6">
        <f>NAV!O71</f>
        <v>0</v>
      </c>
      <c r="I30" s="6">
        <f>NAV!P71</f>
        <v>0</v>
      </c>
      <c r="J30" s="6">
        <f>NAV!Q71</f>
        <v>0</v>
      </c>
      <c r="K30" s="9">
        <f>NAV!R71</f>
        <v>0</v>
      </c>
      <c r="L30" s="6">
        <f>NAV!S71</f>
        <v>0</v>
      </c>
      <c r="M30" s="6">
        <f>NAV!T71</f>
        <v>0</v>
      </c>
      <c r="N30" s="6" t="str">
        <f>NAV!U71</f>
        <v>한국 원화(KRW)</v>
      </c>
      <c r="O30" s="6">
        <f>NAV!V71</f>
        <v>1</v>
      </c>
      <c r="P30" s="6">
        <f>NAV!W71</f>
        <v>0</v>
      </c>
      <c r="Q30" s="6">
        <f>NAV!X71</f>
        <v>0</v>
      </c>
      <c r="R30" s="6">
        <f>NAV!Y71</f>
        <v>0</v>
      </c>
      <c r="S30" s="6">
        <f>NAV!Z71</f>
        <v>0</v>
      </c>
      <c r="T30" s="6">
        <f>NAV!AA71</f>
        <v>0</v>
      </c>
      <c r="U30" s="10">
        <f>NAV!AB71</f>
        <v>0</v>
      </c>
      <c r="V30" s="6" t="str">
        <f>NAV!AC71</f>
        <v>2년이상</v>
      </c>
    </row>
    <row r="31" spans="1:22">
      <c r="A31" s="7">
        <f t="shared" si="0"/>
        <v>30</v>
      </c>
      <c r="B31" s="7">
        <f>TYPE(종목정보tbl!$C31)</f>
        <v>1</v>
      </c>
      <c r="C31" s="6">
        <f>NAV!J72</f>
        <v>0</v>
      </c>
      <c r="D31" s="6">
        <f>NAV!K72</f>
        <v>0</v>
      </c>
      <c r="E31" s="6">
        <f>NAV!L72</f>
        <v>0</v>
      </c>
      <c r="F31" s="6">
        <f>NAV!M72</f>
        <v>0</v>
      </c>
      <c r="G31" s="6">
        <f>NAV!N72</f>
        <v>0</v>
      </c>
      <c r="H31" s="6">
        <f>NAV!O72</f>
        <v>0</v>
      </c>
      <c r="I31" s="6">
        <f>NAV!P72</f>
        <v>0</v>
      </c>
      <c r="J31" s="6">
        <f>NAV!Q72</f>
        <v>0</v>
      </c>
      <c r="K31" s="9">
        <f>NAV!R72</f>
        <v>0</v>
      </c>
      <c r="L31" s="6">
        <f>NAV!S72</f>
        <v>0</v>
      </c>
      <c r="M31" s="6">
        <f>NAV!T72</f>
        <v>0</v>
      </c>
      <c r="N31" s="6" t="str">
        <f>NAV!U72</f>
        <v>한국 원화(KRW)</v>
      </c>
      <c r="O31" s="6">
        <f>NAV!V72</f>
        <v>1</v>
      </c>
      <c r="P31" s="6">
        <f>NAV!W72</f>
        <v>0</v>
      </c>
      <c r="Q31" s="6">
        <f>NAV!X72</f>
        <v>0</v>
      </c>
      <c r="R31" s="6">
        <f>NAV!Y72</f>
        <v>0</v>
      </c>
      <c r="S31" s="6">
        <f>NAV!Z72</f>
        <v>0</v>
      </c>
      <c r="T31" s="6">
        <f>NAV!AA72</f>
        <v>0</v>
      </c>
      <c r="U31" s="10">
        <f>NAV!AB72</f>
        <v>0</v>
      </c>
      <c r="V31" s="6" t="str">
        <f>NAV!AC72</f>
        <v>2년이상</v>
      </c>
    </row>
    <row r="32" spans="1:22">
      <c r="A32" s="7">
        <f t="shared" si="0"/>
        <v>31</v>
      </c>
      <c r="B32" s="7">
        <f>TYPE(종목정보tbl!$C32)</f>
        <v>1</v>
      </c>
      <c r="C32" s="6">
        <f>NAV!J73</f>
        <v>0</v>
      </c>
      <c r="D32" s="6">
        <f>NAV!K73</f>
        <v>0</v>
      </c>
      <c r="E32" s="6">
        <f>NAV!L73</f>
        <v>0</v>
      </c>
      <c r="F32" s="6">
        <f>NAV!M73</f>
        <v>0</v>
      </c>
      <c r="G32" s="6">
        <f>NAV!N73</f>
        <v>0</v>
      </c>
      <c r="H32" s="6">
        <f>NAV!O73</f>
        <v>0</v>
      </c>
      <c r="I32" s="6">
        <f>NAV!P73</f>
        <v>0</v>
      </c>
      <c r="J32" s="6">
        <f>NAV!Q73</f>
        <v>0</v>
      </c>
      <c r="K32" s="9">
        <f>NAV!R73</f>
        <v>0</v>
      </c>
      <c r="L32" s="6">
        <f>NAV!S73</f>
        <v>0</v>
      </c>
      <c r="M32" s="6">
        <f>NAV!T73</f>
        <v>0</v>
      </c>
      <c r="N32" s="6" t="str">
        <f>NAV!U73</f>
        <v>한국 원화(KRW)</v>
      </c>
      <c r="O32" s="6">
        <f>NAV!V73</f>
        <v>1</v>
      </c>
      <c r="P32" s="6">
        <f>NAV!W73</f>
        <v>0</v>
      </c>
      <c r="Q32" s="6">
        <f>NAV!X73</f>
        <v>0</v>
      </c>
      <c r="R32" s="6">
        <f>NAV!Y73</f>
        <v>0</v>
      </c>
      <c r="S32" s="6">
        <f>NAV!Z73</f>
        <v>0</v>
      </c>
      <c r="T32" s="6">
        <f>NAV!AA73</f>
        <v>0</v>
      </c>
      <c r="U32" s="10">
        <f>NAV!AB73</f>
        <v>0</v>
      </c>
      <c r="V32" s="6" t="str">
        <f>NAV!AC73</f>
        <v>2년이상</v>
      </c>
    </row>
    <row r="33" spans="1:22">
      <c r="A33" s="7">
        <f t="shared" si="0"/>
        <v>32</v>
      </c>
      <c r="B33" s="7">
        <f>TYPE(종목정보tbl!$C33)</f>
        <v>1</v>
      </c>
      <c r="C33" s="6">
        <f>NAV!J74</f>
        <v>0</v>
      </c>
      <c r="D33" s="6">
        <f>NAV!K74</f>
        <v>0</v>
      </c>
      <c r="E33" s="6">
        <f>NAV!L74</f>
        <v>0</v>
      </c>
      <c r="F33" s="6">
        <f>NAV!M74</f>
        <v>0</v>
      </c>
      <c r="G33" s="6">
        <f>NAV!N74</f>
        <v>0</v>
      </c>
      <c r="H33" s="6">
        <f>NAV!O74</f>
        <v>0</v>
      </c>
      <c r="I33" s="6">
        <f>NAV!P74</f>
        <v>0</v>
      </c>
      <c r="J33" s="6">
        <f>NAV!Q74</f>
        <v>0</v>
      </c>
      <c r="K33" s="9">
        <f>NAV!R74</f>
        <v>0</v>
      </c>
      <c r="L33" s="6">
        <f>NAV!S74</f>
        <v>0</v>
      </c>
      <c r="M33" s="6">
        <f>NAV!T74</f>
        <v>0</v>
      </c>
      <c r="N33" s="6" t="str">
        <f>NAV!U74</f>
        <v>한국 원화(KRW)</v>
      </c>
      <c r="O33" s="6">
        <f>NAV!V74</f>
        <v>1</v>
      </c>
      <c r="P33" s="6">
        <f>NAV!W74</f>
        <v>0</v>
      </c>
      <c r="Q33" s="6">
        <f>NAV!X74</f>
        <v>0</v>
      </c>
      <c r="R33" s="6">
        <f>NAV!Y74</f>
        <v>0</v>
      </c>
      <c r="S33" s="6">
        <f>NAV!Z74</f>
        <v>0</v>
      </c>
      <c r="T33" s="6">
        <f>NAV!AA74</f>
        <v>0</v>
      </c>
      <c r="U33" s="10">
        <f>NAV!AB74</f>
        <v>0</v>
      </c>
      <c r="V33" s="6" t="str">
        <f>NAV!AC74</f>
        <v>2년이상</v>
      </c>
    </row>
    <row r="34" spans="1:22">
      <c r="A34" s="7">
        <f t="shared" si="0"/>
        <v>33</v>
      </c>
      <c r="B34" s="7">
        <f>TYPE(종목정보tbl!$C34)</f>
        <v>1</v>
      </c>
      <c r="C34" s="6">
        <f>NAV!J75</f>
        <v>0</v>
      </c>
      <c r="D34" s="6">
        <f>NAV!K75</f>
        <v>0</v>
      </c>
      <c r="E34" s="6">
        <f>NAV!L75</f>
        <v>0</v>
      </c>
      <c r="F34" s="6">
        <f>NAV!M75</f>
        <v>0</v>
      </c>
      <c r="G34" s="6">
        <f>NAV!N75</f>
        <v>0</v>
      </c>
      <c r="H34" s="6">
        <f>NAV!O75</f>
        <v>0</v>
      </c>
      <c r="I34" s="6">
        <f>NAV!P75</f>
        <v>0</v>
      </c>
      <c r="J34" s="6">
        <f>NAV!Q75</f>
        <v>0</v>
      </c>
      <c r="K34" s="9">
        <f>NAV!R75</f>
        <v>0</v>
      </c>
      <c r="L34" s="6">
        <f>NAV!S75</f>
        <v>0</v>
      </c>
      <c r="M34" s="6">
        <f>NAV!T75</f>
        <v>0</v>
      </c>
      <c r="N34" s="6" t="str">
        <f>NAV!U75</f>
        <v>한국 원화(KRW)</v>
      </c>
      <c r="O34" s="6">
        <f>NAV!V75</f>
        <v>1</v>
      </c>
      <c r="P34" s="6">
        <f>NAV!W75</f>
        <v>0</v>
      </c>
      <c r="Q34" s="6">
        <f>NAV!X75</f>
        <v>0</v>
      </c>
      <c r="R34" s="6">
        <f>NAV!Y75</f>
        <v>0</v>
      </c>
      <c r="S34" s="6">
        <f>NAV!Z75</f>
        <v>0</v>
      </c>
      <c r="T34" s="6">
        <f>NAV!AA75</f>
        <v>0</v>
      </c>
      <c r="U34" s="10">
        <f>NAV!AB75</f>
        <v>0</v>
      </c>
      <c r="V34" s="6" t="str">
        <f>NAV!AC75</f>
        <v>2년이상</v>
      </c>
    </row>
    <row r="35" spans="1:22">
      <c r="A35" s="7">
        <f t="shared" si="0"/>
        <v>34</v>
      </c>
      <c r="B35" s="7">
        <f>TYPE(종목정보tbl!$C35)</f>
        <v>1</v>
      </c>
      <c r="C35" s="6">
        <f>NAV!J76</f>
        <v>0</v>
      </c>
      <c r="D35" s="6">
        <f>NAV!K76</f>
        <v>0</v>
      </c>
      <c r="E35" s="6">
        <f>NAV!L76</f>
        <v>0</v>
      </c>
      <c r="F35" s="6">
        <f>NAV!M76</f>
        <v>0</v>
      </c>
      <c r="G35" s="6">
        <f>NAV!N76</f>
        <v>0</v>
      </c>
      <c r="H35" s="6">
        <f>NAV!O76</f>
        <v>0</v>
      </c>
      <c r="I35" s="6">
        <f>NAV!P76</f>
        <v>0</v>
      </c>
      <c r="J35" s="6">
        <f>NAV!Q76</f>
        <v>0</v>
      </c>
      <c r="K35" s="9">
        <f>NAV!R76</f>
        <v>0</v>
      </c>
      <c r="L35" s="6">
        <f>NAV!S76</f>
        <v>0</v>
      </c>
      <c r="M35" s="6">
        <f>NAV!T76</f>
        <v>0</v>
      </c>
      <c r="N35" s="6" t="str">
        <f>NAV!U76</f>
        <v>한국 원화(KRW)</v>
      </c>
      <c r="O35" s="6">
        <f>NAV!V76</f>
        <v>1</v>
      </c>
      <c r="P35" s="6">
        <f>NAV!W76</f>
        <v>0</v>
      </c>
      <c r="Q35" s="6">
        <f>NAV!X76</f>
        <v>0</v>
      </c>
      <c r="R35" s="6">
        <f>NAV!Y76</f>
        <v>0</v>
      </c>
      <c r="S35" s="6">
        <f>NAV!Z76</f>
        <v>0</v>
      </c>
      <c r="T35" s="6">
        <f>NAV!AA76</f>
        <v>0</v>
      </c>
      <c r="U35" s="10">
        <f>NAV!AB76</f>
        <v>0</v>
      </c>
      <c r="V35" s="6" t="str">
        <f>NAV!AC76</f>
        <v>2년이상</v>
      </c>
    </row>
    <row r="36" spans="1:22">
      <c r="A36" s="7">
        <f t="shared" si="0"/>
        <v>35</v>
      </c>
      <c r="B36" s="7">
        <f>TYPE(종목정보tbl!$C36)</f>
        <v>1</v>
      </c>
      <c r="C36" s="6">
        <f>NAV!J77</f>
        <v>0</v>
      </c>
      <c r="D36" s="6">
        <f>NAV!K77</f>
        <v>0</v>
      </c>
      <c r="E36" s="6">
        <f>NAV!L77</f>
        <v>0</v>
      </c>
      <c r="F36" s="6">
        <f>NAV!M77</f>
        <v>0</v>
      </c>
      <c r="G36" s="6">
        <f>NAV!N77</f>
        <v>0</v>
      </c>
      <c r="H36" s="6">
        <f>NAV!O77</f>
        <v>0</v>
      </c>
      <c r="I36" s="6">
        <f>NAV!P77</f>
        <v>0</v>
      </c>
      <c r="J36" s="6">
        <f>NAV!Q77</f>
        <v>0</v>
      </c>
      <c r="K36" s="9">
        <f>NAV!R77</f>
        <v>0</v>
      </c>
      <c r="L36" s="6">
        <f>NAV!S77</f>
        <v>0</v>
      </c>
      <c r="M36" s="6">
        <f>NAV!T77</f>
        <v>0</v>
      </c>
      <c r="N36" s="6" t="str">
        <f>NAV!U77</f>
        <v>한국 원화(KRW)</v>
      </c>
      <c r="O36" s="6">
        <f>NAV!V77</f>
        <v>1</v>
      </c>
      <c r="P36" s="6">
        <f>NAV!W77</f>
        <v>0</v>
      </c>
      <c r="Q36" s="6">
        <f>NAV!X77</f>
        <v>0</v>
      </c>
      <c r="R36" s="6">
        <f>NAV!Y77</f>
        <v>0</v>
      </c>
      <c r="S36" s="6">
        <f>NAV!Z77</f>
        <v>0</v>
      </c>
      <c r="T36" s="6">
        <f>NAV!AA77</f>
        <v>0</v>
      </c>
      <c r="U36" s="10">
        <f>NAV!AB77</f>
        <v>0</v>
      </c>
      <c r="V36" s="6" t="str">
        <f>NAV!AC77</f>
        <v>2년이상</v>
      </c>
    </row>
    <row r="37" spans="1:22">
      <c r="A37" s="7">
        <f t="shared" si="0"/>
        <v>36</v>
      </c>
      <c r="B37" s="7">
        <f>TYPE(종목정보tbl!$C37)</f>
        <v>1</v>
      </c>
      <c r="C37" s="6">
        <f>NAV!J78</f>
        <v>0</v>
      </c>
      <c r="D37" s="6">
        <f>NAV!K78</f>
        <v>0</v>
      </c>
      <c r="E37" s="6">
        <f>NAV!L78</f>
        <v>0</v>
      </c>
      <c r="F37" s="6">
        <f>NAV!M78</f>
        <v>0</v>
      </c>
      <c r="G37" s="6">
        <f>NAV!N78</f>
        <v>0</v>
      </c>
      <c r="H37" s="6">
        <f>NAV!O78</f>
        <v>0</v>
      </c>
      <c r="I37" s="6">
        <f>NAV!P78</f>
        <v>0</v>
      </c>
      <c r="J37" s="6">
        <f>NAV!Q78</f>
        <v>0</v>
      </c>
      <c r="K37" s="9">
        <f>NAV!R78</f>
        <v>0</v>
      </c>
      <c r="L37" s="6">
        <f>NAV!S78</f>
        <v>0</v>
      </c>
      <c r="M37" s="6">
        <f>NAV!T78</f>
        <v>0</v>
      </c>
      <c r="N37" s="6" t="str">
        <f>NAV!U78</f>
        <v>한국 원화(KRW)</v>
      </c>
      <c r="O37" s="6">
        <f>NAV!V78</f>
        <v>1</v>
      </c>
      <c r="P37" s="6">
        <f>NAV!W78</f>
        <v>0</v>
      </c>
      <c r="Q37" s="6">
        <f>NAV!X78</f>
        <v>0</v>
      </c>
      <c r="R37" s="6">
        <f>NAV!Y78</f>
        <v>0</v>
      </c>
      <c r="S37" s="6">
        <f>NAV!Z78</f>
        <v>0</v>
      </c>
      <c r="T37" s="6">
        <f>NAV!AA78</f>
        <v>0</v>
      </c>
      <c r="U37" s="10">
        <f>NAV!AB78</f>
        <v>0</v>
      </c>
      <c r="V37" s="6" t="str">
        <f>NAV!AC78</f>
        <v>2년이상</v>
      </c>
    </row>
    <row r="38" spans="1:22">
      <c r="A38" s="7">
        <f t="shared" si="0"/>
        <v>37</v>
      </c>
      <c r="B38" s="7">
        <f>TYPE(종목정보tbl!$C38)</f>
        <v>1</v>
      </c>
      <c r="C38" s="6">
        <f>NAV!J79</f>
        <v>0</v>
      </c>
      <c r="D38" s="6">
        <f>NAV!K79</f>
        <v>0</v>
      </c>
      <c r="E38" s="6">
        <f>NAV!L79</f>
        <v>0</v>
      </c>
      <c r="F38" s="6">
        <f>NAV!M79</f>
        <v>0</v>
      </c>
      <c r="G38" s="6">
        <f>NAV!N79</f>
        <v>0</v>
      </c>
      <c r="H38" s="6">
        <f>NAV!O79</f>
        <v>0</v>
      </c>
      <c r="I38" s="6">
        <f>NAV!P79</f>
        <v>0</v>
      </c>
      <c r="J38" s="6">
        <f>NAV!Q79</f>
        <v>0</v>
      </c>
      <c r="K38" s="9">
        <f>NAV!R79</f>
        <v>0</v>
      </c>
      <c r="L38" s="6">
        <f>NAV!S79</f>
        <v>0</v>
      </c>
      <c r="M38" s="6">
        <f>NAV!T79</f>
        <v>0</v>
      </c>
      <c r="N38" s="6" t="str">
        <f>NAV!U79</f>
        <v>한국 원화(KRW)</v>
      </c>
      <c r="O38" s="6">
        <f>NAV!V79</f>
        <v>1</v>
      </c>
      <c r="P38" s="6">
        <f>NAV!W79</f>
        <v>0</v>
      </c>
      <c r="Q38" s="6">
        <f>NAV!X79</f>
        <v>0</v>
      </c>
      <c r="R38" s="6">
        <f>NAV!Y79</f>
        <v>0</v>
      </c>
      <c r="S38" s="6">
        <f>NAV!Z79</f>
        <v>0</v>
      </c>
      <c r="T38" s="6">
        <f>NAV!AA79</f>
        <v>0</v>
      </c>
      <c r="U38" s="10">
        <f>NAV!AB79</f>
        <v>0</v>
      </c>
      <c r="V38" s="6" t="str">
        <f>NAV!AC79</f>
        <v>2년이상</v>
      </c>
    </row>
    <row r="39" spans="1:22">
      <c r="A39" s="7">
        <f t="shared" si="0"/>
        <v>38</v>
      </c>
      <c r="B39" s="7">
        <f>TYPE(종목정보tbl!$C39)</f>
        <v>1</v>
      </c>
      <c r="C39" s="6">
        <f>NAV!J80</f>
        <v>0</v>
      </c>
      <c r="D39" s="6">
        <f>NAV!K80</f>
        <v>0</v>
      </c>
      <c r="E39" s="6">
        <f>NAV!L80</f>
        <v>0</v>
      </c>
      <c r="F39" s="6">
        <f>NAV!M80</f>
        <v>0</v>
      </c>
      <c r="G39" s="6">
        <f>NAV!N80</f>
        <v>0</v>
      </c>
      <c r="H39" s="6">
        <f>NAV!O80</f>
        <v>0</v>
      </c>
      <c r="I39" s="6">
        <f>NAV!P80</f>
        <v>0</v>
      </c>
      <c r="J39" s="6">
        <f>NAV!Q80</f>
        <v>0</v>
      </c>
      <c r="K39" s="9">
        <f>NAV!R80</f>
        <v>0</v>
      </c>
      <c r="L39" s="6">
        <f>NAV!S80</f>
        <v>0</v>
      </c>
      <c r="M39" s="6">
        <f>NAV!T80</f>
        <v>0</v>
      </c>
      <c r="N39" s="6" t="str">
        <f>NAV!U80</f>
        <v>한국 원화(KRW)</v>
      </c>
      <c r="O39" s="6">
        <f>NAV!V80</f>
        <v>1</v>
      </c>
      <c r="P39" s="6">
        <f>NAV!W80</f>
        <v>0</v>
      </c>
      <c r="Q39" s="6">
        <f>NAV!X80</f>
        <v>0</v>
      </c>
      <c r="R39" s="6">
        <f>NAV!Y80</f>
        <v>0</v>
      </c>
      <c r="S39" s="6">
        <f>NAV!Z80</f>
        <v>0</v>
      </c>
      <c r="T39" s="6">
        <f>NAV!AA80</f>
        <v>0</v>
      </c>
      <c r="U39" s="10">
        <f>NAV!AB80</f>
        <v>0</v>
      </c>
      <c r="V39" s="6" t="str">
        <f>NAV!AC80</f>
        <v>2년이상</v>
      </c>
    </row>
    <row r="40" spans="1:22">
      <c r="A40" s="7">
        <f t="shared" si="0"/>
        <v>39</v>
      </c>
      <c r="B40" s="7">
        <f>TYPE(종목정보tbl!$C40)</f>
        <v>1</v>
      </c>
      <c r="C40" s="6">
        <f>NAV!J81</f>
        <v>0</v>
      </c>
      <c r="D40" s="6">
        <f>NAV!K81</f>
        <v>0</v>
      </c>
      <c r="E40" s="6">
        <f>NAV!L81</f>
        <v>0</v>
      </c>
      <c r="F40" s="6">
        <f>NAV!M81</f>
        <v>0</v>
      </c>
      <c r="G40" s="6">
        <f>NAV!N81</f>
        <v>0</v>
      </c>
      <c r="H40" s="6">
        <f>NAV!O81</f>
        <v>0</v>
      </c>
      <c r="I40" s="6">
        <f>NAV!P81</f>
        <v>0</v>
      </c>
      <c r="J40" s="6">
        <f>NAV!Q81</f>
        <v>0</v>
      </c>
      <c r="K40" s="9">
        <f>NAV!R81</f>
        <v>0</v>
      </c>
      <c r="L40" s="6">
        <f>NAV!S81</f>
        <v>0</v>
      </c>
      <c r="M40" s="6">
        <f>NAV!T81</f>
        <v>0</v>
      </c>
      <c r="N40" s="6" t="str">
        <f>NAV!U81</f>
        <v>한국 원화(KRW)</v>
      </c>
      <c r="O40" s="6">
        <f>NAV!V81</f>
        <v>1</v>
      </c>
      <c r="P40" s="6">
        <f>NAV!W81</f>
        <v>0</v>
      </c>
      <c r="Q40" s="6">
        <f>NAV!X81</f>
        <v>0</v>
      </c>
      <c r="R40" s="6">
        <f>NAV!Y81</f>
        <v>0</v>
      </c>
      <c r="S40" s="6">
        <f>NAV!Z81</f>
        <v>0</v>
      </c>
      <c r="T40" s="6">
        <f>NAV!AA81</f>
        <v>0</v>
      </c>
      <c r="U40" s="10">
        <f>NAV!AB81</f>
        <v>0</v>
      </c>
      <c r="V40" s="6" t="str">
        <f>NAV!AC81</f>
        <v>2년이상</v>
      </c>
    </row>
    <row r="41" spans="1:22">
      <c r="A41" s="7">
        <f t="shared" si="0"/>
        <v>40</v>
      </c>
      <c r="B41" s="7">
        <f>TYPE(종목정보tbl!$C41)</f>
        <v>1</v>
      </c>
      <c r="C41" s="6">
        <f>NAV!J82</f>
        <v>0</v>
      </c>
      <c r="D41" s="6">
        <f>NAV!K82</f>
        <v>0</v>
      </c>
      <c r="E41" s="6">
        <f>NAV!L82</f>
        <v>0</v>
      </c>
      <c r="F41" s="6">
        <f>NAV!M82</f>
        <v>0</v>
      </c>
      <c r="G41" s="6">
        <f>NAV!N82</f>
        <v>0</v>
      </c>
      <c r="H41" s="6">
        <f>NAV!O82</f>
        <v>0</v>
      </c>
      <c r="I41" s="6">
        <f>NAV!P82</f>
        <v>0</v>
      </c>
      <c r="J41" s="6">
        <f>NAV!Q82</f>
        <v>0</v>
      </c>
      <c r="K41" s="9">
        <f>NAV!R82</f>
        <v>0</v>
      </c>
      <c r="L41" s="6">
        <f>NAV!S82</f>
        <v>0</v>
      </c>
      <c r="M41" s="6">
        <f>NAV!T82</f>
        <v>0</v>
      </c>
      <c r="N41" s="6" t="str">
        <f>NAV!U82</f>
        <v>한국 원화(KRW)</v>
      </c>
      <c r="O41" s="6">
        <f>NAV!V82</f>
        <v>1</v>
      </c>
      <c r="P41" s="6">
        <f>NAV!W82</f>
        <v>0</v>
      </c>
      <c r="Q41" s="6">
        <f>NAV!X82</f>
        <v>0</v>
      </c>
      <c r="R41" s="6">
        <f>NAV!Y82</f>
        <v>0</v>
      </c>
      <c r="S41" s="6">
        <f>NAV!Z82</f>
        <v>0</v>
      </c>
      <c r="T41" s="6">
        <f>NAV!AA82</f>
        <v>0</v>
      </c>
      <c r="U41" s="10">
        <f>NAV!AB82</f>
        <v>0</v>
      </c>
      <c r="V41" s="6" t="str">
        <f>NAV!AC82</f>
        <v>2년이상</v>
      </c>
    </row>
    <row r="42" spans="1:22">
      <c r="A42" s="7">
        <f t="shared" si="0"/>
        <v>41</v>
      </c>
      <c r="B42" s="7">
        <f>TYPE(종목정보tbl!$C42)</f>
        <v>1</v>
      </c>
      <c r="C42" s="6">
        <f>NAV!J83</f>
        <v>0</v>
      </c>
      <c r="D42" s="6">
        <f>NAV!K83</f>
        <v>0</v>
      </c>
      <c r="E42" s="6">
        <f>NAV!L83</f>
        <v>0</v>
      </c>
      <c r="F42" s="6">
        <f>NAV!M83</f>
        <v>0</v>
      </c>
      <c r="G42" s="6">
        <f>NAV!N83</f>
        <v>0</v>
      </c>
      <c r="H42" s="6">
        <f>NAV!O83</f>
        <v>0</v>
      </c>
      <c r="I42" s="6">
        <f>NAV!P83</f>
        <v>0</v>
      </c>
      <c r="J42" s="6">
        <f>NAV!Q83</f>
        <v>0</v>
      </c>
      <c r="K42" s="9">
        <f>NAV!R83</f>
        <v>0</v>
      </c>
      <c r="L42" s="6">
        <f>NAV!S83</f>
        <v>0</v>
      </c>
      <c r="M42" s="6">
        <f>NAV!T83</f>
        <v>0</v>
      </c>
      <c r="N42" s="6" t="str">
        <f>NAV!U83</f>
        <v>한국 원화(KRW)</v>
      </c>
      <c r="O42" s="6">
        <f>NAV!V83</f>
        <v>1</v>
      </c>
      <c r="P42" s="6">
        <f>NAV!W83</f>
        <v>0</v>
      </c>
      <c r="Q42" s="6">
        <f>NAV!X83</f>
        <v>0</v>
      </c>
      <c r="R42" s="6">
        <f>NAV!Y83</f>
        <v>0</v>
      </c>
      <c r="S42" s="6">
        <f>NAV!Z83</f>
        <v>0</v>
      </c>
      <c r="T42" s="6">
        <f>NAV!AA83</f>
        <v>0</v>
      </c>
      <c r="U42" s="10">
        <f>NAV!AB83</f>
        <v>0</v>
      </c>
      <c r="V42" s="6" t="str">
        <f>NAV!AC83</f>
        <v>2년이상</v>
      </c>
    </row>
    <row r="43" spans="1:22">
      <c r="A43" s="7">
        <f t="shared" si="0"/>
        <v>42</v>
      </c>
      <c r="B43" s="7">
        <f>TYPE(종목정보tbl!$C43)</f>
        <v>1</v>
      </c>
      <c r="C43" s="6">
        <f>NAV!J84</f>
        <v>0</v>
      </c>
      <c r="D43" s="6">
        <f>NAV!K84</f>
        <v>0</v>
      </c>
      <c r="E43" s="6">
        <f>NAV!L84</f>
        <v>0</v>
      </c>
      <c r="F43" s="6">
        <f>NAV!M84</f>
        <v>0</v>
      </c>
      <c r="G43" s="6">
        <f>NAV!N84</f>
        <v>0</v>
      </c>
      <c r="H43" s="6">
        <f>NAV!O84</f>
        <v>0</v>
      </c>
      <c r="I43" s="6">
        <f>NAV!P84</f>
        <v>0</v>
      </c>
      <c r="J43" s="6">
        <f>NAV!Q84</f>
        <v>0</v>
      </c>
      <c r="K43" s="9">
        <f>NAV!R84</f>
        <v>0</v>
      </c>
      <c r="L43" s="6">
        <f>NAV!S84</f>
        <v>0</v>
      </c>
      <c r="M43" s="6">
        <f>NAV!T84</f>
        <v>0</v>
      </c>
      <c r="N43" s="6" t="str">
        <f>NAV!U84</f>
        <v>한국 원화(KRW)</v>
      </c>
      <c r="O43" s="6">
        <f>NAV!V84</f>
        <v>1</v>
      </c>
      <c r="P43" s="6">
        <f>NAV!W84</f>
        <v>0</v>
      </c>
      <c r="Q43" s="6">
        <f>NAV!X84</f>
        <v>0</v>
      </c>
      <c r="R43" s="6">
        <f>NAV!Y84</f>
        <v>0</v>
      </c>
      <c r="S43" s="6">
        <f>NAV!Z84</f>
        <v>0</v>
      </c>
      <c r="T43" s="6">
        <f>NAV!AA84</f>
        <v>0</v>
      </c>
      <c r="U43" s="10">
        <f>NAV!AB84</f>
        <v>0</v>
      </c>
      <c r="V43" s="6" t="str">
        <f>NAV!AC84</f>
        <v>2년이상</v>
      </c>
    </row>
    <row r="44" spans="1:22">
      <c r="A44" s="7">
        <f t="shared" si="0"/>
        <v>43</v>
      </c>
      <c r="B44" s="7">
        <f>TYPE(종목정보tbl!$C44)</f>
        <v>1</v>
      </c>
      <c r="C44" s="6">
        <f>NAV!J85</f>
        <v>0</v>
      </c>
      <c r="D44" s="6">
        <f>NAV!K85</f>
        <v>0</v>
      </c>
      <c r="E44" s="6">
        <f>NAV!L85</f>
        <v>0</v>
      </c>
      <c r="F44" s="6">
        <f>NAV!M85</f>
        <v>0</v>
      </c>
      <c r="G44" s="6">
        <f>NAV!N85</f>
        <v>0</v>
      </c>
      <c r="H44" s="6">
        <f>NAV!O85</f>
        <v>0</v>
      </c>
      <c r="I44" s="6">
        <f>NAV!P85</f>
        <v>0</v>
      </c>
      <c r="J44" s="6">
        <f>NAV!Q85</f>
        <v>0</v>
      </c>
      <c r="K44" s="9">
        <f>NAV!R85</f>
        <v>0</v>
      </c>
      <c r="L44" s="6">
        <f>NAV!S85</f>
        <v>0</v>
      </c>
      <c r="M44" s="6">
        <f>NAV!T85</f>
        <v>0</v>
      </c>
      <c r="N44" s="6" t="str">
        <f>NAV!U85</f>
        <v>한국 원화(KRW)</v>
      </c>
      <c r="O44" s="6">
        <f>NAV!V85</f>
        <v>1</v>
      </c>
      <c r="P44" s="6">
        <f>NAV!W85</f>
        <v>0</v>
      </c>
      <c r="Q44" s="6">
        <f>NAV!X85</f>
        <v>0</v>
      </c>
      <c r="R44" s="6">
        <f>NAV!Y85</f>
        <v>0</v>
      </c>
      <c r="S44" s="6">
        <f>NAV!Z85</f>
        <v>0</v>
      </c>
      <c r="T44" s="6">
        <f>NAV!AA85</f>
        <v>0</v>
      </c>
      <c r="U44" s="10">
        <f>NAV!AB85</f>
        <v>0</v>
      </c>
      <c r="V44" s="6" t="str">
        <f>NAV!AC85</f>
        <v>2년이상</v>
      </c>
    </row>
    <row r="45" spans="1:22">
      <c r="A45" s="7">
        <f t="shared" si="0"/>
        <v>44</v>
      </c>
      <c r="B45" s="7">
        <f>TYPE(종목정보tbl!$C45)</f>
        <v>1</v>
      </c>
      <c r="C45" s="6">
        <f>NAV!J86</f>
        <v>0</v>
      </c>
      <c r="D45" s="6">
        <f>NAV!K86</f>
        <v>0</v>
      </c>
      <c r="E45" s="6">
        <f>NAV!L86</f>
        <v>0</v>
      </c>
      <c r="F45" s="6">
        <f>NAV!M86</f>
        <v>0</v>
      </c>
      <c r="G45" s="6">
        <f>NAV!N86</f>
        <v>0</v>
      </c>
      <c r="H45" s="6">
        <f>NAV!O86</f>
        <v>0</v>
      </c>
      <c r="I45" s="6">
        <f>NAV!P86</f>
        <v>0</v>
      </c>
      <c r="J45" s="6">
        <f>NAV!Q86</f>
        <v>0</v>
      </c>
      <c r="K45" s="9">
        <f>NAV!R86</f>
        <v>0</v>
      </c>
      <c r="L45" s="6">
        <f>NAV!S86</f>
        <v>0</v>
      </c>
      <c r="M45" s="6">
        <f>NAV!T86</f>
        <v>0</v>
      </c>
      <c r="N45" s="6" t="str">
        <f>NAV!U86</f>
        <v>한국 원화(KRW)</v>
      </c>
      <c r="O45" s="6">
        <f>NAV!V86</f>
        <v>1</v>
      </c>
      <c r="P45" s="6">
        <f>NAV!W86</f>
        <v>0</v>
      </c>
      <c r="Q45" s="6">
        <f>NAV!X86</f>
        <v>0</v>
      </c>
      <c r="R45" s="6">
        <f>NAV!Y86</f>
        <v>0</v>
      </c>
      <c r="S45" s="6">
        <f>NAV!Z86</f>
        <v>0</v>
      </c>
      <c r="T45" s="6">
        <f>NAV!AA86</f>
        <v>0</v>
      </c>
      <c r="U45" s="10">
        <f>NAV!AB86</f>
        <v>0</v>
      </c>
      <c r="V45" s="6" t="str">
        <f>NAV!AC86</f>
        <v>2년이상</v>
      </c>
    </row>
    <row r="46" spans="1:22">
      <c r="A46" s="7">
        <f t="shared" si="0"/>
        <v>45</v>
      </c>
      <c r="B46" s="7">
        <f>TYPE(종목정보tbl!$C46)</f>
        <v>1</v>
      </c>
      <c r="C46" s="6">
        <f>NAV!J87</f>
        <v>0</v>
      </c>
      <c r="D46" s="6">
        <f>NAV!K87</f>
        <v>0</v>
      </c>
      <c r="E46" s="6">
        <f>NAV!L87</f>
        <v>0</v>
      </c>
      <c r="F46" s="6">
        <f>NAV!M87</f>
        <v>0</v>
      </c>
      <c r="G46" s="6">
        <f>NAV!N87</f>
        <v>0</v>
      </c>
      <c r="H46" s="6">
        <f>NAV!O87</f>
        <v>0</v>
      </c>
      <c r="I46" s="6">
        <f>NAV!P87</f>
        <v>0</v>
      </c>
      <c r="J46" s="6">
        <f>NAV!Q87</f>
        <v>0</v>
      </c>
      <c r="K46" s="9">
        <f>NAV!R87</f>
        <v>0</v>
      </c>
      <c r="L46" s="6">
        <f>NAV!S87</f>
        <v>0</v>
      </c>
      <c r="M46" s="6">
        <f>NAV!T87</f>
        <v>0</v>
      </c>
      <c r="N46" s="6" t="str">
        <f>NAV!U87</f>
        <v>한국 원화(KRW)</v>
      </c>
      <c r="O46" s="6">
        <f>NAV!V87</f>
        <v>1</v>
      </c>
      <c r="P46" s="6">
        <f>NAV!W87</f>
        <v>0</v>
      </c>
      <c r="Q46" s="6">
        <f>NAV!X87</f>
        <v>0</v>
      </c>
      <c r="R46" s="6">
        <f>NAV!Y87</f>
        <v>0</v>
      </c>
      <c r="S46" s="6">
        <f>NAV!Z87</f>
        <v>0</v>
      </c>
      <c r="T46" s="6">
        <f>NAV!AA87</f>
        <v>0</v>
      </c>
      <c r="U46" s="10">
        <f>NAV!AB87</f>
        <v>0</v>
      </c>
      <c r="V46" s="6" t="str">
        <f>NAV!AC87</f>
        <v>2년이상</v>
      </c>
    </row>
    <row r="47" spans="1:22">
      <c r="A47" s="7">
        <f t="shared" si="0"/>
        <v>46</v>
      </c>
      <c r="B47" s="7">
        <f>TYPE(종목정보tbl!$C47)</f>
        <v>1</v>
      </c>
      <c r="C47" s="6">
        <f>NAV!J88</f>
        <v>0</v>
      </c>
      <c r="D47" s="6">
        <f>NAV!K88</f>
        <v>0</v>
      </c>
      <c r="E47" s="6">
        <f>NAV!L88</f>
        <v>0</v>
      </c>
      <c r="F47" s="6">
        <f>NAV!M88</f>
        <v>0</v>
      </c>
      <c r="G47" s="6">
        <f>NAV!N88</f>
        <v>0</v>
      </c>
      <c r="H47" s="6">
        <f>NAV!O88</f>
        <v>0</v>
      </c>
      <c r="I47" s="6">
        <f>NAV!P88</f>
        <v>0</v>
      </c>
      <c r="J47" s="6">
        <f>NAV!Q88</f>
        <v>0</v>
      </c>
      <c r="K47" s="9">
        <f>NAV!R88</f>
        <v>0</v>
      </c>
      <c r="L47" s="6">
        <f>NAV!S88</f>
        <v>0</v>
      </c>
      <c r="M47" s="6">
        <f>NAV!T88</f>
        <v>0</v>
      </c>
      <c r="N47" s="6" t="str">
        <f>NAV!U88</f>
        <v>한국 원화(KRW)</v>
      </c>
      <c r="O47" s="6">
        <f>NAV!V88</f>
        <v>1</v>
      </c>
      <c r="P47" s="6">
        <f>NAV!W88</f>
        <v>0</v>
      </c>
      <c r="Q47" s="6">
        <f>NAV!X88</f>
        <v>0</v>
      </c>
      <c r="R47" s="6">
        <f>NAV!Y88</f>
        <v>0</v>
      </c>
      <c r="S47" s="6">
        <f>NAV!Z88</f>
        <v>0</v>
      </c>
      <c r="T47" s="6">
        <f>NAV!AA88</f>
        <v>0</v>
      </c>
      <c r="U47" s="10">
        <f>NAV!AB88</f>
        <v>0</v>
      </c>
      <c r="V47" s="6" t="str">
        <f>NAV!AC88</f>
        <v>2년이상</v>
      </c>
    </row>
    <row r="48" spans="1:22">
      <c r="A48" s="7">
        <f t="shared" si="0"/>
        <v>47</v>
      </c>
      <c r="B48" s="7">
        <f>TYPE(종목정보tbl!$C48)</f>
        <v>1</v>
      </c>
      <c r="C48" s="6">
        <f>NAV!J89</f>
        <v>0</v>
      </c>
      <c r="D48" s="6">
        <f>NAV!K89</f>
        <v>0</v>
      </c>
      <c r="E48" s="6">
        <f>NAV!L89</f>
        <v>0</v>
      </c>
      <c r="F48" s="6">
        <f>NAV!M89</f>
        <v>0</v>
      </c>
      <c r="G48" s="6">
        <f>NAV!N89</f>
        <v>0</v>
      </c>
      <c r="H48" s="6">
        <f>NAV!O89</f>
        <v>0</v>
      </c>
      <c r="I48" s="6">
        <f>NAV!P89</f>
        <v>0</v>
      </c>
      <c r="J48" s="6">
        <f>NAV!Q89</f>
        <v>0</v>
      </c>
      <c r="K48" s="9">
        <f>NAV!R89</f>
        <v>0</v>
      </c>
      <c r="L48" s="6">
        <f>NAV!S89</f>
        <v>0</v>
      </c>
      <c r="M48" s="6">
        <f>NAV!T89</f>
        <v>0</v>
      </c>
      <c r="N48" s="6" t="str">
        <f>NAV!U89</f>
        <v>한국 원화(KRW)</v>
      </c>
      <c r="O48" s="6">
        <f>NAV!V89</f>
        <v>1</v>
      </c>
      <c r="P48" s="6">
        <f>NAV!W89</f>
        <v>0</v>
      </c>
      <c r="Q48" s="6">
        <f>NAV!X89</f>
        <v>0</v>
      </c>
      <c r="R48" s="6">
        <f>NAV!Y89</f>
        <v>0</v>
      </c>
      <c r="S48" s="6">
        <f>NAV!Z89</f>
        <v>0</v>
      </c>
      <c r="T48" s="6">
        <f>NAV!AA89</f>
        <v>0</v>
      </c>
      <c r="U48" s="10">
        <f>NAV!AB89</f>
        <v>0</v>
      </c>
      <c r="V48" s="6" t="str">
        <f>NAV!AC89</f>
        <v>2년이상</v>
      </c>
    </row>
    <row r="49" spans="1:22">
      <c r="A49" s="7">
        <f t="shared" si="0"/>
        <v>48</v>
      </c>
      <c r="B49" s="7">
        <f>TYPE(종목정보tbl!$C49)</f>
        <v>1</v>
      </c>
      <c r="C49" s="6">
        <f>NAV!J90</f>
        <v>0</v>
      </c>
      <c r="D49" s="6">
        <f>NAV!K90</f>
        <v>0</v>
      </c>
      <c r="E49" s="6">
        <f>NAV!L90</f>
        <v>0</v>
      </c>
      <c r="F49" s="6">
        <f>NAV!M90</f>
        <v>0</v>
      </c>
      <c r="G49" s="6">
        <f>NAV!N90</f>
        <v>0</v>
      </c>
      <c r="H49" s="6">
        <f>NAV!O90</f>
        <v>0</v>
      </c>
      <c r="I49" s="6">
        <f>NAV!P90</f>
        <v>0</v>
      </c>
      <c r="J49" s="6">
        <f>NAV!Q90</f>
        <v>0</v>
      </c>
      <c r="K49" s="9">
        <f>NAV!R90</f>
        <v>0</v>
      </c>
      <c r="L49" s="6">
        <f>NAV!S90</f>
        <v>0</v>
      </c>
      <c r="M49" s="6">
        <f>NAV!T90</f>
        <v>0</v>
      </c>
      <c r="N49" s="6" t="str">
        <f>NAV!U90</f>
        <v>한국 원화(KRW)</v>
      </c>
      <c r="O49" s="6">
        <f>NAV!V90</f>
        <v>1</v>
      </c>
      <c r="P49" s="6">
        <f>NAV!W90</f>
        <v>0</v>
      </c>
      <c r="Q49" s="6">
        <f>NAV!X90</f>
        <v>0</v>
      </c>
      <c r="R49" s="6">
        <f>NAV!Y90</f>
        <v>0</v>
      </c>
      <c r="S49" s="6">
        <f>NAV!Z90</f>
        <v>0</v>
      </c>
      <c r="T49" s="6">
        <f>NAV!AA90</f>
        <v>0</v>
      </c>
      <c r="U49" s="10">
        <f>NAV!AB90</f>
        <v>0</v>
      </c>
      <c r="V49" s="6" t="str">
        <f>NAV!AC90</f>
        <v>2년이상</v>
      </c>
    </row>
    <row r="50" spans="1:22">
      <c r="A50" s="7">
        <f t="shared" si="0"/>
        <v>49</v>
      </c>
      <c r="B50" s="7">
        <f>TYPE(종목정보tbl!$C50)</f>
        <v>1</v>
      </c>
      <c r="C50" s="6">
        <f>NAV!J91</f>
        <v>0</v>
      </c>
      <c r="D50" s="6">
        <f>NAV!K91</f>
        <v>0</v>
      </c>
      <c r="E50" s="6">
        <f>NAV!L91</f>
        <v>0</v>
      </c>
      <c r="F50" s="6">
        <f>NAV!M91</f>
        <v>0</v>
      </c>
      <c r="G50" s="6">
        <f>NAV!N91</f>
        <v>0</v>
      </c>
      <c r="H50" s="6">
        <f>NAV!O91</f>
        <v>0</v>
      </c>
      <c r="I50" s="6">
        <f>NAV!P91</f>
        <v>0</v>
      </c>
      <c r="J50" s="6">
        <f>NAV!Q91</f>
        <v>0</v>
      </c>
      <c r="K50" s="9">
        <f>NAV!R91</f>
        <v>0</v>
      </c>
      <c r="L50" s="6">
        <f>NAV!S91</f>
        <v>0</v>
      </c>
      <c r="M50" s="6">
        <f>NAV!T91</f>
        <v>0</v>
      </c>
      <c r="N50" s="6" t="str">
        <f>NAV!U91</f>
        <v>한국 원화(KRW)</v>
      </c>
      <c r="O50" s="6">
        <f>NAV!V91</f>
        <v>1</v>
      </c>
      <c r="P50" s="6">
        <f>NAV!W91</f>
        <v>0</v>
      </c>
      <c r="Q50" s="6">
        <f>NAV!X91</f>
        <v>0</v>
      </c>
      <c r="R50" s="6">
        <f>NAV!Y91</f>
        <v>0</v>
      </c>
      <c r="S50" s="6">
        <f>NAV!Z91</f>
        <v>0</v>
      </c>
      <c r="T50" s="6">
        <f>NAV!AA91</f>
        <v>0</v>
      </c>
      <c r="U50" s="10">
        <f>NAV!AB91</f>
        <v>0</v>
      </c>
      <c r="V50" s="6" t="str">
        <f>NAV!AC91</f>
        <v>2년이상</v>
      </c>
    </row>
    <row r="51" spans="1:22">
      <c r="A51" s="7">
        <f t="shared" si="0"/>
        <v>50</v>
      </c>
      <c r="B51" s="7">
        <f>TYPE(종목정보tbl!$C51)</f>
        <v>1</v>
      </c>
      <c r="C51" s="6">
        <f>NAV!J92</f>
        <v>0</v>
      </c>
      <c r="D51" s="6">
        <f>NAV!K92</f>
        <v>0</v>
      </c>
      <c r="E51" s="6">
        <f>NAV!L92</f>
        <v>0</v>
      </c>
      <c r="F51" s="6">
        <f>NAV!M92</f>
        <v>0</v>
      </c>
      <c r="G51" s="6">
        <f>NAV!N92</f>
        <v>0</v>
      </c>
      <c r="H51" s="6">
        <f>NAV!O92</f>
        <v>0</v>
      </c>
      <c r="I51" s="6">
        <f>NAV!P92</f>
        <v>0</v>
      </c>
      <c r="J51" s="6">
        <f>NAV!Q92</f>
        <v>0</v>
      </c>
      <c r="K51" s="9">
        <f>NAV!R92</f>
        <v>0</v>
      </c>
      <c r="L51" s="6">
        <f>NAV!S92</f>
        <v>0</v>
      </c>
      <c r="M51" s="6">
        <f>NAV!T92</f>
        <v>0</v>
      </c>
      <c r="N51" s="6" t="str">
        <f>NAV!U92</f>
        <v>한국 원화(KRW)</v>
      </c>
      <c r="O51" s="6">
        <f>NAV!V92</f>
        <v>1</v>
      </c>
      <c r="P51" s="6">
        <f>NAV!W92</f>
        <v>0</v>
      </c>
      <c r="Q51" s="6">
        <f>NAV!X92</f>
        <v>0</v>
      </c>
      <c r="R51" s="6">
        <f>NAV!Y92</f>
        <v>0</v>
      </c>
      <c r="S51" s="6">
        <f>NAV!Z92</f>
        <v>0</v>
      </c>
      <c r="T51" s="6">
        <f>NAV!AA92</f>
        <v>0</v>
      </c>
      <c r="U51" s="10">
        <f>NAV!AB92</f>
        <v>0</v>
      </c>
      <c r="V51" s="6" t="str">
        <f>NAV!AC92</f>
        <v>2년이상</v>
      </c>
    </row>
    <row r="52" spans="1:22">
      <c r="A52" s="7">
        <f t="shared" si="0"/>
        <v>51</v>
      </c>
      <c r="B52" s="7">
        <f>TYPE(종목정보tbl!$C52)</f>
        <v>1</v>
      </c>
      <c r="C52" s="6">
        <f>NAV!J93</f>
        <v>0</v>
      </c>
      <c r="D52" s="6">
        <f>NAV!K93</f>
        <v>0</v>
      </c>
      <c r="E52" s="6">
        <f>NAV!L93</f>
        <v>0</v>
      </c>
      <c r="F52" s="6">
        <f>NAV!M93</f>
        <v>0</v>
      </c>
      <c r="G52" s="6">
        <f>NAV!N93</f>
        <v>0</v>
      </c>
      <c r="H52" s="6">
        <f>NAV!O93</f>
        <v>0</v>
      </c>
      <c r="I52" s="6">
        <f>NAV!P93</f>
        <v>0</v>
      </c>
      <c r="J52" s="6">
        <f>NAV!Q93</f>
        <v>0</v>
      </c>
      <c r="K52" s="9">
        <f>NAV!R93</f>
        <v>0</v>
      </c>
      <c r="L52" s="6">
        <f>NAV!S93</f>
        <v>0</v>
      </c>
      <c r="M52" s="6">
        <f>NAV!T93</f>
        <v>0</v>
      </c>
      <c r="N52" s="6" t="str">
        <f>NAV!U93</f>
        <v>한국 원화(KRW)</v>
      </c>
      <c r="O52" s="6">
        <f>NAV!V93</f>
        <v>1</v>
      </c>
      <c r="P52" s="6">
        <f>NAV!W93</f>
        <v>0</v>
      </c>
      <c r="Q52" s="6">
        <f>NAV!X93</f>
        <v>0</v>
      </c>
      <c r="R52" s="6">
        <f>NAV!Y93</f>
        <v>0</v>
      </c>
      <c r="S52" s="6">
        <f>NAV!Z93</f>
        <v>0</v>
      </c>
      <c r="T52" s="6">
        <f>NAV!AA93</f>
        <v>0</v>
      </c>
      <c r="U52" s="10">
        <f>NAV!AB93</f>
        <v>0</v>
      </c>
      <c r="V52" s="6" t="str">
        <f>NAV!AC93</f>
        <v>2년이상</v>
      </c>
    </row>
    <row r="53" spans="1:22">
      <c r="A53" s="7">
        <f t="shared" si="0"/>
        <v>52</v>
      </c>
      <c r="B53" s="7">
        <f>TYPE(종목정보tbl!$C53)</f>
        <v>1</v>
      </c>
      <c r="C53" s="6">
        <f>NAV!J94</f>
        <v>0</v>
      </c>
      <c r="D53" s="6">
        <f>NAV!K94</f>
        <v>0</v>
      </c>
      <c r="E53" s="6">
        <f>NAV!L94</f>
        <v>0</v>
      </c>
      <c r="F53" s="6">
        <f>NAV!M94</f>
        <v>0</v>
      </c>
      <c r="G53" s="6">
        <f>NAV!N94</f>
        <v>0</v>
      </c>
      <c r="H53" s="6">
        <f>NAV!O94</f>
        <v>0</v>
      </c>
      <c r="I53" s="6">
        <f>NAV!P94</f>
        <v>0</v>
      </c>
      <c r="J53" s="6">
        <f>NAV!Q94</f>
        <v>0</v>
      </c>
      <c r="K53" s="9">
        <f>NAV!R94</f>
        <v>0</v>
      </c>
      <c r="L53" s="6">
        <f>NAV!S94</f>
        <v>0</v>
      </c>
      <c r="M53" s="6">
        <f>NAV!T94</f>
        <v>0</v>
      </c>
      <c r="N53" s="6" t="str">
        <f>NAV!U94</f>
        <v>한국 원화(KRW)</v>
      </c>
      <c r="O53" s="6">
        <f>NAV!V94</f>
        <v>1</v>
      </c>
      <c r="P53" s="6">
        <f>NAV!W94</f>
        <v>0</v>
      </c>
      <c r="Q53" s="6">
        <f>NAV!X94</f>
        <v>0</v>
      </c>
      <c r="R53" s="6">
        <f>NAV!Y94</f>
        <v>0</v>
      </c>
      <c r="S53" s="6">
        <f>NAV!Z94</f>
        <v>0</v>
      </c>
      <c r="T53" s="6">
        <f>NAV!AA94</f>
        <v>0</v>
      </c>
      <c r="U53" s="10">
        <f>NAV!AB94</f>
        <v>0</v>
      </c>
      <c r="V53" s="6" t="str">
        <f>NAV!AC94</f>
        <v>2년이상</v>
      </c>
    </row>
    <row r="54" spans="1:22">
      <c r="A54" s="7">
        <f t="shared" si="0"/>
        <v>53</v>
      </c>
      <c r="B54" s="7">
        <f>TYPE(종목정보tbl!$C54)</f>
        <v>1</v>
      </c>
      <c r="C54" s="6">
        <f>NAV!J95</f>
        <v>0</v>
      </c>
      <c r="D54" s="6">
        <f>NAV!K95</f>
        <v>0</v>
      </c>
      <c r="E54" s="6">
        <f>NAV!L95</f>
        <v>0</v>
      </c>
      <c r="F54" s="6">
        <f>NAV!M95</f>
        <v>0</v>
      </c>
      <c r="G54" s="6">
        <f>NAV!N95</f>
        <v>0</v>
      </c>
      <c r="H54" s="6">
        <f>NAV!O95</f>
        <v>0</v>
      </c>
      <c r="I54" s="6">
        <f>NAV!P95</f>
        <v>0</v>
      </c>
      <c r="J54" s="6">
        <f>NAV!Q95</f>
        <v>0</v>
      </c>
      <c r="K54" s="9">
        <f>NAV!R95</f>
        <v>0</v>
      </c>
      <c r="L54" s="6">
        <f>NAV!S95</f>
        <v>0</v>
      </c>
      <c r="M54" s="6">
        <f>NAV!T95</f>
        <v>0</v>
      </c>
      <c r="N54" s="6" t="str">
        <f>NAV!U95</f>
        <v>한국 원화(KRW)</v>
      </c>
      <c r="O54" s="6">
        <f>NAV!V95</f>
        <v>1</v>
      </c>
      <c r="P54" s="6">
        <f>NAV!W95</f>
        <v>0</v>
      </c>
      <c r="Q54" s="6">
        <f>NAV!X95</f>
        <v>0</v>
      </c>
      <c r="R54" s="6">
        <f>NAV!Y95</f>
        <v>0</v>
      </c>
      <c r="S54" s="6">
        <f>NAV!Z95</f>
        <v>0</v>
      </c>
      <c r="T54" s="6">
        <f>NAV!AA95</f>
        <v>0</v>
      </c>
      <c r="U54" s="10">
        <f>NAV!AB95</f>
        <v>0</v>
      </c>
      <c r="V54" s="6" t="str">
        <f>NAV!AC95</f>
        <v>2년이상</v>
      </c>
    </row>
    <row r="55" spans="1:22">
      <c r="A55" s="7">
        <f t="shared" si="0"/>
        <v>54</v>
      </c>
      <c r="B55" s="7">
        <f>TYPE(종목정보tbl!$C55)</f>
        <v>1</v>
      </c>
      <c r="C55" s="6">
        <f>NAV!J96</f>
        <v>0</v>
      </c>
      <c r="D55" s="6">
        <f>NAV!K96</f>
        <v>0</v>
      </c>
      <c r="E55" s="6">
        <f>NAV!L96</f>
        <v>0</v>
      </c>
      <c r="F55" s="6">
        <f>NAV!M96</f>
        <v>0</v>
      </c>
      <c r="G55" s="6">
        <f>NAV!N96</f>
        <v>0</v>
      </c>
      <c r="H55" s="6">
        <f>NAV!O96</f>
        <v>0</v>
      </c>
      <c r="I55" s="6">
        <f>NAV!P96</f>
        <v>0</v>
      </c>
      <c r="J55" s="6">
        <f>NAV!Q96</f>
        <v>0</v>
      </c>
      <c r="K55" s="9">
        <f>NAV!R96</f>
        <v>0</v>
      </c>
      <c r="L55" s="6">
        <f>NAV!S96</f>
        <v>0</v>
      </c>
      <c r="M55" s="6">
        <f>NAV!T96</f>
        <v>0</v>
      </c>
      <c r="N55" s="6" t="str">
        <f>NAV!U96</f>
        <v>한국 원화(KRW)</v>
      </c>
      <c r="O55" s="6">
        <f>NAV!V96</f>
        <v>1</v>
      </c>
      <c r="P55" s="6">
        <f>NAV!W96</f>
        <v>0</v>
      </c>
      <c r="Q55" s="6">
        <f>NAV!X96</f>
        <v>0</v>
      </c>
      <c r="R55" s="6">
        <f>NAV!Y96</f>
        <v>0</v>
      </c>
      <c r="S55" s="6">
        <f>NAV!Z96</f>
        <v>0</v>
      </c>
      <c r="T55" s="6">
        <f>NAV!AA96</f>
        <v>0</v>
      </c>
      <c r="U55" s="10">
        <f>NAV!AB96</f>
        <v>0</v>
      </c>
      <c r="V55" s="6" t="str">
        <f>NAV!AC96</f>
        <v>2년이상</v>
      </c>
    </row>
    <row r="56" spans="1:22">
      <c r="A56" s="7">
        <f t="shared" si="0"/>
        <v>55</v>
      </c>
      <c r="B56" s="7">
        <f>TYPE(종목정보tbl!$C56)</f>
        <v>1</v>
      </c>
      <c r="C56" s="6">
        <f>NAV!J97</f>
        <v>0</v>
      </c>
      <c r="D56" s="6">
        <f>NAV!K97</f>
        <v>0</v>
      </c>
      <c r="E56" s="6">
        <f>NAV!L97</f>
        <v>0</v>
      </c>
      <c r="F56" s="6">
        <f>NAV!M97</f>
        <v>0</v>
      </c>
      <c r="G56" s="6">
        <f>NAV!N97</f>
        <v>0</v>
      </c>
      <c r="H56" s="6">
        <f>NAV!O97</f>
        <v>0</v>
      </c>
      <c r="I56" s="6">
        <f>NAV!P97</f>
        <v>0</v>
      </c>
      <c r="J56" s="6">
        <f>NAV!Q97</f>
        <v>0</v>
      </c>
      <c r="K56" s="9">
        <f>NAV!R97</f>
        <v>0</v>
      </c>
      <c r="L56" s="6">
        <f>NAV!S97</f>
        <v>0</v>
      </c>
      <c r="M56" s="6">
        <f>NAV!T97</f>
        <v>0</v>
      </c>
      <c r="N56" s="6" t="str">
        <f>NAV!U97</f>
        <v>한국 원화(KRW)</v>
      </c>
      <c r="O56" s="6">
        <f>NAV!V97</f>
        <v>1</v>
      </c>
      <c r="P56" s="6">
        <f>NAV!W97</f>
        <v>0</v>
      </c>
      <c r="Q56" s="6">
        <f>NAV!X97</f>
        <v>0</v>
      </c>
      <c r="R56" s="6">
        <f>NAV!Y97</f>
        <v>0</v>
      </c>
      <c r="S56" s="6">
        <f>NAV!Z97</f>
        <v>0</v>
      </c>
      <c r="T56" s="6">
        <f>NAV!AA97</f>
        <v>0</v>
      </c>
      <c r="U56" s="10">
        <f>NAV!AB97</f>
        <v>0</v>
      </c>
      <c r="V56" s="6" t="str">
        <f>NAV!AC97</f>
        <v>2년이상</v>
      </c>
    </row>
    <row r="57" spans="1:22">
      <c r="A57" s="7">
        <f t="shared" si="0"/>
        <v>56</v>
      </c>
      <c r="B57" s="7">
        <f>TYPE(종목정보tbl!$C57)</f>
        <v>1</v>
      </c>
      <c r="C57" s="6">
        <f>NAV!J98</f>
        <v>0</v>
      </c>
      <c r="D57" s="6">
        <f>NAV!K98</f>
        <v>0</v>
      </c>
      <c r="E57" s="6">
        <f>NAV!L98</f>
        <v>0</v>
      </c>
      <c r="F57" s="6">
        <f>NAV!M98</f>
        <v>0</v>
      </c>
      <c r="G57" s="6">
        <f>NAV!N98</f>
        <v>0</v>
      </c>
      <c r="H57" s="6">
        <f>NAV!O98</f>
        <v>0</v>
      </c>
      <c r="I57" s="6">
        <f>NAV!P98</f>
        <v>0</v>
      </c>
      <c r="J57" s="6">
        <f>NAV!Q98</f>
        <v>0</v>
      </c>
      <c r="K57" s="9">
        <f>NAV!R98</f>
        <v>0</v>
      </c>
      <c r="L57" s="6">
        <f>NAV!S98</f>
        <v>0</v>
      </c>
      <c r="M57" s="6">
        <f>NAV!T98</f>
        <v>0</v>
      </c>
      <c r="N57" s="6" t="str">
        <f>NAV!U98</f>
        <v>한국 원화(KRW)</v>
      </c>
      <c r="O57" s="6">
        <f>NAV!V98</f>
        <v>1</v>
      </c>
      <c r="P57" s="6">
        <f>NAV!W98</f>
        <v>0</v>
      </c>
      <c r="Q57" s="6">
        <f>NAV!X98</f>
        <v>0</v>
      </c>
      <c r="R57" s="6">
        <f>NAV!Y98</f>
        <v>0</v>
      </c>
      <c r="S57" s="6">
        <f>NAV!Z98</f>
        <v>0</v>
      </c>
      <c r="T57" s="6">
        <f>NAV!AA98</f>
        <v>0</v>
      </c>
      <c r="U57" s="10">
        <f>NAV!AB98</f>
        <v>0</v>
      </c>
      <c r="V57" s="6" t="str">
        <f>NAV!AC98</f>
        <v>2년이상</v>
      </c>
    </row>
    <row r="58" spans="1:22">
      <c r="A58" s="7">
        <f t="shared" si="0"/>
        <v>57</v>
      </c>
      <c r="B58" s="7">
        <f>TYPE(종목정보tbl!$C58)</f>
        <v>1</v>
      </c>
      <c r="C58" s="6">
        <f>NAV!J99</f>
        <v>0</v>
      </c>
      <c r="D58" s="6">
        <f>NAV!K99</f>
        <v>0</v>
      </c>
      <c r="E58" s="6">
        <f>NAV!L99</f>
        <v>0</v>
      </c>
      <c r="F58" s="6">
        <f>NAV!M99</f>
        <v>0</v>
      </c>
      <c r="G58" s="6">
        <f>NAV!N99</f>
        <v>0</v>
      </c>
      <c r="H58" s="6">
        <f>NAV!O99</f>
        <v>0</v>
      </c>
      <c r="I58" s="6">
        <f>NAV!P99</f>
        <v>0</v>
      </c>
      <c r="J58" s="6">
        <f>NAV!Q99</f>
        <v>0</v>
      </c>
      <c r="K58" s="9">
        <f>NAV!R99</f>
        <v>0</v>
      </c>
      <c r="L58" s="6">
        <f>NAV!S99</f>
        <v>0</v>
      </c>
      <c r="M58" s="6">
        <f>NAV!T99</f>
        <v>0</v>
      </c>
      <c r="N58" s="6" t="str">
        <f>NAV!U99</f>
        <v>한국 원화(KRW)</v>
      </c>
      <c r="O58" s="6">
        <f>NAV!V99</f>
        <v>1</v>
      </c>
      <c r="P58" s="6">
        <f>NAV!W99</f>
        <v>0</v>
      </c>
      <c r="Q58" s="6">
        <f>NAV!X99</f>
        <v>0</v>
      </c>
      <c r="R58" s="6">
        <f>NAV!Y99</f>
        <v>0</v>
      </c>
      <c r="S58" s="6">
        <f>NAV!Z99</f>
        <v>0</v>
      </c>
      <c r="T58" s="6">
        <f>NAV!AA99</f>
        <v>0</v>
      </c>
      <c r="U58" s="10">
        <f>NAV!AB99</f>
        <v>0</v>
      </c>
      <c r="V58" s="6" t="str">
        <f>NAV!AC99</f>
        <v>2년이상</v>
      </c>
    </row>
    <row r="59" spans="1:22">
      <c r="A59" s="7">
        <f t="shared" si="0"/>
        <v>58</v>
      </c>
      <c r="B59" s="7">
        <f>TYPE(종목정보tbl!$C59)</f>
        <v>1</v>
      </c>
      <c r="C59" s="6">
        <f>NAV!J100</f>
        <v>0</v>
      </c>
      <c r="D59" s="6">
        <f>NAV!K100</f>
        <v>0</v>
      </c>
      <c r="E59" s="6">
        <f>NAV!L100</f>
        <v>0</v>
      </c>
      <c r="F59" s="6">
        <f>NAV!M100</f>
        <v>0</v>
      </c>
      <c r="G59" s="6">
        <f>NAV!N100</f>
        <v>0</v>
      </c>
      <c r="H59" s="6">
        <f>NAV!O100</f>
        <v>0</v>
      </c>
      <c r="I59" s="6">
        <f>NAV!P100</f>
        <v>0</v>
      </c>
      <c r="J59" s="6">
        <f>NAV!Q100</f>
        <v>0</v>
      </c>
      <c r="K59" s="9">
        <f>NAV!R100</f>
        <v>0</v>
      </c>
      <c r="L59" s="6">
        <f>NAV!S100</f>
        <v>0</v>
      </c>
      <c r="M59" s="6">
        <f>NAV!T100</f>
        <v>0</v>
      </c>
      <c r="N59" s="6" t="str">
        <f>NAV!U100</f>
        <v>한국 원화(KRW)</v>
      </c>
      <c r="O59" s="6">
        <f>NAV!V100</f>
        <v>1</v>
      </c>
      <c r="P59" s="6">
        <f>NAV!W100</f>
        <v>0</v>
      </c>
      <c r="Q59" s="6">
        <f>NAV!X100</f>
        <v>0</v>
      </c>
      <c r="R59" s="6">
        <f>NAV!Y100</f>
        <v>0</v>
      </c>
      <c r="S59" s="6">
        <f>NAV!Z100</f>
        <v>0</v>
      </c>
      <c r="T59" s="6">
        <f>NAV!AA100</f>
        <v>0</v>
      </c>
      <c r="U59" s="10">
        <f>NAV!AB100</f>
        <v>0</v>
      </c>
      <c r="V59" s="6" t="str">
        <f>NAV!AC100</f>
        <v>2년이상</v>
      </c>
    </row>
    <row r="60" spans="1:22">
      <c r="A60" s="7">
        <f t="shared" si="0"/>
        <v>59</v>
      </c>
      <c r="B60" s="7">
        <f>TYPE(종목정보tbl!$C60)</f>
        <v>1</v>
      </c>
      <c r="C60" s="6">
        <f>NAV!J101</f>
        <v>0</v>
      </c>
      <c r="D60" s="6">
        <f>NAV!K101</f>
        <v>0</v>
      </c>
      <c r="E60" s="6">
        <f>NAV!L101</f>
        <v>0</v>
      </c>
      <c r="F60" s="6">
        <f>NAV!M101</f>
        <v>0</v>
      </c>
      <c r="G60" s="6">
        <f>NAV!N101</f>
        <v>0</v>
      </c>
      <c r="H60" s="6">
        <f>NAV!O101</f>
        <v>0</v>
      </c>
      <c r="I60" s="6">
        <f>NAV!P101</f>
        <v>0</v>
      </c>
      <c r="J60" s="6">
        <f>NAV!Q101</f>
        <v>0</v>
      </c>
      <c r="K60" s="9">
        <f>NAV!R101</f>
        <v>0</v>
      </c>
      <c r="L60" s="6">
        <f>NAV!S101</f>
        <v>0</v>
      </c>
      <c r="M60" s="6">
        <f>NAV!T101</f>
        <v>0</v>
      </c>
      <c r="N60" s="6" t="str">
        <f>NAV!U101</f>
        <v>한국 원화(KRW)</v>
      </c>
      <c r="O60" s="6">
        <f>NAV!V101</f>
        <v>1</v>
      </c>
      <c r="P60" s="6">
        <f>NAV!W101</f>
        <v>0</v>
      </c>
      <c r="Q60" s="6">
        <f>NAV!X101</f>
        <v>0</v>
      </c>
      <c r="R60" s="6">
        <f>NAV!Y101</f>
        <v>0</v>
      </c>
      <c r="S60" s="6">
        <f>NAV!Z101</f>
        <v>0</v>
      </c>
      <c r="T60" s="6">
        <f>NAV!AA101</f>
        <v>0</v>
      </c>
      <c r="U60" s="10">
        <f>NAV!AB101</f>
        <v>0</v>
      </c>
      <c r="V60" s="6" t="str">
        <f>NAV!AC101</f>
        <v>2년이상</v>
      </c>
    </row>
    <row r="61" spans="1:22">
      <c r="A61" s="7">
        <f t="shared" si="0"/>
        <v>60</v>
      </c>
      <c r="B61" s="7">
        <f>TYPE(종목정보tbl!$C61)</f>
        <v>1</v>
      </c>
      <c r="C61" s="6">
        <f>NAV!J102</f>
        <v>0</v>
      </c>
      <c r="D61" s="6">
        <f>NAV!K102</f>
        <v>0</v>
      </c>
      <c r="E61" s="6">
        <f>NAV!L102</f>
        <v>0</v>
      </c>
      <c r="F61" s="6">
        <f>NAV!M102</f>
        <v>0</v>
      </c>
      <c r="G61" s="6">
        <f>NAV!N102</f>
        <v>0</v>
      </c>
      <c r="H61" s="6">
        <f>NAV!O102</f>
        <v>0</v>
      </c>
      <c r="I61" s="6">
        <f>NAV!P102</f>
        <v>0</v>
      </c>
      <c r="J61" s="6">
        <f>NAV!Q102</f>
        <v>0</v>
      </c>
      <c r="K61" s="9">
        <f>NAV!R102</f>
        <v>0</v>
      </c>
      <c r="L61" s="6">
        <f>NAV!S102</f>
        <v>0</v>
      </c>
      <c r="M61" s="6">
        <f>NAV!T102</f>
        <v>0</v>
      </c>
      <c r="N61" s="6" t="str">
        <f>NAV!U102</f>
        <v>한국 원화(KRW)</v>
      </c>
      <c r="O61" s="6">
        <f>NAV!V102</f>
        <v>1</v>
      </c>
      <c r="P61" s="6">
        <f>NAV!W102</f>
        <v>0</v>
      </c>
      <c r="Q61" s="6">
        <f>NAV!X102</f>
        <v>0</v>
      </c>
      <c r="R61" s="6">
        <f>NAV!Y102</f>
        <v>0</v>
      </c>
      <c r="S61" s="6">
        <f>NAV!Z102</f>
        <v>0</v>
      </c>
      <c r="T61" s="6">
        <f>NAV!AA102</f>
        <v>0</v>
      </c>
      <c r="U61" s="10">
        <f>NAV!AB102</f>
        <v>0</v>
      </c>
      <c r="V61" s="6" t="str">
        <f>NAV!AC102</f>
        <v>2년이상</v>
      </c>
    </row>
    <row r="62" spans="1:22">
      <c r="A62" s="7">
        <f t="shared" si="0"/>
        <v>61</v>
      </c>
      <c r="B62" s="7">
        <f>TYPE(종목정보tbl!$C62)</f>
        <v>1</v>
      </c>
      <c r="C62" s="6">
        <f>NAV!J103</f>
        <v>0</v>
      </c>
      <c r="D62" s="6">
        <f>NAV!K103</f>
        <v>0</v>
      </c>
      <c r="E62" s="6">
        <f>NAV!L103</f>
        <v>0</v>
      </c>
      <c r="F62" s="6">
        <f>NAV!M103</f>
        <v>0</v>
      </c>
      <c r="G62" s="6">
        <f>NAV!N103</f>
        <v>0</v>
      </c>
      <c r="H62" s="6">
        <f>NAV!O103</f>
        <v>0</v>
      </c>
      <c r="I62" s="6">
        <f>NAV!P103</f>
        <v>0</v>
      </c>
      <c r="J62" s="6">
        <f>NAV!Q103</f>
        <v>0</v>
      </c>
      <c r="K62" s="9">
        <f>NAV!R103</f>
        <v>0</v>
      </c>
      <c r="L62" s="6">
        <f>NAV!S103</f>
        <v>0</v>
      </c>
      <c r="M62" s="6">
        <f>NAV!T103</f>
        <v>0</v>
      </c>
      <c r="N62" s="6" t="str">
        <f>NAV!U103</f>
        <v>한국 원화(KRW)</v>
      </c>
      <c r="O62" s="6">
        <f>NAV!V103</f>
        <v>1</v>
      </c>
      <c r="P62" s="6">
        <f>NAV!W103</f>
        <v>0</v>
      </c>
      <c r="Q62" s="6">
        <f>NAV!X103</f>
        <v>0</v>
      </c>
      <c r="R62" s="6">
        <f>NAV!Y103</f>
        <v>0</v>
      </c>
      <c r="S62" s="6">
        <f>NAV!Z103</f>
        <v>0</v>
      </c>
      <c r="T62" s="6">
        <f>NAV!AA103</f>
        <v>0</v>
      </c>
      <c r="U62" s="10">
        <f>NAV!AB103</f>
        <v>0</v>
      </c>
      <c r="V62" s="6" t="str">
        <f>NAV!AC103</f>
        <v>2년이상</v>
      </c>
    </row>
    <row r="63" spans="1:22">
      <c r="A63" s="7">
        <f t="shared" si="0"/>
        <v>62</v>
      </c>
      <c r="B63" s="7">
        <f>TYPE(종목정보tbl!$C63)</f>
        <v>1</v>
      </c>
      <c r="C63" s="6">
        <f>NAV!J104</f>
        <v>0</v>
      </c>
      <c r="D63" s="6">
        <f>NAV!K104</f>
        <v>0</v>
      </c>
      <c r="E63" s="6">
        <f>NAV!L104</f>
        <v>0</v>
      </c>
      <c r="F63" s="6">
        <f>NAV!M104</f>
        <v>0</v>
      </c>
      <c r="G63" s="6">
        <f>NAV!N104</f>
        <v>0</v>
      </c>
      <c r="H63" s="6">
        <f>NAV!O104</f>
        <v>0</v>
      </c>
      <c r="I63" s="6">
        <f>NAV!P104</f>
        <v>0</v>
      </c>
      <c r="J63" s="6">
        <f>NAV!Q104</f>
        <v>0</v>
      </c>
      <c r="K63" s="9">
        <f>NAV!R104</f>
        <v>0</v>
      </c>
      <c r="L63" s="6">
        <f>NAV!S104</f>
        <v>0</v>
      </c>
      <c r="M63" s="6">
        <f>NAV!T104</f>
        <v>0</v>
      </c>
      <c r="N63" s="6" t="str">
        <f>NAV!U104</f>
        <v>한국 원화(KRW)</v>
      </c>
      <c r="O63" s="6">
        <f>NAV!V104</f>
        <v>1</v>
      </c>
      <c r="P63" s="6">
        <f>NAV!W104</f>
        <v>0</v>
      </c>
      <c r="Q63" s="6">
        <f>NAV!X104</f>
        <v>0</v>
      </c>
      <c r="R63" s="6">
        <f>NAV!Y104</f>
        <v>0</v>
      </c>
      <c r="S63" s="6">
        <f>NAV!Z104</f>
        <v>0</v>
      </c>
      <c r="T63" s="6">
        <f>NAV!AA104</f>
        <v>0</v>
      </c>
      <c r="U63" s="10">
        <f>NAV!AB104</f>
        <v>0</v>
      </c>
      <c r="V63" s="6" t="str">
        <f>NAV!AC104</f>
        <v>2년이상</v>
      </c>
    </row>
    <row r="64" spans="1:22">
      <c r="A64" s="7">
        <f t="shared" si="0"/>
        <v>63</v>
      </c>
      <c r="B64" s="7">
        <f>TYPE(종목정보tbl!$C64)</f>
        <v>1</v>
      </c>
      <c r="C64" s="6">
        <f>NAV!J105</f>
        <v>0</v>
      </c>
      <c r="D64" s="6">
        <f>NAV!K105</f>
        <v>0</v>
      </c>
      <c r="E64" s="6">
        <f>NAV!L105</f>
        <v>0</v>
      </c>
      <c r="F64" s="6">
        <f>NAV!M105</f>
        <v>0</v>
      </c>
      <c r="G64" s="6">
        <f>NAV!N105</f>
        <v>0</v>
      </c>
      <c r="H64" s="6">
        <f>NAV!O105</f>
        <v>0</v>
      </c>
      <c r="I64" s="6">
        <f>NAV!P105</f>
        <v>0</v>
      </c>
      <c r="J64" s="6">
        <f>NAV!Q105</f>
        <v>0</v>
      </c>
      <c r="K64" s="9">
        <f>NAV!R105</f>
        <v>0</v>
      </c>
      <c r="L64" s="6">
        <f>NAV!S105</f>
        <v>0</v>
      </c>
      <c r="M64" s="6">
        <f>NAV!T105</f>
        <v>0</v>
      </c>
      <c r="N64" s="6" t="str">
        <f>NAV!U105</f>
        <v>한국 원화(KRW)</v>
      </c>
      <c r="O64" s="6">
        <f>NAV!V105</f>
        <v>1</v>
      </c>
      <c r="P64" s="6">
        <f>NAV!W105</f>
        <v>0</v>
      </c>
      <c r="Q64" s="6">
        <f>NAV!X105</f>
        <v>0</v>
      </c>
      <c r="R64" s="6">
        <f>NAV!Y105</f>
        <v>0</v>
      </c>
      <c r="S64" s="6">
        <f>NAV!Z105</f>
        <v>0</v>
      </c>
      <c r="T64" s="6">
        <f>NAV!AA105</f>
        <v>0</v>
      </c>
      <c r="U64" s="10">
        <f>NAV!AB105</f>
        <v>0</v>
      </c>
      <c r="V64" s="6" t="str">
        <f>NAV!AC105</f>
        <v>2년이상</v>
      </c>
    </row>
    <row r="65" spans="1:22">
      <c r="A65" s="7">
        <f t="shared" si="0"/>
        <v>64</v>
      </c>
      <c r="B65" s="7">
        <f>TYPE(종목정보tbl!$C65)</f>
        <v>1</v>
      </c>
      <c r="C65" s="6">
        <f>NAV!J106</f>
        <v>0</v>
      </c>
      <c r="D65" s="6">
        <f>NAV!K106</f>
        <v>0</v>
      </c>
      <c r="E65" s="6">
        <f>NAV!L106</f>
        <v>0</v>
      </c>
      <c r="F65" s="6">
        <f>NAV!M106</f>
        <v>0</v>
      </c>
      <c r="G65" s="6">
        <f>NAV!N106</f>
        <v>0</v>
      </c>
      <c r="H65" s="6">
        <f>NAV!O106</f>
        <v>0</v>
      </c>
      <c r="I65" s="6">
        <f>NAV!P106</f>
        <v>0</v>
      </c>
      <c r="J65" s="6">
        <f>NAV!Q106</f>
        <v>0</v>
      </c>
      <c r="K65" s="9">
        <f>NAV!R106</f>
        <v>0</v>
      </c>
      <c r="L65" s="6">
        <f>NAV!S106</f>
        <v>0</v>
      </c>
      <c r="M65" s="6">
        <f>NAV!T106</f>
        <v>0</v>
      </c>
      <c r="N65" s="6" t="str">
        <f>NAV!U106</f>
        <v>한국 원화(KRW)</v>
      </c>
      <c r="O65" s="6">
        <f>NAV!V106</f>
        <v>1</v>
      </c>
      <c r="P65" s="6">
        <f>NAV!W106</f>
        <v>0</v>
      </c>
      <c r="Q65" s="6">
        <f>NAV!X106</f>
        <v>0</v>
      </c>
      <c r="R65" s="6">
        <f>NAV!Y106</f>
        <v>0</v>
      </c>
      <c r="S65" s="6">
        <f>NAV!Z106</f>
        <v>0</v>
      </c>
      <c r="T65" s="6">
        <f>NAV!AA106</f>
        <v>0</v>
      </c>
      <c r="U65" s="10">
        <f>NAV!AB106</f>
        <v>0</v>
      </c>
      <c r="V65" s="6" t="str">
        <f>NAV!AC106</f>
        <v>2년이상</v>
      </c>
    </row>
    <row r="66" spans="1:22">
      <c r="A66" s="7">
        <f t="shared" ref="A66:A129" si="1">ROW()-1</f>
        <v>65</v>
      </c>
      <c r="B66" s="7">
        <f>TYPE(종목정보tbl!$C66)</f>
        <v>1</v>
      </c>
      <c r="C66" s="6">
        <f>NAV!J107</f>
        <v>0</v>
      </c>
      <c r="D66" s="6">
        <f>NAV!K107</f>
        <v>0</v>
      </c>
      <c r="E66" s="6">
        <f>NAV!L107</f>
        <v>0</v>
      </c>
      <c r="F66" s="6">
        <f>NAV!M107</f>
        <v>0</v>
      </c>
      <c r="G66" s="6">
        <f>NAV!N107</f>
        <v>0</v>
      </c>
      <c r="H66" s="6">
        <f>NAV!O107</f>
        <v>0</v>
      </c>
      <c r="I66" s="6">
        <f>NAV!P107</f>
        <v>0</v>
      </c>
      <c r="J66" s="6">
        <f>NAV!Q107</f>
        <v>0</v>
      </c>
      <c r="K66" s="9">
        <f>NAV!R107</f>
        <v>0</v>
      </c>
      <c r="L66" s="6">
        <f>NAV!S107</f>
        <v>0</v>
      </c>
      <c r="M66" s="6">
        <f>NAV!T107</f>
        <v>0</v>
      </c>
      <c r="N66" s="6" t="str">
        <f>NAV!U107</f>
        <v>한국 원화(KRW)</v>
      </c>
      <c r="O66" s="6">
        <f>NAV!V107</f>
        <v>1</v>
      </c>
      <c r="P66" s="6">
        <f>NAV!W107</f>
        <v>0</v>
      </c>
      <c r="Q66" s="6">
        <f>NAV!X107</f>
        <v>0</v>
      </c>
      <c r="R66" s="6">
        <f>NAV!Y107</f>
        <v>0</v>
      </c>
      <c r="S66" s="6">
        <f>NAV!Z107</f>
        <v>0</v>
      </c>
      <c r="T66" s="6">
        <f>NAV!AA107</f>
        <v>0</v>
      </c>
      <c r="U66" s="10">
        <f>NAV!AB107</f>
        <v>0</v>
      </c>
      <c r="V66" s="6" t="str">
        <f>NAV!AC107</f>
        <v>2년이상</v>
      </c>
    </row>
    <row r="67" spans="1:22">
      <c r="A67" s="7">
        <f t="shared" si="1"/>
        <v>66</v>
      </c>
      <c r="B67" s="7">
        <f>TYPE(종목정보tbl!$C67)</f>
        <v>1</v>
      </c>
      <c r="C67" s="6">
        <f>NAV!J108</f>
        <v>0</v>
      </c>
      <c r="D67" s="6">
        <f>NAV!K108</f>
        <v>0</v>
      </c>
      <c r="E67" s="6">
        <f>NAV!L108</f>
        <v>0</v>
      </c>
      <c r="F67" s="6">
        <f>NAV!M108</f>
        <v>0</v>
      </c>
      <c r="G67" s="6">
        <f>NAV!N108</f>
        <v>0</v>
      </c>
      <c r="H67" s="6">
        <f>NAV!O108</f>
        <v>0</v>
      </c>
      <c r="I67" s="6">
        <f>NAV!P108</f>
        <v>0</v>
      </c>
      <c r="J67" s="6">
        <f>NAV!Q108</f>
        <v>0</v>
      </c>
      <c r="K67" s="9">
        <f>NAV!R108</f>
        <v>0</v>
      </c>
      <c r="L67" s="6">
        <f>NAV!S108</f>
        <v>0</v>
      </c>
      <c r="M67" s="6">
        <f>NAV!T108</f>
        <v>0</v>
      </c>
      <c r="N67" s="6" t="str">
        <f>NAV!U108</f>
        <v>한국 원화(KRW)</v>
      </c>
      <c r="O67" s="6">
        <f>NAV!V108</f>
        <v>1</v>
      </c>
      <c r="P67" s="6">
        <f>NAV!W108</f>
        <v>0</v>
      </c>
      <c r="Q67" s="6">
        <f>NAV!X108</f>
        <v>0</v>
      </c>
      <c r="R67" s="6">
        <f>NAV!Y108</f>
        <v>0</v>
      </c>
      <c r="S67" s="6">
        <f>NAV!Z108</f>
        <v>0</v>
      </c>
      <c r="T67" s="6">
        <f>NAV!AA108</f>
        <v>0</v>
      </c>
      <c r="U67" s="10">
        <f>NAV!AB108</f>
        <v>0</v>
      </c>
      <c r="V67" s="6" t="str">
        <f>NAV!AC108</f>
        <v>2년이상</v>
      </c>
    </row>
    <row r="68" spans="1:22">
      <c r="A68" s="7">
        <f t="shared" si="1"/>
        <v>67</v>
      </c>
      <c r="B68" s="7">
        <f>TYPE(종목정보tbl!$C68)</f>
        <v>1</v>
      </c>
      <c r="C68" s="6">
        <f>NAV!J109</f>
        <v>0</v>
      </c>
      <c r="D68" s="6">
        <f>NAV!K109</f>
        <v>0</v>
      </c>
      <c r="E68" s="6">
        <f>NAV!L109</f>
        <v>0</v>
      </c>
      <c r="F68" s="6">
        <f>NAV!M109</f>
        <v>0</v>
      </c>
      <c r="G68" s="6">
        <f>NAV!N109</f>
        <v>0</v>
      </c>
      <c r="H68" s="6">
        <f>NAV!O109</f>
        <v>0</v>
      </c>
      <c r="I68" s="6">
        <f>NAV!P109</f>
        <v>0</v>
      </c>
      <c r="J68" s="6">
        <f>NAV!Q109</f>
        <v>0</v>
      </c>
      <c r="K68" s="9">
        <f>NAV!R109</f>
        <v>0</v>
      </c>
      <c r="L68" s="6">
        <f>NAV!S109</f>
        <v>0</v>
      </c>
      <c r="M68" s="6">
        <f>NAV!T109</f>
        <v>0</v>
      </c>
      <c r="N68" s="6" t="str">
        <f>NAV!U109</f>
        <v>한국 원화(KRW)</v>
      </c>
      <c r="O68" s="6">
        <f>NAV!V109</f>
        <v>1</v>
      </c>
      <c r="P68" s="6">
        <f>NAV!W109</f>
        <v>0</v>
      </c>
      <c r="Q68" s="6">
        <f>NAV!X109</f>
        <v>0</v>
      </c>
      <c r="R68" s="6">
        <f>NAV!Y109</f>
        <v>0</v>
      </c>
      <c r="S68" s="6">
        <f>NAV!Z109</f>
        <v>0</v>
      </c>
      <c r="T68" s="6">
        <f>NAV!AA109</f>
        <v>0</v>
      </c>
      <c r="U68" s="10">
        <f>NAV!AB109</f>
        <v>0</v>
      </c>
      <c r="V68" s="6" t="str">
        <f>NAV!AC109</f>
        <v>2년이상</v>
      </c>
    </row>
    <row r="69" spans="1:22">
      <c r="A69" s="7">
        <f t="shared" si="1"/>
        <v>68</v>
      </c>
      <c r="B69" s="7">
        <f>TYPE(종목정보tbl!$C69)</f>
        <v>1</v>
      </c>
      <c r="C69" s="6">
        <f>NAV!J110</f>
        <v>0</v>
      </c>
      <c r="D69" s="6">
        <f>NAV!K110</f>
        <v>0</v>
      </c>
      <c r="E69" s="6">
        <f>NAV!L110</f>
        <v>0</v>
      </c>
      <c r="F69" s="6">
        <f>NAV!M110</f>
        <v>0</v>
      </c>
      <c r="G69" s="6">
        <f>NAV!N110</f>
        <v>0</v>
      </c>
      <c r="H69" s="6">
        <f>NAV!O110</f>
        <v>0</v>
      </c>
      <c r="I69" s="6">
        <f>NAV!P110</f>
        <v>0</v>
      </c>
      <c r="J69" s="6">
        <f>NAV!Q110</f>
        <v>0</v>
      </c>
      <c r="K69" s="9">
        <f>NAV!R110</f>
        <v>0</v>
      </c>
      <c r="L69" s="6">
        <f>NAV!S110</f>
        <v>0</v>
      </c>
      <c r="M69" s="6">
        <f>NAV!T110</f>
        <v>0</v>
      </c>
      <c r="N69" s="6" t="str">
        <f>NAV!U110</f>
        <v>한국 원화(KRW)</v>
      </c>
      <c r="O69" s="6">
        <f>NAV!V110</f>
        <v>1</v>
      </c>
      <c r="P69" s="6">
        <f>NAV!W110</f>
        <v>0</v>
      </c>
      <c r="Q69" s="6">
        <f>NAV!X110</f>
        <v>0</v>
      </c>
      <c r="R69" s="6">
        <f>NAV!Y110</f>
        <v>0</v>
      </c>
      <c r="S69" s="6">
        <f>NAV!Z110</f>
        <v>0</v>
      </c>
      <c r="T69" s="6">
        <f>NAV!AA110</f>
        <v>0</v>
      </c>
      <c r="U69" s="10">
        <f>NAV!AB110</f>
        <v>0</v>
      </c>
      <c r="V69" s="6" t="str">
        <f>NAV!AC110</f>
        <v>2년이상</v>
      </c>
    </row>
    <row r="70" spans="1:22">
      <c r="A70" s="7">
        <f t="shared" si="1"/>
        <v>69</v>
      </c>
      <c r="B70" s="7">
        <f>TYPE(종목정보tbl!$C70)</f>
        <v>1</v>
      </c>
      <c r="C70" s="6">
        <f>NAV!J111</f>
        <v>0</v>
      </c>
      <c r="D70" s="6">
        <f>NAV!K111</f>
        <v>0</v>
      </c>
      <c r="E70" s="6">
        <f>NAV!L111</f>
        <v>0</v>
      </c>
      <c r="F70" s="6">
        <f>NAV!M111</f>
        <v>0</v>
      </c>
      <c r="G70" s="6">
        <f>NAV!N111</f>
        <v>0</v>
      </c>
      <c r="H70" s="6">
        <f>NAV!O111</f>
        <v>0</v>
      </c>
      <c r="I70" s="6">
        <f>NAV!P111</f>
        <v>0</v>
      </c>
      <c r="J70" s="6">
        <f>NAV!Q111</f>
        <v>0</v>
      </c>
      <c r="K70" s="9">
        <f>NAV!R111</f>
        <v>0</v>
      </c>
      <c r="L70" s="6">
        <f>NAV!S111</f>
        <v>0</v>
      </c>
      <c r="M70" s="6">
        <f>NAV!T111</f>
        <v>0</v>
      </c>
      <c r="N70" s="6" t="str">
        <f>NAV!U111</f>
        <v>한국 원화(KRW)</v>
      </c>
      <c r="O70" s="6">
        <f>NAV!V111</f>
        <v>1</v>
      </c>
      <c r="P70" s="6">
        <f>NAV!W111</f>
        <v>0</v>
      </c>
      <c r="Q70" s="6">
        <f>NAV!X111</f>
        <v>0</v>
      </c>
      <c r="R70" s="6">
        <f>NAV!Y111</f>
        <v>0</v>
      </c>
      <c r="S70" s="6">
        <f>NAV!Z111</f>
        <v>0</v>
      </c>
      <c r="T70" s="6">
        <f>NAV!AA111</f>
        <v>0</v>
      </c>
      <c r="U70" s="10">
        <f>NAV!AB111</f>
        <v>0</v>
      </c>
      <c r="V70" s="6" t="str">
        <f>NAV!AC111</f>
        <v>2년이상</v>
      </c>
    </row>
    <row r="71" spans="1:22">
      <c r="A71" s="7">
        <f t="shared" si="1"/>
        <v>70</v>
      </c>
      <c r="B71" s="7">
        <f>TYPE(종목정보tbl!$C71)</f>
        <v>1</v>
      </c>
      <c r="C71" s="6">
        <f>NAV!J112</f>
        <v>0</v>
      </c>
      <c r="D71" s="6">
        <f>NAV!K112</f>
        <v>0</v>
      </c>
      <c r="E71" s="6">
        <f>NAV!L112</f>
        <v>0</v>
      </c>
      <c r="F71" s="6">
        <f>NAV!M112</f>
        <v>0</v>
      </c>
      <c r="G71" s="6">
        <f>NAV!N112</f>
        <v>0</v>
      </c>
      <c r="H71" s="6">
        <f>NAV!O112</f>
        <v>0</v>
      </c>
      <c r="I71" s="6">
        <f>NAV!P112</f>
        <v>0</v>
      </c>
      <c r="J71" s="6">
        <f>NAV!Q112</f>
        <v>0</v>
      </c>
      <c r="K71" s="9">
        <f>NAV!R112</f>
        <v>0</v>
      </c>
      <c r="L71" s="6">
        <f>NAV!S112</f>
        <v>0</v>
      </c>
      <c r="M71" s="6">
        <f>NAV!T112</f>
        <v>0</v>
      </c>
      <c r="N71" s="6" t="str">
        <f>NAV!U112</f>
        <v>한국 원화(KRW)</v>
      </c>
      <c r="O71" s="6">
        <f>NAV!V112</f>
        <v>1</v>
      </c>
      <c r="P71" s="6">
        <f>NAV!W112</f>
        <v>0</v>
      </c>
      <c r="Q71" s="6">
        <f>NAV!X112</f>
        <v>0</v>
      </c>
      <c r="R71" s="6">
        <f>NAV!Y112</f>
        <v>0</v>
      </c>
      <c r="S71" s="6">
        <f>NAV!Z112</f>
        <v>0</v>
      </c>
      <c r="T71" s="6">
        <f>NAV!AA112</f>
        <v>0</v>
      </c>
      <c r="U71" s="10">
        <f>NAV!AB112</f>
        <v>0</v>
      </c>
      <c r="V71" s="6" t="str">
        <f>NAV!AC112</f>
        <v>2년이상</v>
      </c>
    </row>
    <row r="72" spans="1:22">
      <c r="A72" s="7">
        <f t="shared" si="1"/>
        <v>71</v>
      </c>
      <c r="B72" s="7">
        <f>TYPE(종목정보tbl!$C72)</f>
        <v>1</v>
      </c>
      <c r="C72" s="6">
        <f>NAV!J113</f>
        <v>0</v>
      </c>
      <c r="D72" s="6">
        <f>NAV!K113</f>
        <v>0</v>
      </c>
      <c r="E72" s="6">
        <f>NAV!L113</f>
        <v>0</v>
      </c>
      <c r="F72" s="6">
        <f>NAV!M113</f>
        <v>0</v>
      </c>
      <c r="G72" s="6">
        <f>NAV!N113</f>
        <v>0</v>
      </c>
      <c r="H72" s="6">
        <f>NAV!O113</f>
        <v>0</v>
      </c>
      <c r="I72" s="6">
        <f>NAV!P113</f>
        <v>0</v>
      </c>
      <c r="J72" s="6">
        <f>NAV!Q113</f>
        <v>0</v>
      </c>
      <c r="K72" s="9">
        <f>NAV!R113</f>
        <v>0</v>
      </c>
      <c r="L72" s="6">
        <f>NAV!S113</f>
        <v>0</v>
      </c>
      <c r="M72" s="6">
        <f>NAV!T113</f>
        <v>0</v>
      </c>
      <c r="N72" s="6" t="str">
        <f>NAV!U113</f>
        <v>한국 원화(KRW)</v>
      </c>
      <c r="O72" s="6">
        <f>NAV!V113</f>
        <v>1</v>
      </c>
      <c r="P72" s="6">
        <f>NAV!W113</f>
        <v>0</v>
      </c>
      <c r="Q72" s="6">
        <f>NAV!X113</f>
        <v>0</v>
      </c>
      <c r="R72" s="6">
        <f>NAV!Y113</f>
        <v>0</v>
      </c>
      <c r="S72" s="6">
        <f>NAV!Z113</f>
        <v>0</v>
      </c>
      <c r="T72" s="6">
        <f>NAV!AA113</f>
        <v>0</v>
      </c>
      <c r="U72" s="10">
        <f>NAV!AB113</f>
        <v>0</v>
      </c>
      <c r="V72" s="6" t="str">
        <f>NAV!AC113</f>
        <v>2년이상</v>
      </c>
    </row>
    <row r="73" spans="1:22">
      <c r="A73" s="7">
        <f t="shared" si="1"/>
        <v>72</v>
      </c>
      <c r="B73" s="7">
        <f>TYPE(종목정보tbl!$C73)</f>
        <v>1</v>
      </c>
      <c r="C73" s="6">
        <f>NAV!J114</f>
        <v>0</v>
      </c>
      <c r="D73" s="6">
        <f>NAV!K114</f>
        <v>0</v>
      </c>
      <c r="E73" s="6">
        <f>NAV!L114</f>
        <v>0</v>
      </c>
      <c r="F73" s="6">
        <f>NAV!M114</f>
        <v>0</v>
      </c>
      <c r="G73" s="6">
        <f>NAV!N114</f>
        <v>0</v>
      </c>
      <c r="H73" s="6">
        <f>NAV!O114</f>
        <v>0</v>
      </c>
      <c r="I73" s="6">
        <f>NAV!P114</f>
        <v>0</v>
      </c>
      <c r="J73" s="6">
        <f>NAV!Q114</f>
        <v>0</v>
      </c>
      <c r="K73" s="9">
        <f>NAV!R114</f>
        <v>0</v>
      </c>
      <c r="L73" s="6">
        <f>NAV!S114</f>
        <v>0</v>
      </c>
      <c r="M73" s="6">
        <f>NAV!T114</f>
        <v>0</v>
      </c>
      <c r="N73" s="6" t="str">
        <f>NAV!U114</f>
        <v>한국 원화(KRW)</v>
      </c>
      <c r="O73" s="6">
        <f>NAV!V114</f>
        <v>1</v>
      </c>
      <c r="P73" s="6">
        <f>NAV!W114</f>
        <v>0</v>
      </c>
      <c r="Q73" s="6">
        <f>NAV!X114</f>
        <v>0</v>
      </c>
      <c r="R73" s="6">
        <f>NAV!Y114</f>
        <v>0</v>
      </c>
      <c r="S73" s="6">
        <f>NAV!Z114</f>
        <v>0</v>
      </c>
      <c r="T73" s="6">
        <f>NAV!AA114</f>
        <v>0</v>
      </c>
      <c r="U73" s="10">
        <f>NAV!AB114</f>
        <v>0</v>
      </c>
      <c r="V73" s="6" t="str">
        <f>NAV!AC114</f>
        <v>2년이상</v>
      </c>
    </row>
    <row r="74" spans="1:22">
      <c r="A74" s="7">
        <f t="shared" si="1"/>
        <v>73</v>
      </c>
      <c r="B74" s="7">
        <f>TYPE(종목정보tbl!$C74)</f>
        <v>1</v>
      </c>
      <c r="C74" s="6">
        <f>NAV!J115</f>
        <v>0</v>
      </c>
      <c r="D74" s="6">
        <f>NAV!K115</f>
        <v>0</v>
      </c>
      <c r="E74" s="6">
        <f>NAV!L115</f>
        <v>0</v>
      </c>
      <c r="F74" s="6">
        <f>NAV!M115</f>
        <v>0</v>
      </c>
      <c r="G74" s="6">
        <f>NAV!N115</f>
        <v>0</v>
      </c>
      <c r="H74" s="6">
        <f>NAV!O115</f>
        <v>0</v>
      </c>
      <c r="I74" s="6">
        <f>NAV!P115</f>
        <v>0</v>
      </c>
      <c r="J74" s="6">
        <f>NAV!Q115</f>
        <v>0</v>
      </c>
      <c r="K74" s="9">
        <f>NAV!R115</f>
        <v>0</v>
      </c>
      <c r="L74" s="6">
        <f>NAV!S115</f>
        <v>0</v>
      </c>
      <c r="M74" s="6">
        <f>NAV!T115</f>
        <v>0</v>
      </c>
      <c r="N74" s="6" t="str">
        <f>NAV!U115</f>
        <v>한국 원화(KRW)</v>
      </c>
      <c r="O74" s="6">
        <f>NAV!V115</f>
        <v>1</v>
      </c>
      <c r="P74" s="6">
        <f>NAV!W115</f>
        <v>0</v>
      </c>
      <c r="Q74" s="6">
        <f>NAV!X115</f>
        <v>0</v>
      </c>
      <c r="R74" s="6">
        <f>NAV!Y115</f>
        <v>0</v>
      </c>
      <c r="S74" s="6">
        <f>NAV!Z115</f>
        <v>0</v>
      </c>
      <c r="T74" s="6">
        <f>NAV!AA115</f>
        <v>0</v>
      </c>
      <c r="U74" s="10">
        <f>NAV!AB115</f>
        <v>0</v>
      </c>
      <c r="V74" s="6" t="str">
        <f>NAV!AC115</f>
        <v>2년이상</v>
      </c>
    </row>
    <row r="75" spans="1:22">
      <c r="A75" s="7">
        <f t="shared" si="1"/>
        <v>74</v>
      </c>
      <c r="B75" s="7">
        <f>TYPE(종목정보tbl!$C75)</f>
        <v>1</v>
      </c>
      <c r="C75" s="6">
        <f>NAV!J116</f>
        <v>0</v>
      </c>
      <c r="D75" s="6">
        <f>NAV!K116</f>
        <v>0</v>
      </c>
      <c r="E75" s="6">
        <f>NAV!L116</f>
        <v>0</v>
      </c>
      <c r="F75" s="6">
        <f>NAV!M116</f>
        <v>0</v>
      </c>
      <c r="G75" s="6">
        <f>NAV!N116</f>
        <v>0</v>
      </c>
      <c r="H75" s="6">
        <f>NAV!O116</f>
        <v>0</v>
      </c>
      <c r="I75" s="6">
        <f>NAV!P116</f>
        <v>0</v>
      </c>
      <c r="J75" s="6">
        <f>NAV!Q116</f>
        <v>0</v>
      </c>
      <c r="K75" s="9">
        <f>NAV!R116</f>
        <v>0</v>
      </c>
      <c r="L75" s="6">
        <f>NAV!S116</f>
        <v>0</v>
      </c>
      <c r="M75" s="6">
        <f>NAV!T116</f>
        <v>0</v>
      </c>
      <c r="N75" s="6" t="str">
        <f>NAV!U116</f>
        <v>한국 원화(KRW)</v>
      </c>
      <c r="O75" s="6">
        <f>NAV!V116</f>
        <v>1</v>
      </c>
      <c r="P75" s="6">
        <f>NAV!W116</f>
        <v>0</v>
      </c>
      <c r="Q75" s="6">
        <f>NAV!X116</f>
        <v>0</v>
      </c>
      <c r="R75" s="6">
        <f>NAV!Y116</f>
        <v>0</v>
      </c>
      <c r="S75" s="6">
        <f>NAV!Z116</f>
        <v>0</v>
      </c>
      <c r="T75" s="6">
        <f>NAV!AA116</f>
        <v>0</v>
      </c>
      <c r="U75" s="10">
        <f>NAV!AB116</f>
        <v>0</v>
      </c>
      <c r="V75" s="6" t="str">
        <f>NAV!AC116</f>
        <v>2년이상</v>
      </c>
    </row>
    <row r="76" spans="1:22">
      <c r="A76" s="7">
        <f t="shared" si="1"/>
        <v>75</v>
      </c>
      <c r="B76" s="7">
        <f>TYPE(종목정보tbl!$C76)</f>
        <v>1</v>
      </c>
      <c r="C76" s="6">
        <f>NAV!J117</f>
        <v>0</v>
      </c>
      <c r="D76" s="6">
        <f>NAV!K117</f>
        <v>0</v>
      </c>
      <c r="E76" s="6">
        <f>NAV!L117</f>
        <v>0</v>
      </c>
      <c r="F76" s="6">
        <f>NAV!M117</f>
        <v>0</v>
      </c>
      <c r="G76" s="6">
        <f>NAV!N117</f>
        <v>0</v>
      </c>
      <c r="H76" s="6">
        <f>NAV!O117</f>
        <v>0</v>
      </c>
      <c r="I76" s="6">
        <f>NAV!P117</f>
        <v>0</v>
      </c>
      <c r="J76" s="6">
        <f>NAV!Q117</f>
        <v>0</v>
      </c>
      <c r="K76" s="9">
        <f>NAV!R117</f>
        <v>0</v>
      </c>
      <c r="L76" s="6">
        <f>NAV!S117</f>
        <v>0</v>
      </c>
      <c r="M76" s="6">
        <f>NAV!T117</f>
        <v>0</v>
      </c>
      <c r="N76" s="6" t="str">
        <f>NAV!U117</f>
        <v>한국 원화(KRW)</v>
      </c>
      <c r="O76" s="6">
        <f>NAV!V117</f>
        <v>1</v>
      </c>
      <c r="P76" s="6">
        <f>NAV!W117</f>
        <v>0</v>
      </c>
      <c r="Q76" s="6">
        <f>NAV!X117</f>
        <v>0</v>
      </c>
      <c r="R76" s="6">
        <f>NAV!Y117</f>
        <v>0</v>
      </c>
      <c r="S76" s="6">
        <f>NAV!Z117</f>
        <v>0</v>
      </c>
      <c r="T76" s="6">
        <f>NAV!AA117</f>
        <v>0</v>
      </c>
      <c r="U76" s="10">
        <f>NAV!AB117</f>
        <v>0</v>
      </c>
      <c r="V76" s="6" t="str">
        <f>NAV!AC117</f>
        <v>2년이상</v>
      </c>
    </row>
    <row r="77" spans="1:22">
      <c r="A77" s="7">
        <f t="shared" si="1"/>
        <v>76</v>
      </c>
      <c r="B77" s="7">
        <f>TYPE(종목정보tbl!$C77)</f>
        <v>1</v>
      </c>
      <c r="C77" s="6">
        <f>NAV!J118</f>
        <v>0</v>
      </c>
      <c r="D77" s="6">
        <f>NAV!K118</f>
        <v>0</v>
      </c>
      <c r="E77" s="6">
        <f>NAV!L118</f>
        <v>0</v>
      </c>
      <c r="F77" s="6">
        <f>NAV!M118</f>
        <v>0</v>
      </c>
      <c r="G77" s="6">
        <f>NAV!N118</f>
        <v>0</v>
      </c>
      <c r="H77" s="6">
        <f>NAV!O118</f>
        <v>0</v>
      </c>
      <c r="I77" s="6">
        <f>NAV!P118</f>
        <v>0</v>
      </c>
      <c r="J77" s="6">
        <f>NAV!Q118</f>
        <v>0</v>
      </c>
      <c r="K77" s="9">
        <f>NAV!R118</f>
        <v>0</v>
      </c>
      <c r="L77" s="6">
        <f>NAV!S118</f>
        <v>0</v>
      </c>
      <c r="M77" s="6">
        <f>NAV!T118</f>
        <v>0</v>
      </c>
      <c r="N77" s="6" t="str">
        <f>NAV!U118</f>
        <v>한국 원화(KRW)</v>
      </c>
      <c r="O77" s="6">
        <f>NAV!V118</f>
        <v>1</v>
      </c>
      <c r="P77" s="6">
        <f>NAV!W118</f>
        <v>0</v>
      </c>
      <c r="Q77" s="6">
        <f>NAV!X118</f>
        <v>0</v>
      </c>
      <c r="R77" s="6">
        <f>NAV!Y118</f>
        <v>0</v>
      </c>
      <c r="S77" s="6">
        <f>NAV!Z118</f>
        <v>0</v>
      </c>
      <c r="T77" s="6">
        <f>NAV!AA118</f>
        <v>0</v>
      </c>
      <c r="U77" s="10">
        <f>NAV!AB118</f>
        <v>0</v>
      </c>
      <c r="V77" s="6" t="str">
        <f>NAV!AC118</f>
        <v>2년이상</v>
      </c>
    </row>
    <row r="78" spans="1:22">
      <c r="A78" s="7">
        <f t="shared" si="1"/>
        <v>77</v>
      </c>
      <c r="B78" s="7">
        <f>TYPE(종목정보tbl!$C78)</f>
        <v>1</v>
      </c>
      <c r="C78" s="6">
        <f>NAV!J119</f>
        <v>0</v>
      </c>
      <c r="D78" s="6">
        <f>NAV!K119</f>
        <v>0</v>
      </c>
      <c r="E78" s="6">
        <f>NAV!L119</f>
        <v>0</v>
      </c>
      <c r="F78" s="6">
        <f>NAV!M119</f>
        <v>0</v>
      </c>
      <c r="G78" s="6">
        <f>NAV!N119</f>
        <v>0</v>
      </c>
      <c r="H78" s="6">
        <f>NAV!O119</f>
        <v>0</v>
      </c>
      <c r="I78" s="6">
        <f>NAV!P119</f>
        <v>0</v>
      </c>
      <c r="J78" s="6">
        <f>NAV!Q119</f>
        <v>0</v>
      </c>
      <c r="K78" s="9">
        <f>NAV!R119</f>
        <v>0</v>
      </c>
      <c r="L78" s="6">
        <f>NAV!S119</f>
        <v>0</v>
      </c>
      <c r="M78" s="6">
        <f>NAV!T119</f>
        <v>0</v>
      </c>
      <c r="N78" s="6" t="str">
        <f>NAV!U119</f>
        <v>한국 원화(KRW)</v>
      </c>
      <c r="O78" s="6">
        <f>NAV!V119</f>
        <v>1</v>
      </c>
      <c r="P78" s="6">
        <f>NAV!W119</f>
        <v>0</v>
      </c>
      <c r="Q78" s="6">
        <f>NAV!X119</f>
        <v>0</v>
      </c>
      <c r="R78" s="6">
        <f>NAV!Y119</f>
        <v>0</v>
      </c>
      <c r="S78" s="6">
        <f>NAV!Z119</f>
        <v>0</v>
      </c>
      <c r="T78" s="6">
        <f>NAV!AA119</f>
        <v>0</v>
      </c>
      <c r="U78" s="10">
        <f>NAV!AB119</f>
        <v>0</v>
      </c>
      <c r="V78" s="6" t="str">
        <f>NAV!AC119</f>
        <v>2년이상</v>
      </c>
    </row>
    <row r="79" spans="1:22">
      <c r="A79" s="7">
        <f t="shared" si="1"/>
        <v>78</v>
      </c>
      <c r="B79" s="7">
        <f>TYPE(종목정보tbl!$C79)</f>
        <v>1</v>
      </c>
      <c r="C79" s="6">
        <f>NAV!J120</f>
        <v>0</v>
      </c>
      <c r="D79" s="6">
        <f>NAV!K120</f>
        <v>0</v>
      </c>
      <c r="E79" s="6">
        <f>NAV!L120</f>
        <v>0</v>
      </c>
      <c r="F79" s="6">
        <f>NAV!M120</f>
        <v>0</v>
      </c>
      <c r="G79" s="6">
        <f>NAV!N120</f>
        <v>0</v>
      </c>
      <c r="H79" s="6">
        <f>NAV!O120</f>
        <v>0</v>
      </c>
      <c r="I79" s="6">
        <f>NAV!P120</f>
        <v>0</v>
      </c>
      <c r="J79" s="6">
        <f>NAV!Q120</f>
        <v>0</v>
      </c>
      <c r="K79" s="9">
        <f>NAV!R120</f>
        <v>0</v>
      </c>
      <c r="L79" s="6">
        <f>NAV!S120</f>
        <v>0</v>
      </c>
      <c r="M79" s="6">
        <f>NAV!T120</f>
        <v>0</v>
      </c>
      <c r="N79" s="6" t="str">
        <f>NAV!U120</f>
        <v>한국 원화(KRW)</v>
      </c>
      <c r="O79" s="6">
        <f>NAV!V120</f>
        <v>1</v>
      </c>
      <c r="P79" s="6">
        <f>NAV!W120</f>
        <v>0</v>
      </c>
      <c r="Q79" s="6">
        <f>NAV!X120</f>
        <v>0</v>
      </c>
      <c r="R79" s="6">
        <f>NAV!Y120</f>
        <v>0</v>
      </c>
      <c r="S79" s="6">
        <f>NAV!Z120</f>
        <v>0</v>
      </c>
      <c r="T79" s="6">
        <f>NAV!AA120</f>
        <v>0</v>
      </c>
      <c r="U79" s="10">
        <f>NAV!AB120</f>
        <v>0</v>
      </c>
      <c r="V79" s="6" t="str">
        <f>NAV!AC120</f>
        <v>2년이상</v>
      </c>
    </row>
    <row r="80" spans="1:22">
      <c r="A80" s="7">
        <f t="shared" si="1"/>
        <v>79</v>
      </c>
      <c r="B80" s="7">
        <f>TYPE(종목정보tbl!$C80)</f>
        <v>1</v>
      </c>
      <c r="C80" s="6">
        <f>NAV!J121</f>
        <v>0</v>
      </c>
      <c r="D80" s="6">
        <f>NAV!K121</f>
        <v>0</v>
      </c>
      <c r="E80" s="6">
        <f>NAV!L121</f>
        <v>0</v>
      </c>
      <c r="F80" s="6">
        <f>NAV!M121</f>
        <v>0</v>
      </c>
      <c r="G80" s="6">
        <f>NAV!N121</f>
        <v>0</v>
      </c>
      <c r="H80" s="6">
        <f>NAV!O121</f>
        <v>0</v>
      </c>
      <c r="I80" s="6">
        <f>NAV!P121</f>
        <v>0</v>
      </c>
      <c r="J80" s="6">
        <f>NAV!Q121</f>
        <v>0</v>
      </c>
      <c r="K80" s="9">
        <f>NAV!R121</f>
        <v>0</v>
      </c>
      <c r="L80" s="6">
        <f>NAV!S121</f>
        <v>0</v>
      </c>
      <c r="M80" s="6">
        <f>NAV!T121</f>
        <v>0</v>
      </c>
      <c r="N80" s="6" t="str">
        <f>NAV!U121</f>
        <v>한국 원화(KRW)</v>
      </c>
      <c r="O80" s="6">
        <f>NAV!V121</f>
        <v>1</v>
      </c>
      <c r="P80" s="6">
        <f>NAV!W121</f>
        <v>0</v>
      </c>
      <c r="Q80" s="6">
        <f>NAV!X121</f>
        <v>0</v>
      </c>
      <c r="R80" s="6">
        <f>NAV!Y121</f>
        <v>0</v>
      </c>
      <c r="S80" s="6">
        <f>NAV!Z121</f>
        <v>0</v>
      </c>
      <c r="T80" s="6">
        <f>NAV!AA121</f>
        <v>0</v>
      </c>
      <c r="U80" s="10">
        <f>NAV!AB121</f>
        <v>0</v>
      </c>
      <c r="V80" s="6" t="str">
        <f>NAV!AC121</f>
        <v>2년이상</v>
      </c>
    </row>
    <row r="81" spans="1:22">
      <c r="A81" s="7">
        <f t="shared" si="1"/>
        <v>80</v>
      </c>
      <c r="B81" s="7">
        <f>TYPE(종목정보tbl!$C81)</f>
        <v>1</v>
      </c>
      <c r="C81" s="6">
        <f>NAV!J122</f>
        <v>0</v>
      </c>
      <c r="D81" s="6">
        <f>NAV!K122</f>
        <v>0</v>
      </c>
      <c r="E81" s="6">
        <f>NAV!L122</f>
        <v>0</v>
      </c>
      <c r="F81" s="6">
        <f>NAV!M122</f>
        <v>0</v>
      </c>
      <c r="G81" s="6">
        <f>NAV!N122</f>
        <v>0</v>
      </c>
      <c r="H81" s="6">
        <f>NAV!O122</f>
        <v>0</v>
      </c>
      <c r="I81" s="6">
        <f>NAV!P122</f>
        <v>0</v>
      </c>
      <c r="J81" s="6">
        <f>NAV!Q122</f>
        <v>0</v>
      </c>
      <c r="K81" s="9">
        <f>NAV!R122</f>
        <v>0</v>
      </c>
      <c r="L81" s="6">
        <f>NAV!S122</f>
        <v>0</v>
      </c>
      <c r="M81" s="6">
        <f>NAV!T122</f>
        <v>0</v>
      </c>
      <c r="N81" s="6" t="str">
        <f>NAV!U122</f>
        <v>한국 원화(KRW)</v>
      </c>
      <c r="O81" s="6">
        <f>NAV!V122</f>
        <v>1</v>
      </c>
      <c r="P81" s="6">
        <f>NAV!W122</f>
        <v>0</v>
      </c>
      <c r="Q81" s="6">
        <f>NAV!X122</f>
        <v>0</v>
      </c>
      <c r="R81" s="6">
        <f>NAV!Y122</f>
        <v>0</v>
      </c>
      <c r="S81" s="6">
        <f>NAV!Z122</f>
        <v>0</v>
      </c>
      <c r="T81" s="6">
        <f>NAV!AA122</f>
        <v>0</v>
      </c>
      <c r="U81" s="10">
        <f>NAV!AB122</f>
        <v>0</v>
      </c>
      <c r="V81" s="6" t="str">
        <f>NAV!AC122</f>
        <v>2년이상</v>
      </c>
    </row>
    <row r="82" spans="1:22">
      <c r="A82" s="7">
        <f t="shared" si="1"/>
        <v>81</v>
      </c>
      <c r="B82" s="7">
        <f>TYPE(종목정보tbl!$C82)</f>
        <v>1</v>
      </c>
      <c r="C82" s="6">
        <f>NAV!J123</f>
        <v>0</v>
      </c>
      <c r="D82" s="6">
        <f>NAV!K123</f>
        <v>0</v>
      </c>
      <c r="E82" s="6">
        <f>NAV!L123</f>
        <v>0</v>
      </c>
      <c r="F82" s="6">
        <f>NAV!M123</f>
        <v>0</v>
      </c>
      <c r="G82" s="6">
        <f>NAV!N123</f>
        <v>0</v>
      </c>
      <c r="H82" s="6">
        <f>NAV!O123</f>
        <v>0</v>
      </c>
      <c r="I82" s="6">
        <f>NAV!P123</f>
        <v>0</v>
      </c>
      <c r="J82" s="6">
        <f>NAV!Q123</f>
        <v>0</v>
      </c>
      <c r="K82" s="9">
        <f>NAV!R123</f>
        <v>0</v>
      </c>
      <c r="L82" s="6">
        <f>NAV!S123</f>
        <v>0</v>
      </c>
      <c r="M82" s="6">
        <f>NAV!T123</f>
        <v>0</v>
      </c>
      <c r="N82" s="6" t="str">
        <f>NAV!U123</f>
        <v>한국 원화(KRW)</v>
      </c>
      <c r="O82" s="6">
        <f>NAV!V123</f>
        <v>1</v>
      </c>
      <c r="P82" s="6">
        <f>NAV!W123</f>
        <v>0</v>
      </c>
      <c r="Q82" s="6">
        <f>NAV!X123</f>
        <v>0</v>
      </c>
      <c r="R82" s="6">
        <f>NAV!Y123</f>
        <v>0</v>
      </c>
      <c r="S82" s="6">
        <f>NAV!Z123</f>
        <v>0</v>
      </c>
      <c r="T82" s="6">
        <f>NAV!AA123</f>
        <v>0</v>
      </c>
      <c r="U82" s="10">
        <f>NAV!AB123</f>
        <v>0</v>
      </c>
      <c r="V82" s="6" t="str">
        <f>NAV!AC123</f>
        <v>2년이상</v>
      </c>
    </row>
    <row r="83" spans="1:22">
      <c r="A83" s="7">
        <f t="shared" si="1"/>
        <v>82</v>
      </c>
      <c r="B83" s="7">
        <f>TYPE(종목정보tbl!$C83)</f>
        <v>1</v>
      </c>
      <c r="C83" s="6">
        <f>NAV!J124</f>
        <v>0</v>
      </c>
      <c r="D83" s="6">
        <f>NAV!K124</f>
        <v>0</v>
      </c>
      <c r="E83" s="6">
        <f>NAV!L124</f>
        <v>0</v>
      </c>
      <c r="F83" s="6">
        <f>NAV!M124</f>
        <v>0</v>
      </c>
      <c r="G83" s="6">
        <f>NAV!N124</f>
        <v>0</v>
      </c>
      <c r="H83" s="6">
        <f>NAV!O124</f>
        <v>0</v>
      </c>
      <c r="I83" s="6">
        <f>NAV!P124</f>
        <v>0</v>
      </c>
      <c r="J83" s="6">
        <f>NAV!Q124</f>
        <v>0</v>
      </c>
      <c r="K83" s="9">
        <f>NAV!R124</f>
        <v>0</v>
      </c>
      <c r="L83" s="6">
        <f>NAV!S124</f>
        <v>0</v>
      </c>
      <c r="M83" s="6">
        <f>NAV!T124</f>
        <v>0</v>
      </c>
      <c r="N83" s="6" t="str">
        <f>NAV!U124</f>
        <v>한국 원화(KRW)</v>
      </c>
      <c r="O83" s="6">
        <f>NAV!V124</f>
        <v>1</v>
      </c>
      <c r="P83" s="6">
        <f>NAV!W124</f>
        <v>0</v>
      </c>
      <c r="Q83" s="6">
        <f>NAV!X124</f>
        <v>0</v>
      </c>
      <c r="R83" s="6">
        <f>NAV!Y124</f>
        <v>0</v>
      </c>
      <c r="S83" s="6">
        <f>NAV!Z124</f>
        <v>0</v>
      </c>
      <c r="T83" s="6">
        <f>NAV!AA124</f>
        <v>0</v>
      </c>
      <c r="U83" s="10">
        <f>NAV!AB124</f>
        <v>0</v>
      </c>
      <c r="V83" s="6" t="str">
        <f>NAV!AC124</f>
        <v>2년이상</v>
      </c>
    </row>
    <row r="84" spans="1:22">
      <c r="A84" s="7">
        <f t="shared" si="1"/>
        <v>83</v>
      </c>
      <c r="B84" s="7">
        <f>TYPE(종목정보tbl!$C84)</f>
        <v>1</v>
      </c>
      <c r="C84" s="6">
        <f>NAV!J125</f>
        <v>0</v>
      </c>
      <c r="D84" s="6">
        <f>NAV!K125</f>
        <v>0</v>
      </c>
      <c r="E84" s="6">
        <f>NAV!L125</f>
        <v>0</v>
      </c>
      <c r="F84" s="6">
        <f>NAV!M125</f>
        <v>0</v>
      </c>
      <c r="G84" s="6">
        <f>NAV!N125</f>
        <v>0</v>
      </c>
      <c r="H84" s="6">
        <f>NAV!O125</f>
        <v>0</v>
      </c>
      <c r="I84" s="6">
        <f>NAV!P125</f>
        <v>0</v>
      </c>
      <c r="J84" s="6">
        <f>NAV!Q125</f>
        <v>0</v>
      </c>
      <c r="K84" s="9">
        <f>NAV!R125</f>
        <v>0</v>
      </c>
      <c r="L84" s="6">
        <f>NAV!S125</f>
        <v>0</v>
      </c>
      <c r="M84" s="6">
        <f>NAV!T125</f>
        <v>0</v>
      </c>
      <c r="N84" s="6" t="str">
        <f>NAV!U125</f>
        <v>한국 원화(KRW)</v>
      </c>
      <c r="O84" s="6">
        <f>NAV!V125</f>
        <v>1</v>
      </c>
      <c r="P84" s="6">
        <f>NAV!W125</f>
        <v>0</v>
      </c>
      <c r="Q84" s="6">
        <f>NAV!X125</f>
        <v>0</v>
      </c>
      <c r="R84" s="6">
        <f>NAV!Y125</f>
        <v>0</v>
      </c>
      <c r="S84" s="6">
        <f>NAV!Z125</f>
        <v>0</v>
      </c>
      <c r="T84" s="6">
        <f>NAV!AA125</f>
        <v>0</v>
      </c>
      <c r="U84" s="10">
        <f>NAV!AB125</f>
        <v>0</v>
      </c>
      <c r="V84" s="6" t="str">
        <f>NAV!AC125</f>
        <v>2년이상</v>
      </c>
    </row>
    <row r="85" spans="1:22">
      <c r="A85" s="7">
        <f t="shared" si="1"/>
        <v>84</v>
      </c>
      <c r="B85" s="7">
        <f>TYPE(종목정보tbl!$C85)</f>
        <v>1</v>
      </c>
      <c r="C85" s="6">
        <f>NAV!J126</f>
        <v>0</v>
      </c>
      <c r="D85" s="6">
        <f>NAV!K126</f>
        <v>0</v>
      </c>
      <c r="E85" s="6">
        <f>NAV!L126</f>
        <v>0</v>
      </c>
      <c r="F85" s="6">
        <f>NAV!M126</f>
        <v>0</v>
      </c>
      <c r="G85" s="6">
        <f>NAV!N126</f>
        <v>0</v>
      </c>
      <c r="H85" s="6">
        <f>NAV!O126</f>
        <v>0</v>
      </c>
      <c r="I85" s="6">
        <f>NAV!P126</f>
        <v>0</v>
      </c>
      <c r="J85" s="6">
        <f>NAV!Q126</f>
        <v>0</v>
      </c>
      <c r="K85" s="9">
        <f>NAV!R126</f>
        <v>0</v>
      </c>
      <c r="L85" s="6">
        <f>NAV!S126</f>
        <v>0</v>
      </c>
      <c r="M85" s="6">
        <f>NAV!T126</f>
        <v>0</v>
      </c>
      <c r="N85" s="6" t="str">
        <f>NAV!U126</f>
        <v>한국 원화(KRW)</v>
      </c>
      <c r="O85" s="6">
        <f>NAV!V126</f>
        <v>1</v>
      </c>
      <c r="P85" s="6">
        <f>NAV!W126</f>
        <v>0</v>
      </c>
      <c r="Q85" s="6">
        <f>NAV!X126</f>
        <v>0</v>
      </c>
      <c r="R85" s="6">
        <f>NAV!Y126</f>
        <v>0</v>
      </c>
      <c r="S85" s="6">
        <f>NAV!Z126</f>
        <v>0</v>
      </c>
      <c r="T85" s="6">
        <f>NAV!AA126</f>
        <v>0</v>
      </c>
      <c r="U85" s="10">
        <f>NAV!AB126</f>
        <v>0</v>
      </c>
      <c r="V85" s="6" t="str">
        <f>NAV!AC126</f>
        <v>2년이상</v>
      </c>
    </row>
    <row r="86" spans="1:22">
      <c r="A86" s="7">
        <f t="shared" si="1"/>
        <v>85</v>
      </c>
      <c r="B86" s="7">
        <f>TYPE(종목정보tbl!$C86)</f>
        <v>1</v>
      </c>
      <c r="C86" s="6">
        <f>NAV!J127</f>
        <v>0</v>
      </c>
      <c r="D86" s="6">
        <f>NAV!K127</f>
        <v>0</v>
      </c>
      <c r="E86" s="6">
        <f>NAV!L127</f>
        <v>0</v>
      </c>
      <c r="F86" s="6">
        <f>NAV!M127</f>
        <v>0</v>
      </c>
      <c r="G86" s="6">
        <f>NAV!N127</f>
        <v>0</v>
      </c>
      <c r="H86" s="6">
        <f>NAV!O127</f>
        <v>0</v>
      </c>
      <c r="I86" s="6">
        <f>NAV!P127</f>
        <v>0</v>
      </c>
      <c r="J86" s="6">
        <f>NAV!Q127</f>
        <v>0</v>
      </c>
      <c r="K86" s="9">
        <f>NAV!R127</f>
        <v>0</v>
      </c>
      <c r="L86" s="6">
        <f>NAV!S127</f>
        <v>0</v>
      </c>
      <c r="M86" s="6">
        <f>NAV!T127</f>
        <v>0</v>
      </c>
      <c r="N86" s="6" t="str">
        <f>NAV!U127</f>
        <v>한국 원화(KRW)</v>
      </c>
      <c r="O86" s="6">
        <f>NAV!V127</f>
        <v>1</v>
      </c>
      <c r="P86" s="6">
        <f>NAV!W127</f>
        <v>0</v>
      </c>
      <c r="Q86" s="6">
        <f>NAV!X127</f>
        <v>0</v>
      </c>
      <c r="R86" s="6">
        <f>NAV!Y127</f>
        <v>0</v>
      </c>
      <c r="S86" s="6">
        <f>NAV!Z127</f>
        <v>0</v>
      </c>
      <c r="T86" s="6">
        <f>NAV!AA127</f>
        <v>0</v>
      </c>
      <c r="U86" s="10">
        <f>NAV!AB127</f>
        <v>0</v>
      </c>
      <c r="V86" s="6" t="str">
        <f>NAV!AC127</f>
        <v>2년이상</v>
      </c>
    </row>
    <row r="87" spans="1:22">
      <c r="A87" s="7">
        <f t="shared" si="1"/>
        <v>86</v>
      </c>
      <c r="B87" s="7">
        <f>TYPE(종목정보tbl!$C87)</f>
        <v>1</v>
      </c>
      <c r="C87" s="6">
        <f>NAV!J128</f>
        <v>0</v>
      </c>
      <c r="D87" s="6">
        <f>NAV!K128</f>
        <v>0</v>
      </c>
      <c r="E87" s="6">
        <f>NAV!L128</f>
        <v>0</v>
      </c>
      <c r="F87" s="6">
        <f>NAV!M128</f>
        <v>0</v>
      </c>
      <c r="G87" s="6">
        <f>NAV!N128</f>
        <v>0</v>
      </c>
      <c r="H87" s="6">
        <f>NAV!O128</f>
        <v>0</v>
      </c>
      <c r="I87" s="6">
        <f>NAV!P128</f>
        <v>0</v>
      </c>
      <c r="J87" s="6">
        <f>NAV!Q128</f>
        <v>0</v>
      </c>
      <c r="K87" s="9">
        <f>NAV!R128</f>
        <v>0</v>
      </c>
      <c r="L87" s="6">
        <f>NAV!S128</f>
        <v>0</v>
      </c>
      <c r="M87" s="6">
        <f>NAV!T128</f>
        <v>0</v>
      </c>
      <c r="N87" s="6" t="str">
        <f>NAV!U128</f>
        <v>한국 원화(KRW)</v>
      </c>
      <c r="O87" s="6">
        <f>NAV!V128</f>
        <v>1</v>
      </c>
      <c r="P87" s="6">
        <f>NAV!W128</f>
        <v>0</v>
      </c>
      <c r="Q87" s="6">
        <f>NAV!X128</f>
        <v>0</v>
      </c>
      <c r="R87" s="6">
        <f>NAV!Y128</f>
        <v>0</v>
      </c>
      <c r="S87" s="6">
        <f>NAV!Z128</f>
        <v>0</v>
      </c>
      <c r="T87" s="6">
        <f>NAV!AA128</f>
        <v>0</v>
      </c>
      <c r="U87" s="10">
        <f>NAV!AB128</f>
        <v>0</v>
      </c>
      <c r="V87" s="6" t="str">
        <f>NAV!AC128</f>
        <v>2년이상</v>
      </c>
    </row>
    <row r="88" spans="1:22">
      <c r="A88" s="7">
        <f t="shared" si="1"/>
        <v>87</v>
      </c>
      <c r="B88" s="7">
        <f>TYPE(종목정보tbl!$C88)</f>
        <v>1</v>
      </c>
      <c r="C88" s="6">
        <f>NAV!J129</f>
        <v>0</v>
      </c>
      <c r="D88" s="6">
        <f>NAV!K129</f>
        <v>0</v>
      </c>
      <c r="E88" s="6">
        <f>NAV!L129</f>
        <v>0</v>
      </c>
      <c r="F88" s="6">
        <f>NAV!M129</f>
        <v>0</v>
      </c>
      <c r="G88" s="6">
        <f>NAV!N129</f>
        <v>0</v>
      </c>
      <c r="H88" s="6">
        <f>NAV!O129</f>
        <v>0</v>
      </c>
      <c r="I88" s="6">
        <f>NAV!P129</f>
        <v>0</v>
      </c>
      <c r="J88" s="6">
        <f>NAV!Q129</f>
        <v>0</v>
      </c>
      <c r="K88" s="9">
        <f>NAV!R129</f>
        <v>0</v>
      </c>
      <c r="L88" s="6">
        <f>NAV!S129</f>
        <v>0</v>
      </c>
      <c r="M88" s="6">
        <f>NAV!T129</f>
        <v>0</v>
      </c>
      <c r="N88" s="6" t="str">
        <f>NAV!U129</f>
        <v>한국 원화(KRW)</v>
      </c>
      <c r="O88" s="6">
        <f>NAV!V129</f>
        <v>1</v>
      </c>
      <c r="P88" s="6">
        <f>NAV!W129</f>
        <v>0</v>
      </c>
      <c r="Q88" s="6">
        <f>NAV!X129</f>
        <v>0</v>
      </c>
      <c r="R88" s="6">
        <f>NAV!Y129</f>
        <v>0</v>
      </c>
      <c r="S88" s="6">
        <f>NAV!Z129</f>
        <v>0</v>
      </c>
      <c r="T88" s="6">
        <f>NAV!AA129</f>
        <v>0</v>
      </c>
      <c r="U88" s="10">
        <f>NAV!AB129</f>
        <v>0</v>
      </c>
      <c r="V88" s="6" t="str">
        <f>NAV!AC129</f>
        <v>2년이상</v>
      </c>
    </row>
    <row r="89" spans="1:22">
      <c r="A89" s="7">
        <f t="shared" si="1"/>
        <v>88</v>
      </c>
      <c r="B89" s="7">
        <f>TYPE(종목정보tbl!$C89)</f>
        <v>1</v>
      </c>
      <c r="C89" s="6">
        <f>NAV!J130</f>
        <v>0</v>
      </c>
      <c r="D89" s="6">
        <f>NAV!K130</f>
        <v>0</v>
      </c>
      <c r="E89" s="6">
        <f>NAV!L130</f>
        <v>0</v>
      </c>
      <c r="F89" s="6">
        <f>NAV!M130</f>
        <v>0</v>
      </c>
      <c r="G89" s="6">
        <f>NAV!N130</f>
        <v>0</v>
      </c>
      <c r="H89" s="6">
        <f>NAV!O130</f>
        <v>0</v>
      </c>
      <c r="I89" s="6">
        <f>NAV!P130</f>
        <v>0</v>
      </c>
      <c r="J89" s="6">
        <f>NAV!Q130</f>
        <v>0</v>
      </c>
      <c r="K89" s="9">
        <f>NAV!R130</f>
        <v>0</v>
      </c>
      <c r="L89" s="6">
        <f>NAV!S130</f>
        <v>0</v>
      </c>
      <c r="M89" s="6">
        <f>NAV!T130</f>
        <v>0</v>
      </c>
      <c r="N89" s="6" t="str">
        <f>NAV!U130</f>
        <v>한국 원화(KRW)</v>
      </c>
      <c r="O89" s="6">
        <f>NAV!V130</f>
        <v>1</v>
      </c>
      <c r="P89" s="6">
        <f>NAV!W130</f>
        <v>0</v>
      </c>
      <c r="Q89" s="6">
        <f>NAV!X130</f>
        <v>0</v>
      </c>
      <c r="R89" s="6">
        <f>NAV!Y130</f>
        <v>0</v>
      </c>
      <c r="S89" s="6">
        <f>NAV!Z130</f>
        <v>0</v>
      </c>
      <c r="T89" s="6">
        <f>NAV!AA130</f>
        <v>0</v>
      </c>
      <c r="U89" s="10">
        <f>NAV!AB130</f>
        <v>0</v>
      </c>
      <c r="V89" s="6" t="str">
        <f>NAV!AC130</f>
        <v>2년이상</v>
      </c>
    </row>
    <row r="90" spans="1:22">
      <c r="A90" s="7">
        <f t="shared" si="1"/>
        <v>89</v>
      </c>
      <c r="B90" s="7">
        <f>TYPE(종목정보tbl!$C90)</f>
        <v>1</v>
      </c>
      <c r="C90" s="6">
        <f>NAV!J131</f>
        <v>0</v>
      </c>
      <c r="D90" s="6">
        <f>NAV!K131</f>
        <v>0</v>
      </c>
      <c r="E90" s="6">
        <f>NAV!L131</f>
        <v>0</v>
      </c>
      <c r="F90" s="6">
        <f>NAV!M131</f>
        <v>0</v>
      </c>
      <c r="G90" s="6">
        <f>NAV!N131</f>
        <v>0</v>
      </c>
      <c r="H90" s="6">
        <f>NAV!O131</f>
        <v>0</v>
      </c>
      <c r="I90" s="6">
        <f>NAV!P131</f>
        <v>0</v>
      </c>
      <c r="J90" s="6">
        <f>NAV!Q131</f>
        <v>0</v>
      </c>
      <c r="K90" s="9">
        <f>NAV!R131</f>
        <v>0</v>
      </c>
      <c r="L90" s="6">
        <f>NAV!S131</f>
        <v>0</v>
      </c>
      <c r="M90" s="6">
        <f>NAV!T131</f>
        <v>0</v>
      </c>
      <c r="N90" s="6" t="str">
        <f>NAV!U131</f>
        <v>한국 원화(KRW)</v>
      </c>
      <c r="O90" s="6">
        <f>NAV!V131</f>
        <v>1</v>
      </c>
      <c r="P90" s="6">
        <f>NAV!W131</f>
        <v>0</v>
      </c>
      <c r="Q90" s="6">
        <f>NAV!X131</f>
        <v>0</v>
      </c>
      <c r="R90" s="6">
        <f>NAV!Y131</f>
        <v>0</v>
      </c>
      <c r="S90" s="6">
        <f>NAV!Z131</f>
        <v>0</v>
      </c>
      <c r="T90" s="6">
        <f>NAV!AA131</f>
        <v>0</v>
      </c>
      <c r="U90" s="10">
        <f>NAV!AB131</f>
        <v>0</v>
      </c>
      <c r="V90" s="6" t="str">
        <f>NAV!AC131</f>
        <v>2년이상</v>
      </c>
    </row>
    <row r="91" spans="1:22">
      <c r="A91" s="7">
        <f t="shared" si="1"/>
        <v>90</v>
      </c>
      <c r="B91" s="7">
        <f>TYPE(종목정보tbl!$C91)</f>
        <v>1</v>
      </c>
      <c r="C91" s="6">
        <f>NAV!J132</f>
        <v>0</v>
      </c>
      <c r="D91" s="6">
        <f>NAV!K132</f>
        <v>0</v>
      </c>
      <c r="E91" s="6">
        <f>NAV!L132</f>
        <v>0</v>
      </c>
      <c r="F91" s="6">
        <f>NAV!M132</f>
        <v>0</v>
      </c>
      <c r="G91" s="6">
        <f>NAV!N132</f>
        <v>0</v>
      </c>
      <c r="H91" s="6">
        <f>NAV!O132</f>
        <v>0</v>
      </c>
      <c r="I91" s="6">
        <f>NAV!P132</f>
        <v>0</v>
      </c>
      <c r="J91" s="6">
        <f>NAV!Q132</f>
        <v>0</v>
      </c>
      <c r="K91" s="9">
        <f>NAV!R132</f>
        <v>0</v>
      </c>
      <c r="L91" s="6">
        <f>NAV!S132</f>
        <v>0</v>
      </c>
      <c r="M91" s="6">
        <f>NAV!T132</f>
        <v>0</v>
      </c>
      <c r="N91" s="6" t="str">
        <f>NAV!U132</f>
        <v>한국 원화(KRW)</v>
      </c>
      <c r="O91" s="6">
        <f>NAV!V132</f>
        <v>1</v>
      </c>
      <c r="P91" s="6">
        <f>NAV!W132</f>
        <v>0</v>
      </c>
      <c r="Q91" s="6">
        <f>NAV!X132</f>
        <v>0</v>
      </c>
      <c r="R91" s="6">
        <f>NAV!Y132</f>
        <v>0</v>
      </c>
      <c r="S91" s="6">
        <f>NAV!Z132</f>
        <v>0</v>
      </c>
      <c r="T91" s="6">
        <f>NAV!AA132</f>
        <v>0</v>
      </c>
      <c r="U91" s="10">
        <f>NAV!AB132</f>
        <v>0</v>
      </c>
      <c r="V91" s="6" t="str">
        <f>NAV!AC132</f>
        <v>2년이상</v>
      </c>
    </row>
    <row r="92" spans="1:22">
      <c r="A92" s="7">
        <f t="shared" si="1"/>
        <v>91</v>
      </c>
      <c r="B92" s="7">
        <f>TYPE(종목정보tbl!$C92)</f>
        <v>1</v>
      </c>
      <c r="C92" s="6">
        <f>NAV!J133</f>
        <v>0</v>
      </c>
      <c r="D92" s="6">
        <f>NAV!K133</f>
        <v>0</v>
      </c>
      <c r="E92" s="6">
        <f>NAV!L133</f>
        <v>0</v>
      </c>
      <c r="F92" s="6">
        <f>NAV!M133</f>
        <v>0</v>
      </c>
      <c r="G92" s="6">
        <f>NAV!N133</f>
        <v>0</v>
      </c>
      <c r="H92" s="6">
        <f>NAV!O133</f>
        <v>0</v>
      </c>
      <c r="I92" s="6">
        <f>NAV!P133</f>
        <v>0</v>
      </c>
      <c r="J92" s="6">
        <f>NAV!Q133</f>
        <v>0</v>
      </c>
      <c r="K92" s="9">
        <f>NAV!R133</f>
        <v>0</v>
      </c>
      <c r="L92" s="6">
        <f>NAV!S133</f>
        <v>0</v>
      </c>
      <c r="M92" s="6">
        <f>NAV!T133</f>
        <v>0</v>
      </c>
      <c r="N92" s="6" t="str">
        <f>NAV!U133</f>
        <v>한국 원화(KRW)</v>
      </c>
      <c r="O92" s="6">
        <f>NAV!V133</f>
        <v>1</v>
      </c>
      <c r="P92" s="6">
        <f>NAV!W133</f>
        <v>0</v>
      </c>
      <c r="Q92" s="6">
        <f>NAV!X133</f>
        <v>0</v>
      </c>
      <c r="R92" s="6">
        <f>NAV!Y133</f>
        <v>0</v>
      </c>
      <c r="S92" s="6">
        <f>NAV!Z133</f>
        <v>0</v>
      </c>
      <c r="T92" s="6">
        <f>NAV!AA133</f>
        <v>0</v>
      </c>
      <c r="U92" s="10">
        <f>NAV!AB133</f>
        <v>0</v>
      </c>
      <c r="V92" s="6" t="str">
        <f>NAV!AC133</f>
        <v>2년이상</v>
      </c>
    </row>
    <row r="93" spans="1:22">
      <c r="A93" s="7">
        <f t="shared" si="1"/>
        <v>92</v>
      </c>
      <c r="B93" s="7">
        <f>TYPE(종목정보tbl!$C93)</f>
        <v>1</v>
      </c>
      <c r="C93" s="6">
        <f>NAV!J134</f>
        <v>0</v>
      </c>
      <c r="D93" s="6">
        <f>NAV!K134</f>
        <v>0</v>
      </c>
      <c r="E93" s="6">
        <f>NAV!L134</f>
        <v>0</v>
      </c>
      <c r="F93" s="6">
        <f>NAV!M134</f>
        <v>0</v>
      </c>
      <c r="G93" s="6">
        <f>NAV!N134</f>
        <v>0</v>
      </c>
      <c r="H93" s="6">
        <f>NAV!O134</f>
        <v>0</v>
      </c>
      <c r="I93" s="6">
        <f>NAV!P134</f>
        <v>0</v>
      </c>
      <c r="J93" s="6">
        <f>NAV!Q134</f>
        <v>0</v>
      </c>
      <c r="K93" s="9">
        <f>NAV!R134</f>
        <v>0</v>
      </c>
      <c r="L93" s="6">
        <f>NAV!S134</f>
        <v>0</v>
      </c>
      <c r="M93" s="6">
        <f>NAV!T134</f>
        <v>0</v>
      </c>
      <c r="N93" s="6" t="str">
        <f>NAV!U134</f>
        <v>한국 원화(KRW)</v>
      </c>
      <c r="O93" s="6">
        <f>NAV!V134</f>
        <v>1</v>
      </c>
      <c r="P93" s="6">
        <f>NAV!W134</f>
        <v>0</v>
      </c>
      <c r="Q93" s="6">
        <f>NAV!X134</f>
        <v>0</v>
      </c>
      <c r="R93" s="6">
        <f>NAV!Y134</f>
        <v>0</v>
      </c>
      <c r="S93" s="6">
        <f>NAV!Z134</f>
        <v>0</v>
      </c>
      <c r="T93" s="6">
        <f>NAV!AA134</f>
        <v>0</v>
      </c>
      <c r="U93" s="10">
        <f>NAV!AB134</f>
        <v>0</v>
      </c>
      <c r="V93" s="6" t="str">
        <f>NAV!AC134</f>
        <v>2년이상</v>
      </c>
    </row>
    <row r="94" spans="1:22">
      <c r="A94" s="7">
        <f t="shared" si="1"/>
        <v>93</v>
      </c>
      <c r="B94" s="7">
        <f>TYPE(종목정보tbl!$C94)</f>
        <v>1</v>
      </c>
      <c r="C94" s="6">
        <f>NAV!J135</f>
        <v>0</v>
      </c>
      <c r="D94" s="6">
        <f>NAV!K135</f>
        <v>0</v>
      </c>
      <c r="E94" s="6">
        <f>NAV!L135</f>
        <v>0</v>
      </c>
      <c r="F94" s="6">
        <f>NAV!M135</f>
        <v>0</v>
      </c>
      <c r="G94" s="6">
        <f>NAV!N135</f>
        <v>0</v>
      </c>
      <c r="H94" s="6">
        <f>NAV!O135</f>
        <v>0</v>
      </c>
      <c r="I94" s="6">
        <f>NAV!P135</f>
        <v>0</v>
      </c>
      <c r="J94" s="6">
        <f>NAV!Q135</f>
        <v>0</v>
      </c>
      <c r="K94" s="9">
        <f>NAV!R135</f>
        <v>0</v>
      </c>
      <c r="L94" s="6">
        <f>NAV!S135</f>
        <v>0</v>
      </c>
      <c r="M94" s="6">
        <f>NAV!T135</f>
        <v>0</v>
      </c>
      <c r="N94" s="6" t="str">
        <f>NAV!U135</f>
        <v>한국 원화(KRW)</v>
      </c>
      <c r="O94" s="6">
        <f>NAV!V135</f>
        <v>1</v>
      </c>
      <c r="P94" s="6">
        <f>NAV!W135</f>
        <v>0</v>
      </c>
      <c r="Q94" s="6">
        <f>NAV!X135</f>
        <v>0</v>
      </c>
      <c r="R94" s="6">
        <f>NAV!Y135</f>
        <v>0</v>
      </c>
      <c r="S94" s="6">
        <f>NAV!Z135</f>
        <v>0</v>
      </c>
      <c r="T94" s="6">
        <f>NAV!AA135</f>
        <v>0</v>
      </c>
      <c r="U94" s="10">
        <f>NAV!AB135</f>
        <v>0</v>
      </c>
      <c r="V94" s="6" t="str">
        <f>NAV!AC135</f>
        <v>2년이상</v>
      </c>
    </row>
    <row r="95" spans="1:22">
      <c r="A95" s="7">
        <f t="shared" si="1"/>
        <v>94</v>
      </c>
      <c r="B95" s="7">
        <f>TYPE(종목정보tbl!$C95)</f>
        <v>1</v>
      </c>
      <c r="C95" s="6">
        <f>NAV!J136</f>
        <v>0</v>
      </c>
      <c r="D95" s="6">
        <f>NAV!K136</f>
        <v>0</v>
      </c>
      <c r="E95" s="6">
        <f>NAV!L136</f>
        <v>0</v>
      </c>
      <c r="F95" s="6">
        <f>NAV!M136</f>
        <v>0</v>
      </c>
      <c r="G95" s="6">
        <f>NAV!N136</f>
        <v>0</v>
      </c>
      <c r="H95" s="6">
        <f>NAV!O136</f>
        <v>0</v>
      </c>
      <c r="I95" s="6">
        <f>NAV!P136</f>
        <v>0</v>
      </c>
      <c r="J95" s="6">
        <f>NAV!Q136</f>
        <v>0</v>
      </c>
      <c r="K95" s="9">
        <f>NAV!R136</f>
        <v>0</v>
      </c>
      <c r="L95" s="6">
        <f>NAV!S136</f>
        <v>0</v>
      </c>
      <c r="M95" s="6">
        <f>NAV!T136</f>
        <v>0</v>
      </c>
      <c r="N95" s="6" t="str">
        <f>NAV!U136</f>
        <v>한국 원화(KRW)</v>
      </c>
      <c r="O95" s="6">
        <f>NAV!V136</f>
        <v>1</v>
      </c>
      <c r="P95" s="6">
        <f>NAV!W136</f>
        <v>0</v>
      </c>
      <c r="Q95" s="6">
        <f>NAV!X136</f>
        <v>0</v>
      </c>
      <c r="R95" s="6">
        <f>NAV!Y136</f>
        <v>0</v>
      </c>
      <c r="S95" s="6">
        <f>NAV!Z136</f>
        <v>0</v>
      </c>
      <c r="T95" s="6">
        <f>NAV!AA136</f>
        <v>0</v>
      </c>
      <c r="U95" s="10">
        <f>NAV!AB136</f>
        <v>0</v>
      </c>
      <c r="V95" s="6" t="str">
        <f>NAV!AC136</f>
        <v>2년이상</v>
      </c>
    </row>
    <row r="96" spans="1:22">
      <c r="A96" s="7">
        <f t="shared" si="1"/>
        <v>95</v>
      </c>
      <c r="B96" s="7">
        <f>TYPE(종목정보tbl!$C96)</f>
        <v>1</v>
      </c>
      <c r="C96" s="6">
        <f>NAV!J137</f>
        <v>0</v>
      </c>
      <c r="D96" s="6">
        <f>NAV!K137</f>
        <v>0</v>
      </c>
      <c r="E96" s="6">
        <f>NAV!L137</f>
        <v>0</v>
      </c>
      <c r="F96" s="6">
        <f>NAV!M137</f>
        <v>0</v>
      </c>
      <c r="G96" s="6">
        <f>NAV!N137</f>
        <v>0</v>
      </c>
      <c r="H96" s="6">
        <f>NAV!O137</f>
        <v>0</v>
      </c>
      <c r="I96" s="6">
        <f>NAV!P137</f>
        <v>0</v>
      </c>
      <c r="J96" s="6">
        <f>NAV!Q137</f>
        <v>0</v>
      </c>
      <c r="K96" s="9">
        <f>NAV!R137</f>
        <v>0</v>
      </c>
      <c r="L96" s="6">
        <f>NAV!S137</f>
        <v>0</v>
      </c>
      <c r="M96" s="6">
        <f>NAV!T137</f>
        <v>0</v>
      </c>
      <c r="N96" s="6" t="str">
        <f>NAV!U137</f>
        <v>한국 원화(KRW)</v>
      </c>
      <c r="O96" s="6">
        <f>NAV!V137</f>
        <v>1</v>
      </c>
      <c r="P96" s="6">
        <f>NAV!W137</f>
        <v>0</v>
      </c>
      <c r="Q96" s="6">
        <f>NAV!X137</f>
        <v>0</v>
      </c>
      <c r="R96" s="6">
        <f>NAV!Y137</f>
        <v>0</v>
      </c>
      <c r="S96" s="6">
        <f>NAV!Z137</f>
        <v>0</v>
      </c>
      <c r="T96" s="6">
        <f>NAV!AA137</f>
        <v>0</v>
      </c>
      <c r="U96" s="10">
        <f>NAV!AB137</f>
        <v>0</v>
      </c>
      <c r="V96" s="6" t="str">
        <f>NAV!AC137</f>
        <v>2년이상</v>
      </c>
    </row>
    <row r="97" spans="1:22">
      <c r="A97" s="7">
        <f t="shared" si="1"/>
        <v>96</v>
      </c>
      <c r="B97" s="7">
        <f>TYPE(종목정보tbl!$C97)</f>
        <v>1</v>
      </c>
      <c r="C97" s="6">
        <f>NAV!J138</f>
        <v>0</v>
      </c>
      <c r="D97" s="6">
        <f>NAV!K138</f>
        <v>0</v>
      </c>
      <c r="E97" s="6">
        <f>NAV!L138</f>
        <v>0</v>
      </c>
      <c r="F97" s="6">
        <f>NAV!M138</f>
        <v>0</v>
      </c>
      <c r="G97" s="6">
        <f>NAV!N138</f>
        <v>0</v>
      </c>
      <c r="H97" s="6">
        <f>NAV!O138</f>
        <v>0</v>
      </c>
      <c r="I97" s="6">
        <f>NAV!P138</f>
        <v>0</v>
      </c>
      <c r="J97" s="6">
        <f>NAV!Q138</f>
        <v>0</v>
      </c>
      <c r="K97" s="9">
        <f>NAV!R138</f>
        <v>0</v>
      </c>
      <c r="L97" s="6">
        <f>NAV!S138</f>
        <v>0</v>
      </c>
      <c r="M97" s="6">
        <f>NAV!T138</f>
        <v>0</v>
      </c>
      <c r="N97" s="6" t="str">
        <f>NAV!U138</f>
        <v>한국 원화(KRW)</v>
      </c>
      <c r="O97" s="6">
        <f>NAV!V138</f>
        <v>1</v>
      </c>
      <c r="P97" s="6">
        <f>NAV!W138</f>
        <v>0</v>
      </c>
      <c r="Q97" s="6">
        <f>NAV!X138</f>
        <v>0</v>
      </c>
      <c r="R97" s="6">
        <f>NAV!Y138</f>
        <v>0</v>
      </c>
      <c r="S97" s="6">
        <f>NAV!Z138</f>
        <v>0</v>
      </c>
      <c r="T97" s="6">
        <f>NAV!AA138</f>
        <v>0</v>
      </c>
      <c r="U97" s="10">
        <f>NAV!AB138</f>
        <v>0</v>
      </c>
      <c r="V97" s="6" t="str">
        <f>NAV!AC138</f>
        <v>2년이상</v>
      </c>
    </row>
    <row r="98" spans="1:22">
      <c r="A98" s="7">
        <f t="shared" si="1"/>
        <v>97</v>
      </c>
      <c r="B98" s="7">
        <f>TYPE(종목정보tbl!$C98)</f>
        <v>1</v>
      </c>
      <c r="C98" s="6">
        <f>NAV!J139</f>
        <v>0</v>
      </c>
      <c r="D98" s="6">
        <f>NAV!K139</f>
        <v>0</v>
      </c>
      <c r="E98" s="6">
        <f>NAV!L139</f>
        <v>0</v>
      </c>
      <c r="F98" s="6">
        <f>NAV!M139</f>
        <v>0</v>
      </c>
      <c r="G98" s="6">
        <f>NAV!N139</f>
        <v>0</v>
      </c>
      <c r="H98" s="6">
        <f>NAV!O139</f>
        <v>0</v>
      </c>
      <c r="I98" s="6">
        <f>NAV!P139</f>
        <v>0</v>
      </c>
      <c r="J98" s="6">
        <f>NAV!Q139</f>
        <v>0</v>
      </c>
      <c r="K98" s="9">
        <f>NAV!R139</f>
        <v>0</v>
      </c>
      <c r="L98" s="6">
        <f>NAV!S139</f>
        <v>0</v>
      </c>
      <c r="M98" s="6">
        <f>NAV!T139</f>
        <v>0</v>
      </c>
      <c r="N98" s="6" t="str">
        <f>NAV!U139</f>
        <v>한국 원화(KRW)</v>
      </c>
      <c r="O98" s="6">
        <f>NAV!V139</f>
        <v>1</v>
      </c>
      <c r="P98" s="6">
        <f>NAV!W139</f>
        <v>0</v>
      </c>
      <c r="Q98" s="6">
        <f>NAV!X139</f>
        <v>0</v>
      </c>
      <c r="R98" s="6">
        <f>NAV!Y139</f>
        <v>0</v>
      </c>
      <c r="S98" s="6">
        <f>NAV!Z139</f>
        <v>0</v>
      </c>
      <c r="T98" s="6">
        <f>NAV!AA139</f>
        <v>0</v>
      </c>
      <c r="U98" s="10">
        <f>NAV!AB139</f>
        <v>0</v>
      </c>
      <c r="V98" s="6" t="str">
        <f>NAV!AC139</f>
        <v>2년이상</v>
      </c>
    </row>
    <row r="99" spans="1:22">
      <c r="A99" s="7">
        <f t="shared" si="1"/>
        <v>98</v>
      </c>
      <c r="B99" s="7">
        <f>TYPE(종목정보tbl!$C99)</f>
        <v>1</v>
      </c>
      <c r="C99" s="6">
        <f>NAV!J140</f>
        <v>0</v>
      </c>
      <c r="D99" s="6">
        <f>NAV!K140</f>
        <v>0</v>
      </c>
      <c r="E99" s="6">
        <f>NAV!L140</f>
        <v>0</v>
      </c>
      <c r="F99" s="6">
        <f>NAV!M140</f>
        <v>0</v>
      </c>
      <c r="G99" s="6">
        <f>NAV!N140</f>
        <v>0</v>
      </c>
      <c r="H99" s="6">
        <f>NAV!O140</f>
        <v>0</v>
      </c>
      <c r="I99" s="6">
        <f>NAV!P140</f>
        <v>0</v>
      </c>
      <c r="J99" s="6">
        <f>NAV!Q140</f>
        <v>0</v>
      </c>
      <c r="K99" s="9">
        <f>NAV!R140</f>
        <v>0</v>
      </c>
      <c r="L99" s="6">
        <f>NAV!S140</f>
        <v>0</v>
      </c>
      <c r="M99" s="6">
        <f>NAV!T140</f>
        <v>0</v>
      </c>
      <c r="N99" s="6" t="str">
        <f>NAV!U140</f>
        <v>한국 원화(KRW)</v>
      </c>
      <c r="O99" s="6">
        <f>NAV!V140</f>
        <v>1</v>
      </c>
      <c r="P99" s="6">
        <f>NAV!W140</f>
        <v>0</v>
      </c>
      <c r="Q99" s="6">
        <f>NAV!X140</f>
        <v>0</v>
      </c>
      <c r="R99" s="6">
        <f>NAV!Y140</f>
        <v>0</v>
      </c>
      <c r="S99" s="6">
        <f>NAV!Z140</f>
        <v>0</v>
      </c>
      <c r="T99" s="6">
        <f>NAV!AA140</f>
        <v>0</v>
      </c>
      <c r="U99" s="10">
        <f>NAV!AB140</f>
        <v>0</v>
      </c>
      <c r="V99" s="6" t="str">
        <f>NAV!AC140</f>
        <v>2년이상</v>
      </c>
    </row>
    <row r="100" spans="1:22">
      <c r="A100" s="7">
        <f t="shared" si="1"/>
        <v>99</v>
      </c>
      <c r="B100" s="7">
        <f>TYPE(종목정보tbl!$C100)</f>
        <v>1</v>
      </c>
      <c r="C100" s="6">
        <f>NAV!J141</f>
        <v>0</v>
      </c>
      <c r="D100" s="6">
        <f>NAV!K141</f>
        <v>0</v>
      </c>
      <c r="E100" s="6">
        <f>NAV!L141</f>
        <v>0</v>
      </c>
      <c r="F100" s="6">
        <f>NAV!M141</f>
        <v>0</v>
      </c>
      <c r="G100" s="6">
        <f>NAV!N141</f>
        <v>0</v>
      </c>
      <c r="H100" s="6">
        <f>NAV!O141</f>
        <v>0</v>
      </c>
      <c r="I100" s="6">
        <f>NAV!P141</f>
        <v>0</v>
      </c>
      <c r="J100" s="6">
        <f>NAV!Q141</f>
        <v>0</v>
      </c>
      <c r="K100" s="9">
        <f>NAV!R141</f>
        <v>0</v>
      </c>
      <c r="L100" s="6">
        <f>NAV!S141</f>
        <v>0</v>
      </c>
      <c r="M100" s="6">
        <f>NAV!T141</f>
        <v>0</v>
      </c>
      <c r="N100" s="6" t="str">
        <f>NAV!U141</f>
        <v>한국 원화(KRW)</v>
      </c>
      <c r="O100" s="6">
        <f>NAV!V141</f>
        <v>1</v>
      </c>
      <c r="P100" s="6">
        <f>NAV!W141</f>
        <v>0</v>
      </c>
      <c r="Q100" s="6">
        <f>NAV!X141</f>
        <v>0</v>
      </c>
      <c r="R100" s="6">
        <f>NAV!Y141</f>
        <v>0</v>
      </c>
      <c r="S100" s="6">
        <f>NAV!Z141</f>
        <v>0</v>
      </c>
      <c r="T100" s="6">
        <f>NAV!AA141</f>
        <v>0</v>
      </c>
      <c r="U100" s="10">
        <f>NAV!AB141</f>
        <v>0</v>
      </c>
      <c r="V100" s="6" t="str">
        <f>NAV!AC141</f>
        <v>2년이상</v>
      </c>
    </row>
    <row r="101" spans="1:22">
      <c r="A101" s="7">
        <f t="shared" si="1"/>
        <v>100</v>
      </c>
      <c r="B101" s="7">
        <f>TYPE(종목정보tbl!$C101)</f>
        <v>1</v>
      </c>
      <c r="C101" s="6">
        <f>NAV!J142</f>
        <v>0</v>
      </c>
      <c r="D101" s="6">
        <f>NAV!K142</f>
        <v>0</v>
      </c>
      <c r="E101" s="6">
        <f>NAV!L142</f>
        <v>0</v>
      </c>
      <c r="F101" s="6">
        <f>NAV!M142</f>
        <v>0</v>
      </c>
      <c r="G101" s="6">
        <f>NAV!N142</f>
        <v>0</v>
      </c>
      <c r="H101" s="6">
        <f>NAV!O142</f>
        <v>0</v>
      </c>
      <c r="I101" s="6">
        <f>NAV!P142</f>
        <v>0</v>
      </c>
      <c r="J101" s="6">
        <f>NAV!Q142</f>
        <v>0</v>
      </c>
      <c r="K101" s="9">
        <f>NAV!R142</f>
        <v>0</v>
      </c>
      <c r="L101" s="6">
        <f>NAV!S142</f>
        <v>0</v>
      </c>
      <c r="M101" s="6">
        <f>NAV!T142</f>
        <v>0</v>
      </c>
      <c r="N101" s="6" t="str">
        <f>NAV!U142</f>
        <v>한국 원화(KRW)</v>
      </c>
      <c r="O101" s="6">
        <f>NAV!V142</f>
        <v>1</v>
      </c>
      <c r="P101" s="6">
        <f>NAV!W142</f>
        <v>0</v>
      </c>
      <c r="Q101" s="6">
        <f>NAV!X142</f>
        <v>0</v>
      </c>
      <c r="R101" s="6">
        <f>NAV!Y142</f>
        <v>0</v>
      </c>
      <c r="S101" s="6">
        <f>NAV!Z142</f>
        <v>0</v>
      </c>
      <c r="T101" s="6">
        <f>NAV!AA142</f>
        <v>0</v>
      </c>
      <c r="U101" s="10">
        <f>NAV!AB142</f>
        <v>0</v>
      </c>
      <c r="V101" s="6" t="str">
        <f>NAV!AC142</f>
        <v>2년이상</v>
      </c>
    </row>
    <row r="102" spans="1:22">
      <c r="A102" s="7">
        <f t="shared" si="1"/>
        <v>101</v>
      </c>
      <c r="B102" s="7">
        <f>TYPE(종목정보tbl!$C102)</f>
        <v>1</v>
      </c>
      <c r="C102" s="6">
        <f>NAV!J143</f>
        <v>0</v>
      </c>
      <c r="D102" s="6">
        <f>NAV!K143</f>
        <v>0</v>
      </c>
      <c r="E102" s="6">
        <f>NAV!L143</f>
        <v>0</v>
      </c>
      <c r="F102" s="6">
        <f>NAV!M143</f>
        <v>0</v>
      </c>
      <c r="G102" s="6">
        <f>NAV!N143</f>
        <v>0</v>
      </c>
      <c r="H102" s="6">
        <f>NAV!O143</f>
        <v>0</v>
      </c>
      <c r="I102" s="6">
        <f>NAV!P143</f>
        <v>0</v>
      </c>
      <c r="J102" s="6">
        <f>NAV!Q143</f>
        <v>0</v>
      </c>
      <c r="K102" s="9">
        <f>NAV!R143</f>
        <v>0</v>
      </c>
      <c r="L102" s="6">
        <f>NAV!S143</f>
        <v>0</v>
      </c>
      <c r="M102" s="6">
        <f>NAV!T143</f>
        <v>0</v>
      </c>
      <c r="N102" s="6" t="str">
        <f>NAV!U143</f>
        <v>한국 원화(KRW)</v>
      </c>
      <c r="O102" s="6">
        <f>NAV!V143</f>
        <v>1</v>
      </c>
      <c r="P102" s="6">
        <f>NAV!W143</f>
        <v>0</v>
      </c>
      <c r="Q102" s="6">
        <f>NAV!X143</f>
        <v>0</v>
      </c>
      <c r="R102" s="6">
        <f>NAV!Y143</f>
        <v>0</v>
      </c>
      <c r="S102" s="6">
        <f>NAV!Z143</f>
        <v>0</v>
      </c>
      <c r="T102" s="6">
        <f>NAV!AA143</f>
        <v>0</v>
      </c>
      <c r="U102" s="10">
        <f>NAV!AB143</f>
        <v>0</v>
      </c>
      <c r="V102" s="6" t="str">
        <f>NAV!AC143</f>
        <v>2년이상</v>
      </c>
    </row>
    <row r="103" spans="1:22">
      <c r="A103" s="7">
        <f t="shared" si="1"/>
        <v>102</v>
      </c>
      <c r="B103" s="7">
        <f>TYPE(종목정보tbl!$C103)</f>
        <v>1</v>
      </c>
      <c r="C103" s="6">
        <f>NAV!J144</f>
        <v>0</v>
      </c>
      <c r="D103" s="6">
        <f>NAV!K144</f>
        <v>0</v>
      </c>
      <c r="E103" s="6">
        <f>NAV!L144</f>
        <v>0</v>
      </c>
      <c r="F103" s="6">
        <f>NAV!M144</f>
        <v>0</v>
      </c>
      <c r="G103" s="6">
        <f>NAV!N144</f>
        <v>0</v>
      </c>
      <c r="H103" s="6">
        <f>NAV!O144</f>
        <v>0</v>
      </c>
      <c r="I103" s="6">
        <f>NAV!P144</f>
        <v>0</v>
      </c>
      <c r="J103" s="6">
        <f>NAV!Q144</f>
        <v>0</v>
      </c>
      <c r="K103" s="9">
        <f>NAV!R144</f>
        <v>0</v>
      </c>
      <c r="L103" s="6">
        <f>NAV!S144</f>
        <v>0</v>
      </c>
      <c r="M103" s="6">
        <f>NAV!T144</f>
        <v>0</v>
      </c>
      <c r="N103" s="6" t="str">
        <f>NAV!U144</f>
        <v>한국 원화(KRW)</v>
      </c>
      <c r="O103" s="6">
        <f>NAV!V144</f>
        <v>1</v>
      </c>
      <c r="P103" s="6">
        <f>NAV!W144</f>
        <v>0</v>
      </c>
      <c r="Q103" s="6">
        <f>NAV!X144</f>
        <v>0</v>
      </c>
      <c r="R103" s="6">
        <f>NAV!Y144</f>
        <v>0</v>
      </c>
      <c r="S103" s="6">
        <f>NAV!Z144</f>
        <v>0</v>
      </c>
      <c r="T103" s="6">
        <f>NAV!AA144</f>
        <v>0</v>
      </c>
      <c r="U103" s="10">
        <f>NAV!AB144</f>
        <v>0</v>
      </c>
      <c r="V103" s="6" t="str">
        <f>NAV!AC144</f>
        <v>2년이상</v>
      </c>
    </row>
    <row r="104" spans="1:22">
      <c r="A104" s="7">
        <f t="shared" si="1"/>
        <v>103</v>
      </c>
      <c r="B104" s="7">
        <f>TYPE(종목정보tbl!$C104)</f>
        <v>1</v>
      </c>
      <c r="C104" s="6">
        <f>NAV!J145</f>
        <v>0</v>
      </c>
      <c r="D104" s="6">
        <f>NAV!K145</f>
        <v>0</v>
      </c>
      <c r="E104" s="6">
        <f>NAV!L145</f>
        <v>0</v>
      </c>
      <c r="F104" s="6">
        <f>NAV!M145</f>
        <v>0</v>
      </c>
      <c r="G104" s="6">
        <f>NAV!N145</f>
        <v>0</v>
      </c>
      <c r="H104" s="6">
        <f>NAV!O145</f>
        <v>0</v>
      </c>
      <c r="I104" s="6">
        <f>NAV!P145</f>
        <v>0</v>
      </c>
      <c r="J104" s="6">
        <f>NAV!Q145</f>
        <v>0</v>
      </c>
      <c r="K104" s="9">
        <f>NAV!R145</f>
        <v>0</v>
      </c>
      <c r="L104" s="6">
        <f>NAV!S145</f>
        <v>0</v>
      </c>
      <c r="M104" s="6">
        <f>NAV!T145</f>
        <v>0</v>
      </c>
      <c r="N104" s="6" t="str">
        <f>NAV!U145</f>
        <v>한국 원화(KRW)</v>
      </c>
      <c r="O104" s="6">
        <f>NAV!V145</f>
        <v>1</v>
      </c>
      <c r="P104" s="6">
        <f>NAV!W145</f>
        <v>0</v>
      </c>
      <c r="Q104" s="6">
        <f>NAV!X145</f>
        <v>0</v>
      </c>
      <c r="R104" s="6">
        <f>NAV!Y145</f>
        <v>0</v>
      </c>
      <c r="S104" s="6">
        <f>NAV!Z145</f>
        <v>0</v>
      </c>
      <c r="T104" s="6">
        <f>NAV!AA145</f>
        <v>0</v>
      </c>
      <c r="U104" s="10">
        <f>NAV!AB145</f>
        <v>0</v>
      </c>
      <c r="V104" s="6" t="str">
        <f>NAV!AC145</f>
        <v>2년이상</v>
      </c>
    </row>
    <row r="105" spans="1:22">
      <c r="A105" s="7">
        <f t="shared" si="1"/>
        <v>104</v>
      </c>
      <c r="B105" s="7">
        <f>TYPE(종목정보tbl!$C105)</f>
        <v>1</v>
      </c>
      <c r="C105" s="6">
        <f>NAV!J146</f>
        <v>0</v>
      </c>
      <c r="D105" s="6">
        <f>NAV!K146</f>
        <v>0</v>
      </c>
      <c r="E105" s="6">
        <f>NAV!L146</f>
        <v>0</v>
      </c>
      <c r="F105" s="6">
        <f>NAV!M146</f>
        <v>0</v>
      </c>
      <c r="G105" s="6">
        <f>NAV!N146</f>
        <v>0</v>
      </c>
      <c r="H105" s="6">
        <f>NAV!O146</f>
        <v>0</v>
      </c>
      <c r="I105" s="6">
        <f>NAV!P146</f>
        <v>0</v>
      </c>
      <c r="J105" s="6">
        <f>NAV!Q146</f>
        <v>0</v>
      </c>
      <c r="K105" s="9">
        <f>NAV!R146</f>
        <v>0</v>
      </c>
      <c r="L105" s="6">
        <f>NAV!S146</f>
        <v>0</v>
      </c>
      <c r="M105" s="6">
        <f>NAV!T146</f>
        <v>0</v>
      </c>
      <c r="N105" s="6" t="str">
        <f>NAV!U146</f>
        <v>한국 원화(KRW)</v>
      </c>
      <c r="O105" s="6">
        <f>NAV!V146</f>
        <v>1</v>
      </c>
      <c r="P105" s="6">
        <f>NAV!W146</f>
        <v>0</v>
      </c>
      <c r="Q105" s="6">
        <f>NAV!X146</f>
        <v>0</v>
      </c>
      <c r="R105" s="6">
        <f>NAV!Y146</f>
        <v>0</v>
      </c>
      <c r="S105" s="6">
        <f>NAV!Z146</f>
        <v>0</v>
      </c>
      <c r="T105" s="6">
        <f>NAV!AA146</f>
        <v>0</v>
      </c>
      <c r="U105" s="10">
        <f>NAV!AB146</f>
        <v>0</v>
      </c>
      <c r="V105" s="6" t="str">
        <f>NAV!AC146</f>
        <v>2년이상</v>
      </c>
    </row>
    <row r="106" spans="1:22">
      <c r="A106" s="7">
        <f t="shared" si="1"/>
        <v>105</v>
      </c>
      <c r="B106" s="7">
        <f>TYPE(종목정보tbl!$C106)</f>
        <v>1</v>
      </c>
      <c r="C106" s="6">
        <f>NAV!J147</f>
        <v>0</v>
      </c>
      <c r="D106" s="6">
        <f>NAV!K147</f>
        <v>0</v>
      </c>
      <c r="E106" s="6">
        <f>NAV!L147</f>
        <v>0</v>
      </c>
      <c r="F106" s="6">
        <f>NAV!M147</f>
        <v>0</v>
      </c>
      <c r="G106" s="6">
        <f>NAV!N147</f>
        <v>0</v>
      </c>
      <c r="H106" s="6">
        <f>NAV!O147</f>
        <v>0</v>
      </c>
      <c r="I106" s="6">
        <f>NAV!P147</f>
        <v>0</v>
      </c>
      <c r="J106" s="6">
        <f>NAV!Q147</f>
        <v>0</v>
      </c>
      <c r="K106" s="9">
        <f>NAV!R147</f>
        <v>0</v>
      </c>
      <c r="L106" s="6">
        <f>NAV!S147</f>
        <v>0</v>
      </c>
      <c r="M106" s="6">
        <f>NAV!T147</f>
        <v>0</v>
      </c>
      <c r="N106" s="6" t="str">
        <f>NAV!U147</f>
        <v>한국 원화(KRW)</v>
      </c>
      <c r="O106" s="6">
        <f>NAV!V147</f>
        <v>1</v>
      </c>
      <c r="P106" s="6">
        <f>NAV!W147</f>
        <v>0</v>
      </c>
      <c r="Q106" s="6">
        <f>NAV!X147</f>
        <v>0</v>
      </c>
      <c r="R106" s="6">
        <f>NAV!Y147</f>
        <v>0</v>
      </c>
      <c r="S106" s="6">
        <f>NAV!Z147</f>
        <v>0</v>
      </c>
      <c r="T106" s="6">
        <f>NAV!AA147</f>
        <v>0</v>
      </c>
      <c r="U106" s="10">
        <f>NAV!AB147</f>
        <v>0</v>
      </c>
      <c r="V106" s="6" t="str">
        <f>NAV!AC147</f>
        <v>2년이상</v>
      </c>
    </row>
    <row r="107" spans="1:22">
      <c r="A107" s="7">
        <f t="shared" si="1"/>
        <v>106</v>
      </c>
      <c r="B107" s="7">
        <f>TYPE(종목정보tbl!$C107)</f>
        <v>1</v>
      </c>
      <c r="C107" s="6">
        <f>NAV!J148</f>
        <v>0</v>
      </c>
      <c r="D107" s="6">
        <f>NAV!K148</f>
        <v>0</v>
      </c>
      <c r="E107" s="6">
        <f>NAV!L148</f>
        <v>0</v>
      </c>
      <c r="F107" s="6">
        <f>NAV!M148</f>
        <v>0</v>
      </c>
      <c r="G107" s="6">
        <f>NAV!N148</f>
        <v>0</v>
      </c>
      <c r="H107" s="6">
        <f>NAV!O148</f>
        <v>0</v>
      </c>
      <c r="I107" s="6">
        <f>NAV!P148</f>
        <v>0</v>
      </c>
      <c r="J107" s="6">
        <f>NAV!Q148</f>
        <v>0</v>
      </c>
      <c r="K107" s="9">
        <f>NAV!R148</f>
        <v>0</v>
      </c>
      <c r="L107" s="6">
        <f>NAV!S148</f>
        <v>0</v>
      </c>
      <c r="M107" s="6">
        <f>NAV!T148</f>
        <v>0</v>
      </c>
      <c r="N107" s="6" t="str">
        <f>NAV!U148</f>
        <v>한국 원화(KRW)</v>
      </c>
      <c r="O107" s="6">
        <f>NAV!V148</f>
        <v>1</v>
      </c>
      <c r="P107" s="6">
        <f>NAV!W148</f>
        <v>0</v>
      </c>
      <c r="Q107" s="6">
        <f>NAV!X148</f>
        <v>0</v>
      </c>
      <c r="R107" s="6">
        <f>NAV!Y148</f>
        <v>0</v>
      </c>
      <c r="S107" s="6">
        <f>NAV!Z148</f>
        <v>0</v>
      </c>
      <c r="T107" s="6">
        <f>NAV!AA148</f>
        <v>0</v>
      </c>
      <c r="U107" s="10">
        <f>NAV!AB148</f>
        <v>0</v>
      </c>
      <c r="V107" s="6" t="str">
        <f>NAV!AC148</f>
        <v>2년이상</v>
      </c>
    </row>
    <row r="108" spans="1:22">
      <c r="A108" s="7">
        <f t="shared" si="1"/>
        <v>107</v>
      </c>
      <c r="B108" s="7">
        <f>TYPE(종목정보tbl!$C108)</f>
        <v>1</v>
      </c>
      <c r="C108" s="6">
        <f>NAV!J149</f>
        <v>0</v>
      </c>
      <c r="D108" s="6">
        <f>NAV!K149</f>
        <v>0</v>
      </c>
      <c r="E108" s="6">
        <f>NAV!L149</f>
        <v>0</v>
      </c>
      <c r="F108" s="6">
        <f>NAV!M149</f>
        <v>0</v>
      </c>
      <c r="G108" s="6">
        <f>NAV!N149</f>
        <v>0</v>
      </c>
      <c r="H108" s="6">
        <f>NAV!O149</f>
        <v>0</v>
      </c>
      <c r="I108" s="6">
        <f>NAV!P149</f>
        <v>0</v>
      </c>
      <c r="J108" s="6">
        <f>NAV!Q149</f>
        <v>0</v>
      </c>
      <c r="K108" s="9">
        <f>NAV!R149</f>
        <v>0</v>
      </c>
      <c r="L108" s="6">
        <f>NAV!S149</f>
        <v>0</v>
      </c>
      <c r="M108" s="6">
        <f>NAV!T149</f>
        <v>0</v>
      </c>
      <c r="N108" s="6" t="str">
        <f>NAV!U149</f>
        <v>한국 원화(KRW)</v>
      </c>
      <c r="O108" s="6">
        <f>NAV!V149</f>
        <v>1</v>
      </c>
      <c r="P108" s="6">
        <f>NAV!W149</f>
        <v>0</v>
      </c>
      <c r="Q108" s="6">
        <f>NAV!X149</f>
        <v>0</v>
      </c>
      <c r="R108" s="6">
        <f>NAV!Y149</f>
        <v>0</v>
      </c>
      <c r="S108" s="6">
        <f>NAV!Z149</f>
        <v>0</v>
      </c>
      <c r="T108" s="6">
        <f>NAV!AA149</f>
        <v>0</v>
      </c>
      <c r="U108" s="10">
        <f>NAV!AB149</f>
        <v>0</v>
      </c>
      <c r="V108" s="6" t="str">
        <f>NAV!AC149</f>
        <v>2년이상</v>
      </c>
    </row>
    <row r="109" spans="1:22">
      <c r="A109" s="7">
        <f t="shared" si="1"/>
        <v>108</v>
      </c>
      <c r="B109" s="7">
        <f>TYPE(종목정보tbl!$C109)</f>
        <v>1</v>
      </c>
      <c r="C109" s="6">
        <f>NAV!J150</f>
        <v>0</v>
      </c>
      <c r="D109" s="6">
        <f>NAV!K150</f>
        <v>0</v>
      </c>
      <c r="E109" s="6">
        <f>NAV!L150</f>
        <v>0</v>
      </c>
      <c r="F109" s="6">
        <f>NAV!M150</f>
        <v>0</v>
      </c>
      <c r="G109" s="6">
        <f>NAV!N150</f>
        <v>0</v>
      </c>
      <c r="H109" s="6">
        <f>NAV!O150</f>
        <v>0</v>
      </c>
      <c r="I109" s="6">
        <f>NAV!P150</f>
        <v>0</v>
      </c>
      <c r="J109" s="6">
        <f>NAV!Q150</f>
        <v>0</v>
      </c>
      <c r="K109" s="9">
        <f>NAV!R150</f>
        <v>0</v>
      </c>
      <c r="L109" s="6">
        <f>NAV!S150</f>
        <v>0</v>
      </c>
      <c r="M109" s="6">
        <f>NAV!T150</f>
        <v>0</v>
      </c>
      <c r="N109" s="6" t="str">
        <f>NAV!U150</f>
        <v>한국 원화(KRW)</v>
      </c>
      <c r="O109" s="6">
        <f>NAV!V150</f>
        <v>1</v>
      </c>
      <c r="P109" s="6">
        <f>NAV!W150</f>
        <v>0</v>
      </c>
      <c r="Q109" s="6">
        <f>NAV!X150</f>
        <v>0</v>
      </c>
      <c r="R109" s="6">
        <f>NAV!Y150</f>
        <v>0</v>
      </c>
      <c r="S109" s="6">
        <f>NAV!Z150</f>
        <v>0</v>
      </c>
      <c r="T109" s="6">
        <f>NAV!AA150</f>
        <v>0</v>
      </c>
      <c r="U109" s="10">
        <f>NAV!AB150</f>
        <v>0</v>
      </c>
      <c r="V109" s="6" t="str">
        <f>NAV!AC150</f>
        <v>2년이상</v>
      </c>
    </row>
    <row r="110" spans="1:22">
      <c r="A110" s="7">
        <f t="shared" si="1"/>
        <v>109</v>
      </c>
      <c r="B110" s="7">
        <f>TYPE(종목정보tbl!$C110)</f>
        <v>1</v>
      </c>
      <c r="C110" s="6">
        <f>NAV!J151</f>
        <v>0</v>
      </c>
      <c r="D110" s="6">
        <f>NAV!K151</f>
        <v>0</v>
      </c>
      <c r="E110" s="6">
        <f>NAV!L151</f>
        <v>0</v>
      </c>
      <c r="F110" s="6">
        <f>NAV!M151</f>
        <v>0</v>
      </c>
      <c r="G110" s="6">
        <f>NAV!N151</f>
        <v>0</v>
      </c>
      <c r="H110" s="6">
        <f>NAV!O151</f>
        <v>0</v>
      </c>
      <c r="I110" s="6">
        <f>NAV!P151</f>
        <v>0</v>
      </c>
      <c r="J110" s="6">
        <f>NAV!Q151</f>
        <v>0</v>
      </c>
      <c r="K110" s="9">
        <f>NAV!R151</f>
        <v>0</v>
      </c>
      <c r="L110" s="6">
        <f>NAV!S151</f>
        <v>0</v>
      </c>
      <c r="M110" s="6">
        <f>NAV!T151</f>
        <v>0</v>
      </c>
      <c r="N110" s="6" t="str">
        <f>NAV!U151</f>
        <v>한국 원화(KRW)</v>
      </c>
      <c r="O110" s="6">
        <f>NAV!V151</f>
        <v>1</v>
      </c>
      <c r="P110" s="6">
        <f>NAV!W151</f>
        <v>0</v>
      </c>
      <c r="Q110" s="6">
        <f>NAV!X151</f>
        <v>0</v>
      </c>
      <c r="R110" s="6">
        <f>NAV!Y151</f>
        <v>0</v>
      </c>
      <c r="S110" s="6">
        <f>NAV!Z151</f>
        <v>0</v>
      </c>
      <c r="T110" s="6">
        <f>NAV!AA151</f>
        <v>0</v>
      </c>
      <c r="U110" s="10">
        <f>NAV!AB151</f>
        <v>0</v>
      </c>
      <c r="V110" s="6" t="str">
        <f>NAV!AC151</f>
        <v>2년이상</v>
      </c>
    </row>
    <row r="111" spans="1:22">
      <c r="A111" s="7">
        <f t="shared" si="1"/>
        <v>110</v>
      </c>
      <c r="B111" s="7">
        <f>TYPE(종목정보tbl!$C111)</f>
        <v>1</v>
      </c>
      <c r="C111" s="6">
        <f>NAV!J152</f>
        <v>0</v>
      </c>
      <c r="D111" s="6">
        <f>NAV!K152</f>
        <v>0</v>
      </c>
      <c r="E111" s="6">
        <f>NAV!L152</f>
        <v>0</v>
      </c>
      <c r="F111" s="6">
        <f>NAV!M152</f>
        <v>0</v>
      </c>
      <c r="G111" s="6">
        <f>NAV!N152</f>
        <v>0</v>
      </c>
      <c r="H111" s="6">
        <f>NAV!O152</f>
        <v>0</v>
      </c>
      <c r="I111" s="6">
        <f>NAV!P152</f>
        <v>0</v>
      </c>
      <c r="J111" s="6">
        <f>NAV!Q152</f>
        <v>0</v>
      </c>
      <c r="K111" s="9">
        <f>NAV!R152</f>
        <v>0</v>
      </c>
      <c r="L111" s="6">
        <f>NAV!S152</f>
        <v>0</v>
      </c>
      <c r="M111" s="6">
        <f>NAV!T152</f>
        <v>0</v>
      </c>
      <c r="N111" s="6" t="str">
        <f>NAV!U152</f>
        <v>한국 원화(KRW)</v>
      </c>
      <c r="O111" s="6">
        <f>NAV!V152</f>
        <v>1</v>
      </c>
      <c r="P111" s="6">
        <f>NAV!W152</f>
        <v>0</v>
      </c>
      <c r="Q111" s="6">
        <f>NAV!X152</f>
        <v>0</v>
      </c>
      <c r="R111" s="6">
        <f>NAV!Y152</f>
        <v>0</v>
      </c>
      <c r="S111" s="6">
        <f>NAV!Z152</f>
        <v>0</v>
      </c>
      <c r="T111" s="6">
        <f>NAV!AA152</f>
        <v>0</v>
      </c>
      <c r="U111" s="10">
        <f>NAV!AB152</f>
        <v>0</v>
      </c>
      <c r="V111" s="6" t="str">
        <f>NAV!AC152</f>
        <v>2년이상</v>
      </c>
    </row>
    <row r="112" spans="1:22">
      <c r="A112" s="7">
        <f t="shared" si="1"/>
        <v>111</v>
      </c>
      <c r="B112" s="7">
        <f>TYPE(종목정보tbl!$C112)</f>
        <v>1</v>
      </c>
      <c r="C112" s="6">
        <f>NAV!J153</f>
        <v>0</v>
      </c>
      <c r="D112" s="6">
        <f>NAV!K153</f>
        <v>0</v>
      </c>
      <c r="E112" s="6">
        <f>NAV!L153</f>
        <v>0</v>
      </c>
      <c r="F112" s="6">
        <f>NAV!M153</f>
        <v>0</v>
      </c>
      <c r="G112" s="6">
        <f>NAV!N153</f>
        <v>0</v>
      </c>
      <c r="H112" s="6">
        <f>NAV!O153</f>
        <v>0</v>
      </c>
      <c r="I112" s="6">
        <f>NAV!P153</f>
        <v>0</v>
      </c>
      <c r="J112" s="6">
        <f>NAV!Q153</f>
        <v>0</v>
      </c>
      <c r="K112" s="9">
        <f>NAV!R153</f>
        <v>0</v>
      </c>
      <c r="L112" s="6">
        <f>NAV!S153</f>
        <v>0</v>
      </c>
      <c r="M112" s="6">
        <f>NAV!T153</f>
        <v>0</v>
      </c>
      <c r="N112" s="6" t="str">
        <f>NAV!U153</f>
        <v>한국 원화(KRW)</v>
      </c>
      <c r="O112" s="6">
        <f>NAV!V153</f>
        <v>1</v>
      </c>
      <c r="P112" s="6">
        <f>NAV!W153</f>
        <v>0</v>
      </c>
      <c r="Q112" s="6">
        <f>NAV!X153</f>
        <v>0</v>
      </c>
      <c r="R112" s="6">
        <f>NAV!Y153</f>
        <v>0</v>
      </c>
      <c r="S112" s="6">
        <f>NAV!Z153</f>
        <v>0</v>
      </c>
      <c r="T112" s="6">
        <f>NAV!AA153</f>
        <v>0</v>
      </c>
      <c r="U112" s="10">
        <f>NAV!AB153</f>
        <v>0</v>
      </c>
      <c r="V112" s="6" t="str">
        <f>NAV!AC153</f>
        <v>2년이상</v>
      </c>
    </row>
    <row r="113" spans="1:22">
      <c r="A113" s="7">
        <f t="shared" si="1"/>
        <v>112</v>
      </c>
      <c r="B113" s="7">
        <f>TYPE(종목정보tbl!$C113)</f>
        <v>1</v>
      </c>
      <c r="C113" s="6">
        <f>NAV!J154</f>
        <v>0</v>
      </c>
      <c r="D113" s="6">
        <f>NAV!K154</f>
        <v>0</v>
      </c>
      <c r="E113" s="6">
        <f>NAV!L154</f>
        <v>0</v>
      </c>
      <c r="F113" s="6">
        <f>NAV!M154</f>
        <v>0</v>
      </c>
      <c r="G113" s="6">
        <f>NAV!N154</f>
        <v>0</v>
      </c>
      <c r="H113" s="6">
        <f>NAV!O154</f>
        <v>0</v>
      </c>
      <c r="I113" s="6">
        <f>NAV!P154</f>
        <v>0</v>
      </c>
      <c r="J113" s="6">
        <f>NAV!Q154</f>
        <v>0</v>
      </c>
      <c r="K113" s="9">
        <f>NAV!R154</f>
        <v>0</v>
      </c>
      <c r="L113" s="6">
        <f>NAV!S154</f>
        <v>0</v>
      </c>
      <c r="M113" s="6">
        <f>NAV!T154</f>
        <v>0</v>
      </c>
      <c r="N113" s="6" t="str">
        <f>NAV!U154</f>
        <v>한국 원화(KRW)</v>
      </c>
      <c r="O113" s="6">
        <f>NAV!V154</f>
        <v>1</v>
      </c>
      <c r="P113" s="6">
        <f>NAV!W154</f>
        <v>0</v>
      </c>
      <c r="Q113" s="6">
        <f>NAV!X154</f>
        <v>0</v>
      </c>
      <c r="R113" s="6">
        <f>NAV!Y154</f>
        <v>0</v>
      </c>
      <c r="S113" s="6">
        <f>NAV!Z154</f>
        <v>0</v>
      </c>
      <c r="T113" s="6">
        <f>NAV!AA154</f>
        <v>0</v>
      </c>
      <c r="U113" s="10">
        <f>NAV!AB154</f>
        <v>0</v>
      </c>
      <c r="V113" s="6" t="str">
        <f>NAV!AC154</f>
        <v>2년이상</v>
      </c>
    </row>
    <row r="114" spans="1:22">
      <c r="A114" s="7">
        <f t="shared" si="1"/>
        <v>113</v>
      </c>
      <c r="B114" s="7">
        <f>TYPE(종목정보tbl!$C114)</f>
        <v>1</v>
      </c>
      <c r="C114" s="6">
        <f>NAV!J155</f>
        <v>0</v>
      </c>
      <c r="D114" s="6">
        <f>NAV!K155</f>
        <v>0</v>
      </c>
      <c r="E114" s="6">
        <f>NAV!L155</f>
        <v>0</v>
      </c>
      <c r="F114" s="6">
        <f>NAV!M155</f>
        <v>0</v>
      </c>
      <c r="G114" s="6">
        <f>NAV!N155</f>
        <v>0</v>
      </c>
      <c r="H114" s="6">
        <f>NAV!O155</f>
        <v>0</v>
      </c>
      <c r="I114" s="6">
        <f>NAV!P155</f>
        <v>0</v>
      </c>
      <c r="J114" s="6">
        <f>NAV!Q155</f>
        <v>0</v>
      </c>
      <c r="K114" s="9">
        <f>NAV!R155</f>
        <v>0</v>
      </c>
      <c r="L114" s="6">
        <f>NAV!S155</f>
        <v>0</v>
      </c>
      <c r="M114" s="6">
        <f>NAV!T155</f>
        <v>0</v>
      </c>
      <c r="N114" s="6" t="str">
        <f>NAV!U155</f>
        <v>한국 원화(KRW)</v>
      </c>
      <c r="O114" s="6">
        <f>NAV!V155</f>
        <v>1</v>
      </c>
      <c r="P114" s="6">
        <f>NAV!W155</f>
        <v>0</v>
      </c>
      <c r="Q114" s="6">
        <f>NAV!X155</f>
        <v>0</v>
      </c>
      <c r="R114" s="6">
        <f>NAV!Y155</f>
        <v>0</v>
      </c>
      <c r="S114" s="6">
        <f>NAV!Z155</f>
        <v>0</v>
      </c>
      <c r="T114" s="6">
        <f>NAV!AA155</f>
        <v>0</v>
      </c>
      <c r="U114" s="10">
        <f>NAV!AB155</f>
        <v>0</v>
      </c>
      <c r="V114" s="6" t="str">
        <f>NAV!AC155</f>
        <v>2년이상</v>
      </c>
    </row>
    <row r="115" spans="1:22">
      <c r="A115" s="7">
        <f t="shared" si="1"/>
        <v>114</v>
      </c>
      <c r="B115" s="7">
        <f>TYPE(종목정보tbl!$C115)</f>
        <v>1</v>
      </c>
      <c r="C115" s="6">
        <f>NAV!J156</f>
        <v>0</v>
      </c>
      <c r="D115" s="6">
        <f>NAV!K156</f>
        <v>0</v>
      </c>
      <c r="E115" s="6">
        <f>NAV!L156</f>
        <v>0</v>
      </c>
      <c r="F115" s="6">
        <f>NAV!M156</f>
        <v>0</v>
      </c>
      <c r="G115" s="6">
        <f>NAV!N156</f>
        <v>0</v>
      </c>
      <c r="H115" s="6">
        <f>NAV!O156</f>
        <v>0</v>
      </c>
      <c r="I115" s="6">
        <f>NAV!P156</f>
        <v>0</v>
      </c>
      <c r="J115" s="6">
        <f>NAV!Q156</f>
        <v>0</v>
      </c>
      <c r="K115" s="9">
        <f>NAV!R156</f>
        <v>0</v>
      </c>
      <c r="L115" s="6">
        <f>NAV!S156</f>
        <v>0</v>
      </c>
      <c r="M115" s="6">
        <f>NAV!T156</f>
        <v>0</v>
      </c>
      <c r="N115" s="6" t="str">
        <f>NAV!U156</f>
        <v>한국 원화(KRW)</v>
      </c>
      <c r="O115" s="6">
        <f>NAV!V156</f>
        <v>1</v>
      </c>
      <c r="P115" s="6">
        <f>NAV!W156</f>
        <v>0</v>
      </c>
      <c r="Q115" s="6">
        <f>NAV!X156</f>
        <v>0</v>
      </c>
      <c r="R115" s="6">
        <f>NAV!Y156</f>
        <v>0</v>
      </c>
      <c r="S115" s="6">
        <f>NAV!Z156</f>
        <v>0</v>
      </c>
      <c r="T115" s="6">
        <f>NAV!AA156</f>
        <v>0</v>
      </c>
      <c r="U115" s="10">
        <f>NAV!AB156</f>
        <v>0</v>
      </c>
      <c r="V115" s="6" t="str">
        <f>NAV!AC156</f>
        <v>2년이상</v>
      </c>
    </row>
    <row r="116" spans="1:22">
      <c r="A116" s="7">
        <f t="shared" si="1"/>
        <v>115</v>
      </c>
      <c r="B116" s="7">
        <f>TYPE(종목정보tbl!$C116)</f>
        <v>1</v>
      </c>
      <c r="C116" s="6">
        <f>NAV!J157</f>
        <v>0</v>
      </c>
      <c r="D116" s="6">
        <f>NAV!K157</f>
        <v>0</v>
      </c>
      <c r="E116" s="6">
        <f>NAV!L157</f>
        <v>0</v>
      </c>
      <c r="F116" s="6">
        <f>NAV!M157</f>
        <v>0</v>
      </c>
      <c r="G116" s="6">
        <f>NAV!N157</f>
        <v>0</v>
      </c>
      <c r="H116" s="6">
        <f>NAV!O157</f>
        <v>0</v>
      </c>
      <c r="I116" s="6">
        <f>NAV!P157</f>
        <v>0</v>
      </c>
      <c r="J116" s="6">
        <f>NAV!Q157</f>
        <v>0</v>
      </c>
      <c r="K116" s="9">
        <f>NAV!R157</f>
        <v>0</v>
      </c>
      <c r="L116" s="6">
        <f>NAV!S157</f>
        <v>0</v>
      </c>
      <c r="M116" s="6">
        <f>NAV!T157</f>
        <v>0</v>
      </c>
      <c r="N116" s="6" t="str">
        <f>NAV!U157</f>
        <v>한국 원화(KRW)</v>
      </c>
      <c r="O116" s="6">
        <f>NAV!V157</f>
        <v>1</v>
      </c>
      <c r="P116" s="6">
        <f>NAV!W157</f>
        <v>0</v>
      </c>
      <c r="Q116" s="6">
        <f>NAV!X157</f>
        <v>0</v>
      </c>
      <c r="R116" s="6">
        <f>NAV!Y157</f>
        <v>0</v>
      </c>
      <c r="S116" s="6">
        <f>NAV!Z157</f>
        <v>0</v>
      </c>
      <c r="T116" s="6">
        <f>NAV!AA157</f>
        <v>0</v>
      </c>
      <c r="U116" s="10">
        <f>NAV!AB157</f>
        <v>0</v>
      </c>
      <c r="V116" s="6" t="str">
        <f>NAV!AC157</f>
        <v>2년이상</v>
      </c>
    </row>
    <row r="117" spans="1:22">
      <c r="A117" s="7">
        <f t="shared" si="1"/>
        <v>116</v>
      </c>
      <c r="B117" s="7">
        <f>TYPE(종목정보tbl!$C117)</f>
        <v>1</v>
      </c>
      <c r="C117" s="6">
        <f>NAV!J158</f>
        <v>0</v>
      </c>
      <c r="D117" s="6">
        <f>NAV!K158</f>
        <v>0</v>
      </c>
      <c r="E117" s="6">
        <f>NAV!L158</f>
        <v>0</v>
      </c>
      <c r="F117" s="6">
        <f>NAV!M158</f>
        <v>0</v>
      </c>
      <c r="G117" s="6">
        <f>NAV!N158</f>
        <v>0</v>
      </c>
      <c r="H117" s="6">
        <f>NAV!O158</f>
        <v>0</v>
      </c>
      <c r="I117" s="6">
        <f>NAV!P158</f>
        <v>0</v>
      </c>
      <c r="J117" s="6">
        <f>NAV!Q158</f>
        <v>0</v>
      </c>
      <c r="K117" s="9">
        <f>NAV!R158</f>
        <v>0</v>
      </c>
      <c r="L117" s="6">
        <f>NAV!S158</f>
        <v>0</v>
      </c>
      <c r="M117" s="6">
        <f>NAV!T158</f>
        <v>0</v>
      </c>
      <c r="N117" s="6" t="str">
        <f>NAV!U158</f>
        <v>한국 원화(KRW)</v>
      </c>
      <c r="O117" s="6">
        <f>NAV!V158</f>
        <v>1</v>
      </c>
      <c r="P117" s="6">
        <f>NAV!W158</f>
        <v>0</v>
      </c>
      <c r="Q117" s="6">
        <f>NAV!X158</f>
        <v>0</v>
      </c>
      <c r="R117" s="6">
        <f>NAV!Y158</f>
        <v>0</v>
      </c>
      <c r="S117" s="6">
        <f>NAV!Z158</f>
        <v>0</v>
      </c>
      <c r="T117" s="6">
        <f>NAV!AA158</f>
        <v>0</v>
      </c>
      <c r="U117" s="10">
        <f>NAV!AB158</f>
        <v>0</v>
      </c>
      <c r="V117" s="6" t="str">
        <f>NAV!AC158</f>
        <v>2년이상</v>
      </c>
    </row>
    <row r="118" spans="1:22">
      <c r="A118" s="7">
        <f t="shared" si="1"/>
        <v>117</v>
      </c>
      <c r="B118" s="7">
        <f>TYPE(종목정보tbl!$C118)</f>
        <v>1</v>
      </c>
      <c r="C118" s="6">
        <f>NAV!J159</f>
        <v>0</v>
      </c>
      <c r="D118" s="6">
        <f>NAV!K159</f>
        <v>0</v>
      </c>
      <c r="E118" s="6">
        <f>NAV!L159</f>
        <v>0</v>
      </c>
      <c r="F118" s="6">
        <f>NAV!M159</f>
        <v>0</v>
      </c>
      <c r="G118" s="6">
        <f>NAV!N159</f>
        <v>0</v>
      </c>
      <c r="H118" s="6">
        <f>NAV!O159</f>
        <v>0</v>
      </c>
      <c r="I118" s="6">
        <f>NAV!P159</f>
        <v>0</v>
      </c>
      <c r="J118" s="6">
        <f>NAV!Q159</f>
        <v>0</v>
      </c>
      <c r="K118" s="9">
        <f>NAV!R159</f>
        <v>0</v>
      </c>
      <c r="L118" s="6">
        <f>NAV!S159</f>
        <v>0</v>
      </c>
      <c r="M118" s="6">
        <f>NAV!T159</f>
        <v>0</v>
      </c>
      <c r="N118" s="6" t="str">
        <f>NAV!U159</f>
        <v>한국 원화(KRW)</v>
      </c>
      <c r="O118" s="6">
        <f>NAV!V159</f>
        <v>1</v>
      </c>
      <c r="P118" s="6">
        <f>NAV!W159</f>
        <v>0</v>
      </c>
      <c r="Q118" s="6">
        <f>NAV!X159</f>
        <v>0</v>
      </c>
      <c r="R118" s="6">
        <f>NAV!Y159</f>
        <v>0</v>
      </c>
      <c r="S118" s="6">
        <f>NAV!Z159</f>
        <v>0</v>
      </c>
      <c r="T118" s="6">
        <f>NAV!AA159</f>
        <v>0</v>
      </c>
      <c r="U118" s="10">
        <f>NAV!AB159</f>
        <v>0</v>
      </c>
      <c r="V118" s="6" t="str">
        <f>NAV!AC159</f>
        <v>2년이상</v>
      </c>
    </row>
    <row r="119" spans="1:22">
      <c r="A119" s="7">
        <f t="shared" si="1"/>
        <v>118</v>
      </c>
      <c r="B119" s="7">
        <f>TYPE(종목정보tbl!$C119)</f>
        <v>1</v>
      </c>
      <c r="C119" s="6">
        <f>NAV!J160</f>
        <v>0</v>
      </c>
      <c r="D119" s="6">
        <f>NAV!K160</f>
        <v>0</v>
      </c>
      <c r="E119" s="6">
        <f>NAV!L160</f>
        <v>0</v>
      </c>
      <c r="F119" s="6">
        <f>NAV!M160</f>
        <v>0</v>
      </c>
      <c r="G119" s="6">
        <f>NAV!N160</f>
        <v>0</v>
      </c>
      <c r="H119" s="6">
        <f>NAV!O160</f>
        <v>0</v>
      </c>
      <c r="I119" s="6">
        <f>NAV!P160</f>
        <v>0</v>
      </c>
      <c r="J119" s="6">
        <f>NAV!Q160</f>
        <v>0</v>
      </c>
      <c r="K119" s="9">
        <f>NAV!R160</f>
        <v>0</v>
      </c>
      <c r="L119" s="6">
        <f>NAV!S160</f>
        <v>0</v>
      </c>
      <c r="M119" s="6">
        <f>NAV!T160</f>
        <v>0</v>
      </c>
      <c r="N119" s="6" t="str">
        <f>NAV!U160</f>
        <v>한국 원화(KRW)</v>
      </c>
      <c r="O119" s="6">
        <f>NAV!V160</f>
        <v>1</v>
      </c>
      <c r="P119" s="6">
        <f>NAV!W160</f>
        <v>0</v>
      </c>
      <c r="Q119" s="6">
        <f>NAV!X160</f>
        <v>0</v>
      </c>
      <c r="R119" s="6">
        <f>NAV!Y160</f>
        <v>0</v>
      </c>
      <c r="S119" s="6">
        <f>NAV!Z160</f>
        <v>0</v>
      </c>
      <c r="T119" s="6">
        <f>NAV!AA160</f>
        <v>0</v>
      </c>
      <c r="U119" s="10">
        <f>NAV!AB160</f>
        <v>0</v>
      </c>
      <c r="V119" s="6" t="str">
        <f>NAV!AC160</f>
        <v>2년이상</v>
      </c>
    </row>
    <row r="120" spans="1:22">
      <c r="A120" s="7">
        <f t="shared" si="1"/>
        <v>119</v>
      </c>
      <c r="B120" s="7">
        <f>TYPE(종목정보tbl!$C120)</f>
        <v>1</v>
      </c>
      <c r="C120" s="6">
        <f>NAV!J161</f>
        <v>0</v>
      </c>
      <c r="D120" s="6">
        <f>NAV!K161</f>
        <v>0</v>
      </c>
      <c r="E120" s="6">
        <f>NAV!L161</f>
        <v>0</v>
      </c>
      <c r="F120" s="6">
        <f>NAV!M161</f>
        <v>0</v>
      </c>
      <c r="G120" s="6">
        <f>NAV!N161</f>
        <v>0</v>
      </c>
      <c r="H120" s="6">
        <f>NAV!O161</f>
        <v>0</v>
      </c>
      <c r="I120" s="6">
        <f>NAV!P161</f>
        <v>0</v>
      </c>
      <c r="J120" s="6">
        <f>NAV!Q161</f>
        <v>0</v>
      </c>
      <c r="K120" s="9">
        <f>NAV!R161</f>
        <v>0</v>
      </c>
      <c r="L120" s="6">
        <f>NAV!S161</f>
        <v>0</v>
      </c>
      <c r="M120" s="6">
        <f>NAV!T161</f>
        <v>0</v>
      </c>
      <c r="N120" s="6" t="str">
        <f>NAV!U161</f>
        <v>한국 원화(KRW)</v>
      </c>
      <c r="O120" s="6">
        <f>NAV!V161</f>
        <v>1</v>
      </c>
      <c r="P120" s="6">
        <f>NAV!W161</f>
        <v>0</v>
      </c>
      <c r="Q120" s="6">
        <f>NAV!X161</f>
        <v>0</v>
      </c>
      <c r="R120" s="6">
        <f>NAV!Y161</f>
        <v>0</v>
      </c>
      <c r="S120" s="6">
        <f>NAV!Z161</f>
        <v>0</v>
      </c>
      <c r="T120" s="6">
        <f>NAV!AA161</f>
        <v>0</v>
      </c>
      <c r="U120" s="10">
        <f>NAV!AB161</f>
        <v>0</v>
      </c>
      <c r="V120" s="6" t="str">
        <f>NAV!AC161</f>
        <v>2년이상</v>
      </c>
    </row>
    <row r="121" spans="1:22">
      <c r="A121" s="7">
        <f t="shared" si="1"/>
        <v>120</v>
      </c>
      <c r="B121" s="7">
        <f>TYPE(종목정보tbl!$C121)</f>
        <v>1</v>
      </c>
      <c r="C121" s="6">
        <f>NAV!J162</f>
        <v>0</v>
      </c>
      <c r="D121" s="6">
        <f>NAV!K162</f>
        <v>0</v>
      </c>
      <c r="E121" s="6">
        <f>NAV!L162</f>
        <v>0</v>
      </c>
      <c r="F121" s="6">
        <f>NAV!M162</f>
        <v>0</v>
      </c>
      <c r="G121" s="6">
        <f>NAV!N162</f>
        <v>0</v>
      </c>
      <c r="H121" s="6">
        <f>NAV!O162</f>
        <v>0</v>
      </c>
      <c r="I121" s="6">
        <f>NAV!P162</f>
        <v>0</v>
      </c>
      <c r="J121" s="6">
        <f>NAV!Q162</f>
        <v>0</v>
      </c>
      <c r="K121" s="9">
        <f>NAV!R162</f>
        <v>0</v>
      </c>
      <c r="L121" s="6">
        <f>NAV!S162</f>
        <v>0</v>
      </c>
      <c r="M121" s="6">
        <f>NAV!T162</f>
        <v>0</v>
      </c>
      <c r="N121" s="6" t="str">
        <f>NAV!U162</f>
        <v>한국 원화(KRW)</v>
      </c>
      <c r="O121" s="6">
        <f>NAV!V162</f>
        <v>1</v>
      </c>
      <c r="P121" s="6">
        <f>NAV!W162</f>
        <v>0</v>
      </c>
      <c r="Q121" s="6">
        <f>NAV!X162</f>
        <v>0</v>
      </c>
      <c r="R121" s="6">
        <f>NAV!Y162</f>
        <v>0</v>
      </c>
      <c r="S121" s="6">
        <f>NAV!Z162</f>
        <v>0</v>
      </c>
      <c r="T121" s="6">
        <f>NAV!AA162</f>
        <v>0</v>
      </c>
      <c r="U121" s="10">
        <f>NAV!AB162</f>
        <v>0</v>
      </c>
      <c r="V121" s="6" t="str">
        <f>NAV!AC162</f>
        <v>2년이상</v>
      </c>
    </row>
    <row r="122" spans="1:22">
      <c r="A122" s="7">
        <f t="shared" si="1"/>
        <v>121</v>
      </c>
      <c r="B122" s="7">
        <f>TYPE(종목정보tbl!$C122)</f>
        <v>1</v>
      </c>
      <c r="C122" s="6">
        <f>NAV!J163</f>
        <v>0</v>
      </c>
      <c r="D122" s="6">
        <f>NAV!K163</f>
        <v>0</v>
      </c>
      <c r="E122" s="6">
        <f>NAV!L163</f>
        <v>0</v>
      </c>
      <c r="F122" s="6">
        <f>NAV!M163</f>
        <v>0</v>
      </c>
      <c r="G122" s="6">
        <f>NAV!N163</f>
        <v>0</v>
      </c>
      <c r="H122" s="6">
        <f>NAV!O163</f>
        <v>0</v>
      </c>
      <c r="I122" s="6">
        <f>NAV!P163</f>
        <v>0</v>
      </c>
      <c r="J122" s="6">
        <f>NAV!Q163</f>
        <v>0</v>
      </c>
      <c r="K122" s="9">
        <f>NAV!R163</f>
        <v>0</v>
      </c>
      <c r="L122" s="6">
        <f>NAV!S163</f>
        <v>0</v>
      </c>
      <c r="M122" s="6">
        <f>NAV!T163</f>
        <v>0</v>
      </c>
      <c r="N122" s="6" t="str">
        <f>NAV!U163</f>
        <v>한국 원화(KRW)</v>
      </c>
      <c r="O122" s="6">
        <f>NAV!V163</f>
        <v>1</v>
      </c>
      <c r="P122" s="6">
        <f>NAV!W163</f>
        <v>0</v>
      </c>
      <c r="Q122" s="6">
        <f>NAV!X163</f>
        <v>0</v>
      </c>
      <c r="R122" s="6">
        <f>NAV!Y163</f>
        <v>0</v>
      </c>
      <c r="S122" s="6">
        <f>NAV!Z163</f>
        <v>0</v>
      </c>
      <c r="T122" s="6">
        <f>NAV!AA163</f>
        <v>0</v>
      </c>
      <c r="U122" s="10">
        <f>NAV!AB163</f>
        <v>0</v>
      </c>
      <c r="V122" s="6" t="str">
        <f>NAV!AC163</f>
        <v>2년이상</v>
      </c>
    </row>
    <row r="123" spans="1:22">
      <c r="A123" s="7">
        <f t="shared" si="1"/>
        <v>122</v>
      </c>
      <c r="B123" s="7">
        <f>TYPE(종목정보tbl!$C123)</f>
        <v>1</v>
      </c>
      <c r="C123" s="6">
        <f>NAV!J164</f>
        <v>0</v>
      </c>
      <c r="D123" s="6">
        <f>NAV!K164</f>
        <v>0</v>
      </c>
      <c r="E123" s="6">
        <f>NAV!L164</f>
        <v>0</v>
      </c>
      <c r="F123" s="6">
        <f>NAV!M164</f>
        <v>0</v>
      </c>
      <c r="G123" s="6">
        <f>NAV!N164</f>
        <v>0</v>
      </c>
      <c r="H123" s="6">
        <f>NAV!O164</f>
        <v>0</v>
      </c>
      <c r="I123" s="6">
        <f>NAV!P164</f>
        <v>0</v>
      </c>
      <c r="J123" s="6">
        <f>NAV!Q164</f>
        <v>0</v>
      </c>
      <c r="K123" s="9">
        <f>NAV!R164</f>
        <v>0</v>
      </c>
      <c r="L123" s="6">
        <f>NAV!S164</f>
        <v>0</v>
      </c>
      <c r="M123" s="6">
        <f>NAV!T164</f>
        <v>0</v>
      </c>
      <c r="N123" s="6" t="str">
        <f>NAV!U164</f>
        <v>한국 원화(KRW)</v>
      </c>
      <c r="O123" s="6">
        <f>NAV!V164</f>
        <v>1</v>
      </c>
      <c r="P123" s="6">
        <f>NAV!W164</f>
        <v>0</v>
      </c>
      <c r="Q123" s="6">
        <f>NAV!X164</f>
        <v>0</v>
      </c>
      <c r="R123" s="6">
        <f>NAV!Y164</f>
        <v>0</v>
      </c>
      <c r="S123" s="6">
        <f>NAV!Z164</f>
        <v>0</v>
      </c>
      <c r="T123" s="6">
        <f>NAV!AA164</f>
        <v>0</v>
      </c>
      <c r="U123" s="10">
        <f>NAV!AB164</f>
        <v>0</v>
      </c>
      <c r="V123" s="6" t="str">
        <f>NAV!AC164</f>
        <v>2년이상</v>
      </c>
    </row>
    <row r="124" spans="1:22">
      <c r="A124" s="7">
        <f t="shared" si="1"/>
        <v>123</v>
      </c>
      <c r="B124" s="7">
        <f>TYPE(종목정보tbl!$C124)</f>
        <v>1</v>
      </c>
      <c r="C124" s="6">
        <f>NAV!J165</f>
        <v>0</v>
      </c>
      <c r="D124" s="6">
        <f>NAV!K165</f>
        <v>0</v>
      </c>
      <c r="E124" s="6">
        <f>NAV!L165</f>
        <v>0</v>
      </c>
      <c r="F124" s="6">
        <f>NAV!M165</f>
        <v>0</v>
      </c>
      <c r="G124" s="6">
        <f>NAV!N165</f>
        <v>0</v>
      </c>
      <c r="H124" s="6">
        <f>NAV!O165</f>
        <v>0</v>
      </c>
      <c r="I124" s="6">
        <f>NAV!P165</f>
        <v>0</v>
      </c>
      <c r="J124" s="6">
        <f>NAV!Q165</f>
        <v>0</v>
      </c>
      <c r="K124" s="9">
        <f>NAV!R165</f>
        <v>0</v>
      </c>
      <c r="L124" s="6">
        <f>NAV!S165</f>
        <v>0</v>
      </c>
      <c r="M124" s="6">
        <f>NAV!T165</f>
        <v>0</v>
      </c>
      <c r="N124" s="6" t="str">
        <f>NAV!U165</f>
        <v>한국 원화(KRW)</v>
      </c>
      <c r="O124" s="6">
        <f>NAV!V165</f>
        <v>1</v>
      </c>
      <c r="P124" s="6">
        <f>NAV!W165</f>
        <v>0</v>
      </c>
      <c r="Q124" s="6">
        <f>NAV!X165</f>
        <v>0</v>
      </c>
      <c r="R124" s="6">
        <f>NAV!Y165</f>
        <v>0</v>
      </c>
      <c r="S124" s="6">
        <f>NAV!Z165</f>
        <v>0</v>
      </c>
      <c r="T124" s="6">
        <f>NAV!AA165</f>
        <v>0</v>
      </c>
      <c r="U124" s="10">
        <f>NAV!AB165</f>
        <v>0</v>
      </c>
      <c r="V124" s="6" t="str">
        <f>NAV!AC165</f>
        <v>2년이상</v>
      </c>
    </row>
    <row r="125" spans="1:22">
      <c r="A125" s="7">
        <f t="shared" si="1"/>
        <v>124</v>
      </c>
      <c r="B125" s="7">
        <f>TYPE(종목정보tbl!$C125)</f>
        <v>1</v>
      </c>
      <c r="C125" s="6">
        <f>NAV!J166</f>
        <v>0</v>
      </c>
      <c r="D125" s="6">
        <f>NAV!K166</f>
        <v>0</v>
      </c>
      <c r="E125" s="6">
        <f>NAV!L166</f>
        <v>0</v>
      </c>
      <c r="F125" s="6">
        <f>NAV!M166</f>
        <v>0</v>
      </c>
      <c r="G125" s="6">
        <f>NAV!N166</f>
        <v>0</v>
      </c>
      <c r="H125" s="6">
        <f>NAV!O166</f>
        <v>0</v>
      </c>
      <c r="I125" s="6">
        <f>NAV!P166</f>
        <v>0</v>
      </c>
      <c r="J125" s="6">
        <f>NAV!Q166</f>
        <v>0</v>
      </c>
      <c r="K125" s="9">
        <f>NAV!R166</f>
        <v>0</v>
      </c>
      <c r="L125" s="6">
        <f>NAV!S166</f>
        <v>0</v>
      </c>
      <c r="M125" s="6">
        <f>NAV!T166</f>
        <v>0</v>
      </c>
      <c r="N125" s="6" t="str">
        <f>NAV!U166</f>
        <v>한국 원화(KRW)</v>
      </c>
      <c r="O125" s="6">
        <f>NAV!V166</f>
        <v>1</v>
      </c>
      <c r="P125" s="6">
        <f>NAV!W166</f>
        <v>0</v>
      </c>
      <c r="Q125" s="6">
        <f>NAV!X166</f>
        <v>0</v>
      </c>
      <c r="R125" s="6">
        <f>NAV!Y166</f>
        <v>0</v>
      </c>
      <c r="S125" s="6">
        <f>NAV!Z166</f>
        <v>0</v>
      </c>
      <c r="T125" s="6">
        <f>NAV!AA166</f>
        <v>0</v>
      </c>
      <c r="U125" s="10">
        <f>NAV!AB166</f>
        <v>0</v>
      </c>
      <c r="V125" s="6" t="str">
        <f>NAV!AC166</f>
        <v>2년이상</v>
      </c>
    </row>
    <row r="126" spans="1:22">
      <c r="A126" s="7">
        <f t="shared" si="1"/>
        <v>125</v>
      </c>
      <c r="B126" s="7">
        <f>TYPE(종목정보tbl!$C126)</f>
        <v>1</v>
      </c>
      <c r="C126" s="6">
        <f>NAV!J167</f>
        <v>0</v>
      </c>
      <c r="D126" s="6">
        <f>NAV!K167</f>
        <v>0</v>
      </c>
      <c r="E126" s="6">
        <f>NAV!L167</f>
        <v>0</v>
      </c>
      <c r="F126" s="6">
        <f>NAV!M167</f>
        <v>0</v>
      </c>
      <c r="G126" s="6">
        <f>NAV!N167</f>
        <v>0</v>
      </c>
      <c r="H126" s="6">
        <f>NAV!O167</f>
        <v>0</v>
      </c>
      <c r="I126" s="6">
        <f>NAV!P167</f>
        <v>0</v>
      </c>
      <c r="J126" s="6">
        <f>NAV!Q167</f>
        <v>0</v>
      </c>
      <c r="K126" s="9">
        <f>NAV!R167</f>
        <v>0</v>
      </c>
      <c r="L126" s="6">
        <f>NAV!S167</f>
        <v>0</v>
      </c>
      <c r="M126" s="6">
        <f>NAV!T167</f>
        <v>0</v>
      </c>
      <c r="N126" s="6" t="str">
        <f>NAV!U167</f>
        <v>한국 원화(KRW)</v>
      </c>
      <c r="O126" s="6">
        <f>NAV!V167</f>
        <v>1</v>
      </c>
      <c r="P126" s="6">
        <f>NAV!W167</f>
        <v>0</v>
      </c>
      <c r="Q126" s="6">
        <f>NAV!X167</f>
        <v>0</v>
      </c>
      <c r="R126" s="6">
        <f>NAV!Y167</f>
        <v>0</v>
      </c>
      <c r="S126" s="6">
        <f>NAV!Z167</f>
        <v>0</v>
      </c>
      <c r="T126" s="6">
        <f>NAV!AA167</f>
        <v>0</v>
      </c>
      <c r="U126" s="10">
        <f>NAV!AB167</f>
        <v>0</v>
      </c>
      <c r="V126" s="6" t="str">
        <f>NAV!AC167</f>
        <v>2년이상</v>
      </c>
    </row>
    <row r="127" spans="1:22">
      <c r="A127" s="7">
        <f t="shared" si="1"/>
        <v>126</v>
      </c>
      <c r="B127" s="7">
        <f>TYPE(종목정보tbl!$C127)</f>
        <v>1</v>
      </c>
      <c r="C127" s="6">
        <f>NAV!J168</f>
        <v>0</v>
      </c>
      <c r="D127" s="6">
        <f>NAV!K168</f>
        <v>0</v>
      </c>
      <c r="E127" s="6">
        <f>NAV!L168</f>
        <v>0</v>
      </c>
      <c r="F127" s="6">
        <f>NAV!M168</f>
        <v>0</v>
      </c>
      <c r="G127" s="6">
        <f>NAV!N168</f>
        <v>0</v>
      </c>
      <c r="H127" s="6">
        <f>NAV!O168</f>
        <v>0</v>
      </c>
      <c r="I127" s="6">
        <f>NAV!P168</f>
        <v>0</v>
      </c>
      <c r="J127" s="6">
        <f>NAV!Q168</f>
        <v>0</v>
      </c>
      <c r="K127" s="9">
        <f>NAV!R168</f>
        <v>0</v>
      </c>
      <c r="L127" s="6">
        <f>NAV!S168</f>
        <v>0</v>
      </c>
      <c r="M127" s="6">
        <f>NAV!T168</f>
        <v>0</v>
      </c>
      <c r="N127" s="6" t="str">
        <f>NAV!U168</f>
        <v>한국 원화(KRW)</v>
      </c>
      <c r="O127" s="6">
        <f>NAV!V168</f>
        <v>1</v>
      </c>
      <c r="P127" s="6">
        <f>NAV!W168</f>
        <v>0</v>
      </c>
      <c r="Q127" s="6">
        <f>NAV!X168</f>
        <v>0</v>
      </c>
      <c r="R127" s="6">
        <f>NAV!Y168</f>
        <v>0</v>
      </c>
      <c r="S127" s="6">
        <f>NAV!Z168</f>
        <v>0</v>
      </c>
      <c r="T127" s="6">
        <f>NAV!AA168</f>
        <v>0</v>
      </c>
      <c r="U127" s="10">
        <f>NAV!AB168</f>
        <v>0</v>
      </c>
      <c r="V127" s="6" t="str">
        <f>NAV!AC168</f>
        <v>2년이상</v>
      </c>
    </row>
    <row r="128" spans="1:22">
      <c r="A128" s="7">
        <f t="shared" si="1"/>
        <v>127</v>
      </c>
      <c r="B128" s="7">
        <f>TYPE(종목정보tbl!$C128)</f>
        <v>1</v>
      </c>
      <c r="C128" s="6">
        <f>NAV!J169</f>
        <v>0</v>
      </c>
      <c r="D128" s="6">
        <f>NAV!K169</f>
        <v>0</v>
      </c>
      <c r="E128" s="6">
        <f>NAV!L169</f>
        <v>0</v>
      </c>
      <c r="F128" s="6">
        <f>NAV!M169</f>
        <v>0</v>
      </c>
      <c r="G128" s="6">
        <f>NAV!N169</f>
        <v>0</v>
      </c>
      <c r="H128" s="6">
        <f>NAV!O169</f>
        <v>0</v>
      </c>
      <c r="I128" s="6">
        <f>NAV!P169</f>
        <v>0</v>
      </c>
      <c r="J128" s="6">
        <f>NAV!Q169</f>
        <v>0</v>
      </c>
      <c r="K128" s="9">
        <f>NAV!R169</f>
        <v>0</v>
      </c>
      <c r="L128" s="6">
        <f>NAV!S169</f>
        <v>0</v>
      </c>
      <c r="M128" s="6">
        <f>NAV!T169</f>
        <v>0</v>
      </c>
      <c r="N128" s="6" t="str">
        <f>NAV!U169</f>
        <v>한국 원화(KRW)</v>
      </c>
      <c r="O128" s="6">
        <f>NAV!V169</f>
        <v>1</v>
      </c>
      <c r="P128" s="6">
        <f>NAV!W169</f>
        <v>0</v>
      </c>
      <c r="Q128" s="6">
        <f>NAV!X169</f>
        <v>0</v>
      </c>
      <c r="R128" s="6">
        <f>NAV!Y169</f>
        <v>0</v>
      </c>
      <c r="S128" s="6">
        <f>NAV!Z169</f>
        <v>0</v>
      </c>
      <c r="T128" s="6">
        <f>NAV!AA169</f>
        <v>0</v>
      </c>
      <c r="U128" s="10">
        <f>NAV!AB169</f>
        <v>0</v>
      </c>
      <c r="V128" s="6" t="str">
        <f>NAV!AC169</f>
        <v>2년이상</v>
      </c>
    </row>
    <row r="129" spans="1:22">
      <c r="A129" s="7">
        <f t="shared" si="1"/>
        <v>128</v>
      </c>
      <c r="B129" s="7">
        <f>TYPE(종목정보tbl!$C129)</f>
        <v>1</v>
      </c>
      <c r="C129" s="6">
        <f>NAV!J170</f>
        <v>0</v>
      </c>
      <c r="D129" s="6">
        <f>NAV!K170</f>
        <v>0</v>
      </c>
      <c r="E129" s="6">
        <f>NAV!L170</f>
        <v>0</v>
      </c>
      <c r="F129" s="6">
        <f>NAV!M170</f>
        <v>0</v>
      </c>
      <c r="G129" s="6">
        <f>NAV!N170</f>
        <v>0</v>
      </c>
      <c r="H129" s="6">
        <f>NAV!O170</f>
        <v>0</v>
      </c>
      <c r="I129" s="6">
        <f>NAV!P170</f>
        <v>0</v>
      </c>
      <c r="J129" s="6">
        <f>NAV!Q170</f>
        <v>0</v>
      </c>
      <c r="K129" s="9">
        <f>NAV!R170</f>
        <v>0</v>
      </c>
      <c r="L129" s="6">
        <f>NAV!S170</f>
        <v>0</v>
      </c>
      <c r="M129" s="6">
        <f>NAV!T170</f>
        <v>0</v>
      </c>
      <c r="N129" s="6" t="str">
        <f>NAV!U170</f>
        <v>한국 원화(KRW)</v>
      </c>
      <c r="O129" s="6">
        <f>NAV!V170</f>
        <v>1</v>
      </c>
      <c r="P129" s="6">
        <f>NAV!W170</f>
        <v>0</v>
      </c>
      <c r="Q129" s="6">
        <f>NAV!X170</f>
        <v>0</v>
      </c>
      <c r="R129" s="6">
        <f>NAV!Y170</f>
        <v>0</v>
      </c>
      <c r="S129" s="6">
        <f>NAV!Z170</f>
        <v>0</v>
      </c>
      <c r="T129" s="6">
        <f>NAV!AA170</f>
        <v>0</v>
      </c>
      <c r="U129" s="10">
        <f>NAV!AB170</f>
        <v>0</v>
      </c>
      <c r="V129" s="6" t="str">
        <f>NAV!AC170</f>
        <v>2년이상</v>
      </c>
    </row>
    <row r="130" spans="1:22">
      <c r="A130" s="7">
        <f t="shared" ref="A130:A193" si="2">ROW()-1</f>
        <v>129</v>
      </c>
      <c r="B130" s="7">
        <f>TYPE(종목정보tbl!$C130)</f>
        <v>1</v>
      </c>
      <c r="C130" s="6">
        <f>NAV!J171</f>
        <v>0</v>
      </c>
      <c r="D130" s="6">
        <f>NAV!K171</f>
        <v>0</v>
      </c>
      <c r="E130" s="6">
        <f>NAV!L171</f>
        <v>0</v>
      </c>
      <c r="F130" s="6">
        <f>NAV!M171</f>
        <v>0</v>
      </c>
      <c r="G130" s="6">
        <f>NAV!N171</f>
        <v>0</v>
      </c>
      <c r="H130" s="6">
        <f>NAV!O171</f>
        <v>0</v>
      </c>
      <c r="I130" s="6">
        <f>NAV!P171</f>
        <v>0</v>
      </c>
      <c r="J130" s="6">
        <f>NAV!Q171</f>
        <v>0</v>
      </c>
      <c r="K130" s="9">
        <f>NAV!R171</f>
        <v>0</v>
      </c>
      <c r="L130" s="6">
        <f>NAV!S171</f>
        <v>0</v>
      </c>
      <c r="M130" s="6">
        <f>NAV!T171</f>
        <v>0</v>
      </c>
      <c r="N130" s="6" t="str">
        <f>NAV!U171</f>
        <v>한국 원화(KRW)</v>
      </c>
      <c r="O130" s="6">
        <f>NAV!V171</f>
        <v>1</v>
      </c>
      <c r="P130" s="6">
        <f>NAV!W171</f>
        <v>0</v>
      </c>
      <c r="Q130" s="6">
        <f>NAV!X171</f>
        <v>0</v>
      </c>
      <c r="R130" s="6">
        <f>NAV!Y171</f>
        <v>0</v>
      </c>
      <c r="S130" s="6">
        <f>NAV!Z171</f>
        <v>0</v>
      </c>
      <c r="T130" s="6">
        <f>NAV!AA171</f>
        <v>0</v>
      </c>
      <c r="U130" s="10">
        <f>NAV!AB171</f>
        <v>0</v>
      </c>
      <c r="V130" s="6" t="str">
        <f>NAV!AC171</f>
        <v>2년이상</v>
      </c>
    </row>
    <row r="131" spans="1:22">
      <c r="A131" s="7">
        <f t="shared" si="2"/>
        <v>130</v>
      </c>
      <c r="B131" s="7">
        <f>TYPE(종목정보tbl!$C131)</f>
        <v>1</v>
      </c>
      <c r="C131" s="6">
        <f>NAV!J172</f>
        <v>0</v>
      </c>
      <c r="D131" s="6">
        <f>NAV!K172</f>
        <v>0</v>
      </c>
      <c r="E131" s="6">
        <f>NAV!L172</f>
        <v>0</v>
      </c>
      <c r="F131" s="6">
        <f>NAV!M172</f>
        <v>0</v>
      </c>
      <c r="G131" s="6">
        <f>NAV!N172</f>
        <v>0</v>
      </c>
      <c r="H131" s="6">
        <f>NAV!O172</f>
        <v>0</v>
      </c>
      <c r="I131" s="6">
        <f>NAV!P172</f>
        <v>0</v>
      </c>
      <c r="J131" s="6">
        <f>NAV!Q172</f>
        <v>0</v>
      </c>
      <c r="K131" s="9">
        <f>NAV!R172</f>
        <v>0</v>
      </c>
      <c r="L131" s="6">
        <f>NAV!S172</f>
        <v>0</v>
      </c>
      <c r="M131" s="6">
        <f>NAV!T172</f>
        <v>0</v>
      </c>
      <c r="N131" s="6" t="str">
        <f>NAV!U172</f>
        <v>한국 원화(KRW)</v>
      </c>
      <c r="O131" s="6">
        <f>NAV!V172</f>
        <v>1</v>
      </c>
      <c r="P131" s="6">
        <f>NAV!W172</f>
        <v>0</v>
      </c>
      <c r="Q131" s="6">
        <f>NAV!X172</f>
        <v>0</v>
      </c>
      <c r="R131" s="6">
        <f>NAV!Y172</f>
        <v>0</v>
      </c>
      <c r="S131" s="6">
        <f>NAV!Z172</f>
        <v>0</v>
      </c>
      <c r="T131" s="6">
        <f>NAV!AA172</f>
        <v>0</v>
      </c>
      <c r="U131" s="10">
        <f>NAV!AB172</f>
        <v>0</v>
      </c>
      <c r="V131" s="6" t="str">
        <f>NAV!AC172</f>
        <v>2년이상</v>
      </c>
    </row>
    <row r="132" spans="1:22">
      <c r="A132" s="7">
        <f t="shared" si="2"/>
        <v>131</v>
      </c>
      <c r="B132" s="7">
        <f>TYPE(종목정보tbl!$C132)</f>
        <v>1</v>
      </c>
      <c r="C132" s="6">
        <f>NAV!J173</f>
        <v>0</v>
      </c>
      <c r="D132" s="6">
        <f>NAV!K173</f>
        <v>0</v>
      </c>
      <c r="E132" s="6">
        <f>NAV!L173</f>
        <v>0</v>
      </c>
      <c r="F132" s="6">
        <f>NAV!M173</f>
        <v>0</v>
      </c>
      <c r="G132" s="6">
        <f>NAV!N173</f>
        <v>0</v>
      </c>
      <c r="H132" s="6">
        <f>NAV!O173</f>
        <v>0</v>
      </c>
      <c r="I132" s="6">
        <f>NAV!P173</f>
        <v>0</v>
      </c>
      <c r="J132" s="6">
        <f>NAV!Q173</f>
        <v>0</v>
      </c>
      <c r="K132" s="9">
        <f>NAV!R173</f>
        <v>0</v>
      </c>
      <c r="L132" s="6">
        <f>NAV!S173</f>
        <v>0</v>
      </c>
      <c r="M132" s="6">
        <f>NAV!T173</f>
        <v>0</v>
      </c>
      <c r="N132" s="6" t="str">
        <f>NAV!U173</f>
        <v>한국 원화(KRW)</v>
      </c>
      <c r="O132" s="6">
        <f>NAV!V173</f>
        <v>1</v>
      </c>
      <c r="P132" s="6">
        <f>NAV!W173</f>
        <v>0</v>
      </c>
      <c r="Q132" s="6">
        <f>NAV!X173</f>
        <v>0</v>
      </c>
      <c r="R132" s="6">
        <f>NAV!Y173</f>
        <v>0</v>
      </c>
      <c r="S132" s="6">
        <f>NAV!Z173</f>
        <v>0</v>
      </c>
      <c r="T132" s="6">
        <f>NAV!AA173</f>
        <v>0</v>
      </c>
      <c r="U132" s="10">
        <f>NAV!AB173</f>
        <v>0</v>
      </c>
      <c r="V132" s="6" t="str">
        <f>NAV!AC173</f>
        <v>2년이상</v>
      </c>
    </row>
    <row r="133" spans="1:22">
      <c r="A133" s="7">
        <f t="shared" si="2"/>
        <v>132</v>
      </c>
      <c r="B133" s="7">
        <f>TYPE(종목정보tbl!$C133)</f>
        <v>1</v>
      </c>
      <c r="C133" s="6">
        <f>NAV!J174</f>
        <v>0</v>
      </c>
      <c r="D133" s="6">
        <f>NAV!K174</f>
        <v>0</v>
      </c>
      <c r="E133" s="6">
        <f>NAV!L174</f>
        <v>0</v>
      </c>
      <c r="F133" s="6">
        <f>NAV!M174</f>
        <v>0</v>
      </c>
      <c r="G133" s="6">
        <f>NAV!N174</f>
        <v>0</v>
      </c>
      <c r="H133" s="6">
        <f>NAV!O174</f>
        <v>0</v>
      </c>
      <c r="I133" s="6">
        <f>NAV!P174</f>
        <v>0</v>
      </c>
      <c r="J133" s="6">
        <f>NAV!Q174</f>
        <v>0</v>
      </c>
      <c r="K133" s="9">
        <f>NAV!R174</f>
        <v>0</v>
      </c>
      <c r="L133" s="6">
        <f>NAV!S174</f>
        <v>0</v>
      </c>
      <c r="M133" s="6">
        <f>NAV!T174</f>
        <v>0</v>
      </c>
      <c r="N133" s="6" t="str">
        <f>NAV!U174</f>
        <v>한국 원화(KRW)</v>
      </c>
      <c r="O133" s="6">
        <f>NAV!V174</f>
        <v>1</v>
      </c>
      <c r="P133" s="6">
        <f>NAV!W174</f>
        <v>0</v>
      </c>
      <c r="Q133" s="6">
        <f>NAV!X174</f>
        <v>0</v>
      </c>
      <c r="R133" s="6">
        <f>NAV!Y174</f>
        <v>0</v>
      </c>
      <c r="S133" s="6">
        <f>NAV!Z174</f>
        <v>0</v>
      </c>
      <c r="T133" s="6">
        <f>NAV!AA174</f>
        <v>0</v>
      </c>
      <c r="U133" s="10">
        <f>NAV!AB174</f>
        <v>0</v>
      </c>
      <c r="V133" s="6" t="str">
        <f>NAV!AC174</f>
        <v>2년이상</v>
      </c>
    </row>
    <row r="134" spans="1:22">
      <c r="A134" s="7">
        <f t="shared" si="2"/>
        <v>133</v>
      </c>
      <c r="B134" s="7">
        <f>TYPE(종목정보tbl!$C134)</f>
        <v>1</v>
      </c>
      <c r="C134" s="6">
        <f>NAV!J175</f>
        <v>0</v>
      </c>
      <c r="D134" s="6">
        <f>NAV!K175</f>
        <v>0</v>
      </c>
      <c r="E134" s="6">
        <f>NAV!L175</f>
        <v>0</v>
      </c>
      <c r="F134" s="6">
        <f>NAV!M175</f>
        <v>0</v>
      </c>
      <c r="G134" s="6">
        <f>NAV!N175</f>
        <v>0</v>
      </c>
      <c r="H134" s="6">
        <f>NAV!O175</f>
        <v>0</v>
      </c>
      <c r="I134" s="6">
        <f>NAV!P175</f>
        <v>0</v>
      </c>
      <c r="J134" s="6">
        <f>NAV!Q175</f>
        <v>0</v>
      </c>
      <c r="K134" s="9">
        <f>NAV!R175</f>
        <v>0</v>
      </c>
      <c r="L134" s="6">
        <f>NAV!S175</f>
        <v>0</v>
      </c>
      <c r="M134" s="6">
        <f>NAV!T175</f>
        <v>0</v>
      </c>
      <c r="N134" s="6" t="str">
        <f>NAV!U175</f>
        <v>한국 원화(KRW)</v>
      </c>
      <c r="O134" s="6">
        <f>NAV!V175</f>
        <v>1</v>
      </c>
      <c r="P134" s="6">
        <f>NAV!W175</f>
        <v>0</v>
      </c>
      <c r="Q134" s="6">
        <f>NAV!X175</f>
        <v>0</v>
      </c>
      <c r="R134" s="6">
        <f>NAV!Y175</f>
        <v>0</v>
      </c>
      <c r="S134" s="6">
        <f>NAV!Z175</f>
        <v>0</v>
      </c>
      <c r="T134" s="6">
        <f>NAV!AA175</f>
        <v>0</v>
      </c>
      <c r="U134" s="10">
        <f>NAV!AB175</f>
        <v>0</v>
      </c>
      <c r="V134" s="6" t="str">
        <f>NAV!AC175</f>
        <v>2년이상</v>
      </c>
    </row>
    <row r="135" spans="1:22">
      <c r="A135" s="7">
        <f t="shared" si="2"/>
        <v>134</v>
      </c>
      <c r="B135" s="7">
        <f>TYPE(종목정보tbl!$C135)</f>
        <v>1</v>
      </c>
      <c r="C135" s="6">
        <f>NAV!J176</f>
        <v>0</v>
      </c>
      <c r="D135" s="6">
        <f>NAV!K176</f>
        <v>0</v>
      </c>
      <c r="E135" s="6">
        <f>NAV!L176</f>
        <v>0</v>
      </c>
      <c r="F135" s="6">
        <f>NAV!M176</f>
        <v>0</v>
      </c>
      <c r="G135" s="6">
        <f>NAV!N176</f>
        <v>0</v>
      </c>
      <c r="H135" s="6">
        <f>NAV!O176</f>
        <v>0</v>
      </c>
      <c r="I135" s="6">
        <f>NAV!P176</f>
        <v>0</v>
      </c>
      <c r="J135" s="6">
        <f>NAV!Q176</f>
        <v>0</v>
      </c>
      <c r="K135" s="9">
        <f>NAV!R176</f>
        <v>0</v>
      </c>
      <c r="L135" s="6">
        <f>NAV!S176</f>
        <v>0</v>
      </c>
      <c r="M135" s="6">
        <f>NAV!T176</f>
        <v>0</v>
      </c>
      <c r="N135" s="6" t="str">
        <f>NAV!U176</f>
        <v>한국 원화(KRW)</v>
      </c>
      <c r="O135" s="6">
        <f>NAV!V176</f>
        <v>1</v>
      </c>
      <c r="P135" s="6">
        <f>NAV!W176</f>
        <v>0</v>
      </c>
      <c r="Q135" s="6">
        <f>NAV!X176</f>
        <v>0</v>
      </c>
      <c r="R135" s="6">
        <f>NAV!Y176</f>
        <v>0</v>
      </c>
      <c r="S135" s="6">
        <f>NAV!Z176</f>
        <v>0</v>
      </c>
      <c r="T135" s="6">
        <f>NAV!AA176</f>
        <v>0</v>
      </c>
      <c r="U135" s="10">
        <f>NAV!AB176</f>
        <v>0</v>
      </c>
      <c r="V135" s="6" t="str">
        <f>NAV!AC176</f>
        <v>2년이상</v>
      </c>
    </row>
    <row r="136" spans="1:22">
      <c r="A136" s="7">
        <f t="shared" si="2"/>
        <v>135</v>
      </c>
      <c r="B136" s="7">
        <f>TYPE(종목정보tbl!$C136)</f>
        <v>1</v>
      </c>
      <c r="C136" s="6">
        <f>NAV!J177</f>
        <v>0</v>
      </c>
      <c r="D136" s="6">
        <f>NAV!K177</f>
        <v>0</v>
      </c>
      <c r="E136" s="6">
        <f>NAV!L177</f>
        <v>0</v>
      </c>
      <c r="F136" s="6">
        <f>NAV!M177</f>
        <v>0</v>
      </c>
      <c r="G136" s="6">
        <f>NAV!N177</f>
        <v>0</v>
      </c>
      <c r="H136" s="6">
        <f>NAV!O177</f>
        <v>0</v>
      </c>
      <c r="I136" s="6">
        <f>NAV!P177</f>
        <v>0</v>
      </c>
      <c r="J136" s="6">
        <f>NAV!Q177</f>
        <v>0</v>
      </c>
      <c r="K136" s="9">
        <f>NAV!R177</f>
        <v>0</v>
      </c>
      <c r="L136" s="6">
        <f>NAV!S177</f>
        <v>0</v>
      </c>
      <c r="M136" s="6">
        <f>NAV!T177</f>
        <v>0</v>
      </c>
      <c r="N136" s="6" t="str">
        <f>NAV!U177</f>
        <v>한국 원화(KRW)</v>
      </c>
      <c r="O136" s="6">
        <f>NAV!V177</f>
        <v>1</v>
      </c>
      <c r="P136" s="6">
        <f>NAV!W177</f>
        <v>0</v>
      </c>
      <c r="Q136" s="6">
        <f>NAV!X177</f>
        <v>0</v>
      </c>
      <c r="R136" s="6">
        <f>NAV!Y177</f>
        <v>0</v>
      </c>
      <c r="S136" s="6">
        <f>NAV!Z177</f>
        <v>0</v>
      </c>
      <c r="T136" s="6">
        <f>NAV!AA177</f>
        <v>0</v>
      </c>
      <c r="U136" s="10">
        <f>NAV!AB177</f>
        <v>0</v>
      </c>
      <c r="V136" s="6" t="str">
        <f>NAV!AC177</f>
        <v>2년이상</v>
      </c>
    </row>
    <row r="137" spans="1:22">
      <c r="A137" s="7">
        <f t="shared" si="2"/>
        <v>136</v>
      </c>
      <c r="B137" s="7">
        <f>TYPE(종목정보tbl!$C137)</f>
        <v>1</v>
      </c>
      <c r="C137" s="6">
        <f>NAV!J178</f>
        <v>0</v>
      </c>
      <c r="D137" s="6">
        <f>NAV!K178</f>
        <v>0</v>
      </c>
      <c r="E137" s="6">
        <f>NAV!L178</f>
        <v>0</v>
      </c>
      <c r="F137" s="6">
        <f>NAV!M178</f>
        <v>0</v>
      </c>
      <c r="G137" s="6">
        <f>NAV!N178</f>
        <v>0</v>
      </c>
      <c r="H137" s="6">
        <f>NAV!O178</f>
        <v>0</v>
      </c>
      <c r="I137" s="6">
        <f>NAV!P178</f>
        <v>0</v>
      </c>
      <c r="J137" s="6">
        <f>NAV!Q178</f>
        <v>0</v>
      </c>
      <c r="K137" s="9">
        <f>NAV!R178</f>
        <v>0</v>
      </c>
      <c r="L137" s="6">
        <f>NAV!S178</f>
        <v>0</v>
      </c>
      <c r="M137" s="6">
        <f>NAV!T178</f>
        <v>0</v>
      </c>
      <c r="N137" s="6" t="str">
        <f>NAV!U178</f>
        <v>한국 원화(KRW)</v>
      </c>
      <c r="O137" s="6">
        <f>NAV!V178</f>
        <v>1</v>
      </c>
      <c r="P137" s="6">
        <f>NAV!W178</f>
        <v>0</v>
      </c>
      <c r="Q137" s="6">
        <f>NAV!X178</f>
        <v>0</v>
      </c>
      <c r="R137" s="6">
        <f>NAV!Y178</f>
        <v>0</v>
      </c>
      <c r="S137" s="6">
        <f>NAV!Z178</f>
        <v>0</v>
      </c>
      <c r="T137" s="6">
        <f>NAV!AA178</f>
        <v>0</v>
      </c>
      <c r="U137" s="10">
        <f>NAV!AB178</f>
        <v>0</v>
      </c>
      <c r="V137" s="6" t="str">
        <f>NAV!AC178</f>
        <v>2년이상</v>
      </c>
    </row>
    <row r="138" spans="1:22">
      <c r="A138" s="7">
        <f t="shared" si="2"/>
        <v>137</v>
      </c>
      <c r="B138" s="7">
        <f>TYPE(종목정보tbl!$C138)</f>
        <v>1</v>
      </c>
      <c r="C138" s="6">
        <f>NAV!J179</f>
        <v>0</v>
      </c>
      <c r="D138" s="6">
        <f>NAV!K179</f>
        <v>0</v>
      </c>
      <c r="E138" s="6">
        <f>NAV!L179</f>
        <v>0</v>
      </c>
      <c r="F138" s="6">
        <f>NAV!M179</f>
        <v>0</v>
      </c>
      <c r="G138" s="6">
        <f>NAV!N179</f>
        <v>0</v>
      </c>
      <c r="H138" s="6">
        <f>NAV!O179</f>
        <v>0</v>
      </c>
      <c r="I138" s="6">
        <f>NAV!P179</f>
        <v>0</v>
      </c>
      <c r="J138" s="6">
        <f>NAV!Q179</f>
        <v>0</v>
      </c>
      <c r="K138" s="9">
        <f>NAV!R179</f>
        <v>0</v>
      </c>
      <c r="L138" s="6">
        <f>NAV!S179</f>
        <v>0</v>
      </c>
      <c r="M138" s="6">
        <f>NAV!T179</f>
        <v>0</v>
      </c>
      <c r="N138" s="6" t="str">
        <f>NAV!U179</f>
        <v>한국 원화(KRW)</v>
      </c>
      <c r="O138" s="6">
        <f>NAV!V179</f>
        <v>1</v>
      </c>
      <c r="P138" s="6">
        <f>NAV!W179</f>
        <v>0</v>
      </c>
      <c r="Q138" s="6">
        <f>NAV!X179</f>
        <v>0</v>
      </c>
      <c r="R138" s="6">
        <f>NAV!Y179</f>
        <v>0</v>
      </c>
      <c r="S138" s="6">
        <f>NAV!Z179</f>
        <v>0</v>
      </c>
      <c r="T138" s="6">
        <f>NAV!AA179</f>
        <v>0</v>
      </c>
      <c r="U138" s="10">
        <f>NAV!AB179</f>
        <v>0</v>
      </c>
      <c r="V138" s="6" t="str">
        <f>NAV!AC179</f>
        <v>2년이상</v>
      </c>
    </row>
    <row r="139" spans="1:22">
      <c r="A139" s="7">
        <f t="shared" si="2"/>
        <v>138</v>
      </c>
      <c r="B139" s="7">
        <f>TYPE(종목정보tbl!$C139)</f>
        <v>1</v>
      </c>
      <c r="C139" s="6">
        <f>NAV!J180</f>
        <v>0</v>
      </c>
      <c r="D139" s="6">
        <f>NAV!K180</f>
        <v>0</v>
      </c>
      <c r="E139" s="6">
        <f>NAV!L180</f>
        <v>0</v>
      </c>
      <c r="F139" s="6">
        <f>NAV!M180</f>
        <v>0</v>
      </c>
      <c r="G139" s="6">
        <f>NAV!N180</f>
        <v>0</v>
      </c>
      <c r="H139" s="6">
        <f>NAV!O180</f>
        <v>0</v>
      </c>
      <c r="I139" s="6">
        <f>NAV!P180</f>
        <v>0</v>
      </c>
      <c r="J139" s="6">
        <f>NAV!Q180</f>
        <v>0</v>
      </c>
      <c r="K139" s="9">
        <f>NAV!R180</f>
        <v>0</v>
      </c>
      <c r="L139" s="6">
        <f>NAV!S180</f>
        <v>0</v>
      </c>
      <c r="M139" s="6">
        <f>NAV!T180</f>
        <v>0</v>
      </c>
      <c r="N139" s="6" t="str">
        <f>NAV!U180</f>
        <v>한국 원화(KRW)</v>
      </c>
      <c r="O139" s="6">
        <f>NAV!V180</f>
        <v>1</v>
      </c>
      <c r="P139" s="6">
        <f>NAV!W180</f>
        <v>0</v>
      </c>
      <c r="Q139" s="6">
        <f>NAV!X180</f>
        <v>0</v>
      </c>
      <c r="R139" s="6">
        <f>NAV!Y180</f>
        <v>0</v>
      </c>
      <c r="S139" s="6">
        <f>NAV!Z180</f>
        <v>0</v>
      </c>
      <c r="T139" s="6">
        <f>NAV!AA180</f>
        <v>0</v>
      </c>
      <c r="U139" s="10">
        <f>NAV!AB180</f>
        <v>0</v>
      </c>
      <c r="V139" s="6" t="str">
        <f>NAV!AC180</f>
        <v>2년이상</v>
      </c>
    </row>
    <row r="140" spans="1:22">
      <c r="A140" s="7">
        <f t="shared" si="2"/>
        <v>139</v>
      </c>
      <c r="B140" s="7">
        <f>TYPE(종목정보tbl!$C140)</f>
        <v>1</v>
      </c>
      <c r="C140" s="6">
        <f>NAV!J181</f>
        <v>0</v>
      </c>
      <c r="D140" s="6">
        <f>NAV!K181</f>
        <v>0</v>
      </c>
      <c r="E140" s="6">
        <f>NAV!L181</f>
        <v>0</v>
      </c>
      <c r="F140" s="6">
        <f>NAV!M181</f>
        <v>0</v>
      </c>
      <c r="G140" s="6">
        <f>NAV!N181</f>
        <v>0</v>
      </c>
      <c r="H140" s="6">
        <f>NAV!O181</f>
        <v>0</v>
      </c>
      <c r="I140" s="6">
        <f>NAV!P181</f>
        <v>0</v>
      </c>
      <c r="J140" s="6">
        <f>NAV!Q181</f>
        <v>0</v>
      </c>
      <c r="K140" s="9">
        <f>NAV!R181</f>
        <v>0</v>
      </c>
      <c r="L140" s="6">
        <f>NAV!S181</f>
        <v>0</v>
      </c>
      <c r="M140" s="6">
        <f>NAV!T181</f>
        <v>0</v>
      </c>
      <c r="N140" s="6" t="str">
        <f>NAV!U181</f>
        <v>한국 원화(KRW)</v>
      </c>
      <c r="O140" s="6">
        <f>NAV!V181</f>
        <v>1</v>
      </c>
      <c r="P140" s="6">
        <f>NAV!W181</f>
        <v>0</v>
      </c>
      <c r="Q140" s="6">
        <f>NAV!X181</f>
        <v>0</v>
      </c>
      <c r="R140" s="6">
        <f>NAV!Y181</f>
        <v>0</v>
      </c>
      <c r="S140" s="6">
        <f>NAV!Z181</f>
        <v>0</v>
      </c>
      <c r="T140" s="6">
        <f>NAV!AA181</f>
        <v>0</v>
      </c>
      <c r="U140" s="10">
        <f>NAV!AB181</f>
        <v>0</v>
      </c>
      <c r="V140" s="6" t="str">
        <f>NAV!AC181</f>
        <v>2년이상</v>
      </c>
    </row>
    <row r="141" spans="1:22">
      <c r="A141" s="7">
        <f t="shared" si="2"/>
        <v>140</v>
      </c>
      <c r="B141" s="7">
        <f>TYPE(종목정보tbl!$C141)</f>
        <v>1</v>
      </c>
      <c r="C141" s="6">
        <f>NAV!J182</f>
        <v>0</v>
      </c>
      <c r="D141" s="6">
        <f>NAV!K182</f>
        <v>0</v>
      </c>
      <c r="E141" s="6">
        <f>NAV!L182</f>
        <v>0</v>
      </c>
      <c r="F141" s="6">
        <f>NAV!M182</f>
        <v>0</v>
      </c>
      <c r="G141" s="6">
        <f>NAV!N182</f>
        <v>0</v>
      </c>
      <c r="H141" s="6">
        <f>NAV!O182</f>
        <v>0</v>
      </c>
      <c r="I141" s="6">
        <f>NAV!P182</f>
        <v>0</v>
      </c>
      <c r="J141" s="6">
        <f>NAV!Q182</f>
        <v>0</v>
      </c>
      <c r="K141" s="9">
        <f>NAV!R182</f>
        <v>0</v>
      </c>
      <c r="L141" s="6">
        <f>NAV!S182</f>
        <v>0</v>
      </c>
      <c r="M141" s="6">
        <f>NAV!T182</f>
        <v>0</v>
      </c>
      <c r="N141" s="6" t="str">
        <f>NAV!U182</f>
        <v>한국 원화(KRW)</v>
      </c>
      <c r="O141" s="6">
        <f>NAV!V182</f>
        <v>1</v>
      </c>
      <c r="P141" s="6">
        <f>NAV!W182</f>
        <v>0</v>
      </c>
      <c r="Q141" s="6">
        <f>NAV!X182</f>
        <v>0</v>
      </c>
      <c r="R141" s="6">
        <f>NAV!Y182</f>
        <v>0</v>
      </c>
      <c r="S141" s="6">
        <f>NAV!Z182</f>
        <v>0</v>
      </c>
      <c r="T141" s="6">
        <f>NAV!AA182</f>
        <v>0</v>
      </c>
      <c r="U141" s="10">
        <f>NAV!AB182</f>
        <v>0</v>
      </c>
      <c r="V141" s="6" t="str">
        <f>NAV!AC182</f>
        <v>2년이상</v>
      </c>
    </row>
    <row r="142" spans="1:22">
      <c r="A142" s="7">
        <f t="shared" si="2"/>
        <v>141</v>
      </c>
      <c r="B142" s="7">
        <f>TYPE(종목정보tbl!$C142)</f>
        <v>1</v>
      </c>
      <c r="C142" s="6">
        <f>NAV!J183</f>
        <v>0</v>
      </c>
      <c r="D142" s="6">
        <f>NAV!K183</f>
        <v>0</v>
      </c>
      <c r="E142" s="6">
        <f>NAV!L183</f>
        <v>0</v>
      </c>
      <c r="F142" s="6">
        <f>NAV!M183</f>
        <v>0</v>
      </c>
      <c r="G142" s="6">
        <f>NAV!N183</f>
        <v>0</v>
      </c>
      <c r="H142" s="6">
        <f>NAV!O183</f>
        <v>0</v>
      </c>
      <c r="I142" s="6">
        <f>NAV!P183</f>
        <v>0</v>
      </c>
      <c r="J142" s="6">
        <f>NAV!Q183</f>
        <v>0</v>
      </c>
      <c r="K142" s="9">
        <f>NAV!R183</f>
        <v>0</v>
      </c>
      <c r="L142" s="6">
        <f>NAV!S183</f>
        <v>0</v>
      </c>
      <c r="M142" s="6">
        <f>NAV!T183</f>
        <v>0</v>
      </c>
      <c r="N142" s="6" t="str">
        <f>NAV!U183</f>
        <v>한국 원화(KRW)</v>
      </c>
      <c r="O142" s="6">
        <f>NAV!V183</f>
        <v>1</v>
      </c>
      <c r="P142" s="6">
        <f>NAV!W183</f>
        <v>0</v>
      </c>
      <c r="Q142" s="6">
        <f>NAV!X183</f>
        <v>0</v>
      </c>
      <c r="R142" s="6">
        <f>NAV!Y183</f>
        <v>0</v>
      </c>
      <c r="S142" s="6">
        <f>NAV!Z183</f>
        <v>0</v>
      </c>
      <c r="T142" s="6">
        <f>NAV!AA183</f>
        <v>0</v>
      </c>
      <c r="U142" s="10">
        <f>NAV!AB183</f>
        <v>0</v>
      </c>
      <c r="V142" s="6" t="str">
        <f>NAV!AC183</f>
        <v>2년이상</v>
      </c>
    </row>
    <row r="143" spans="1:22">
      <c r="A143" s="7">
        <f t="shared" si="2"/>
        <v>142</v>
      </c>
      <c r="B143" s="7">
        <f>TYPE(종목정보tbl!$C143)</f>
        <v>1</v>
      </c>
      <c r="C143" s="6">
        <f>NAV!J184</f>
        <v>0</v>
      </c>
      <c r="D143" s="6">
        <f>NAV!K184</f>
        <v>0</v>
      </c>
      <c r="E143" s="6">
        <f>NAV!L184</f>
        <v>0</v>
      </c>
      <c r="F143" s="6">
        <f>NAV!M184</f>
        <v>0</v>
      </c>
      <c r="G143" s="6">
        <f>NAV!N184</f>
        <v>0</v>
      </c>
      <c r="H143" s="6">
        <f>NAV!O184</f>
        <v>0</v>
      </c>
      <c r="I143" s="6">
        <f>NAV!P184</f>
        <v>0</v>
      </c>
      <c r="J143" s="6">
        <f>NAV!Q184</f>
        <v>0</v>
      </c>
      <c r="K143" s="9">
        <f>NAV!R184</f>
        <v>0</v>
      </c>
      <c r="L143" s="6">
        <f>NAV!S184</f>
        <v>0</v>
      </c>
      <c r="M143" s="6">
        <f>NAV!T184</f>
        <v>0</v>
      </c>
      <c r="N143" s="6" t="str">
        <f>NAV!U184</f>
        <v>한국 원화(KRW)</v>
      </c>
      <c r="O143" s="6">
        <f>NAV!V184</f>
        <v>1</v>
      </c>
      <c r="P143" s="6">
        <f>NAV!W184</f>
        <v>0</v>
      </c>
      <c r="Q143" s="6">
        <f>NAV!X184</f>
        <v>0</v>
      </c>
      <c r="R143" s="6">
        <f>NAV!Y184</f>
        <v>0</v>
      </c>
      <c r="S143" s="6">
        <f>NAV!Z184</f>
        <v>0</v>
      </c>
      <c r="T143" s="6">
        <f>NAV!AA184</f>
        <v>0</v>
      </c>
      <c r="U143" s="10">
        <f>NAV!AB184</f>
        <v>0</v>
      </c>
      <c r="V143" s="6" t="str">
        <f>NAV!AC184</f>
        <v>2년이상</v>
      </c>
    </row>
    <row r="144" spans="1:22">
      <c r="A144" s="7">
        <f t="shared" si="2"/>
        <v>143</v>
      </c>
      <c r="B144" s="7">
        <f>TYPE(종목정보tbl!$C144)</f>
        <v>1</v>
      </c>
      <c r="C144" s="6">
        <f>NAV!J185</f>
        <v>0</v>
      </c>
      <c r="D144" s="6">
        <f>NAV!K185</f>
        <v>0</v>
      </c>
      <c r="E144" s="6">
        <f>NAV!L185</f>
        <v>0</v>
      </c>
      <c r="F144" s="6">
        <f>NAV!M185</f>
        <v>0</v>
      </c>
      <c r="G144" s="6">
        <f>NAV!N185</f>
        <v>0</v>
      </c>
      <c r="H144" s="6">
        <f>NAV!O185</f>
        <v>0</v>
      </c>
      <c r="I144" s="6">
        <f>NAV!P185</f>
        <v>0</v>
      </c>
      <c r="J144" s="6">
        <f>NAV!Q185</f>
        <v>0</v>
      </c>
      <c r="K144" s="9">
        <f>NAV!R185</f>
        <v>0</v>
      </c>
      <c r="L144" s="6">
        <f>NAV!S185</f>
        <v>0</v>
      </c>
      <c r="M144" s="6">
        <f>NAV!T185</f>
        <v>0</v>
      </c>
      <c r="N144" s="6" t="str">
        <f>NAV!U185</f>
        <v>한국 원화(KRW)</v>
      </c>
      <c r="O144" s="6">
        <f>NAV!V185</f>
        <v>1</v>
      </c>
      <c r="P144" s="6">
        <f>NAV!W185</f>
        <v>0</v>
      </c>
      <c r="Q144" s="6">
        <f>NAV!X185</f>
        <v>0</v>
      </c>
      <c r="R144" s="6">
        <f>NAV!Y185</f>
        <v>0</v>
      </c>
      <c r="S144" s="6">
        <f>NAV!Z185</f>
        <v>0</v>
      </c>
      <c r="T144" s="6">
        <f>NAV!AA185</f>
        <v>0</v>
      </c>
      <c r="U144" s="10">
        <f>NAV!AB185</f>
        <v>0</v>
      </c>
      <c r="V144" s="6" t="str">
        <f>NAV!AC185</f>
        <v>2년이상</v>
      </c>
    </row>
    <row r="145" spans="1:22">
      <c r="A145" s="7">
        <f t="shared" si="2"/>
        <v>144</v>
      </c>
      <c r="B145" s="7">
        <f>TYPE(종목정보tbl!$C145)</f>
        <v>1</v>
      </c>
      <c r="C145" s="6">
        <f>NAV!J186</f>
        <v>0</v>
      </c>
      <c r="D145" s="6">
        <f>NAV!K186</f>
        <v>0</v>
      </c>
      <c r="E145" s="6">
        <f>NAV!L186</f>
        <v>0</v>
      </c>
      <c r="F145" s="6">
        <f>NAV!M186</f>
        <v>0</v>
      </c>
      <c r="G145" s="6">
        <f>NAV!N186</f>
        <v>0</v>
      </c>
      <c r="H145" s="6">
        <f>NAV!O186</f>
        <v>0</v>
      </c>
      <c r="I145" s="6">
        <f>NAV!P186</f>
        <v>0</v>
      </c>
      <c r="J145" s="6">
        <f>NAV!Q186</f>
        <v>0</v>
      </c>
      <c r="K145" s="9">
        <f>NAV!R186</f>
        <v>0</v>
      </c>
      <c r="L145" s="6">
        <f>NAV!S186</f>
        <v>0</v>
      </c>
      <c r="M145" s="6">
        <f>NAV!T186</f>
        <v>0</v>
      </c>
      <c r="N145" s="6" t="str">
        <f>NAV!U186</f>
        <v>한국 원화(KRW)</v>
      </c>
      <c r="O145" s="6">
        <f>NAV!V186</f>
        <v>1</v>
      </c>
      <c r="P145" s="6">
        <f>NAV!W186</f>
        <v>0</v>
      </c>
      <c r="Q145" s="6">
        <f>NAV!X186</f>
        <v>0</v>
      </c>
      <c r="R145" s="6">
        <f>NAV!Y186</f>
        <v>0</v>
      </c>
      <c r="S145" s="6">
        <f>NAV!Z186</f>
        <v>0</v>
      </c>
      <c r="T145" s="6">
        <f>NAV!AA186</f>
        <v>0</v>
      </c>
      <c r="U145" s="10">
        <f>NAV!AB186</f>
        <v>0</v>
      </c>
      <c r="V145" s="6" t="str">
        <f>NAV!AC186</f>
        <v>2년이상</v>
      </c>
    </row>
    <row r="146" spans="1:22">
      <c r="A146" s="7">
        <f t="shared" si="2"/>
        <v>145</v>
      </c>
      <c r="B146" s="7">
        <f>TYPE(종목정보tbl!$C146)</f>
        <v>1</v>
      </c>
      <c r="C146" s="6">
        <f>NAV!J187</f>
        <v>0</v>
      </c>
      <c r="D146" s="6">
        <f>NAV!K187</f>
        <v>0</v>
      </c>
      <c r="E146" s="6">
        <f>NAV!L187</f>
        <v>0</v>
      </c>
      <c r="F146" s="6">
        <f>NAV!M187</f>
        <v>0</v>
      </c>
      <c r="G146" s="6">
        <f>NAV!N187</f>
        <v>0</v>
      </c>
      <c r="H146" s="6">
        <f>NAV!O187</f>
        <v>0</v>
      </c>
      <c r="I146" s="6">
        <f>NAV!P187</f>
        <v>0</v>
      </c>
      <c r="J146" s="6">
        <f>NAV!Q187</f>
        <v>0</v>
      </c>
      <c r="K146" s="9">
        <f>NAV!R187</f>
        <v>0</v>
      </c>
      <c r="L146" s="6">
        <f>NAV!S187</f>
        <v>0</v>
      </c>
      <c r="M146" s="6">
        <f>NAV!T187</f>
        <v>0</v>
      </c>
      <c r="N146" s="6" t="str">
        <f>NAV!U187</f>
        <v>한국 원화(KRW)</v>
      </c>
      <c r="O146" s="6">
        <f>NAV!V187</f>
        <v>1</v>
      </c>
      <c r="P146" s="6">
        <f>NAV!W187</f>
        <v>0</v>
      </c>
      <c r="Q146" s="6">
        <f>NAV!X187</f>
        <v>0</v>
      </c>
      <c r="R146" s="6">
        <f>NAV!Y187</f>
        <v>0</v>
      </c>
      <c r="S146" s="6">
        <f>NAV!Z187</f>
        <v>0</v>
      </c>
      <c r="T146" s="6">
        <f>NAV!AA187</f>
        <v>0</v>
      </c>
      <c r="U146" s="10">
        <f>NAV!AB187</f>
        <v>0</v>
      </c>
      <c r="V146" s="6" t="str">
        <f>NAV!AC187</f>
        <v>2년이상</v>
      </c>
    </row>
    <row r="147" spans="1:22">
      <c r="A147" s="7">
        <f t="shared" si="2"/>
        <v>146</v>
      </c>
      <c r="B147" s="7">
        <f>TYPE(종목정보tbl!$C147)</f>
        <v>1</v>
      </c>
      <c r="C147" s="6">
        <f>NAV!J188</f>
        <v>0</v>
      </c>
      <c r="D147" s="6">
        <f>NAV!K188</f>
        <v>0</v>
      </c>
      <c r="E147" s="6">
        <f>NAV!L188</f>
        <v>0</v>
      </c>
      <c r="F147" s="6">
        <f>NAV!M188</f>
        <v>0</v>
      </c>
      <c r="G147" s="6">
        <f>NAV!N188</f>
        <v>0</v>
      </c>
      <c r="H147" s="6">
        <f>NAV!O188</f>
        <v>0</v>
      </c>
      <c r="I147" s="6">
        <f>NAV!P188</f>
        <v>0</v>
      </c>
      <c r="J147" s="6">
        <f>NAV!Q188</f>
        <v>0</v>
      </c>
      <c r="K147" s="9">
        <f>NAV!R188</f>
        <v>0</v>
      </c>
      <c r="L147" s="6">
        <f>NAV!S188</f>
        <v>0</v>
      </c>
      <c r="M147" s="6">
        <f>NAV!T188</f>
        <v>0</v>
      </c>
      <c r="N147" s="6" t="str">
        <f>NAV!U188</f>
        <v>한국 원화(KRW)</v>
      </c>
      <c r="O147" s="6">
        <f>NAV!V188</f>
        <v>1</v>
      </c>
      <c r="P147" s="6">
        <f>NAV!W188</f>
        <v>0</v>
      </c>
      <c r="Q147" s="6">
        <f>NAV!X188</f>
        <v>0</v>
      </c>
      <c r="R147" s="6">
        <f>NAV!Y188</f>
        <v>0</v>
      </c>
      <c r="S147" s="6">
        <f>NAV!Z188</f>
        <v>0</v>
      </c>
      <c r="T147" s="6">
        <f>NAV!AA188</f>
        <v>0</v>
      </c>
      <c r="U147" s="10">
        <f>NAV!AB188</f>
        <v>0</v>
      </c>
      <c r="V147" s="6" t="str">
        <f>NAV!AC188</f>
        <v>2년이상</v>
      </c>
    </row>
    <row r="148" spans="1:22">
      <c r="A148" s="7">
        <f t="shared" si="2"/>
        <v>147</v>
      </c>
      <c r="B148" s="7">
        <f>TYPE(종목정보tbl!$C148)</f>
        <v>1</v>
      </c>
      <c r="C148" s="6">
        <f>NAV!J189</f>
        <v>0</v>
      </c>
      <c r="D148" s="6">
        <f>NAV!K189</f>
        <v>0</v>
      </c>
      <c r="E148" s="6">
        <f>NAV!L189</f>
        <v>0</v>
      </c>
      <c r="F148" s="6">
        <f>NAV!M189</f>
        <v>0</v>
      </c>
      <c r="G148" s="6">
        <f>NAV!N189</f>
        <v>0</v>
      </c>
      <c r="H148" s="6">
        <f>NAV!O189</f>
        <v>0</v>
      </c>
      <c r="I148" s="6">
        <f>NAV!P189</f>
        <v>0</v>
      </c>
      <c r="J148" s="6">
        <f>NAV!Q189</f>
        <v>0</v>
      </c>
      <c r="K148" s="9">
        <f>NAV!R189</f>
        <v>0</v>
      </c>
      <c r="L148" s="6">
        <f>NAV!S189</f>
        <v>0</v>
      </c>
      <c r="M148" s="6">
        <f>NAV!T189</f>
        <v>0</v>
      </c>
      <c r="N148" s="6" t="str">
        <f>NAV!U189</f>
        <v>한국 원화(KRW)</v>
      </c>
      <c r="O148" s="6">
        <f>NAV!V189</f>
        <v>1</v>
      </c>
      <c r="P148" s="6">
        <f>NAV!W189</f>
        <v>0</v>
      </c>
      <c r="Q148" s="6">
        <f>NAV!X189</f>
        <v>0</v>
      </c>
      <c r="R148" s="6">
        <f>NAV!Y189</f>
        <v>0</v>
      </c>
      <c r="S148" s="6">
        <f>NAV!Z189</f>
        <v>0</v>
      </c>
      <c r="T148" s="6">
        <f>NAV!AA189</f>
        <v>0</v>
      </c>
      <c r="U148" s="10">
        <f>NAV!AB189</f>
        <v>0</v>
      </c>
      <c r="V148" s="6" t="str">
        <f>NAV!AC189</f>
        <v>2년이상</v>
      </c>
    </row>
    <row r="149" spans="1:22">
      <c r="A149" s="7">
        <f t="shared" si="2"/>
        <v>148</v>
      </c>
      <c r="B149" s="7">
        <f>TYPE(종목정보tbl!$C149)</f>
        <v>1</v>
      </c>
      <c r="C149" s="6">
        <f>NAV!J190</f>
        <v>0</v>
      </c>
      <c r="D149" s="6">
        <f>NAV!K190</f>
        <v>0</v>
      </c>
      <c r="E149" s="6">
        <f>NAV!L190</f>
        <v>0</v>
      </c>
      <c r="F149" s="6">
        <f>NAV!M190</f>
        <v>0</v>
      </c>
      <c r="G149" s="6">
        <f>NAV!N190</f>
        <v>0</v>
      </c>
      <c r="H149" s="6">
        <f>NAV!O190</f>
        <v>0</v>
      </c>
      <c r="I149" s="6">
        <f>NAV!P190</f>
        <v>0</v>
      </c>
      <c r="J149" s="6">
        <f>NAV!Q190</f>
        <v>0</v>
      </c>
      <c r="K149" s="9">
        <f>NAV!R190</f>
        <v>0</v>
      </c>
      <c r="L149" s="6">
        <f>NAV!S190</f>
        <v>0</v>
      </c>
      <c r="M149" s="6">
        <f>NAV!T190</f>
        <v>0</v>
      </c>
      <c r="N149" s="6" t="str">
        <f>NAV!U190</f>
        <v>한국 원화(KRW)</v>
      </c>
      <c r="O149" s="6">
        <f>NAV!V190</f>
        <v>1</v>
      </c>
      <c r="P149" s="6">
        <f>NAV!W190</f>
        <v>0</v>
      </c>
      <c r="Q149" s="6">
        <f>NAV!X190</f>
        <v>0</v>
      </c>
      <c r="R149" s="6">
        <f>NAV!Y190</f>
        <v>0</v>
      </c>
      <c r="S149" s="6">
        <f>NAV!Z190</f>
        <v>0</v>
      </c>
      <c r="T149" s="6">
        <f>NAV!AA190</f>
        <v>0</v>
      </c>
      <c r="U149" s="10">
        <f>NAV!AB190</f>
        <v>0</v>
      </c>
      <c r="V149" s="6" t="str">
        <f>NAV!AC190</f>
        <v>2년이상</v>
      </c>
    </row>
    <row r="150" spans="1:22">
      <c r="A150" s="7">
        <f t="shared" si="2"/>
        <v>149</v>
      </c>
      <c r="B150" s="7">
        <f>TYPE(종목정보tbl!$C150)</f>
        <v>1</v>
      </c>
      <c r="C150" s="6">
        <f>NAV!J191</f>
        <v>0</v>
      </c>
      <c r="D150" s="6">
        <f>NAV!K191</f>
        <v>0</v>
      </c>
      <c r="E150" s="6">
        <f>NAV!L191</f>
        <v>0</v>
      </c>
      <c r="F150" s="6">
        <f>NAV!M191</f>
        <v>0</v>
      </c>
      <c r="G150" s="6">
        <f>NAV!N191</f>
        <v>0</v>
      </c>
      <c r="H150" s="6">
        <f>NAV!O191</f>
        <v>0</v>
      </c>
      <c r="I150" s="6">
        <f>NAV!P191</f>
        <v>0</v>
      </c>
      <c r="J150" s="6">
        <f>NAV!Q191</f>
        <v>0</v>
      </c>
      <c r="K150" s="9">
        <f>NAV!R191</f>
        <v>0</v>
      </c>
      <c r="L150" s="6">
        <f>NAV!S191</f>
        <v>0</v>
      </c>
      <c r="M150" s="6">
        <f>NAV!T191</f>
        <v>0</v>
      </c>
      <c r="N150" s="6" t="str">
        <f>NAV!U191</f>
        <v>한국 원화(KRW)</v>
      </c>
      <c r="O150" s="6">
        <f>NAV!V191</f>
        <v>1</v>
      </c>
      <c r="P150" s="6">
        <f>NAV!W191</f>
        <v>0</v>
      </c>
      <c r="Q150" s="6">
        <f>NAV!X191</f>
        <v>0</v>
      </c>
      <c r="R150" s="6">
        <f>NAV!Y191</f>
        <v>0</v>
      </c>
      <c r="S150" s="6">
        <f>NAV!Z191</f>
        <v>0</v>
      </c>
      <c r="T150" s="6">
        <f>NAV!AA191</f>
        <v>0</v>
      </c>
      <c r="U150" s="10">
        <f>NAV!AB191</f>
        <v>0</v>
      </c>
      <c r="V150" s="6" t="str">
        <f>NAV!AC191</f>
        <v>2년이상</v>
      </c>
    </row>
    <row r="151" spans="1:22">
      <c r="A151" s="7">
        <f t="shared" si="2"/>
        <v>150</v>
      </c>
      <c r="B151" s="7">
        <f>TYPE(종목정보tbl!$C151)</f>
        <v>1</v>
      </c>
      <c r="C151" s="6">
        <f>NAV!J192</f>
        <v>0</v>
      </c>
      <c r="D151" s="6">
        <f>NAV!K192</f>
        <v>0</v>
      </c>
      <c r="E151" s="6">
        <f>NAV!L192</f>
        <v>0</v>
      </c>
      <c r="F151" s="6">
        <f>NAV!M192</f>
        <v>0</v>
      </c>
      <c r="G151" s="6">
        <f>NAV!N192</f>
        <v>0</v>
      </c>
      <c r="H151" s="6">
        <f>NAV!O192</f>
        <v>0</v>
      </c>
      <c r="I151" s="6">
        <f>NAV!P192</f>
        <v>0</v>
      </c>
      <c r="J151" s="6">
        <f>NAV!Q192</f>
        <v>0</v>
      </c>
      <c r="K151" s="9">
        <f>NAV!R192</f>
        <v>0</v>
      </c>
      <c r="L151" s="6">
        <f>NAV!S192</f>
        <v>0</v>
      </c>
      <c r="M151" s="6">
        <f>NAV!T192</f>
        <v>0</v>
      </c>
      <c r="N151" s="6" t="str">
        <f>NAV!U192</f>
        <v>한국 원화(KRW)</v>
      </c>
      <c r="O151" s="6">
        <f>NAV!V192</f>
        <v>1</v>
      </c>
      <c r="P151" s="6">
        <f>NAV!W192</f>
        <v>0</v>
      </c>
      <c r="Q151" s="6">
        <f>NAV!X192</f>
        <v>0</v>
      </c>
      <c r="R151" s="6">
        <f>NAV!Y192</f>
        <v>0</v>
      </c>
      <c r="S151" s="6">
        <f>NAV!Z192</f>
        <v>0</v>
      </c>
      <c r="T151" s="6">
        <f>NAV!AA192</f>
        <v>0</v>
      </c>
      <c r="U151" s="10">
        <f>NAV!AB192</f>
        <v>0</v>
      </c>
      <c r="V151" s="6" t="str">
        <f>NAV!AC192</f>
        <v>2년이상</v>
      </c>
    </row>
    <row r="152" spans="1:22">
      <c r="A152" s="7">
        <f t="shared" si="2"/>
        <v>151</v>
      </c>
      <c r="B152" s="7">
        <f>TYPE(종목정보tbl!$C152)</f>
        <v>1</v>
      </c>
      <c r="C152" s="6">
        <f>NAV!J213</f>
        <v>0</v>
      </c>
      <c r="D152" s="6">
        <f>NAV!K213</f>
        <v>0</v>
      </c>
      <c r="E152" s="6">
        <f>NAV!L213</f>
        <v>0</v>
      </c>
      <c r="F152" s="6">
        <f>NAV!M213</f>
        <v>0</v>
      </c>
      <c r="G152" s="6">
        <f>NAV!N213</f>
        <v>0</v>
      </c>
      <c r="H152" s="6">
        <f>NAV!O213</f>
        <v>0</v>
      </c>
      <c r="I152" s="6">
        <f>NAV!P213</f>
        <v>0</v>
      </c>
      <c r="J152" s="6">
        <f>NAV!Q213</f>
        <v>0</v>
      </c>
      <c r="K152" s="9">
        <f>NAV!R213</f>
        <v>0</v>
      </c>
      <c r="L152" s="6">
        <f>NAV!S213</f>
        <v>0</v>
      </c>
      <c r="M152" s="6">
        <f>NAV!T213</f>
        <v>0</v>
      </c>
      <c r="N152" s="6" t="str">
        <f>NAV!U213</f>
        <v>한국 원화(KRW)</v>
      </c>
      <c r="O152" s="6">
        <f>NAV!V213</f>
        <v>1</v>
      </c>
      <c r="P152" s="6">
        <f>NAV!W213</f>
        <v>0</v>
      </c>
      <c r="Q152" s="6">
        <f>NAV!X213</f>
        <v>0</v>
      </c>
      <c r="R152" s="6">
        <f>NAV!Y213</f>
        <v>0</v>
      </c>
      <c r="S152" s="6">
        <f>NAV!Z213</f>
        <v>0</v>
      </c>
      <c r="T152" s="6">
        <f>NAV!AA213</f>
        <v>0</v>
      </c>
      <c r="U152" s="10">
        <f>NAV!AB213</f>
        <v>0</v>
      </c>
      <c r="V152" s="6" t="str">
        <f>NAV!AC213</f>
        <v>2년이상</v>
      </c>
    </row>
    <row r="153" spans="1:22">
      <c r="A153" s="7">
        <f t="shared" si="2"/>
        <v>152</v>
      </c>
      <c r="B153" s="7">
        <f>TYPE(종목정보tbl!$C153)</f>
        <v>1</v>
      </c>
      <c r="C153" s="6">
        <f>NAV!J214</f>
        <v>0</v>
      </c>
      <c r="D153" s="6">
        <f>NAV!K214</f>
        <v>0</v>
      </c>
      <c r="E153" s="6">
        <f>NAV!L214</f>
        <v>0</v>
      </c>
      <c r="F153" s="6">
        <f>NAV!M214</f>
        <v>0</v>
      </c>
      <c r="G153" s="6">
        <f>NAV!N214</f>
        <v>0</v>
      </c>
      <c r="H153" s="6">
        <f>NAV!O214</f>
        <v>0</v>
      </c>
      <c r="I153" s="6">
        <f>NAV!P214</f>
        <v>0</v>
      </c>
      <c r="J153" s="6">
        <f>NAV!Q214</f>
        <v>0</v>
      </c>
      <c r="K153" s="9">
        <f>NAV!R214</f>
        <v>0</v>
      </c>
      <c r="L153" s="6">
        <f>NAV!S214</f>
        <v>0</v>
      </c>
      <c r="M153" s="6">
        <f>NAV!T214</f>
        <v>0</v>
      </c>
      <c r="N153" s="6" t="str">
        <f>NAV!U214</f>
        <v>한국 원화(KRW)</v>
      </c>
      <c r="O153" s="6">
        <f>NAV!V214</f>
        <v>1</v>
      </c>
      <c r="P153" s="6">
        <f>NAV!W214</f>
        <v>0</v>
      </c>
      <c r="Q153" s="6">
        <f>NAV!X214</f>
        <v>0</v>
      </c>
      <c r="R153" s="6">
        <f>NAV!Y214</f>
        <v>0</v>
      </c>
      <c r="S153" s="6">
        <f>NAV!Z214</f>
        <v>0</v>
      </c>
      <c r="T153" s="6">
        <f>NAV!AA214</f>
        <v>0</v>
      </c>
      <c r="U153" s="10">
        <f>NAV!AB214</f>
        <v>0</v>
      </c>
      <c r="V153" s="6" t="str">
        <f>NAV!AC214</f>
        <v>2년이상</v>
      </c>
    </row>
    <row r="154" spans="1:22">
      <c r="A154" s="7">
        <f t="shared" si="2"/>
        <v>153</v>
      </c>
      <c r="B154" s="7">
        <f>TYPE(종목정보tbl!$C154)</f>
        <v>1</v>
      </c>
      <c r="C154" s="6">
        <f>NAV!J215</f>
        <v>0</v>
      </c>
      <c r="D154" s="6">
        <f>NAV!K215</f>
        <v>0</v>
      </c>
      <c r="E154" s="6">
        <f>NAV!L215</f>
        <v>0</v>
      </c>
      <c r="F154" s="6">
        <f>NAV!M215</f>
        <v>0</v>
      </c>
      <c r="G154" s="6">
        <f>NAV!N215</f>
        <v>0</v>
      </c>
      <c r="H154" s="6">
        <f>NAV!O215</f>
        <v>0</v>
      </c>
      <c r="I154" s="6">
        <f>NAV!P215</f>
        <v>0</v>
      </c>
      <c r="J154" s="6">
        <f>NAV!Q215</f>
        <v>0</v>
      </c>
      <c r="K154" s="9">
        <f>NAV!R215</f>
        <v>0</v>
      </c>
      <c r="L154" s="6">
        <f>NAV!S215</f>
        <v>0</v>
      </c>
      <c r="M154" s="6">
        <f>NAV!T215</f>
        <v>0</v>
      </c>
      <c r="N154" s="6" t="str">
        <f>NAV!U215</f>
        <v>한국 원화(KRW)</v>
      </c>
      <c r="O154" s="6">
        <f>NAV!V215</f>
        <v>1</v>
      </c>
      <c r="P154" s="6">
        <f>NAV!W215</f>
        <v>0</v>
      </c>
      <c r="Q154" s="6">
        <f>NAV!X215</f>
        <v>0</v>
      </c>
      <c r="R154" s="6">
        <f>NAV!Y215</f>
        <v>0</v>
      </c>
      <c r="S154" s="6">
        <f>NAV!Z215</f>
        <v>0</v>
      </c>
      <c r="T154" s="6">
        <f>NAV!AA215</f>
        <v>0</v>
      </c>
      <c r="U154" s="10">
        <f>NAV!AB215</f>
        <v>0</v>
      </c>
      <c r="V154" s="6" t="str">
        <f>NAV!AC215</f>
        <v>2년이상</v>
      </c>
    </row>
    <row r="155" spans="1:22">
      <c r="A155" s="7">
        <f t="shared" si="2"/>
        <v>154</v>
      </c>
      <c r="B155" s="7">
        <f>TYPE(종목정보tbl!$C155)</f>
        <v>1</v>
      </c>
      <c r="C155" s="6">
        <f>NAV!J216</f>
        <v>0</v>
      </c>
      <c r="D155" s="6">
        <f>NAV!K216</f>
        <v>0</v>
      </c>
      <c r="E155" s="6">
        <f>NAV!L216</f>
        <v>0</v>
      </c>
      <c r="F155" s="6">
        <f>NAV!M216</f>
        <v>0</v>
      </c>
      <c r="G155" s="6">
        <f>NAV!N216</f>
        <v>0</v>
      </c>
      <c r="H155" s="6">
        <f>NAV!O216</f>
        <v>0</v>
      </c>
      <c r="I155" s="6">
        <f>NAV!P216</f>
        <v>0</v>
      </c>
      <c r="J155" s="6">
        <f>NAV!Q216</f>
        <v>0</v>
      </c>
      <c r="K155" s="9">
        <f>NAV!R216</f>
        <v>0</v>
      </c>
      <c r="L155" s="6">
        <f>NAV!S216</f>
        <v>0</v>
      </c>
      <c r="M155" s="6">
        <f>NAV!T216</f>
        <v>0</v>
      </c>
      <c r="N155" s="6" t="str">
        <f>NAV!U216</f>
        <v>한국 원화(KRW)</v>
      </c>
      <c r="O155" s="6">
        <f>NAV!V216</f>
        <v>1</v>
      </c>
      <c r="P155" s="6">
        <f>NAV!W216</f>
        <v>0</v>
      </c>
      <c r="Q155" s="6">
        <f>NAV!X216</f>
        <v>0</v>
      </c>
      <c r="R155" s="6">
        <f>NAV!Y216</f>
        <v>0</v>
      </c>
      <c r="S155" s="6">
        <f>NAV!Z216</f>
        <v>0</v>
      </c>
      <c r="T155" s="6">
        <f>NAV!AA216</f>
        <v>0</v>
      </c>
      <c r="U155" s="10">
        <f>NAV!AB216</f>
        <v>0</v>
      </c>
      <c r="V155" s="6" t="str">
        <f>NAV!AC216</f>
        <v>2년이상</v>
      </c>
    </row>
    <row r="156" spans="1:22">
      <c r="A156" s="7">
        <f t="shared" si="2"/>
        <v>155</v>
      </c>
      <c r="B156" s="7">
        <f>TYPE(종목정보tbl!$C156)</f>
        <v>1</v>
      </c>
      <c r="C156" s="6">
        <f>NAV!J217</f>
        <v>0</v>
      </c>
      <c r="D156" s="6">
        <f>NAV!K217</f>
        <v>0</v>
      </c>
      <c r="E156" s="6">
        <f>NAV!L217</f>
        <v>0</v>
      </c>
      <c r="F156" s="6">
        <f>NAV!M217</f>
        <v>0</v>
      </c>
      <c r="G156" s="6">
        <f>NAV!N217</f>
        <v>0</v>
      </c>
      <c r="H156" s="6">
        <f>NAV!O217</f>
        <v>0</v>
      </c>
      <c r="I156" s="6">
        <f>NAV!P217</f>
        <v>0</v>
      </c>
      <c r="J156" s="6">
        <f>NAV!Q217</f>
        <v>0</v>
      </c>
      <c r="K156" s="9">
        <f>NAV!R217</f>
        <v>0</v>
      </c>
      <c r="L156" s="6">
        <f>NAV!S217</f>
        <v>0</v>
      </c>
      <c r="M156" s="6">
        <f>NAV!T217</f>
        <v>0</v>
      </c>
      <c r="N156" s="6" t="str">
        <f>NAV!U217</f>
        <v>한국 원화(KRW)</v>
      </c>
      <c r="O156" s="6">
        <f>NAV!V217</f>
        <v>1</v>
      </c>
      <c r="P156" s="6">
        <f>NAV!W217</f>
        <v>0</v>
      </c>
      <c r="Q156" s="6">
        <f>NAV!X217</f>
        <v>0</v>
      </c>
      <c r="R156" s="6">
        <f>NAV!Y217</f>
        <v>0</v>
      </c>
      <c r="S156" s="6">
        <f>NAV!Z217</f>
        <v>0</v>
      </c>
      <c r="T156" s="6">
        <f>NAV!AA217</f>
        <v>0</v>
      </c>
      <c r="U156" s="10">
        <f>NAV!AB217</f>
        <v>0</v>
      </c>
      <c r="V156" s="6" t="str">
        <f>NAV!AC217</f>
        <v>2년이상</v>
      </c>
    </row>
    <row r="157" spans="1:22">
      <c r="A157" s="7">
        <f t="shared" si="2"/>
        <v>156</v>
      </c>
      <c r="B157" s="7">
        <f>TYPE(종목정보tbl!$C157)</f>
        <v>1</v>
      </c>
      <c r="C157" s="6">
        <f>NAV!J218</f>
        <v>0</v>
      </c>
      <c r="D157" s="6">
        <f>NAV!K218</f>
        <v>0</v>
      </c>
      <c r="E157" s="6">
        <f>NAV!L218</f>
        <v>0</v>
      </c>
      <c r="F157" s="6">
        <f>NAV!M218</f>
        <v>0</v>
      </c>
      <c r="G157" s="6">
        <f>NAV!N218</f>
        <v>0</v>
      </c>
      <c r="H157" s="6">
        <f>NAV!O218</f>
        <v>0</v>
      </c>
      <c r="I157" s="6">
        <f>NAV!P218</f>
        <v>0</v>
      </c>
      <c r="J157" s="6">
        <f>NAV!Q218</f>
        <v>0</v>
      </c>
      <c r="K157" s="9">
        <f>NAV!R218</f>
        <v>0</v>
      </c>
      <c r="L157" s="6">
        <f>NAV!S218</f>
        <v>0</v>
      </c>
      <c r="M157" s="6">
        <f>NAV!T218</f>
        <v>0</v>
      </c>
      <c r="N157" s="6" t="str">
        <f>NAV!U218</f>
        <v>한국 원화(KRW)</v>
      </c>
      <c r="O157" s="6">
        <f>NAV!V218</f>
        <v>1</v>
      </c>
      <c r="P157" s="6">
        <f>NAV!W218</f>
        <v>0</v>
      </c>
      <c r="Q157" s="6">
        <f>NAV!X218</f>
        <v>0</v>
      </c>
      <c r="R157" s="6">
        <f>NAV!Y218</f>
        <v>0</v>
      </c>
      <c r="S157" s="6">
        <f>NAV!Z218</f>
        <v>0</v>
      </c>
      <c r="T157" s="6">
        <f>NAV!AA218</f>
        <v>0</v>
      </c>
      <c r="U157" s="10">
        <f>NAV!AB218</f>
        <v>0</v>
      </c>
      <c r="V157" s="6" t="str">
        <f>NAV!AC218</f>
        <v>2년이상</v>
      </c>
    </row>
    <row r="158" spans="1:22">
      <c r="A158" s="7">
        <f t="shared" si="2"/>
        <v>157</v>
      </c>
      <c r="B158" s="7">
        <f>TYPE(종목정보tbl!$C158)</f>
        <v>1</v>
      </c>
      <c r="C158" s="6">
        <f>NAV!J219</f>
        <v>0</v>
      </c>
      <c r="D158" s="6">
        <f>NAV!K219</f>
        <v>0</v>
      </c>
      <c r="E158" s="6">
        <f>NAV!L219</f>
        <v>0</v>
      </c>
      <c r="F158" s="6">
        <f>NAV!M219</f>
        <v>0</v>
      </c>
      <c r="G158" s="6">
        <f>NAV!N219</f>
        <v>0</v>
      </c>
      <c r="H158" s="6">
        <f>NAV!O219</f>
        <v>0</v>
      </c>
      <c r="I158" s="6">
        <f>NAV!P219</f>
        <v>0</v>
      </c>
      <c r="J158" s="6">
        <f>NAV!Q219</f>
        <v>0</v>
      </c>
      <c r="K158" s="9">
        <f>NAV!R219</f>
        <v>0</v>
      </c>
      <c r="L158" s="6">
        <f>NAV!S219</f>
        <v>0</v>
      </c>
      <c r="M158" s="6">
        <f>NAV!T219</f>
        <v>0</v>
      </c>
      <c r="N158" s="6" t="str">
        <f>NAV!U219</f>
        <v>한국 원화(KRW)</v>
      </c>
      <c r="O158" s="6">
        <f>NAV!V219</f>
        <v>1</v>
      </c>
      <c r="P158" s="6">
        <f>NAV!W219</f>
        <v>0</v>
      </c>
      <c r="Q158" s="6">
        <f>NAV!X219</f>
        <v>0</v>
      </c>
      <c r="R158" s="6">
        <f>NAV!Y219</f>
        <v>0</v>
      </c>
      <c r="S158" s="6">
        <f>NAV!Z219</f>
        <v>0</v>
      </c>
      <c r="T158" s="6">
        <f>NAV!AA219</f>
        <v>0</v>
      </c>
      <c r="U158" s="10">
        <f>NAV!AB219</f>
        <v>0</v>
      </c>
      <c r="V158" s="6" t="str">
        <f>NAV!AC219</f>
        <v>2년이상</v>
      </c>
    </row>
    <row r="159" spans="1:22">
      <c r="A159" s="7">
        <f t="shared" si="2"/>
        <v>158</v>
      </c>
      <c r="B159" s="7">
        <f>TYPE(종목정보tbl!$C159)</f>
        <v>1</v>
      </c>
      <c r="C159" s="6">
        <f>NAV!J220</f>
        <v>0</v>
      </c>
      <c r="D159" s="6">
        <f>NAV!K220</f>
        <v>0</v>
      </c>
      <c r="E159" s="6">
        <f>NAV!L220</f>
        <v>0</v>
      </c>
      <c r="F159" s="6">
        <f>NAV!M220</f>
        <v>0</v>
      </c>
      <c r="G159" s="6">
        <f>NAV!N220</f>
        <v>0</v>
      </c>
      <c r="H159" s="6">
        <f>NAV!O220</f>
        <v>0</v>
      </c>
      <c r="I159" s="6">
        <f>NAV!P220</f>
        <v>0</v>
      </c>
      <c r="J159" s="6">
        <f>NAV!Q220</f>
        <v>0</v>
      </c>
      <c r="K159" s="9">
        <f>NAV!R220</f>
        <v>0</v>
      </c>
      <c r="L159" s="6">
        <f>NAV!S220</f>
        <v>0</v>
      </c>
      <c r="M159" s="6">
        <f>NAV!T220</f>
        <v>0</v>
      </c>
      <c r="N159" s="6" t="str">
        <f>NAV!U220</f>
        <v>한국 원화(KRW)</v>
      </c>
      <c r="O159" s="6">
        <f>NAV!V220</f>
        <v>1</v>
      </c>
      <c r="P159" s="6">
        <f>NAV!W220</f>
        <v>0</v>
      </c>
      <c r="Q159" s="6">
        <f>NAV!X220</f>
        <v>0</v>
      </c>
      <c r="R159" s="6">
        <f>NAV!Y220</f>
        <v>0</v>
      </c>
      <c r="S159" s="6">
        <f>NAV!Z220</f>
        <v>0</v>
      </c>
      <c r="T159" s="6">
        <f>NAV!AA220</f>
        <v>0</v>
      </c>
      <c r="U159" s="10">
        <f>NAV!AB220</f>
        <v>0</v>
      </c>
      <c r="V159" s="6" t="str">
        <f>NAV!AC220</f>
        <v>2년이상</v>
      </c>
    </row>
    <row r="160" spans="1:22">
      <c r="A160" s="7">
        <f t="shared" si="2"/>
        <v>159</v>
      </c>
      <c r="B160" s="7">
        <f>TYPE(종목정보tbl!$C160)</f>
        <v>1</v>
      </c>
      <c r="C160" s="6">
        <f>NAV!J221</f>
        <v>0</v>
      </c>
      <c r="D160" s="6">
        <f>NAV!K221</f>
        <v>0</v>
      </c>
      <c r="E160" s="6">
        <f>NAV!L221</f>
        <v>0</v>
      </c>
      <c r="F160" s="6">
        <f>NAV!M221</f>
        <v>0</v>
      </c>
      <c r="G160" s="6">
        <f>NAV!N221</f>
        <v>0</v>
      </c>
      <c r="H160" s="6">
        <f>NAV!O221</f>
        <v>0</v>
      </c>
      <c r="I160" s="6">
        <f>NAV!P221</f>
        <v>0</v>
      </c>
      <c r="J160" s="6">
        <f>NAV!Q221</f>
        <v>0</v>
      </c>
      <c r="K160" s="9">
        <f>NAV!R221</f>
        <v>0</v>
      </c>
      <c r="L160" s="6">
        <f>NAV!S221</f>
        <v>0</v>
      </c>
      <c r="M160" s="6">
        <f>NAV!T221</f>
        <v>0</v>
      </c>
      <c r="N160" s="6" t="str">
        <f>NAV!U221</f>
        <v>한국 원화(KRW)</v>
      </c>
      <c r="O160" s="6">
        <f>NAV!V221</f>
        <v>1</v>
      </c>
      <c r="P160" s="6">
        <f>NAV!W221</f>
        <v>0</v>
      </c>
      <c r="Q160" s="6">
        <f>NAV!X221</f>
        <v>0</v>
      </c>
      <c r="R160" s="6">
        <f>NAV!Y221</f>
        <v>0</v>
      </c>
      <c r="S160" s="6">
        <f>NAV!Z221</f>
        <v>0</v>
      </c>
      <c r="T160" s="6">
        <f>NAV!AA221</f>
        <v>0</v>
      </c>
      <c r="U160" s="10">
        <f>NAV!AB221</f>
        <v>0</v>
      </c>
      <c r="V160" s="6" t="str">
        <f>NAV!AC221</f>
        <v>2년이상</v>
      </c>
    </row>
    <row r="161" spans="1:22">
      <c r="A161" s="7">
        <f t="shared" si="2"/>
        <v>160</v>
      </c>
      <c r="B161" s="7">
        <f>TYPE(종목정보tbl!$C161)</f>
        <v>1</v>
      </c>
      <c r="C161" s="6">
        <f>NAV!J222</f>
        <v>0</v>
      </c>
      <c r="D161" s="6">
        <f>NAV!K222</f>
        <v>0</v>
      </c>
      <c r="E161" s="6">
        <f>NAV!L222</f>
        <v>0</v>
      </c>
      <c r="F161" s="6">
        <f>NAV!M222</f>
        <v>0</v>
      </c>
      <c r="G161" s="6">
        <f>NAV!N222</f>
        <v>0</v>
      </c>
      <c r="H161" s="6">
        <f>NAV!O222</f>
        <v>0</v>
      </c>
      <c r="I161" s="6">
        <f>NAV!P222</f>
        <v>0</v>
      </c>
      <c r="J161" s="6">
        <f>NAV!Q222</f>
        <v>0</v>
      </c>
      <c r="K161" s="9">
        <f>NAV!R222</f>
        <v>0</v>
      </c>
      <c r="L161" s="6">
        <f>NAV!S222</f>
        <v>0</v>
      </c>
      <c r="M161" s="6">
        <f>NAV!T222</f>
        <v>0</v>
      </c>
      <c r="N161" s="6" t="str">
        <f>NAV!U222</f>
        <v>한국 원화(KRW)</v>
      </c>
      <c r="O161" s="6">
        <f>NAV!V222</f>
        <v>1</v>
      </c>
      <c r="P161" s="6">
        <f>NAV!W222</f>
        <v>0</v>
      </c>
      <c r="Q161" s="6">
        <f>NAV!X222</f>
        <v>0</v>
      </c>
      <c r="R161" s="6">
        <f>NAV!Y222</f>
        <v>0</v>
      </c>
      <c r="S161" s="6">
        <f>NAV!Z222</f>
        <v>0</v>
      </c>
      <c r="T161" s="6">
        <f>NAV!AA222</f>
        <v>0</v>
      </c>
      <c r="U161" s="10">
        <f>NAV!AB222</f>
        <v>0</v>
      </c>
      <c r="V161" s="6" t="str">
        <f>NAV!AC222</f>
        <v>2년이상</v>
      </c>
    </row>
    <row r="162" spans="1:22">
      <c r="A162" s="7">
        <f t="shared" si="2"/>
        <v>161</v>
      </c>
      <c r="B162" s="7">
        <f>TYPE(종목정보tbl!$C162)</f>
        <v>1</v>
      </c>
      <c r="C162" s="6">
        <f>NAV!J223</f>
        <v>0</v>
      </c>
      <c r="D162" s="6">
        <f>NAV!K223</f>
        <v>0</v>
      </c>
      <c r="E162" s="6">
        <f>NAV!L223</f>
        <v>0</v>
      </c>
      <c r="F162" s="6">
        <f>NAV!M223</f>
        <v>0</v>
      </c>
      <c r="G162" s="6">
        <f>NAV!N223</f>
        <v>0</v>
      </c>
      <c r="H162" s="6">
        <f>NAV!O223</f>
        <v>0</v>
      </c>
      <c r="I162" s="6">
        <f>NAV!P223</f>
        <v>0</v>
      </c>
      <c r="J162" s="6">
        <f>NAV!Q223</f>
        <v>0</v>
      </c>
      <c r="K162" s="9">
        <f>NAV!R223</f>
        <v>0</v>
      </c>
      <c r="L162" s="6">
        <f>NAV!S223</f>
        <v>0</v>
      </c>
      <c r="M162" s="6">
        <f>NAV!T223</f>
        <v>0</v>
      </c>
      <c r="N162" s="6" t="str">
        <f>NAV!U223</f>
        <v>한국 원화(KRW)</v>
      </c>
      <c r="O162" s="6">
        <f>NAV!V223</f>
        <v>1</v>
      </c>
      <c r="P162" s="6">
        <f>NAV!W223</f>
        <v>0</v>
      </c>
      <c r="Q162" s="6">
        <f>NAV!X223</f>
        <v>0</v>
      </c>
      <c r="R162" s="6">
        <f>NAV!Y223</f>
        <v>0</v>
      </c>
      <c r="S162" s="6">
        <f>NAV!Z223</f>
        <v>0</v>
      </c>
      <c r="T162" s="6">
        <f>NAV!AA223</f>
        <v>0</v>
      </c>
      <c r="U162" s="10">
        <f>NAV!AB223</f>
        <v>0</v>
      </c>
      <c r="V162" s="6" t="str">
        <f>NAV!AC223</f>
        <v>2년이상</v>
      </c>
    </row>
    <row r="163" spans="1:22">
      <c r="A163" s="7">
        <f t="shared" si="2"/>
        <v>162</v>
      </c>
      <c r="B163" s="7">
        <f>TYPE(종목정보tbl!$C163)</f>
        <v>1</v>
      </c>
      <c r="C163" s="6">
        <f>NAV!J251</f>
        <v>0</v>
      </c>
      <c r="D163" s="6">
        <f>NAV!K251</f>
        <v>0</v>
      </c>
      <c r="E163" s="6">
        <f>NAV!L251</f>
        <v>0</v>
      </c>
      <c r="F163" s="6">
        <f>NAV!M251</f>
        <v>0</v>
      </c>
      <c r="G163" s="6">
        <f>NAV!N251</f>
        <v>0</v>
      </c>
      <c r="H163" s="6">
        <f>NAV!O251</f>
        <v>0</v>
      </c>
      <c r="I163" s="6">
        <f>NAV!P251</f>
        <v>0</v>
      </c>
      <c r="J163" s="6">
        <f>NAV!Q251</f>
        <v>0</v>
      </c>
      <c r="K163" s="9">
        <f>NAV!R251</f>
        <v>0</v>
      </c>
      <c r="L163" s="6">
        <f>NAV!S251</f>
        <v>0</v>
      </c>
      <c r="M163" s="6">
        <f>NAV!T251</f>
        <v>0</v>
      </c>
      <c r="N163" s="6" t="str">
        <f>NAV!U251</f>
        <v>한국 원화(KRW)</v>
      </c>
      <c r="O163" s="6">
        <f>NAV!V251</f>
        <v>1</v>
      </c>
      <c r="P163" s="6">
        <f>NAV!W251</f>
        <v>0</v>
      </c>
      <c r="Q163" s="6">
        <f>NAV!X251</f>
        <v>0</v>
      </c>
      <c r="R163" s="6">
        <f>NAV!Y251</f>
        <v>0</v>
      </c>
      <c r="S163" s="6">
        <f>NAV!Z251</f>
        <v>0</v>
      </c>
      <c r="T163" s="6">
        <f>NAV!AA251</f>
        <v>0</v>
      </c>
      <c r="U163" s="10">
        <f>NAV!AB251</f>
        <v>0</v>
      </c>
      <c r="V163" s="6" t="str">
        <f>NAV!AC251</f>
        <v>2년이상</v>
      </c>
    </row>
    <row r="164" spans="1:22">
      <c r="A164" s="7">
        <f t="shared" si="2"/>
        <v>163</v>
      </c>
      <c r="B164" s="7">
        <f>TYPE(종목정보tbl!$C164)</f>
        <v>1</v>
      </c>
      <c r="C164" s="6">
        <f>NAV!J252</f>
        <v>0</v>
      </c>
      <c r="D164" s="6">
        <f>NAV!K252</f>
        <v>0</v>
      </c>
      <c r="E164" s="6">
        <f>NAV!L252</f>
        <v>0</v>
      </c>
      <c r="F164" s="6">
        <f>NAV!M252</f>
        <v>0</v>
      </c>
      <c r="G164" s="6">
        <f>NAV!N252</f>
        <v>0</v>
      </c>
      <c r="H164" s="6">
        <f>NAV!O252</f>
        <v>0</v>
      </c>
      <c r="I164" s="6">
        <f>NAV!P252</f>
        <v>0</v>
      </c>
      <c r="J164" s="6">
        <f>NAV!Q252</f>
        <v>0</v>
      </c>
      <c r="K164" s="9">
        <f>NAV!R252</f>
        <v>0</v>
      </c>
      <c r="L164" s="6">
        <f>NAV!S252</f>
        <v>0</v>
      </c>
      <c r="M164" s="6">
        <f>NAV!T252</f>
        <v>0</v>
      </c>
      <c r="N164" s="6" t="str">
        <f>NAV!U252</f>
        <v>한국 원화(KRW)</v>
      </c>
      <c r="O164" s="6">
        <f>NAV!V252</f>
        <v>1</v>
      </c>
      <c r="P164" s="6">
        <f>NAV!W252</f>
        <v>0</v>
      </c>
      <c r="Q164" s="6">
        <f>NAV!X252</f>
        <v>0</v>
      </c>
      <c r="R164" s="6">
        <f>NAV!Y252</f>
        <v>0</v>
      </c>
      <c r="S164" s="6">
        <f>NAV!Z252</f>
        <v>0</v>
      </c>
      <c r="T164" s="6">
        <f>NAV!AA252</f>
        <v>0</v>
      </c>
      <c r="U164" s="10">
        <f>NAV!AB252</f>
        <v>0</v>
      </c>
      <c r="V164" s="6" t="str">
        <f>NAV!AC252</f>
        <v>2년이상</v>
      </c>
    </row>
    <row r="165" spans="1:22">
      <c r="A165" s="7">
        <f t="shared" si="2"/>
        <v>164</v>
      </c>
      <c r="B165" s="7">
        <f>TYPE(종목정보tbl!$C165)</f>
        <v>1</v>
      </c>
      <c r="C165" s="6">
        <f>NAV!J253</f>
        <v>0</v>
      </c>
      <c r="D165" s="6">
        <f>NAV!K253</f>
        <v>0</v>
      </c>
      <c r="E165" s="6">
        <f>NAV!L253</f>
        <v>0</v>
      </c>
      <c r="F165" s="6">
        <f>NAV!M253</f>
        <v>0</v>
      </c>
      <c r="G165" s="6">
        <f>NAV!N253</f>
        <v>0</v>
      </c>
      <c r="H165" s="6">
        <f>NAV!O253</f>
        <v>0</v>
      </c>
      <c r="I165" s="6">
        <f>NAV!P253</f>
        <v>0</v>
      </c>
      <c r="J165" s="6">
        <f>NAV!Q253</f>
        <v>0</v>
      </c>
      <c r="K165" s="9">
        <f>NAV!R253</f>
        <v>0</v>
      </c>
      <c r="L165" s="6">
        <f>NAV!S253</f>
        <v>0</v>
      </c>
      <c r="M165" s="6">
        <f>NAV!T253</f>
        <v>0</v>
      </c>
      <c r="N165" s="6" t="str">
        <f>NAV!U253</f>
        <v>한국 원화(KRW)</v>
      </c>
      <c r="O165" s="6">
        <f>NAV!V253</f>
        <v>1</v>
      </c>
      <c r="P165" s="6">
        <f>NAV!W253</f>
        <v>0</v>
      </c>
      <c r="Q165" s="6">
        <f>NAV!X253</f>
        <v>0</v>
      </c>
      <c r="R165" s="6">
        <f>NAV!Y253</f>
        <v>0</v>
      </c>
      <c r="S165" s="6">
        <f>NAV!Z253</f>
        <v>0</v>
      </c>
      <c r="T165" s="6">
        <f>NAV!AA253</f>
        <v>0</v>
      </c>
      <c r="U165" s="10">
        <f>NAV!AB253</f>
        <v>0</v>
      </c>
      <c r="V165" s="6" t="str">
        <f>NAV!AC253</f>
        <v>2년이상</v>
      </c>
    </row>
    <row r="166" spans="1:22">
      <c r="A166" s="7">
        <f t="shared" si="2"/>
        <v>165</v>
      </c>
      <c r="B166" s="7">
        <f>TYPE(종목정보tbl!$C166)</f>
        <v>1</v>
      </c>
      <c r="C166" s="6">
        <f>NAV!J254</f>
        <v>0</v>
      </c>
      <c r="D166" s="6">
        <f>NAV!K254</f>
        <v>0</v>
      </c>
      <c r="E166" s="6">
        <f>NAV!L254</f>
        <v>0</v>
      </c>
      <c r="F166" s="6">
        <f>NAV!M254</f>
        <v>0</v>
      </c>
      <c r="G166" s="6">
        <f>NAV!N254</f>
        <v>0</v>
      </c>
      <c r="H166" s="6">
        <f>NAV!O254</f>
        <v>0</v>
      </c>
      <c r="I166" s="6">
        <f>NAV!P254</f>
        <v>0</v>
      </c>
      <c r="J166" s="6">
        <f>NAV!Q254</f>
        <v>0</v>
      </c>
      <c r="K166" s="9">
        <f>NAV!R254</f>
        <v>0</v>
      </c>
      <c r="L166" s="6">
        <f>NAV!S254</f>
        <v>0</v>
      </c>
      <c r="M166" s="6">
        <f>NAV!T254</f>
        <v>0</v>
      </c>
      <c r="N166" s="6" t="str">
        <f>NAV!U254</f>
        <v>한국 원화(KRW)</v>
      </c>
      <c r="O166" s="6">
        <f>NAV!V254</f>
        <v>1</v>
      </c>
      <c r="P166" s="6">
        <f>NAV!W254</f>
        <v>0</v>
      </c>
      <c r="Q166" s="6">
        <f>NAV!X254</f>
        <v>0</v>
      </c>
      <c r="R166" s="6">
        <f>NAV!Y254</f>
        <v>0</v>
      </c>
      <c r="S166" s="6">
        <f>NAV!Z254</f>
        <v>0</v>
      </c>
      <c r="T166" s="6">
        <f>NAV!AA254</f>
        <v>0</v>
      </c>
      <c r="U166" s="10">
        <f>NAV!AB254</f>
        <v>0</v>
      </c>
      <c r="V166" s="6" t="str">
        <f>NAV!AC254</f>
        <v>2년이상</v>
      </c>
    </row>
    <row r="167" spans="1:22">
      <c r="A167" s="7">
        <f t="shared" si="2"/>
        <v>166</v>
      </c>
      <c r="B167" s="7">
        <f>TYPE(종목정보tbl!$C167)</f>
        <v>1</v>
      </c>
      <c r="C167" s="6">
        <f>NAV!J255</f>
        <v>0</v>
      </c>
      <c r="D167" s="6">
        <f>NAV!K255</f>
        <v>0</v>
      </c>
      <c r="E167" s="6">
        <f>NAV!L255</f>
        <v>0</v>
      </c>
      <c r="F167" s="6">
        <f>NAV!M255</f>
        <v>0</v>
      </c>
      <c r="G167" s="6">
        <f>NAV!N255</f>
        <v>0</v>
      </c>
      <c r="H167" s="6">
        <f>NAV!O255</f>
        <v>0</v>
      </c>
      <c r="I167" s="6">
        <f>NAV!P255</f>
        <v>0</v>
      </c>
      <c r="J167" s="6">
        <f>NAV!Q255</f>
        <v>0</v>
      </c>
      <c r="K167" s="9">
        <f>NAV!R255</f>
        <v>0</v>
      </c>
      <c r="L167" s="6">
        <f>NAV!S255</f>
        <v>0</v>
      </c>
      <c r="M167" s="6">
        <f>NAV!T255</f>
        <v>0</v>
      </c>
      <c r="N167" s="6" t="str">
        <f>NAV!U255</f>
        <v>한국 원화(KRW)</v>
      </c>
      <c r="O167" s="6">
        <f>NAV!V255</f>
        <v>1</v>
      </c>
      <c r="P167" s="6">
        <f>NAV!W255</f>
        <v>0</v>
      </c>
      <c r="Q167" s="6">
        <f>NAV!X255</f>
        <v>0</v>
      </c>
      <c r="R167" s="6">
        <f>NAV!Y255</f>
        <v>0</v>
      </c>
      <c r="S167" s="6">
        <f>NAV!Z255</f>
        <v>0</v>
      </c>
      <c r="T167" s="6">
        <f>NAV!AA255</f>
        <v>0</v>
      </c>
      <c r="U167" s="10">
        <f>NAV!AB255</f>
        <v>0</v>
      </c>
      <c r="V167" s="6" t="str">
        <f>NAV!AC255</f>
        <v>2년이상</v>
      </c>
    </row>
    <row r="168" spans="1:22">
      <c r="A168" s="7">
        <f t="shared" si="2"/>
        <v>167</v>
      </c>
      <c r="B168" s="7">
        <f>TYPE(종목정보tbl!$C168)</f>
        <v>1</v>
      </c>
      <c r="C168" s="6">
        <f>NAV!J256</f>
        <v>0</v>
      </c>
      <c r="D168" s="6">
        <f>NAV!K256</f>
        <v>0</v>
      </c>
      <c r="E168" s="6">
        <f>NAV!L256</f>
        <v>0</v>
      </c>
      <c r="F168" s="6">
        <f>NAV!M256</f>
        <v>0</v>
      </c>
      <c r="G168" s="6">
        <f>NAV!N256</f>
        <v>0</v>
      </c>
      <c r="H168" s="6">
        <f>NAV!O256</f>
        <v>0</v>
      </c>
      <c r="I168" s="6">
        <f>NAV!P256</f>
        <v>0</v>
      </c>
      <c r="J168" s="6">
        <f>NAV!Q256</f>
        <v>0</v>
      </c>
      <c r="K168" s="9">
        <f>NAV!R256</f>
        <v>0</v>
      </c>
      <c r="L168" s="6">
        <f>NAV!S256</f>
        <v>0</v>
      </c>
      <c r="M168" s="6">
        <f>NAV!T256</f>
        <v>0</v>
      </c>
      <c r="N168" s="6" t="str">
        <f>NAV!U256</f>
        <v>한국 원화(KRW)</v>
      </c>
      <c r="O168" s="6">
        <f>NAV!V256</f>
        <v>1</v>
      </c>
      <c r="P168" s="6">
        <f>NAV!W256</f>
        <v>0</v>
      </c>
      <c r="Q168" s="6">
        <f>NAV!X256</f>
        <v>0</v>
      </c>
      <c r="R168" s="6">
        <f>NAV!Y256</f>
        <v>0</v>
      </c>
      <c r="S168" s="6">
        <f>NAV!Z256</f>
        <v>0</v>
      </c>
      <c r="T168" s="6">
        <f>NAV!AA256</f>
        <v>0</v>
      </c>
      <c r="U168" s="10">
        <f>NAV!AB256</f>
        <v>0</v>
      </c>
      <c r="V168" s="6" t="str">
        <f>NAV!AC256</f>
        <v>2년이상</v>
      </c>
    </row>
    <row r="169" spans="1:22">
      <c r="A169" s="7">
        <f t="shared" si="2"/>
        <v>168</v>
      </c>
      <c r="B169" s="7">
        <f>TYPE(종목정보tbl!$C169)</f>
        <v>1</v>
      </c>
      <c r="C169" s="6">
        <f>NAV!J257</f>
        <v>0</v>
      </c>
      <c r="D169" s="6">
        <f>NAV!K257</f>
        <v>0</v>
      </c>
      <c r="E169" s="6">
        <f>NAV!L257</f>
        <v>0</v>
      </c>
      <c r="F169" s="6">
        <f>NAV!M257</f>
        <v>0</v>
      </c>
      <c r="G169" s="6">
        <f>NAV!N257</f>
        <v>0</v>
      </c>
      <c r="H169" s="6">
        <f>NAV!O257</f>
        <v>0</v>
      </c>
      <c r="I169" s="6">
        <f>NAV!P257</f>
        <v>0</v>
      </c>
      <c r="J169" s="6">
        <f>NAV!Q257</f>
        <v>0</v>
      </c>
      <c r="K169" s="9">
        <f>NAV!R257</f>
        <v>0</v>
      </c>
      <c r="L169" s="6">
        <f>NAV!S257</f>
        <v>0</v>
      </c>
      <c r="M169" s="6">
        <f>NAV!T257</f>
        <v>0</v>
      </c>
      <c r="N169" s="6" t="str">
        <f>NAV!U257</f>
        <v>한국 원화(KRW)</v>
      </c>
      <c r="O169" s="6">
        <f>NAV!V257</f>
        <v>1</v>
      </c>
      <c r="P169" s="6">
        <f>NAV!W257</f>
        <v>0</v>
      </c>
      <c r="Q169" s="6">
        <f>NAV!X257</f>
        <v>0</v>
      </c>
      <c r="R169" s="6">
        <f>NAV!Y257</f>
        <v>0</v>
      </c>
      <c r="S169" s="6">
        <f>NAV!Z257</f>
        <v>0</v>
      </c>
      <c r="T169" s="6">
        <f>NAV!AA257</f>
        <v>0</v>
      </c>
      <c r="U169" s="10">
        <f>NAV!AB257</f>
        <v>0</v>
      </c>
      <c r="V169" s="6" t="str">
        <f>NAV!AC257</f>
        <v>2년이상</v>
      </c>
    </row>
    <row r="170" spans="1:22">
      <c r="A170" s="7">
        <f t="shared" si="2"/>
        <v>169</v>
      </c>
      <c r="B170" s="7">
        <f>TYPE(종목정보tbl!$C170)</f>
        <v>1</v>
      </c>
      <c r="C170" s="6">
        <f>NAV!J258</f>
        <v>0</v>
      </c>
      <c r="D170" s="6">
        <f>NAV!K258</f>
        <v>0</v>
      </c>
      <c r="E170" s="6">
        <f>NAV!L258</f>
        <v>0</v>
      </c>
      <c r="F170" s="6">
        <f>NAV!M258</f>
        <v>0</v>
      </c>
      <c r="G170" s="6">
        <f>NAV!N258</f>
        <v>0</v>
      </c>
      <c r="H170" s="6">
        <f>NAV!O258</f>
        <v>0</v>
      </c>
      <c r="I170" s="6">
        <f>NAV!P258</f>
        <v>0</v>
      </c>
      <c r="J170" s="6">
        <f>NAV!Q258</f>
        <v>0</v>
      </c>
      <c r="K170" s="9">
        <f>NAV!R258</f>
        <v>0</v>
      </c>
      <c r="L170" s="6">
        <f>NAV!S258</f>
        <v>0</v>
      </c>
      <c r="M170" s="6">
        <f>NAV!T258</f>
        <v>0</v>
      </c>
      <c r="N170" s="6" t="str">
        <f>NAV!U258</f>
        <v>한국 원화(KRW)</v>
      </c>
      <c r="O170" s="6">
        <f>NAV!V258</f>
        <v>1</v>
      </c>
      <c r="P170" s="6">
        <f>NAV!W258</f>
        <v>0</v>
      </c>
      <c r="Q170" s="6">
        <f>NAV!X258</f>
        <v>0</v>
      </c>
      <c r="R170" s="6">
        <f>NAV!Y258</f>
        <v>0</v>
      </c>
      <c r="S170" s="6">
        <f>NAV!Z258</f>
        <v>0</v>
      </c>
      <c r="T170" s="6">
        <f>NAV!AA258</f>
        <v>0</v>
      </c>
      <c r="U170" s="10">
        <f>NAV!AB258</f>
        <v>0</v>
      </c>
      <c r="V170" s="6" t="str">
        <f>NAV!AC258</f>
        <v>2년이상</v>
      </c>
    </row>
    <row r="171" spans="1:22">
      <c r="A171" s="7">
        <f t="shared" si="2"/>
        <v>170</v>
      </c>
      <c r="B171" s="7">
        <f>TYPE(종목정보tbl!$C171)</f>
        <v>1</v>
      </c>
      <c r="C171" s="6">
        <f>NAV!J259</f>
        <v>0</v>
      </c>
      <c r="D171" s="6">
        <f>NAV!K259</f>
        <v>0</v>
      </c>
      <c r="E171" s="6">
        <f>NAV!L259</f>
        <v>0</v>
      </c>
      <c r="F171" s="6">
        <f>NAV!M259</f>
        <v>0</v>
      </c>
      <c r="G171" s="6">
        <f>NAV!N259</f>
        <v>0</v>
      </c>
      <c r="H171" s="6">
        <f>NAV!O259</f>
        <v>0</v>
      </c>
      <c r="I171" s="6">
        <f>NAV!P259</f>
        <v>0</v>
      </c>
      <c r="J171" s="6">
        <f>NAV!Q259</f>
        <v>0</v>
      </c>
      <c r="K171" s="9">
        <f>NAV!R259</f>
        <v>0</v>
      </c>
      <c r="L171" s="6">
        <f>NAV!S259</f>
        <v>0</v>
      </c>
      <c r="M171" s="6">
        <f>NAV!T259</f>
        <v>0</v>
      </c>
      <c r="N171" s="6" t="str">
        <f>NAV!U259</f>
        <v>한국 원화(KRW)</v>
      </c>
      <c r="O171" s="6">
        <f>NAV!V259</f>
        <v>1</v>
      </c>
      <c r="P171" s="6">
        <f>NAV!W259</f>
        <v>0</v>
      </c>
      <c r="Q171" s="6">
        <f>NAV!X259</f>
        <v>0</v>
      </c>
      <c r="R171" s="6">
        <f>NAV!Y259</f>
        <v>0</v>
      </c>
      <c r="S171" s="6">
        <f>NAV!Z259</f>
        <v>0</v>
      </c>
      <c r="T171" s="6">
        <f>NAV!AA259</f>
        <v>0</v>
      </c>
      <c r="U171" s="10">
        <f>NAV!AB259</f>
        <v>0</v>
      </c>
      <c r="V171" s="6" t="str">
        <f>NAV!AC259</f>
        <v>2년이상</v>
      </c>
    </row>
    <row r="172" spans="1:22">
      <c r="A172" s="7">
        <f t="shared" si="2"/>
        <v>171</v>
      </c>
      <c r="B172" s="7">
        <f>TYPE(종목정보tbl!$C172)</f>
        <v>1</v>
      </c>
      <c r="C172" s="6">
        <f>NAV!J260</f>
        <v>0</v>
      </c>
      <c r="D172" s="6">
        <f>NAV!K260</f>
        <v>0</v>
      </c>
      <c r="E172" s="6">
        <f>NAV!L260</f>
        <v>0</v>
      </c>
      <c r="F172" s="6">
        <f>NAV!M260</f>
        <v>0</v>
      </c>
      <c r="G172" s="6">
        <f>NAV!N260</f>
        <v>0</v>
      </c>
      <c r="H172" s="6">
        <f>NAV!O260</f>
        <v>0</v>
      </c>
      <c r="I172" s="6">
        <f>NAV!P260</f>
        <v>0</v>
      </c>
      <c r="J172" s="6">
        <f>NAV!Q260</f>
        <v>0</v>
      </c>
      <c r="K172" s="9">
        <f>NAV!R260</f>
        <v>0</v>
      </c>
      <c r="L172" s="6">
        <f>NAV!S260</f>
        <v>0</v>
      </c>
      <c r="M172" s="6">
        <f>NAV!T260</f>
        <v>0</v>
      </c>
      <c r="N172" s="6" t="str">
        <f>NAV!U260</f>
        <v>한국 원화(KRW)</v>
      </c>
      <c r="O172" s="6">
        <f>NAV!V260</f>
        <v>1</v>
      </c>
      <c r="P172" s="6">
        <f>NAV!W260</f>
        <v>0</v>
      </c>
      <c r="Q172" s="6">
        <f>NAV!X260</f>
        <v>0</v>
      </c>
      <c r="R172" s="6">
        <f>NAV!Y260</f>
        <v>0</v>
      </c>
      <c r="S172" s="6">
        <f>NAV!Z260</f>
        <v>0</v>
      </c>
      <c r="T172" s="6">
        <f>NAV!AA260</f>
        <v>0</v>
      </c>
      <c r="U172" s="10">
        <f>NAV!AB260</f>
        <v>0</v>
      </c>
      <c r="V172" s="6" t="str">
        <f>NAV!AC260</f>
        <v>2년이상</v>
      </c>
    </row>
    <row r="173" spans="1:22">
      <c r="A173" s="7">
        <f t="shared" si="2"/>
        <v>172</v>
      </c>
      <c r="B173" s="7">
        <f>TYPE(종목정보tbl!$C173)</f>
        <v>1</v>
      </c>
      <c r="C173" s="6">
        <f>NAV!J261</f>
        <v>0</v>
      </c>
      <c r="D173" s="6">
        <f>NAV!K261</f>
        <v>0</v>
      </c>
      <c r="E173" s="6">
        <f>NAV!L261</f>
        <v>0</v>
      </c>
      <c r="F173" s="6">
        <f>NAV!M261</f>
        <v>0</v>
      </c>
      <c r="G173" s="6">
        <f>NAV!N261</f>
        <v>0</v>
      </c>
      <c r="H173" s="6">
        <f>NAV!O261</f>
        <v>0</v>
      </c>
      <c r="I173" s="6">
        <f>NAV!P261</f>
        <v>0</v>
      </c>
      <c r="J173" s="6">
        <f>NAV!Q261</f>
        <v>0</v>
      </c>
      <c r="K173" s="9">
        <f>NAV!R261</f>
        <v>0</v>
      </c>
      <c r="L173" s="6">
        <f>NAV!S261</f>
        <v>0</v>
      </c>
      <c r="M173" s="6">
        <f>NAV!T261</f>
        <v>0</v>
      </c>
      <c r="N173" s="6" t="str">
        <f>NAV!U261</f>
        <v>한국 원화(KRW)</v>
      </c>
      <c r="O173" s="6">
        <f>NAV!V261</f>
        <v>1</v>
      </c>
      <c r="P173" s="6">
        <f>NAV!W261</f>
        <v>0</v>
      </c>
      <c r="Q173" s="6">
        <f>NAV!X261</f>
        <v>0</v>
      </c>
      <c r="R173" s="6">
        <f>NAV!Y261</f>
        <v>0</v>
      </c>
      <c r="S173" s="6">
        <f>NAV!Z261</f>
        <v>0</v>
      </c>
      <c r="T173" s="6">
        <f>NAV!AA261</f>
        <v>0</v>
      </c>
      <c r="U173" s="10">
        <f>NAV!AB261</f>
        <v>0</v>
      </c>
      <c r="V173" s="6" t="str">
        <f>NAV!AC261</f>
        <v>2년이상</v>
      </c>
    </row>
    <row r="174" spans="1:22">
      <c r="A174" s="7">
        <f t="shared" si="2"/>
        <v>173</v>
      </c>
      <c r="B174" s="7">
        <f>TYPE(종목정보tbl!$C174)</f>
        <v>1</v>
      </c>
      <c r="C174" s="6">
        <f>NAV!J289</f>
        <v>0</v>
      </c>
      <c r="D174" s="6">
        <f>NAV!K289</f>
        <v>0</v>
      </c>
      <c r="E174" s="6">
        <f>NAV!L289</f>
        <v>0</v>
      </c>
      <c r="F174" s="6">
        <f>NAV!M289</f>
        <v>0</v>
      </c>
      <c r="G174" s="6">
        <f>NAV!N289</f>
        <v>0</v>
      </c>
      <c r="H174" s="6">
        <f>NAV!O289</f>
        <v>0</v>
      </c>
      <c r="I174" s="6">
        <f>NAV!P289</f>
        <v>0</v>
      </c>
      <c r="J174" s="6">
        <f>NAV!Q289</f>
        <v>0</v>
      </c>
      <c r="K174" s="9">
        <f>NAV!R289</f>
        <v>0</v>
      </c>
      <c r="L174" s="6">
        <f>NAV!S289</f>
        <v>0</v>
      </c>
      <c r="M174" s="6">
        <f>NAV!T289</f>
        <v>0</v>
      </c>
      <c r="N174" s="6" t="str">
        <f>NAV!U289</f>
        <v>한국 원화(KRW)</v>
      </c>
      <c r="O174" s="6">
        <f>NAV!V289</f>
        <v>1</v>
      </c>
      <c r="P174" s="6">
        <f>NAV!W289</f>
        <v>0</v>
      </c>
      <c r="Q174" s="6">
        <f>NAV!X289</f>
        <v>0</v>
      </c>
      <c r="R174" s="6">
        <f>NAV!Y289</f>
        <v>0</v>
      </c>
      <c r="S174" s="6">
        <f>NAV!Z289</f>
        <v>0</v>
      </c>
      <c r="T174" s="6">
        <f>NAV!AA289</f>
        <v>0</v>
      </c>
      <c r="U174" s="10">
        <f>NAV!AB289</f>
        <v>0</v>
      </c>
      <c r="V174" s="6" t="str">
        <f>NAV!AC289</f>
        <v>2년이상</v>
      </c>
    </row>
    <row r="175" spans="1:22">
      <c r="A175" s="7">
        <f t="shared" si="2"/>
        <v>174</v>
      </c>
      <c r="B175" s="7">
        <f>TYPE(종목정보tbl!$C175)</f>
        <v>1</v>
      </c>
      <c r="C175" s="6">
        <f>NAV!J290</f>
        <v>0</v>
      </c>
      <c r="D175" s="6">
        <f>NAV!K290</f>
        <v>0</v>
      </c>
      <c r="E175" s="6">
        <f>NAV!L290</f>
        <v>0</v>
      </c>
      <c r="F175" s="6">
        <f>NAV!M290</f>
        <v>0</v>
      </c>
      <c r="G175" s="6">
        <f>NAV!N290</f>
        <v>0</v>
      </c>
      <c r="H175" s="6">
        <f>NAV!O290</f>
        <v>0</v>
      </c>
      <c r="I175" s="6">
        <f>NAV!P290</f>
        <v>0</v>
      </c>
      <c r="J175" s="6">
        <f>NAV!Q290</f>
        <v>0</v>
      </c>
      <c r="K175" s="9">
        <f>NAV!R290</f>
        <v>0</v>
      </c>
      <c r="L175" s="6">
        <f>NAV!S290</f>
        <v>0</v>
      </c>
      <c r="M175" s="6">
        <f>NAV!T290</f>
        <v>0</v>
      </c>
      <c r="N175" s="6" t="str">
        <f>NAV!U290</f>
        <v>한국 원화(KRW)</v>
      </c>
      <c r="O175" s="6">
        <f>NAV!V290</f>
        <v>1</v>
      </c>
      <c r="P175" s="6">
        <f>NAV!W290</f>
        <v>0</v>
      </c>
      <c r="Q175" s="6">
        <f>NAV!X290</f>
        <v>0</v>
      </c>
      <c r="R175" s="6">
        <f>NAV!Y290</f>
        <v>0</v>
      </c>
      <c r="S175" s="6">
        <f>NAV!Z290</f>
        <v>0</v>
      </c>
      <c r="T175" s="6">
        <f>NAV!AA290</f>
        <v>0</v>
      </c>
      <c r="U175" s="10">
        <f>NAV!AB290</f>
        <v>0</v>
      </c>
      <c r="V175" s="6" t="str">
        <f>NAV!AC290</f>
        <v>2년이상</v>
      </c>
    </row>
    <row r="176" spans="1:22">
      <c r="A176" s="7">
        <f t="shared" si="2"/>
        <v>175</v>
      </c>
      <c r="B176" s="7">
        <f>TYPE(종목정보tbl!$C176)</f>
        <v>1</v>
      </c>
      <c r="C176" s="6">
        <f>NAV!J291</f>
        <v>0</v>
      </c>
      <c r="D176" s="6">
        <f>NAV!K291</f>
        <v>0</v>
      </c>
      <c r="E176" s="6">
        <f>NAV!L291</f>
        <v>0</v>
      </c>
      <c r="F176" s="6">
        <f>NAV!M291</f>
        <v>0</v>
      </c>
      <c r="G176" s="6">
        <f>NAV!N291</f>
        <v>0</v>
      </c>
      <c r="H176" s="6">
        <f>NAV!O291</f>
        <v>0</v>
      </c>
      <c r="I176" s="6">
        <f>NAV!P291</f>
        <v>0</v>
      </c>
      <c r="J176" s="6">
        <f>NAV!Q291</f>
        <v>0</v>
      </c>
      <c r="K176" s="9">
        <f>NAV!R291</f>
        <v>0</v>
      </c>
      <c r="L176" s="6">
        <f>NAV!S291</f>
        <v>0</v>
      </c>
      <c r="M176" s="6">
        <f>NAV!T291</f>
        <v>0</v>
      </c>
      <c r="N176" s="6" t="str">
        <f>NAV!U291</f>
        <v>한국 원화(KRW)</v>
      </c>
      <c r="O176" s="6">
        <f>NAV!V291</f>
        <v>1</v>
      </c>
      <c r="P176" s="6">
        <f>NAV!W291</f>
        <v>0</v>
      </c>
      <c r="Q176" s="6">
        <f>NAV!X291</f>
        <v>0</v>
      </c>
      <c r="R176" s="6">
        <f>NAV!Y291</f>
        <v>0</v>
      </c>
      <c r="S176" s="6">
        <f>NAV!Z291</f>
        <v>0</v>
      </c>
      <c r="T176" s="6">
        <f>NAV!AA291</f>
        <v>0</v>
      </c>
      <c r="U176" s="10">
        <f>NAV!AB291</f>
        <v>0</v>
      </c>
      <c r="V176" s="6" t="str">
        <f>NAV!AC291</f>
        <v>2년이상</v>
      </c>
    </row>
    <row r="177" spans="1:22">
      <c r="A177" s="7">
        <f t="shared" si="2"/>
        <v>176</v>
      </c>
      <c r="B177" s="7">
        <f>TYPE(종목정보tbl!$C177)</f>
        <v>1</v>
      </c>
      <c r="C177" s="6">
        <f>NAV!J292</f>
        <v>0</v>
      </c>
      <c r="D177" s="6">
        <f>NAV!K292</f>
        <v>0</v>
      </c>
      <c r="E177" s="6">
        <f>NAV!L292</f>
        <v>0</v>
      </c>
      <c r="F177" s="6">
        <f>NAV!M292</f>
        <v>0</v>
      </c>
      <c r="G177" s="6">
        <f>NAV!N292</f>
        <v>0</v>
      </c>
      <c r="H177" s="6">
        <f>NAV!O292</f>
        <v>0</v>
      </c>
      <c r="I177" s="6">
        <f>NAV!P292</f>
        <v>0</v>
      </c>
      <c r="J177" s="6">
        <f>NAV!Q292</f>
        <v>0</v>
      </c>
      <c r="K177" s="9">
        <f>NAV!R292</f>
        <v>0</v>
      </c>
      <c r="L177" s="6">
        <f>NAV!S292</f>
        <v>0</v>
      </c>
      <c r="M177" s="6">
        <f>NAV!T292</f>
        <v>0</v>
      </c>
      <c r="N177" s="6" t="str">
        <f>NAV!U292</f>
        <v>한국 원화(KRW)</v>
      </c>
      <c r="O177" s="6">
        <f>NAV!V292</f>
        <v>1</v>
      </c>
      <c r="P177" s="6">
        <f>NAV!W292</f>
        <v>0</v>
      </c>
      <c r="Q177" s="6">
        <f>NAV!X292</f>
        <v>0</v>
      </c>
      <c r="R177" s="6">
        <f>NAV!Y292</f>
        <v>0</v>
      </c>
      <c r="S177" s="6">
        <f>NAV!Z292</f>
        <v>0</v>
      </c>
      <c r="T177" s="6">
        <f>NAV!AA292</f>
        <v>0</v>
      </c>
      <c r="U177" s="10">
        <f>NAV!AB292</f>
        <v>0</v>
      </c>
      <c r="V177" s="6" t="str">
        <f>NAV!AC292</f>
        <v>2년이상</v>
      </c>
    </row>
    <row r="178" spans="1:22">
      <c r="A178" s="7">
        <f t="shared" si="2"/>
        <v>177</v>
      </c>
      <c r="B178" s="7">
        <f>TYPE(종목정보tbl!$C178)</f>
        <v>1</v>
      </c>
      <c r="C178" s="6">
        <f>NAV!J293</f>
        <v>0</v>
      </c>
      <c r="D178" s="6">
        <f>NAV!K293</f>
        <v>0</v>
      </c>
      <c r="E178" s="6">
        <f>NAV!L293</f>
        <v>0</v>
      </c>
      <c r="F178" s="6">
        <f>NAV!M293</f>
        <v>0</v>
      </c>
      <c r="G178" s="6">
        <f>NAV!N293</f>
        <v>0</v>
      </c>
      <c r="H178" s="6">
        <f>NAV!O293</f>
        <v>0</v>
      </c>
      <c r="I178" s="6">
        <f>NAV!P293</f>
        <v>0</v>
      </c>
      <c r="J178" s="6">
        <f>NAV!Q293</f>
        <v>0</v>
      </c>
      <c r="K178" s="9">
        <f>NAV!R293</f>
        <v>0</v>
      </c>
      <c r="L178" s="6">
        <f>NAV!S293</f>
        <v>0</v>
      </c>
      <c r="M178" s="6">
        <f>NAV!T293</f>
        <v>0</v>
      </c>
      <c r="N178" s="6" t="str">
        <f>NAV!U293</f>
        <v>한국 원화(KRW)</v>
      </c>
      <c r="O178" s="6">
        <f>NAV!V293</f>
        <v>1</v>
      </c>
      <c r="P178" s="6">
        <f>NAV!W293</f>
        <v>0</v>
      </c>
      <c r="Q178" s="6">
        <f>NAV!X293</f>
        <v>0</v>
      </c>
      <c r="R178" s="6">
        <f>NAV!Y293</f>
        <v>0</v>
      </c>
      <c r="S178" s="6">
        <f>NAV!Z293</f>
        <v>0</v>
      </c>
      <c r="T178" s="6">
        <f>NAV!AA293</f>
        <v>0</v>
      </c>
      <c r="U178" s="10">
        <f>NAV!AB293</f>
        <v>0</v>
      </c>
      <c r="V178" s="6" t="str">
        <f>NAV!AC293</f>
        <v>2년이상</v>
      </c>
    </row>
    <row r="179" spans="1:22">
      <c r="A179" s="7">
        <f t="shared" si="2"/>
        <v>178</v>
      </c>
      <c r="B179" s="7">
        <f>TYPE(종목정보tbl!$C179)</f>
        <v>1</v>
      </c>
      <c r="C179" s="6">
        <f>NAV!J294</f>
        <v>0</v>
      </c>
      <c r="D179" s="6">
        <f>NAV!K294</f>
        <v>0</v>
      </c>
      <c r="E179" s="6">
        <f>NAV!L294</f>
        <v>0</v>
      </c>
      <c r="F179" s="6">
        <f>NAV!M294</f>
        <v>0</v>
      </c>
      <c r="G179" s="6">
        <f>NAV!N294</f>
        <v>0</v>
      </c>
      <c r="H179" s="6">
        <f>NAV!O294</f>
        <v>0</v>
      </c>
      <c r="I179" s="6">
        <f>NAV!P294</f>
        <v>0</v>
      </c>
      <c r="J179" s="6">
        <f>NAV!Q294</f>
        <v>0</v>
      </c>
      <c r="K179" s="9">
        <f>NAV!R294</f>
        <v>0</v>
      </c>
      <c r="L179" s="6">
        <f>NAV!S294</f>
        <v>0</v>
      </c>
      <c r="M179" s="6">
        <f>NAV!T294</f>
        <v>0</v>
      </c>
      <c r="N179" s="6" t="str">
        <f>NAV!U294</f>
        <v>한국 원화(KRW)</v>
      </c>
      <c r="O179" s="6">
        <f>NAV!V294</f>
        <v>1</v>
      </c>
      <c r="P179" s="6">
        <f>NAV!W294</f>
        <v>0</v>
      </c>
      <c r="Q179" s="6">
        <f>NAV!X294</f>
        <v>0</v>
      </c>
      <c r="R179" s="6">
        <f>NAV!Y294</f>
        <v>0</v>
      </c>
      <c r="S179" s="6">
        <f>NAV!Z294</f>
        <v>0</v>
      </c>
      <c r="T179" s="6">
        <f>NAV!AA294</f>
        <v>0</v>
      </c>
      <c r="U179" s="10">
        <f>NAV!AB294</f>
        <v>0</v>
      </c>
      <c r="V179" s="6" t="str">
        <f>NAV!AC294</f>
        <v>2년이상</v>
      </c>
    </row>
    <row r="180" spans="1:22">
      <c r="A180" s="7">
        <f t="shared" si="2"/>
        <v>179</v>
      </c>
      <c r="B180" s="7">
        <f>TYPE(종목정보tbl!$C180)</f>
        <v>1</v>
      </c>
      <c r="C180" s="6">
        <f>NAV!J295</f>
        <v>0</v>
      </c>
      <c r="D180" s="6">
        <f>NAV!K295</f>
        <v>0</v>
      </c>
      <c r="E180" s="6">
        <f>NAV!L295</f>
        <v>0</v>
      </c>
      <c r="F180" s="6">
        <f>NAV!M295</f>
        <v>0</v>
      </c>
      <c r="G180" s="6">
        <f>NAV!N295</f>
        <v>0</v>
      </c>
      <c r="H180" s="6">
        <f>NAV!O295</f>
        <v>0</v>
      </c>
      <c r="I180" s="6">
        <f>NAV!P295</f>
        <v>0</v>
      </c>
      <c r="J180" s="6">
        <f>NAV!Q295</f>
        <v>0</v>
      </c>
      <c r="K180" s="9">
        <f>NAV!R295</f>
        <v>0</v>
      </c>
      <c r="L180" s="6">
        <f>NAV!S295</f>
        <v>0</v>
      </c>
      <c r="M180" s="6">
        <f>NAV!T295</f>
        <v>0</v>
      </c>
      <c r="N180" s="6" t="str">
        <f>NAV!U295</f>
        <v>한국 원화(KRW)</v>
      </c>
      <c r="O180" s="6">
        <f>NAV!V295</f>
        <v>1</v>
      </c>
      <c r="P180" s="6">
        <f>NAV!W295</f>
        <v>0</v>
      </c>
      <c r="Q180" s="6">
        <f>NAV!X295</f>
        <v>0</v>
      </c>
      <c r="R180" s="6">
        <f>NAV!Y295</f>
        <v>0</v>
      </c>
      <c r="S180" s="6">
        <f>NAV!Z295</f>
        <v>0</v>
      </c>
      <c r="T180" s="6">
        <f>NAV!AA295</f>
        <v>0</v>
      </c>
      <c r="U180" s="10">
        <f>NAV!AB295</f>
        <v>0</v>
      </c>
      <c r="V180" s="6" t="str">
        <f>NAV!AC295</f>
        <v>2년이상</v>
      </c>
    </row>
    <row r="181" spans="1:22">
      <c r="A181" s="7">
        <f t="shared" si="2"/>
        <v>180</v>
      </c>
      <c r="B181" s="7">
        <f>TYPE(종목정보tbl!$C181)</f>
        <v>1</v>
      </c>
      <c r="C181" s="6">
        <f>NAV!J296</f>
        <v>0</v>
      </c>
      <c r="D181" s="6">
        <f>NAV!K296</f>
        <v>0</v>
      </c>
      <c r="E181" s="6">
        <f>NAV!L296</f>
        <v>0</v>
      </c>
      <c r="F181" s="6">
        <f>NAV!M296</f>
        <v>0</v>
      </c>
      <c r="G181" s="6">
        <f>NAV!N296</f>
        <v>0</v>
      </c>
      <c r="H181" s="6">
        <f>NAV!O296</f>
        <v>0</v>
      </c>
      <c r="I181" s="6">
        <f>NAV!P296</f>
        <v>0</v>
      </c>
      <c r="J181" s="6">
        <f>NAV!Q296</f>
        <v>0</v>
      </c>
      <c r="K181" s="9">
        <f>NAV!R296</f>
        <v>0</v>
      </c>
      <c r="L181" s="6">
        <f>NAV!S296</f>
        <v>0</v>
      </c>
      <c r="M181" s="6">
        <f>NAV!T296</f>
        <v>0</v>
      </c>
      <c r="N181" s="6" t="str">
        <f>NAV!U296</f>
        <v>한국 원화(KRW)</v>
      </c>
      <c r="O181" s="6">
        <f>NAV!V296</f>
        <v>1</v>
      </c>
      <c r="P181" s="6">
        <f>NAV!W296</f>
        <v>0</v>
      </c>
      <c r="Q181" s="6">
        <f>NAV!X296</f>
        <v>0</v>
      </c>
      <c r="R181" s="6">
        <f>NAV!Y296</f>
        <v>0</v>
      </c>
      <c r="S181" s="6">
        <f>NAV!Z296</f>
        <v>0</v>
      </c>
      <c r="T181" s="6">
        <f>NAV!AA296</f>
        <v>0</v>
      </c>
      <c r="U181" s="10">
        <f>NAV!AB296</f>
        <v>0</v>
      </c>
      <c r="V181" s="6" t="str">
        <f>NAV!AC296</f>
        <v>2년이상</v>
      </c>
    </row>
    <row r="182" spans="1:22">
      <c r="A182" s="7">
        <f t="shared" si="2"/>
        <v>181</v>
      </c>
      <c r="B182" s="7">
        <f>TYPE(종목정보tbl!$C182)</f>
        <v>1</v>
      </c>
      <c r="C182" s="6">
        <f>NAV!J297</f>
        <v>0</v>
      </c>
      <c r="D182" s="6">
        <f>NAV!K297</f>
        <v>0</v>
      </c>
      <c r="E182" s="6">
        <f>NAV!L297</f>
        <v>0</v>
      </c>
      <c r="F182" s="6">
        <f>NAV!M297</f>
        <v>0</v>
      </c>
      <c r="G182" s="6">
        <f>NAV!N297</f>
        <v>0</v>
      </c>
      <c r="H182" s="6">
        <f>NAV!O297</f>
        <v>0</v>
      </c>
      <c r="I182" s="6">
        <f>NAV!P297</f>
        <v>0</v>
      </c>
      <c r="J182" s="6">
        <f>NAV!Q297</f>
        <v>0</v>
      </c>
      <c r="K182" s="9">
        <f>NAV!R297</f>
        <v>0</v>
      </c>
      <c r="L182" s="6">
        <f>NAV!S297</f>
        <v>0</v>
      </c>
      <c r="M182" s="6">
        <f>NAV!T297</f>
        <v>0</v>
      </c>
      <c r="N182" s="6" t="str">
        <f>NAV!U297</f>
        <v>한국 원화(KRW)</v>
      </c>
      <c r="O182" s="6">
        <f>NAV!V297</f>
        <v>1</v>
      </c>
      <c r="P182" s="6">
        <f>NAV!W297</f>
        <v>0</v>
      </c>
      <c r="Q182" s="6">
        <f>NAV!X297</f>
        <v>0</v>
      </c>
      <c r="R182" s="6">
        <f>NAV!Y297</f>
        <v>0</v>
      </c>
      <c r="S182" s="6">
        <f>NAV!Z297</f>
        <v>0</v>
      </c>
      <c r="T182" s="6">
        <f>NAV!AA297</f>
        <v>0</v>
      </c>
      <c r="U182" s="10">
        <f>NAV!AB297</f>
        <v>0</v>
      </c>
      <c r="V182" s="6" t="str">
        <f>NAV!AC297</f>
        <v>2년이상</v>
      </c>
    </row>
    <row r="183" spans="1:22">
      <c r="A183" s="7">
        <f t="shared" si="2"/>
        <v>182</v>
      </c>
      <c r="B183" s="7">
        <f>TYPE(종목정보tbl!$C183)</f>
        <v>1</v>
      </c>
      <c r="C183" s="6">
        <f>NAV!J298</f>
        <v>0</v>
      </c>
      <c r="D183" s="6">
        <f>NAV!K298</f>
        <v>0</v>
      </c>
      <c r="E183" s="6">
        <f>NAV!L298</f>
        <v>0</v>
      </c>
      <c r="F183" s="6">
        <f>NAV!M298</f>
        <v>0</v>
      </c>
      <c r="G183" s="6">
        <f>NAV!N298</f>
        <v>0</v>
      </c>
      <c r="H183" s="6">
        <f>NAV!O298</f>
        <v>0</v>
      </c>
      <c r="I183" s="6">
        <f>NAV!P298</f>
        <v>0</v>
      </c>
      <c r="J183" s="6">
        <f>NAV!Q298</f>
        <v>0</v>
      </c>
      <c r="K183" s="9">
        <f>NAV!R298</f>
        <v>0</v>
      </c>
      <c r="L183" s="6">
        <f>NAV!S298</f>
        <v>0</v>
      </c>
      <c r="M183" s="6">
        <f>NAV!T298</f>
        <v>0</v>
      </c>
      <c r="N183" s="6" t="str">
        <f>NAV!U298</f>
        <v>한국 원화(KRW)</v>
      </c>
      <c r="O183" s="6">
        <f>NAV!V298</f>
        <v>1</v>
      </c>
      <c r="P183" s="6">
        <f>NAV!W298</f>
        <v>0</v>
      </c>
      <c r="Q183" s="6">
        <f>NAV!X298</f>
        <v>0</v>
      </c>
      <c r="R183" s="6">
        <f>NAV!Y298</f>
        <v>0</v>
      </c>
      <c r="S183" s="6">
        <f>NAV!Z298</f>
        <v>0</v>
      </c>
      <c r="T183" s="6">
        <f>NAV!AA298</f>
        <v>0</v>
      </c>
      <c r="U183" s="10">
        <f>NAV!AB298</f>
        <v>0</v>
      </c>
      <c r="V183" s="6" t="str">
        <f>NAV!AC298</f>
        <v>2년이상</v>
      </c>
    </row>
    <row r="184" spans="1:22">
      <c r="A184" s="7">
        <f t="shared" si="2"/>
        <v>183</v>
      </c>
      <c r="B184" s="7">
        <f>TYPE(종목정보tbl!$C184)</f>
        <v>1</v>
      </c>
      <c r="C184" s="6">
        <f>NAV!J299</f>
        <v>0</v>
      </c>
      <c r="D184" s="6">
        <f>NAV!K299</f>
        <v>0</v>
      </c>
      <c r="E184" s="6">
        <f>NAV!L299</f>
        <v>0</v>
      </c>
      <c r="F184" s="6">
        <f>NAV!M299</f>
        <v>0</v>
      </c>
      <c r="G184" s="6">
        <f>NAV!N299</f>
        <v>0</v>
      </c>
      <c r="H184" s="6">
        <f>NAV!O299</f>
        <v>0</v>
      </c>
      <c r="I184" s="6">
        <f>NAV!P299</f>
        <v>0</v>
      </c>
      <c r="J184" s="6">
        <f>NAV!Q299</f>
        <v>0</v>
      </c>
      <c r="K184" s="9">
        <f>NAV!R299</f>
        <v>0</v>
      </c>
      <c r="L184" s="6">
        <f>NAV!S299</f>
        <v>0</v>
      </c>
      <c r="M184" s="6">
        <f>NAV!T299</f>
        <v>0</v>
      </c>
      <c r="N184" s="6" t="str">
        <f>NAV!U299</f>
        <v>한국 원화(KRW)</v>
      </c>
      <c r="O184" s="6">
        <f>NAV!V299</f>
        <v>1</v>
      </c>
      <c r="P184" s="6">
        <f>NAV!W299</f>
        <v>0</v>
      </c>
      <c r="Q184" s="6">
        <f>NAV!X299</f>
        <v>0</v>
      </c>
      <c r="R184" s="6">
        <f>NAV!Y299</f>
        <v>0</v>
      </c>
      <c r="S184" s="6">
        <f>NAV!Z299</f>
        <v>0</v>
      </c>
      <c r="T184" s="6">
        <f>NAV!AA299</f>
        <v>0</v>
      </c>
      <c r="U184" s="10">
        <f>NAV!AB299</f>
        <v>0</v>
      </c>
      <c r="V184" s="6" t="str">
        <f>NAV!AC299</f>
        <v>2년이상</v>
      </c>
    </row>
    <row r="185" spans="1:22">
      <c r="A185" s="7">
        <f t="shared" si="2"/>
        <v>184</v>
      </c>
      <c r="B185" s="7">
        <f>TYPE(종목정보tbl!$C185)</f>
        <v>1</v>
      </c>
      <c r="C185" s="6">
        <f>NAV!J327</f>
        <v>0</v>
      </c>
      <c r="D185" s="6">
        <f>NAV!K327</f>
        <v>0</v>
      </c>
      <c r="E185" s="6">
        <f>NAV!L327</f>
        <v>0</v>
      </c>
      <c r="F185" s="6">
        <f>NAV!M327</f>
        <v>0</v>
      </c>
      <c r="G185" s="6">
        <f>NAV!N327</f>
        <v>0</v>
      </c>
      <c r="H185" s="6">
        <f>NAV!O327</f>
        <v>0</v>
      </c>
      <c r="I185" s="6">
        <f>NAV!P327</f>
        <v>0</v>
      </c>
      <c r="J185" s="6">
        <f>NAV!Q327</f>
        <v>0</v>
      </c>
      <c r="K185" s="9">
        <f>NAV!R327</f>
        <v>0</v>
      </c>
      <c r="L185" s="6">
        <f>NAV!S327</f>
        <v>0</v>
      </c>
      <c r="M185" s="6">
        <f>NAV!T327</f>
        <v>0</v>
      </c>
      <c r="N185" s="6" t="str">
        <f>NAV!U327</f>
        <v>한국 원화(KRW)</v>
      </c>
      <c r="O185" s="6">
        <f>NAV!V327</f>
        <v>1</v>
      </c>
      <c r="P185" s="6">
        <f>NAV!W327</f>
        <v>0</v>
      </c>
      <c r="Q185" s="6">
        <f>NAV!X327</f>
        <v>0</v>
      </c>
      <c r="R185" s="6">
        <f>NAV!Y327</f>
        <v>0</v>
      </c>
      <c r="S185" s="6">
        <f>NAV!Z327</f>
        <v>0</v>
      </c>
      <c r="T185" s="6">
        <f>NAV!AA327</f>
        <v>0</v>
      </c>
      <c r="U185" s="10">
        <f>NAV!AB327</f>
        <v>0</v>
      </c>
      <c r="V185" s="6" t="str">
        <f>NAV!AC327</f>
        <v>2년이상</v>
      </c>
    </row>
    <row r="186" spans="1:22">
      <c r="A186" s="7">
        <f t="shared" si="2"/>
        <v>185</v>
      </c>
      <c r="B186" s="7">
        <f>TYPE(종목정보tbl!$C186)</f>
        <v>1</v>
      </c>
      <c r="C186" s="6">
        <f>NAV!J328</f>
        <v>0</v>
      </c>
      <c r="D186" s="6">
        <f>NAV!K328</f>
        <v>0</v>
      </c>
      <c r="E186" s="6">
        <f>NAV!L328</f>
        <v>0</v>
      </c>
      <c r="F186" s="6">
        <f>NAV!M328</f>
        <v>0</v>
      </c>
      <c r="G186" s="6">
        <f>NAV!N328</f>
        <v>0</v>
      </c>
      <c r="H186" s="6">
        <f>NAV!O328</f>
        <v>0</v>
      </c>
      <c r="I186" s="6">
        <f>NAV!P328</f>
        <v>0</v>
      </c>
      <c r="J186" s="6">
        <f>NAV!Q328</f>
        <v>0</v>
      </c>
      <c r="K186" s="9">
        <f>NAV!R328</f>
        <v>0</v>
      </c>
      <c r="L186" s="6">
        <f>NAV!S328</f>
        <v>0</v>
      </c>
      <c r="M186" s="6">
        <f>NAV!T328</f>
        <v>0</v>
      </c>
      <c r="N186" s="6" t="str">
        <f>NAV!U328</f>
        <v>한국 원화(KRW)</v>
      </c>
      <c r="O186" s="6">
        <f>NAV!V328</f>
        <v>1</v>
      </c>
      <c r="P186" s="6">
        <f>NAV!W328</f>
        <v>0</v>
      </c>
      <c r="Q186" s="6">
        <f>NAV!X328</f>
        <v>0</v>
      </c>
      <c r="R186" s="6">
        <f>NAV!Y328</f>
        <v>0</v>
      </c>
      <c r="S186" s="6">
        <f>NAV!Z328</f>
        <v>0</v>
      </c>
      <c r="T186" s="6">
        <f>NAV!AA328</f>
        <v>0</v>
      </c>
      <c r="U186" s="10">
        <f>NAV!AB328</f>
        <v>0</v>
      </c>
      <c r="V186" s="6" t="str">
        <f>NAV!AC328</f>
        <v>2년이상</v>
      </c>
    </row>
    <row r="187" spans="1:22">
      <c r="A187" s="7">
        <f t="shared" si="2"/>
        <v>186</v>
      </c>
      <c r="B187" s="7">
        <f>TYPE(종목정보tbl!$C187)</f>
        <v>1</v>
      </c>
      <c r="C187" s="6">
        <f>NAV!J329</f>
        <v>0</v>
      </c>
      <c r="D187" s="6">
        <f>NAV!K329</f>
        <v>0</v>
      </c>
      <c r="E187" s="6">
        <f>NAV!L329</f>
        <v>0</v>
      </c>
      <c r="F187" s="6">
        <f>NAV!M329</f>
        <v>0</v>
      </c>
      <c r="G187" s="6">
        <f>NAV!N329</f>
        <v>0</v>
      </c>
      <c r="H187" s="6">
        <f>NAV!O329</f>
        <v>0</v>
      </c>
      <c r="I187" s="6">
        <f>NAV!P329</f>
        <v>0</v>
      </c>
      <c r="J187" s="6">
        <f>NAV!Q329</f>
        <v>0</v>
      </c>
      <c r="K187" s="9">
        <f>NAV!R329</f>
        <v>0</v>
      </c>
      <c r="L187" s="6">
        <f>NAV!S329</f>
        <v>0</v>
      </c>
      <c r="M187" s="6">
        <f>NAV!T329</f>
        <v>0</v>
      </c>
      <c r="N187" s="6" t="str">
        <f>NAV!U329</f>
        <v>한국 원화(KRW)</v>
      </c>
      <c r="O187" s="6">
        <f>NAV!V329</f>
        <v>1</v>
      </c>
      <c r="P187" s="6">
        <f>NAV!W329</f>
        <v>0</v>
      </c>
      <c r="Q187" s="6">
        <f>NAV!X329</f>
        <v>0</v>
      </c>
      <c r="R187" s="6">
        <f>NAV!Y329</f>
        <v>0</v>
      </c>
      <c r="S187" s="6">
        <f>NAV!Z329</f>
        <v>0</v>
      </c>
      <c r="T187" s="6">
        <f>NAV!AA329</f>
        <v>0</v>
      </c>
      <c r="U187" s="10">
        <f>NAV!AB329</f>
        <v>0</v>
      </c>
      <c r="V187" s="6" t="str">
        <f>NAV!AC329</f>
        <v>2년이상</v>
      </c>
    </row>
    <row r="188" spans="1:22">
      <c r="A188" s="7">
        <f t="shared" si="2"/>
        <v>187</v>
      </c>
      <c r="B188" s="7">
        <f>TYPE(종목정보tbl!$C188)</f>
        <v>1</v>
      </c>
      <c r="C188" s="6">
        <f>NAV!J330</f>
        <v>0</v>
      </c>
      <c r="D188" s="6">
        <f>NAV!K330</f>
        <v>0</v>
      </c>
      <c r="E188" s="6">
        <f>NAV!L330</f>
        <v>0</v>
      </c>
      <c r="F188" s="6">
        <f>NAV!M330</f>
        <v>0</v>
      </c>
      <c r="G188" s="6">
        <f>NAV!N330</f>
        <v>0</v>
      </c>
      <c r="H188" s="6">
        <f>NAV!O330</f>
        <v>0</v>
      </c>
      <c r="I188" s="6">
        <f>NAV!P330</f>
        <v>0</v>
      </c>
      <c r="J188" s="6">
        <f>NAV!Q330</f>
        <v>0</v>
      </c>
      <c r="K188" s="9">
        <f>NAV!R330</f>
        <v>0</v>
      </c>
      <c r="L188" s="6">
        <f>NAV!S330</f>
        <v>0</v>
      </c>
      <c r="M188" s="6">
        <f>NAV!T330</f>
        <v>0</v>
      </c>
      <c r="N188" s="6" t="str">
        <f>NAV!U330</f>
        <v>한국 원화(KRW)</v>
      </c>
      <c r="O188" s="6">
        <f>NAV!V330</f>
        <v>1</v>
      </c>
      <c r="P188" s="6">
        <f>NAV!W330</f>
        <v>0</v>
      </c>
      <c r="Q188" s="6">
        <f>NAV!X330</f>
        <v>0</v>
      </c>
      <c r="R188" s="6">
        <f>NAV!Y330</f>
        <v>0</v>
      </c>
      <c r="S188" s="6">
        <f>NAV!Z330</f>
        <v>0</v>
      </c>
      <c r="T188" s="6">
        <f>NAV!AA330</f>
        <v>0</v>
      </c>
      <c r="U188" s="10">
        <f>NAV!AB330</f>
        <v>0</v>
      </c>
      <c r="V188" s="6" t="str">
        <f>NAV!AC330</f>
        <v>2년이상</v>
      </c>
    </row>
    <row r="189" spans="1:22">
      <c r="A189" s="7">
        <f t="shared" si="2"/>
        <v>188</v>
      </c>
      <c r="B189" s="7">
        <f>TYPE(종목정보tbl!$C189)</f>
        <v>1</v>
      </c>
      <c r="C189" s="6">
        <f>NAV!J331</f>
        <v>0</v>
      </c>
      <c r="D189" s="6">
        <f>NAV!K331</f>
        <v>0</v>
      </c>
      <c r="E189" s="6">
        <f>NAV!L331</f>
        <v>0</v>
      </c>
      <c r="F189" s="6">
        <f>NAV!M331</f>
        <v>0</v>
      </c>
      <c r="G189" s="6">
        <f>NAV!N331</f>
        <v>0</v>
      </c>
      <c r="H189" s="6">
        <f>NAV!O331</f>
        <v>0</v>
      </c>
      <c r="I189" s="6">
        <f>NAV!P331</f>
        <v>0</v>
      </c>
      <c r="J189" s="6">
        <f>NAV!Q331</f>
        <v>0</v>
      </c>
      <c r="K189" s="9">
        <f>NAV!R331</f>
        <v>0</v>
      </c>
      <c r="L189" s="6">
        <f>NAV!S331</f>
        <v>0</v>
      </c>
      <c r="M189" s="6">
        <f>NAV!T331</f>
        <v>0</v>
      </c>
      <c r="N189" s="6" t="str">
        <f>NAV!U331</f>
        <v>한국 원화(KRW)</v>
      </c>
      <c r="O189" s="6">
        <f>NAV!V331</f>
        <v>1</v>
      </c>
      <c r="P189" s="6">
        <f>NAV!W331</f>
        <v>0</v>
      </c>
      <c r="Q189" s="6">
        <f>NAV!X331</f>
        <v>0</v>
      </c>
      <c r="R189" s="6">
        <f>NAV!Y331</f>
        <v>0</v>
      </c>
      <c r="S189" s="6">
        <f>NAV!Z331</f>
        <v>0</v>
      </c>
      <c r="T189" s="6">
        <f>NAV!AA331</f>
        <v>0</v>
      </c>
      <c r="U189" s="10">
        <f>NAV!AB331</f>
        <v>0</v>
      </c>
      <c r="V189" s="6" t="str">
        <f>NAV!AC331</f>
        <v>2년이상</v>
      </c>
    </row>
    <row r="190" spans="1:22">
      <c r="A190" s="7">
        <f t="shared" si="2"/>
        <v>189</v>
      </c>
      <c r="B190" s="7">
        <f>TYPE(종목정보tbl!$C190)</f>
        <v>1</v>
      </c>
      <c r="C190" s="6">
        <f>NAV!J332</f>
        <v>0</v>
      </c>
      <c r="D190" s="6">
        <f>NAV!K332</f>
        <v>0</v>
      </c>
      <c r="E190" s="6">
        <f>NAV!L332</f>
        <v>0</v>
      </c>
      <c r="F190" s="6">
        <f>NAV!M332</f>
        <v>0</v>
      </c>
      <c r="G190" s="6">
        <f>NAV!N332</f>
        <v>0</v>
      </c>
      <c r="H190" s="6">
        <f>NAV!O332</f>
        <v>0</v>
      </c>
      <c r="I190" s="6">
        <f>NAV!P332</f>
        <v>0</v>
      </c>
      <c r="J190" s="6">
        <f>NAV!Q332</f>
        <v>0</v>
      </c>
      <c r="K190" s="9">
        <f>NAV!R332</f>
        <v>0</v>
      </c>
      <c r="L190" s="6">
        <f>NAV!S332</f>
        <v>0</v>
      </c>
      <c r="M190" s="6">
        <f>NAV!T332</f>
        <v>0</v>
      </c>
      <c r="N190" s="6" t="str">
        <f>NAV!U332</f>
        <v>한국 원화(KRW)</v>
      </c>
      <c r="O190" s="6">
        <f>NAV!V332</f>
        <v>1</v>
      </c>
      <c r="P190" s="6">
        <f>NAV!W332</f>
        <v>0</v>
      </c>
      <c r="Q190" s="6">
        <f>NAV!X332</f>
        <v>0</v>
      </c>
      <c r="R190" s="6">
        <f>NAV!Y332</f>
        <v>0</v>
      </c>
      <c r="S190" s="6">
        <f>NAV!Z332</f>
        <v>0</v>
      </c>
      <c r="T190" s="6">
        <f>NAV!AA332</f>
        <v>0</v>
      </c>
      <c r="U190" s="10">
        <f>NAV!AB332</f>
        <v>0</v>
      </c>
      <c r="V190" s="6" t="str">
        <f>NAV!AC332</f>
        <v>2년이상</v>
      </c>
    </row>
    <row r="191" spans="1:22">
      <c r="A191" s="7">
        <f t="shared" si="2"/>
        <v>190</v>
      </c>
      <c r="B191" s="7">
        <f>TYPE(종목정보tbl!$C191)</f>
        <v>1</v>
      </c>
      <c r="C191" s="6">
        <f>NAV!J333</f>
        <v>0</v>
      </c>
      <c r="D191" s="6">
        <f>NAV!K333</f>
        <v>0</v>
      </c>
      <c r="E191" s="6">
        <f>NAV!L333</f>
        <v>0</v>
      </c>
      <c r="F191" s="6">
        <f>NAV!M333</f>
        <v>0</v>
      </c>
      <c r="G191" s="6">
        <f>NAV!N333</f>
        <v>0</v>
      </c>
      <c r="H191" s="6">
        <f>NAV!O333</f>
        <v>0</v>
      </c>
      <c r="I191" s="6">
        <f>NAV!P333</f>
        <v>0</v>
      </c>
      <c r="J191" s="6">
        <f>NAV!Q333</f>
        <v>0</v>
      </c>
      <c r="K191" s="9">
        <f>NAV!R333</f>
        <v>0</v>
      </c>
      <c r="L191" s="6">
        <f>NAV!S333</f>
        <v>0</v>
      </c>
      <c r="M191" s="6">
        <f>NAV!T333</f>
        <v>0</v>
      </c>
      <c r="N191" s="6" t="str">
        <f>NAV!U333</f>
        <v>한국 원화(KRW)</v>
      </c>
      <c r="O191" s="6">
        <f>NAV!V333</f>
        <v>1</v>
      </c>
      <c r="P191" s="6">
        <f>NAV!W333</f>
        <v>0</v>
      </c>
      <c r="Q191" s="6">
        <f>NAV!X333</f>
        <v>0</v>
      </c>
      <c r="R191" s="6">
        <f>NAV!Y333</f>
        <v>0</v>
      </c>
      <c r="S191" s="6">
        <f>NAV!Z333</f>
        <v>0</v>
      </c>
      <c r="T191" s="6">
        <f>NAV!AA333</f>
        <v>0</v>
      </c>
      <c r="U191" s="10">
        <f>NAV!AB333</f>
        <v>0</v>
      </c>
      <c r="V191" s="6" t="str">
        <f>NAV!AC333</f>
        <v>2년이상</v>
      </c>
    </row>
    <row r="192" spans="1:22">
      <c r="A192" s="7">
        <f t="shared" si="2"/>
        <v>191</v>
      </c>
      <c r="B192" s="7">
        <f>TYPE(종목정보tbl!$C192)</f>
        <v>1</v>
      </c>
      <c r="C192" s="6">
        <f>NAV!J334</f>
        <v>0</v>
      </c>
      <c r="D192" s="6">
        <f>NAV!K334</f>
        <v>0</v>
      </c>
      <c r="E192" s="6">
        <f>NAV!L334</f>
        <v>0</v>
      </c>
      <c r="F192" s="6">
        <f>NAV!M334</f>
        <v>0</v>
      </c>
      <c r="G192" s="6">
        <f>NAV!N334</f>
        <v>0</v>
      </c>
      <c r="H192" s="6">
        <f>NAV!O334</f>
        <v>0</v>
      </c>
      <c r="I192" s="6">
        <f>NAV!P334</f>
        <v>0</v>
      </c>
      <c r="J192" s="6">
        <f>NAV!Q334</f>
        <v>0</v>
      </c>
      <c r="K192" s="9">
        <f>NAV!R334</f>
        <v>0</v>
      </c>
      <c r="L192" s="6">
        <f>NAV!S334</f>
        <v>0</v>
      </c>
      <c r="M192" s="6">
        <f>NAV!T334</f>
        <v>0</v>
      </c>
      <c r="N192" s="6" t="str">
        <f>NAV!U334</f>
        <v>한국 원화(KRW)</v>
      </c>
      <c r="O192" s="6">
        <f>NAV!V334</f>
        <v>1</v>
      </c>
      <c r="P192" s="6">
        <f>NAV!W334</f>
        <v>0</v>
      </c>
      <c r="Q192" s="6">
        <f>NAV!X334</f>
        <v>0</v>
      </c>
      <c r="R192" s="6">
        <f>NAV!Y334</f>
        <v>0</v>
      </c>
      <c r="S192" s="6">
        <f>NAV!Z334</f>
        <v>0</v>
      </c>
      <c r="T192" s="6">
        <f>NAV!AA334</f>
        <v>0</v>
      </c>
      <c r="U192" s="10">
        <f>NAV!AB334</f>
        <v>0</v>
      </c>
      <c r="V192" s="6" t="str">
        <f>NAV!AC334</f>
        <v>2년이상</v>
      </c>
    </row>
    <row r="193" spans="1:22">
      <c r="A193" s="7">
        <f t="shared" si="2"/>
        <v>192</v>
      </c>
      <c r="B193" s="7">
        <f>TYPE(종목정보tbl!$C193)</f>
        <v>1</v>
      </c>
      <c r="C193" s="6">
        <f>NAV!J335</f>
        <v>0</v>
      </c>
      <c r="D193" s="6">
        <f>NAV!K335</f>
        <v>0</v>
      </c>
      <c r="E193" s="6">
        <f>NAV!L335</f>
        <v>0</v>
      </c>
      <c r="F193" s="6">
        <f>NAV!M335</f>
        <v>0</v>
      </c>
      <c r="G193" s="6">
        <f>NAV!N335</f>
        <v>0</v>
      </c>
      <c r="H193" s="6">
        <f>NAV!O335</f>
        <v>0</v>
      </c>
      <c r="I193" s="6">
        <f>NAV!P335</f>
        <v>0</v>
      </c>
      <c r="J193" s="6">
        <f>NAV!Q335</f>
        <v>0</v>
      </c>
      <c r="K193" s="9">
        <f>NAV!R335</f>
        <v>0</v>
      </c>
      <c r="L193" s="6">
        <f>NAV!S335</f>
        <v>0</v>
      </c>
      <c r="M193" s="6">
        <f>NAV!T335</f>
        <v>0</v>
      </c>
      <c r="N193" s="6" t="str">
        <f>NAV!U335</f>
        <v>한국 원화(KRW)</v>
      </c>
      <c r="O193" s="6">
        <f>NAV!V335</f>
        <v>1</v>
      </c>
      <c r="P193" s="6">
        <f>NAV!W335</f>
        <v>0</v>
      </c>
      <c r="Q193" s="6">
        <f>NAV!X335</f>
        <v>0</v>
      </c>
      <c r="R193" s="6">
        <f>NAV!Y335</f>
        <v>0</v>
      </c>
      <c r="S193" s="6">
        <f>NAV!Z335</f>
        <v>0</v>
      </c>
      <c r="T193" s="6">
        <f>NAV!AA335</f>
        <v>0</v>
      </c>
      <c r="U193" s="10">
        <f>NAV!AB335</f>
        <v>0</v>
      </c>
      <c r="V193" s="6" t="str">
        <f>NAV!AC335</f>
        <v>2년이상</v>
      </c>
    </row>
    <row r="194" spans="1:22">
      <c r="A194" s="7">
        <f t="shared" ref="A194:A257" si="3">ROW()-1</f>
        <v>193</v>
      </c>
      <c r="B194" s="7">
        <f>TYPE(종목정보tbl!$C194)</f>
        <v>1</v>
      </c>
      <c r="C194" s="6">
        <f>NAV!J336</f>
        <v>0</v>
      </c>
      <c r="D194" s="6">
        <f>NAV!K336</f>
        <v>0</v>
      </c>
      <c r="E194" s="6">
        <f>NAV!L336</f>
        <v>0</v>
      </c>
      <c r="F194" s="6">
        <f>NAV!M336</f>
        <v>0</v>
      </c>
      <c r="G194" s="6">
        <f>NAV!N336</f>
        <v>0</v>
      </c>
      <c r="H194" s="6">
        <f>NAV!O336</f>
        <v>0</v>
      </c>
      <c r="I194" s="6">
        <f>NAV!P336</f>
        <v>0</v>
      </c>
      <c r="J194" s="6">
        <f>NAV!Q336</f>
        <v>0</v>
      </c>
      <c r="K194" s="9">
        <f>NAV!R336</f>
        <v>0</v>
      </c>
      <c r="L194" s="6">
        <f>NAV!S336</f>
        <v>0</v>
      </c>
      <c r="M194" s="6">
        <f>NAV!T336</f>
        <v>0</v>
      </c>
      <c r="N194" s="6" t="str">
        <f>NAV!U336</f>
        <v>한국 원화(KRW)</v>
      </c>
      <c r="O194" s="6">
        <f>NAV!V336</f>
        <v>1</v>
      </c>
      <c r="P194" s="6">
        <f>NAV!W336</f>
        <v>0</v>
      </c>
      <c r="Q194" s="6">
        <f>NAV!X336</f>
        <v>0</v>
      </c>
      <c r="R194" s="6">
        <f>NAV!Y336</f>
        <v>0</v>
      </c>
      <c r="S194" s="6">
        <f>NAV!Z336</f>
        <v>0</v>
      </c>
      <c r="T194" s="6">
        <f>NAV!AA336</f>
        <v>0</v>
      </c>
      <c r="U194" s="10">
        <f>NAV!AB336</f>
        <v>0</v>
      </c>
      <c r="V194" s="6" t="str">
        <f>NAV!AC336</f>
        <v>2년이상</v>
      </c>
    </row>
    <row r="195" spans="1:22">
      <c r="A195" s="7">
        <f t="shared" si="3"/>
        <v>194</v>
      </c>
      <c r="B195" s="7">
        <f>TYPE(종목정보tbl!$C195)</f>
        <v>1</v>
      </c>
      <c r="C195" s="6">
        <f>NAV!J337</f>
        <v>0</v>
      </c>
      <c r="D195" s="6">
        <f>NAV!K337</f>
        <v>0</v>
      </c>
      <c r="E195" s="6">
        <f>NAV!L337</f>
        <v>0</v>
      </c>
      <c r="F195" s="6">
        <f>NAV!M337</f>
        <v>0</v>
      </c>
      <c r="G195" s="6">
        <f>NAV!N337</f>
        <v>0</v>
      </c>
      <c r="H195" s="6">
        <f>NAV!O337</f>
        <v>0</v>
      </c>
      <c r="I195" s="6">
        <f>NAV!P337</f>
        <v>0</v>
      </c>
      <c r="J195" s="6">
        <f>NAV!Q337</f>
        <v>0</v>
      </c>
      <c r="K195" s="9">
        <f>NAV!R337</f>
        <v>0</v>
      </c>
      <c r="L195" s="6">
        <f>NAV!S337</f>
        <v>0</v>
      </c>
      <c r="M195" s="6">
        <f>NAV!T337</f>
        <v>0</v>
      </c>
      <c r="N195" s="6" t="str">
        <f>NAV!U337</f>
        <v>한국 원화(KRW)</v>
      </c>
      <c r="O195" s="6">
        <f>NAV!V337</f>
        <v>1</v>
      </c>
      <c r="P195" s="6">
        <f>NAV!W337</f>
        <v>0</v>
      </c>
      <c r="Q195" s="6">
        <f>NAV!X337</f>
        <v>0</v>
      </c>
      <c r="R195" s="6">
        <f>NAV!Y337</f>
        <v>0</v>
      </c>
      <c r="S195" s="6">
        <f>NAV!Z337</f>
        <v>0</v>
      </c>
      <c r="T195" s="6">
        <f>NAV!AA337</f>
        <v>0</v>
      </c>
      <c r="U195" s="10">
        <f>NAV!AB337</f>
        <v>0</v>
      </c>
      <c r="V195" s="6" t="str">
        <f>NAV!AC337</f>
        <v>2년이상</v>
      </c>
    </row>
    <row r="196" spans="1:22">
      <c r="A196" s="7">
        <f t="shared" si="3"/>
        <v>195</v>
      </c>
      <c r="B196" s="7">
        <f>TYPE(종목정보tbl!$C196)</f>
        <v>1</v>
      </c>
      <c r="C196" s="6">
        <f>NAV!J365</f>
        <v>0</v>
      </c>
      <c r="D196" s="6">
        <f>NAV!K365</f>
        <v>0</v>
      </c>
      <c r="E196" s="6">
        <f>NAV!L365</f>
        <v>0</v>
      </c>
      <c r="F196" s="6">
        <f>NAV!M365</f>
        <v>0</v>
      </c>
      <c r="G196" s="6">
        <f>NAV!N365</f>
        <v>0</v>
      </c>
      <c r="H196" s="6">
        <f>NAV!O365</f>
        <v>0</v>
      </c>
      <c r="I196" s="6">
        <f>NAV!P365</f>
        <v>0</v>
      </c>
      <c r="J196" s="6">
        <f>NAV!Q365</f>
        <v>0</v>
      </c>
      <c r="K196" s="9">
        <f>NAV!R365</f>
        <v>0</v>
      </c>
      <c r="L196" s="6">
        <f>NAV!S365</f>
        <v>0</v>
      </c>
      <c r="M196" s="6">
        <f>NAV!T365</f>
        <v>0</v>
      </c>
      <c r="N196" s="6" t="str">
        <f>NAV!U365</f>
        <v>한국 원화(KRW)</v>
      </c>
      <c r="O196" s="6">
        <f>NAV!V365</f>
        <v>1</v>
      </c>
      <c r="P196" s="6">
        <f>NAV!W365</f>
        <v>0</v>
      </c>
      <c r="Q196" s="6">
        <f>NAV!X365</f>
        <v>0</v>
      </c>
      <c r="R196" s="6">
        <f>NAV!Y365</f>
        <v>0</v>
      </c>
      <c r="S196" s="6">
        <f>NAV!Z365</f>
        <v>0</v>
      </c>
      <c r="T196" s="6">
        <f>NAV!AA365</f>
        <v>0</v>
      </c>
      <c r="U196" s="10">
        <f>NAV!AB365</f>
        <v>0</v>
      </c>
      <c r="V196" s="6" t="str">
        <f>NAV!AC365</f>
        <v>2년이상</v>
      </c>
    </row>
    <row r="197" spans="1:22">
      <c r="A197" s="7">
        <f t="shared" si="3"/>
        <v>196</v>
      </c>
      <c r="B197" s="7">
        <f>TYPE(종목정보tbl!$C197)</f>
        <v>1</v>
      </c>
      <c r="C197" s="6">
        <f>NAV!J366</f>
        <v>0</v>
      </c>
      <c r="D197" s="6">
        <f>NAV!K366</f>
        <v>0</v>
      </c>
      <c r="E197" s="6">
        <f>NAV!L366</f>
        <v>0</v>
      </c>
      <c r="F197" s="6">
        <f>NAV!M366</f>
        <v>0</v>
      </c>
      <c r="G197" s="6">
        <f>NAV!N366</f>
        <v>0</v>
      </c>
      <c r="H197" s="6">
        <f>NAV!O366</f>
        <v>0</v>
      </c>
      <c r="I197" s="6">
        <f>NAV!P366</f>
        <v>0</v>
      </c>
      <c r="J197" s="6">
        <f>NAV!Q366</f>
        <v>0</v>
      </c>
      <c r="K197" s="9">
        <f>NAV!R366</f>
        <v>0</v>
      </c>
      <c r="L197" s="6">
        <f>NAV!S366</f>
        <v>0</v>
      </c>
      <c r="M197" s="6">
        <f>NAV!T366</f>
        <v>0</v>
      </c>
      <c r="N197" s="6" t="str">
        <f>NAV!U366</f>
        <v>한국 원화(KRW)</v>
      </c>
      <c r="O197" s="6">
        <f>NAV!V366</f>
        <v>1</v>
      </c>
      <c r="P197" s="6">
        <f>NAV!W366</f>
        <v>0</v>
      </c>
      <c r="Q197" s="6">
        <f>NAV!X366</f>
        <v>0</v>
      </c>
      <c r="R197" s="6">
        <f>NAV!Y366</f>
        <v>0</v>
      </c>
      <c r="S197" s="6">
        <f>NAV!Z366</f>
        <v>0</v>
      </c>
      <c r="T197" s="6">
        <f>NAV!AA366</f>
        <v>0</v>
      </c>
      <c r="U197" s="10">
        <f>NAV!AB366</f>
        <v>0</v>
      </c>
      <c r="V197" s="6" t="str">
        <f>NAV!AC366</f>
        <v>2년이상</v>
      </c>
    </row>
    <row r="198" spans="1:22">
      <c r="A198" s="7">
        <f t="shared" si="3"/>
        <v>197</v>
      </c>
      <c r="B198" s="7">
        <f>TYPE(종목정보tbl!$C198)</f>
        <v>1</v>
      </c>
      <c r="C198" s="6">
        <f>NAV!J367</f>
        <v>0</v>
      </c>
      <c r="D198" s="6">
        <f>NAV!K367</f>
        <v>0</v>
      </c>
      <c r="E198" s="6">
        <f>NAV!L367</f>
        <v>0</v>
      </c>
      <c r="F198" s="6">
        <f>NAV!M367</f>
        <v>0</v>
      </c>
      <c r="G198" s="6">
        <f>NAV!N367</f>
        <v>0</v>
      </c>
      <c r="H198" s="6">
        <f>NAV!O367</f>
        <v>0</v>
      </c>
      <c r="I198" s="6">
        <f>NAV!P367</f>
        <v>0</v>
      </c>
      <c r="J198" s="6">
        <f>NAV!Q367</f>
        <v>0</v>
      </c>
      <c r="K198" s="9">
        <f>NAV!R367</f>
        <v>0</v>
      </c>
      <c r="L198" s="6">
        <f>NAV!S367</f>
        <v>0</v>
      </c>
      <c r="M198" s="6">
        <f>NAV!T367</f>
        <v>0</v>
      </c>
      <c r="N198" s="6" t="str">
        <f>NAV!U367</f>
        <v>한국 원화(KRW)</v>
      </c>
      <c r="O198" s="6">
        <f>NAV!V367</f>
        <v>1</v>
      </c>
      <c r="P198" s="6">
        <f>NAV!W367</f>
        <v>0</v>
      </c>
      <c r="Q198" s="6">
        <f>NAV!X367</f>
        <v>0</v>
      </c>
      <c r="R198" s="6">
        <f>NAV!Y367</f>
        <v>0</v>
      </c>
      <c r="S198" s="6">
        <f>NAV!Z367</f>
        <v>0</v>
      </c>
      <c r="T198" s="6">
        <f>NAV!AA367</f>
        <v>0</v>
      </c>
      <c r="U198" s="10">
        <f>NAV!AB367</f>
        <v>0</v>
      </c>
      <c r="V198" s="6" t="str">
        <f>NAV!AC367</f>
        <v>2년이상</v>
      </c>
    </row>
    <row r="199" spans="1:22">
      <c r="A199" s="7">
        <f t="shared" si="3"/>
        <v>198</v>
      </c>
      <c r="B199" s="7">
        <f>TYPE(종목정보tbl!$C199)</f>
        <v>1</v>
      </c>
      <c r="C199" s="6">
        <f>NAV!J368</f>
        <v>0</v>
      </c>
      <c r="D199" s="6">
        <f>NAV!K368</f>
        <v>0</v>
      </c>
      <c r="E199" s="6">
        <f>NAV!L368</f>
        <v>0</v>
      </c>
      <c r="F199" s="6">
        <f>NAV!M368</f>
        <v>0</v>
      </c>
      <c r="G199" s="6">
        <f>NAV!N368</f>
        <v>0</v>
      </c>
      <c r="H199" s="6">
        <f>NAV!O368</f>
        <v>0</v>
      </c>
      <c r="I199" s="6">
        <f>NAV!P368</f>
        <v>0</v>
      </c>
      <c r="J199" s="6">
        <f>NAV!Q368</f>
        <v>0</v>
      </c>
      <c r="K199" s="9">
        <f>NAV!R368</f>
        <v>0</v>
      </c>
      <c r="L199" s="6">
        <f>NAV!S368</f>
        <v>0</v>
      </c>
      <c r="M199" s="6">
        <f>NAV!T368</f>
        <v>0</v>
      </c>
      <c r="N199" s="6" t="str">
        <f>NAV!U368</f>
        <v>한국 원화(KRW)</v>
      </c>
      <c r="O199" s="6">
        <f>NAV!V368</f>
        <v>1</v>
      </c>
      <c r="P199" s="6">
        <f>NAV!W368</f>
        <v>0</v>
      </c>
      <c r="Q199" s="6">
        <f>NAV!X368</f>
        <v>0</v>
      </c>
      <c r="R199" s="6">
        <f>NAV!Y368</f>
        <v>0</v>
      </c>
      <c r="S199" s="6">
        <f>NAV!Z368</f>
        <v>0</v>
      </c>
      <c r="T199" s="6">
        <f>NAV!AA368</f>
        <v>0</v>
      </c>
      <c r="U199" s="10">
        <f>NAV!AB368</f>
        <v>0</v>
      </c>
      <c r="V199" s="6" t="str">
        <f>NAV!AC368</f>
        <v>2년이상</v>
      </c>
    </row>
    <row r="200" spans="1:22">
      <c r="A200" s="7">
        <f t="shared" si="3"/>
        <v>199</v>
      </c>
      <c r="B200" s="7">
        <f>TYPE(종목정보tbl!$C200)</f>
        <v>1</v>
      </c>
      <c r="C200" s="6">
        <f>NAV!J369</f>
        <v>0</v>
      </c>
      <c r="D200" s="6">
        <f>NAV!K369</f>
        <v>0</v>
      </c>
      <c r="E200" s="6">
        <f>NAV!L369</f>
        <v>0</v>
      </c>
      <c r="F200" s="6">
        <f>NAV!M369</f>
        <v>0</v>
      </c>
      <c r="G200" s="6">
        <f>NAV!N369</f>
        <v>0</v>
      </c>
      <c r="H200" s="6">
        <f>NAV!O369</f>
        <v>0</v>
      </c>
      <c r="I200" s="6">
        <f>NAV!P369</f>
        <v>0</v>
      </c>
      <c r="J200" s="6">
        <f>NAV!Q369</f>
        <v>0</v>
      </c>
      <c r="K200" s="9">
        <f>NAV!R369</f>
        <v>0</v>
      </c>
      <c r="L200" s="6">
        <f>NAV!S369</f>
        <v>0</v>
      </c>
      <c r="M200" s="6">
        <f>NAV!T369</f>
        <v>0</v>
      </c>
      <c r="N200" s="6" t="str">
        <f>NAV!U369</f>
        <v>한국 원화(KRW)</v>
      </c>
      <c r="O200" s="6">
        <f>NAV!V369</f>
        <v>1</v>
      </c>
      <c r="P200" s="6">
        <f>NAV!W369</f>
        <v>0</v>
      </c>
      <c r="Q200" s="6">
        <f>NAV!X369</f>
        <v>0</v>
      </c>
      <c r="R200" s="6">
        <f>NAV!Y369</f>
        <v>0</v>
      </c>
      <c r="S200" s="6">
        <f>NAV!Z369</f>
        <v>0</v>
      </c>
      <c r="T200" s="6">
        <f>NAV!AA369</f>
        <v>0</v>
      </c>
      <c r="U200" s="10">
        <f>NAV!AB369</f>
        <v>0</v>
      </c>
      <c r="V200" s="6" t="str">
        <f>NAV!AC369</f>
        <v>2년이상</v>
      </c>
    </row>
    <row r="201" spans="1:22">
      <c r="A201" s="7">
        <f t="shared" si="3"/>
        <v>200</v>
      </c>
      <c r="B201" s="7">
        <f>TYPE(종목정보tbl!$C201)</f>
        <v>1</v>
      </c>
      <c r="C201" s="6">
        <f>NAV!J370</f>
        <v>0</v>
      </c>
      <c r="D201" s="6">
        <f>NAV!K370</f>
        <v>0</v>
      </c>
      <c r="E201" s="6">
        <f>NAV!L370</f>
        <v>0</v>
      </c>
      <c r="F201" s="6">
        <f>NAV!M370</f>
        <v>0</v>
      </c>
      <c r="G201" s="6">
        <f>NAV!N370</f>
        <v>0</v>
      </c>
      <c r="H201" s="6">
        <f>NAV!O370</f>
        <v>0</v>
      </c>
      <c r="I201" s="6">
        <f>NAV!P370</f>
        <v>0</v>
      </c>
      <c r="J201" s="6">
        <f>NAV!Q370</f>
        <v>0</v>
      </c>
      <c r="K201" s="9">
        <f>NAV!R370</f>
        <v>0</v>
      </c>
      <c r="L201" s="6">
        <f>NAV!S370</f>
        <v>0</v>
      </c>
      <c r="M201" s="6">
        <f>NAV!T370</f>
        <v>0</v>
      </c>
      <c r="N201" s="6" t="str">
        <f>NAV!U370</f>
        <v>한국 원화(KRW)</v>
      </c>
      <c r="O201" s="6">
        <f>NAV!V370</f>
        <v>1</v>
      </c>
      <c r="P201" s="6">
        <f>NAV!W370</f>
        <v>0</v>
      </c>
      <c r="Q201" s="6">
        <f>NAV!X370</f>
        <v>0</v>
      </c>
      <c r="R201" s="6">
        <f>NAV!Y370</f>
        <v>0</v>
      </c>
      <c r="S201" s="6">
        <f>NAV!Z370</f>
        <v>0</v>
      </c>
      <c r="T201" s="6">
        <f>NAV!AA370</f>
        <v>0</v>
      </c>
      <c r="U201" s="10">
        <f>NAV!AB370</f>
        <v>0</v>
      </c>
      <c r="V201" s="6" t="str">
        <f>NAV!AC370</f>
        <v>2년이상</v>
      </c>
    </row>
    <row r="202" spans="1:22">
      <c r="A202" s="7">
        <f t="shared" si="3"/>
        <v>201</v>
      </c>
      <c r="B202" s="7">
        <f>TYPE(종목정보tbl!$C202)</f>
        <v>1</v>
      </c>
      <c r="C202" s="6">
        <f>NAV!J371</f>
        <v>0</v>
      </c>
      <c r="D202" s="6">
        <f>NAV!K371</f>
        <v>0</v>
      </c>
      <c r="E202" s="6">
        <f>NAV!L371</f>
        <v>0</v>
      </c>
      <c r="F202" s="6">
        <f>NAV!M371</f>
        <v>0</v>
      </c>
      <c r="G202" s="6">
        <f>NAV!N371</f>
        <v>0</v>
      </c>
      <c r="H202" s="6">
        <f>NAV!O371</f>
        <v>0</v>
      </c>
      <c r="I202" s="6">
        <f>NAV!P371</f>
        <v>0</v>
      </c>
      <c r="J202" s="6">
        <f>NAV!Q371</f>
        <v>0</v>
      </c>
      <c r="K202" s="9">
        <f>NAV!R371</f>
        <v>0</v>
      </c>
      <c r="L202" s="6">
        <f>NAV!S371</f>
        <v>0</v>
      </c>
      <c r="M202" s="6">
        <f>NAV!T371</f>
        <v>0</v>
      </c>
      <c r="N202" s="6" t="str">
        <f>NAV!U371</f>
        <v>한국 원화(KRW)</v>
      </c>
      <c r="O202" s="6">
        <f>NAV!V371</f>
        <v>1</v>
      </c>
      <c r="P202" s="6">
        <f>NAV!W371</f>
        <v>0</v>
      </c>
      <c r="Q202" s="6">
        <f>NAV!X371</f>
        <v>0</v>
      </c>
      <c r="R202" s="6">
        <f>NAV!Y371</f>
        <v>0</v>
      </c>
      <c r="S202" s="6">
        <f>NAV!Z371</f>
        <v>0</v>
      </c>
      <c r="T202" s="6">
        <f>NAV!AA371</f>
        <v>0</v>
      </c>
      <c r="U202" s="10">
        <f>NAV!AB371</f>
        <v>0</v>
      </c>
      <c r="V202" s="6" t="str">
        <f>NAV!AC371</f>
        <v>2년이상</v>
      </c>
    </row>
    <row r="203" spans="1:22">
      <c r="A203" s="7">
        <f t="shared" si="3"/>
        <v>202</v>
      </c>
      <c r="B203" s="7">
        <f>TYPE(종목정보tbl!$C203)</f>
        <v>1</v>
      </c>
      <c r="C203" s="6">
        <f>NAV!J372</f>
        <v>0</v>
      </c>
      <c r="D203" s="6">
        <f>NAV!K372</f>
        <v>0</v>
      </c>
      <c r="E203" s="6">
        <f>NAV!L372</f>
        <v>0</v>
      </c>
      <c r="F203" s="6">
        <f>NAV!M372</f>
        <v>0</v>
      </c>
      <c r="G203" s="6">
        <f>NAV!N372</f>
        <v>0</v>
      </c>
      <c r="H203" s="6">
        <f>NAV!O372</f>
        <v>0</v>
      </c>
      <c r="I203" s="6">
        <f>NAV!P372</f>
        <v>0</v>
      </c>
      <c r="J203" s="6">
        <f>NAV!Q372</f>
        <v>0</v>
      </c>
      <c r="K203" s="9">
        <f>NAV!R372</f>
        <v>0</v>
      </c>
      <c r="L203" s="6">
        <f>NAV!S372</f>
        <v>0</v>
      </c>
      <c r="M203" s="6">
        <f>NAV!T372</f>
        <v>0</v>
      </c>
      <c r="N203" s="6" t="str">
        <f>NAV!U372</f>
        <v>한국 원화(KRW)</v>
      </c>
      <c r="O203" s="6">
        <f>NAV!V372</f>
        <v>1</v>
      </c>
      <c r="P203" s="6">
        <f>NAV!W372</f>
        <v>0</v>
      </c>
      <c r="Q203" s="6">
        <f>NAV!X372</f>
        <v>0</v>
      </c>
      <c r="R203" s="6">
        <f>NAV!Y372</f>
        <v>0</v>
      </c>
      <c r="S203" s="6">
        <f>NAV!Z372</f>
        <v>0</v>
      </c>
      <c r="T203" s="6">
        <f>NAV!AA372</f>
        <v>0</v>
      </c>
      <c r="U203" s="10">
        <f>NAV!AB372</f>
        <v>0</v>
      </c>
      <c r="V203" s="6" t="str">
        <f>NAV!AC372</f>
        <v>2년이상</v>
      </c>
    </row>
    <row r="204" spans="1:22">
      <c r="A204" s="7">
        <f t="shared" si="3"/>
        <v>203</v>
      </c>
      <c r="B204" s="7">
        <f>TYPE(종목정보tbl!$C204)</f>
        <v>1</v>
      </c>
      <c r="C204" s="6">
        <f>NAV!J373</f>
        <v>0</v>
      </c>
      <c r="D204" s="6">
        <f>NAV!K373</f>
        <v>0</v>
      </c>
      <c r="E204" s="6">
        <f>NAV!L373</f>
        <v>0</v>
      </c>
      <c r="F204" s="6">
        <f>NAV!M373</f>
        <v>0</v>
      </c>
      <c r="G204" s="6">
        <f>NAV!N373</f>
        <v>0</v>
      </c>
      <c r="H204" s="6">
        <f>NAV!O373</f>
        <v>0</v>
      </c>
      <c r="I204" s="6">
        <f>NAV!P373</f>
        <v>0</v>
      </c>
      <c r="J204" s="6">
        <f>NAV!Q373</f>
        <v>0</v>
      </c>
      <c r="K204" s="9">
        <f>NAV!R373</f>
        <v>0</v>
      </c>
      <c r="L204" s="6">
        <f>NAV!S373</f>
        <v>0</v>
      </c>
      <c r="M204" s="6">
        <f>NAV!T373</f>
        <v>0</v>
      </c>
      <c r="N204" s="6" t="str">
        <f>NAV!U373</f>
        <v>한국 원화(KRW)</v>
      </c>
      <c r="O204" s="6">
        <f>NAV!V373</f>
        <v>1</v>
      </c>
      <c r="P204" s="6">
        <f>NAV!W373</f>
        <v>0</v>
      </c>
      <c r="Q204" s="6">
        <f>NAV!X373</f>
        <v>0</v>
      </c>
      <c r="R204" s="6">
        <f>NAV!Y373</f>
        <v>0</v>
      </c>
      <c r="S204" s="6">
        <f>NAV!Z373</f>
        <v>0</v>
      </c>
      <c r="T204" s="6">
        <f>NAV!AA373</f>
        <v>0</v>
      </c>
      <c r="U204" s="10">
        <f>NAV!AB373</f>
        <v>0</v>
      </c>
      <c r="V204" s="6" t="str">
        <f>NAV!AC373</f>
        <v>2년이상</v>
      </c>
    </row>
    <row r="205" spans="1:22">
      <c r="A205" s="7">
        <f t="shared" si="3"/>
        <v>204</v>
      </c>
      <c r="B205" s="7">
        <f>TYPE(종목정보tbl!$C205)</f>
        <v>1</v>
      </c>
      <c r="C205" s="6">
        <f>NAV!J374</f>
        <v>0</v>
      </c>
      <c r="D205" s="6">
        <f>NAV!K374</f>
        <v>0</v>
      </c>
      <c r="E205" s="6">
        <f>NAV!L374</f>
        <v>0</v>
      </c>
      <c r="F205" s="6">
        <f>NAV!M374</f>
        <v>0</v>
      </c>
      <c r="G205" s="6">
        <f>NAV!N374</f>
        <v>0</v>
      </c>
      <c r="H205" s="6">
        <f>NAV!O374</f>
        <v>0</v>
      </c>
      <c r="I205" s="6">
        <f>NAV!P374</f>
        <v>0</v>
      </c>
      <c r="J205" s="6">
        <f>NAV!Q374</f>
        <v>0</v>
      </c>
      <c r="K205" s="9">
        <f>NAV!R374</f>
        <v>0</v>
      </c>
      <c r="L205" s="6">
        <f>NAV!S374</f>
        <v>0</v>
      </c>
      <c r="M205" s="6">
        <f>NAV!T374</f>
        <v>0</v>
      </c>
      <c r="N205" s="6" t="str">
        <f>NAV!U374</f>
        <v>한국 원화(KRW)</v>
      </c>
      <c r="O205" s="6">
        <f>NAV!V374</f>
        <v>1</v>
      </c>
      <c r="P205" s="6">
        <f>NAV!W374</f>
        <v>0</v>
      </c>
      <c r="Q205" s="6">
        <f>NAV!X374</f>
        <v>0</v>
      </c>
      <c r="R205" s="6">
        <f>NAV!Y374</f>
        <v>0</v>
      </c>
      <c r="S205" s="6">
        <f>NAV!Z374</f>
        <v>0</v>
      </c>
      <c r="T205" s="6">
        <f>NAV!AA374</f>
        <v>0</v>
      </c>
      <c r="U205" s="10">
        <f>NAV!AB374</f>
        <v>0</v>
      </c>
      <c r="V205" s="6" t="str">
        <f>NAV!AC374</f>
        <v>2년이상</v>
      </c>
    </row>
    <row r="206" spans="1:22">
      <c r="A206" s="7">
        <f t="shared" si="3"/>
        <v>205</v>
      </c>
      <c r="B206" s="7">
        <f>TYPE(종목정보tbl!$C206)</f>
        <v>1</v>
      </c>
      <c r="C206" s="6">
        <f>NAV!J375</f>
        <v>0</v>
      </c>
      <c r="D206" s="6">
        <f>NAV!K375</f>
        <v>0</v>
      </c>
      <c r="E206" s="6">
        <f>NAV!L375</f>
        <v>0</v>
      </c>
      <c r="F206" s="6">
        <f>NAV!M375</f>
        <v>0</v>
      </c>
      <c r="G206" s="6">
        <f>NAV!N375</f>
        <v>0</v>
      </c>
      <c r="H206" s="6">
        <f>NAV!O375</f>
        <v>0</v>
      </c>
      <c r="I206" s="6">
        <f>NAV!P375</f>
        <v>0</v>
      </c>
      <c r="J206" s="6">
        <f>NAV!Q375</f>
        <v>0</v>
      </c>
      <c r="K206" s="9">
        <f>NAV!R375</f>
        <v>0</v>
      </c>
      <c r="L206" s="6">
        <f>NAV!S375</f>
        <v>0</v>
      </c>
      <c r="M206" s="6">
        <f>NAV!T375</f>
        <v>0</v>
      </c>
      <c r="N206" s="6" t="str">
        <f>NAV!U375</f>
        <v>한국 원화(KRW)</v>
      </c>
      <c r="O206" s="6">
        <f>NAV!V375</f>
        <v>1</v>
      </c>
      <c r="P206" s="6">
        <f>NAV!W375</f>
        <v>0</v>
      </c>
      <c r="Q206" s="6">
        <f>NAV!X375</f>
        <v>0</v>
      </c>
      <c r="R206" s="6">
        <f>NAV!Y375</f>
        <v>0</v>
      </c>
      <c r="S206" s="6">
        <f>NAV!Z375</f>
        <v>0</v>
      </c>
      <c r="T206" s="6">
        <f>NAV!AA375</f>
        <v>0</v>
      </c>
      <c r="U206" s="10">
        <f>NAV!AB375</f>
        <v>0</v>
      </c>
      <c r="V206" s="6" t="str">
        <f>NAV!AC375</f>
        <v>2년이상</v>
      </c>
    </row>
    <row r="207" spans="1:22">
      <c r="A207" s="7">
        <f t="shared" si="3"/>
        <v>206</v>
      </c>
      <c r="B207" s="7">
        <f>TYPE(종목정보tbl!$C207)</f>
        <v>1</v>
      </c>
      <c r="C207" s="6">
        <f>NAV!J403</f>
        <v>0</v>
      </c>
      <c r="D207" s="6">
        <f>NAV!K403</f>
        <v>0</v>
      </c>
      <c r="E207" s="6">
        <f>NAV!L403</f>
        <v>0</v>
      </c>
      <c r="F207" s="6">
        <f>NAV!M403</f>
        <v>0</v>
      </c>
      <c r="G207" s="6">
        <f>NAV!N403</f>
        <v>0</v>
      </c>
      <c r="H207" s="6">
        <f>NAV!O403</f>
        <v>0</v>
      </c>
      <c r="I207" s="6">
        <f>NAV!P403</f>
        <v>0</v>
      </c>
      <c r="J207" s="6">
        <f>NAV!Q403</f>
        <v>0</v>
      </c>
      <c r="K207" s="9">
        <f>NAV!R403</f>
        <v>0</v>
      </c>
      <c r="L207" s="6">
        <f>NAV!S403</f>
        <v>0</v>
      </c>
      <c r="M207" s="6">
        <f>NAV!T403</f>
        <v>0</v>
      </c>
      <c r="N207" s="6" t="str">
        <f>NAV!U403</f>
        <v>한국 원화(KRW)</v>
      </c>
      <c r="O207" s="6">
        <f>NAV!V403</f>
        <v>1</v>
      </c>
      <c r="P207" s="6">
        <f>NAV!W403</f>
        <v>0</v>
      </c>
      <c r="Q207" s="6">
        <f>NAV!X403</f>
        <v>0</v>
      </c>
      <c r="R207" s="6">
        <f>NAV!Y403</f>
        <v>0</v>
      </c>
      <c r="S207" s="6">
        <f>NAV!Z403</f>
        <v>0</v>
      </c>
      <c r="T207" s="6">
        <f>NAV!AA403</f>
        <v>0</v>
      </c>
      <c r="U207" s="10">
        <f>NAV!AB403</f>
        <v>0</v>
      </c>
      <c r="V207" s="6" t="str">
        <f>NAV!AC403</f>
        <v>2년이상</v>
      </c>
    </row>
    <row r="208" spans="1:22">
      <c r="A208" s="7">
        <f t="shared" si="3"/>
        <v>207</v>
      </c>
      <c r="B208" s="7">
        <f>TYPE(종목정보tbl!$C208)</f>
        <v>1</v>
      </c>
      <c r="C208" s="6">
        <f>NAV!J404</f>
        <v>0</v>
      </c>
      <c r="D208" s="6">
        <f>NAV!K404</f>
        <v>0</v>
      </c>
      <c r="E208" s="6">
        <f>NAV!L404</f>
        <v>0</v>
      </c>
      <c r="F208" s="6">
        <f>NAV!M404</f>
        <v>0</v>
      </c>
      <c r="G208" s="6">
        <f>NAV!N404</f>
        <v>0</v>
      </c>
      <c r="H208" s="6">
        <f>NAV!O404</f>
        <v>0</v>
      </c>
      <c r="I208" s="6">
        <f>NAV!P404</f>
        <v>0</v>
      </c>
      <c r="J208" s="6">
        <f>NAV!Q404</f>
        <v>0</v>
      </c>
      <c r="K208" s="9">
        <f>NAV!R404</f>
        <v>0</v>
      </c>
      <c r="L208" s="6">
        <f>NAV!S404</f>
        <v>0</v>
      </c>
      <c r="M208" s="6">
        <f>NAV!T404</f>
        <v>0</v>
      </c>
      <c r="N208" s="6" t="str">
        <f>NAV!U404</f>
        <v>한국 원화(KRW)</v>
      </c>
      <c r="O208" s="6">
        <f>NAV!V404</f>
        <v>1</v>
      </c>
      <c r="P208" s="6">
        <f>NAV!W404</f>
        <v>0</v>
      </c>
      <c r="Q208" s="6">
        <f>NAV!X404</f>
        <v>0</v>
      </c>
      <c r="R208" s="6">
        <f>NAV!Y404</f>
        <v>0</v>
      </c>
      <c r="S208" s="6">
        <f>NAV!Z404</f>
        <v>0</v>
      </c>
      <c r="T208" s="6">
        <f>NAV!AA404</f>
        <v>0</v>
      </c>
      <c r="U208" s="10">
        <f>NAV!AB404</f>
        <v>0</v>
      </c>
      <c r="V208" s="6" t="str">
        <f>NAV!AC404</f>
        <v>2년이상</v>
      </c>
    </row>
    <row r="209" spans="1:22">
      <c r="A209" s="7">
        <f t="shared" si="3"/>
        <v>208</v>
      </c>
      <c r="B209" s="7">
        <f>TYPE(종목정보tbl!$C209)</f>
        <v>1</v>
      </c>
      <c r="C209" s="6">
        <f>NAV!J405</f>
        <v>0</v>
      </c>
      <c r="D209" s="6">
        <f>NAV!K405</f>
        <v>0</v>
      </c>
      <c r="E209" s="6">
        <f>NAV!L405</f>
        <v>0</v>
      </c>
      <c r="F209" s="6">
        <f>NAV!M405</f>
        <v>0</v>
      </c>
      <c r="G209" s="6">
        <f>NAV!N405</f>
        <v>0</v>
      </c>
      <c r="H209" s="6">
        <f>NAV!O405</f>
        <v>0</v>
      </c>
      <c r="I209" s="6">
        <f>NAV!P405</f>
        <v>0</v>
      </c>
      <c r="J209" s="6">
        <f>NAV!Q405</f>
        <v>0</v>
      </c>
      <c r="K209" s="9">
        <f>NAV!R405</f>
        <v>0</v>
      </c>
      <c r="L209" s="6">
        <f>NAV!S405</f>
        <v>0</v>
      </c>
      <c r="M209" s="6">
        <f>NAV!T405</f>
        <v>0</v>
      </c>
      <c r="N209" s="6" t="str">
        <f>NAV!U405</f>
        <v>한국 원화(KRW)</v>
      </c>
      <c r="O209" s="6">
        <f>NAV!V405</f>
        <v>1</v>
      </c>
      <c r="P209" s="6">
        <f>NAV!W405</f>
        <v>0</v>
      </c>
      <c r="Q209" s="6">
        <f>NAV!X405</f>
        <v>0</v>
      </c>
      <c r="R209" s="6">
        <f>NAV!Y405</f>
        <v>0</v>
      </c>
      <c r="S209" s="6">
        <f>NAV!Z405</f>
        <v>0</v>
      </c>
      <c r="T209" s="6">
        <f>NAV!AA405</f>
        <v>0</v>
      </c>
      <c r="U209" s="10">
        <f>NAV!AB405</f>
        <v>0</v>
      </c>
      <c r="V209" s="6" t="str">
        <f>NAV!AC405</f>
        <v>2년이상</v>
      </c>
    </row>
    <row r="210" spans="1:22">
      <c r="A210" s="7">
        <f t="shared" si="3"/>
        <v>209</v>
      </c>
      <c r="B210" s="7">
        <f>TYPE(종목정보tbl!$C210)</f>
        <v>1</v>
      </c>
      <c r="C210" s="6">
        <f>NAV!J406</f>
        <v>0</v>
      </c>
      <c r="D210" s="6">
        <f>NAV!K406</f>
        <v>0</v>
      </c>
      <c r="E210" s="6">
        <f>NAV!L406</f>
        <v>0</v>
      </c>
      <c r="F210" s="6">
        <f>NAV!M406</f>
        <v>0</v>
      </c>
      <c r="G210" s="6">
        <f>NAV!N406</f>
        <v>0</v>
      </c>
      <c r="H210" s="6">
        <f>NAV!O406</f>
        <v>0</v>
      </c>
      <c r="I210" s="6">
        <f>NAV!P406</f>
        <v>0</v>
      </c>
      <c r="J210" s="6">
        <f>NAV!Q406</f>
        <v>0</v>
      </c>
      <c r="K210" s="9">
        <f>NAV!R406</f>
        <v>0</v>
      </c>
      <c r="L210" s="6">
        <f>NAV!S406</f>
        <v>0</v>
      </c>
      <c r="M210" s="6">
        <f>NAV!T406</f>
        <v>0</v>
      </c>
      <c r="N210" s="6" t="str">
        <f>NAV!U406</f>
        <v>한국 원화(KRW)</v>
      </c>
      <c r="O210" s="6">
        <f>NAV!V406</f>
        <v>1</v>
      </c>
      <c r="P210" s="6">
        <f>NAV!W406</f>
        <v>0</v>
      </c>
      <c r="Q210" s="6">
        <f>NAV!X406</f>
        <v>0</v>
      </c>
      <c r="R210" s="6">
        <f>NAV!Y406</f>
        <v>0</v>
      </c>
      <c r="S210" s="6">
        <f>NAV!Z406</f>
        <v>0</v>
      </c>
      <c r="T210" s="6">
        <f>NAV!AA406</f>
        <v>0</v>
      </c>
      <c r="U210" s="10">
        <f>NAV!AB406</f>
        <v>0</v>
      </c>
      <c r="V210" s="6" t="str">
        <f>NAV!AC406</f>
        <v>2년이상</v>
      </c>
    </row>
    <row r="211" spans="1:22">
      <c r="A211" s="7">
        <f t="shared" si="3"/>
        <v>210</v>
      </c>
      <c r="B211" s="7">
        <f>TYPE(종목정보tbl!$C211)</f>
        <v>1</v>
      </c>
      <c r="C211" s="6">
        <f>NAV!J407</f>
        <v>0</v>
      </c>
      <c r="D211" s="6">
        <f>NAV!K407</f>
        <v>0</v>
      </c>
      <c r="E211" s="6">
        <f>NAV!L407</f>
        <v>0</v>
      </c>
      <c r="F211" s="6">
        <f>NAV!M407</f>
        <v>0</v>
      </c>
      <c r="G211" s="6">
        <f>NAV!N407</f>
        <v>0</v>
      </c>
      <c r="H211" s="6">
        <f>NAV!O407</f>
        <v>0</v>
      </c>
      <c r="I211" s="6">
        <f>NAV!P407</f>
        <v>0</v>
      </c>
      <c r="J211" s="6">
        <f>NAV!Q407</f>
        <v>0</v>
      </c>
      <c r="K211" s="9">
        <f>NAV!R407</f>
        <v>0</v>
      </c>
      <c r="L211" s="6">
        <f>NAV!S407</f>
        <v>0</v>
      </c>
      <c r="M211" s="6">
        <f>NAV!T407</f>
        <v>0</v>
      </c>
      <c r="N211" s="6" t="str">
        <f>NAV!U407</f>
        <v>한국 원화(KRW)</v>
      </c>
      <c r="O211" s="6">
        <f>NAV!V407</f>
        <v>1</v>
      </c>
      <c r="P211" s="6">
        <f>NAV!W407</f>
        <v>0</v>
      </c>
      <c r="Q211" s="6">
        <f>NAV!X407</f>
        <v>0</v>
      </c>
      <c r="R211" s="6">
        <f>NAV!Y407</f>
        <v>0</v>
      </c>
      <c r="S211" s="6">
        <f>NAV!Z407</f>
        <v>0</v>
      </c>
      <c r="T211" s="6">
        <f>NAV!AA407</f>
        <v>0</v>
      </c>
      <c r="U211" s="10">
        <f>NAV!AB407</f>
        <v>0</v>
      </c>
      <c r="V211" s="6" t="str">
        <f>NAV!AC407</f>
        <v>2년이상</v>
      </c>
    </row>
    <row r="212" spans="1:22">
      <c r="A212" s="7">
        <f t="shared" si="3"/>
        <v>211</v>
      </c>
      <c r="B212" s="7">
        <f>TYPE(종목정보tbl!$C212)</f>
        <v>1</v>
      </c>
      <c r="C212" s="6">
        <f>NAV!J408</f>
        <v>0</v>
      </c>
      <c r="D212" s="6">
        <f>NAV!K408</f>
        <v>0</v>
      </c>
      <c r="E212" s="6">
        <f>NAV!L408</f>
        <v>0</v>
      </c>
      <c r="F212" s="6">
        <f>NAV!M408</f>
        <v>0</v>
      </c>
      <c r="G212" s="6">
        <f>NAV!N408</f>
        <v>0</v>
      </c>
      <c r="H212" s="6">
        <f>NAV!O408</f>
        <v>0</v>
      </c>
      <c r="I212" s="6">
        <f>NAV!P408</f>
        <v>0</v>
      </c>
      <c r="J212" s="6">
        <f>NAV!Q408</f>
        <v>0</v>
      </c>
      <c r="K212" s="9">
        <f>NAV!R408</f>
        <v>0</v>
      </c>
      <c r="L212" s="6">
        <f>NAV!S408</f>
        <v>0</v>
      </c>
      <c r="M212" s="6">
        <f>NAV!T408</f>
        <v>0</v>
      </c>
      <c r="N212" s="6" t="str">
        <f>NAV!U408</f>
        <v>한국 원화(KRW)</v>
      </c>
      <c r="O212" s="6">
        <f>NAV!V408</f>
        <v>1</v>
      </c>
      <c r="P212" s="6">
        <f>NAV!W408</f>
        <v>0</v>
      </c>
      <c r="Q212" s="6">
        <f>NAV!X408</f>
        <v>0</v>
      </c>
      <c r="R212" s="6">
        <f>NAV!Y408</f>
        <v>0</v>
      </c>
      <c r="S212" s="6">
        <f>NAV!Z408</f>
        <v>0</v>
      </c>
      <c r="T212" s="6">
        <f>NAV!AA408</f>
        <v>0</v>
      </c>
      <c r="U212" s="10">
        <f>NAV!AB408</f>
        <v>0</v>
      </c>
      <c r="V212" s="6" t="str">
        <f>NAV!AC408</f>
        <v>2년이상</v>
      </c>
    </row>
    <row r="213" spans="1:22">
      <c r="A213" s="7">
        <f t="shared" si="3"/>
        <v>212</v>
      </c>
      <c r="B213" s="7">
        <f>TYPE(종목정보tbl!$C213)</f>
        <v>1</v>
      </c>
      <c r="C213" s="6">
        <f>NAV!J409</f>
        <v>0</v>
      </c>
      <c r="D213" s="6">
        <f>NAV!K409</f>
        <v>0</v>
      </c>
      <c r="E213" s="6">
        <f>NAV!L409</f>
        <v>0</v>
      </c>
      <c r="F213" s="6">
        <f>NAV!M409</f>
        <v>0</v>
      </c>
      <c r="G213" s="6">
        <f>NAV!N409</f>
        <v>0</v>
      </c>
      <c r="H213" s="6">
        <f>NAV!O409</f>
        <v>0</v>
      </c>
      <c r="I213" s="6">
        <f>NAV!P409</f>
        <v>0</v>
      </c>
      <c r="J213" s="6">
        <f>NAV!Q409</f>
        <v>0</v>
      </c>
      <c r="K213" s="9">
        <f>NAV!R409</f>
        <v>0</v>
      </c>
      <c r="L213" s="6">
        <f>NAV!S409</f>
        <v>0</v>
      </c>
      <c r="M213" s="6">
        <f>NAV!T409</f>
        <v>0</v>
      </c>
      <c r="N213" s="6" t="str">
        <f>NAV!U409</f>
        <v>한국 원화(KRW)</v>
      </c>
      <c r="O213" s="6">
        <f>NAV!V409</f>
        <v>1</v>
      </c>
      <c r="P213" s="6">
        <f>NAV!W409</f>
        <v>0</v>
      </c>
      <c r="Q213" s="6">
        <f>NAV!X409</f>
        <v>0</v>
      </c>
      <c r="R213" s="6">
        <f>NAV!Y409</f>
        <v>0</v>
      </c>
      <c r="S213" s="6">
        <f>NAV!Z409</f>
        <v>0</v>
      </c>
      <c r="T213" s="6">
        <f>NAV!AA409</f>
        <v>0</v>
      </c>
      <c r="U213" s="10">
        <f>NAV!AB409</f>
        <v>0</v>
      </c>
      <c r="V213" s="6" t="str">
        <f>NAV!AC409</f>
        <v>2년이상</v>
      </c>
    </row>
    <row r="214" spans="1:22">
      <c r="A214" s="7">
        <f t="shared" si="3"/>
        <v>213</v>
      </c>
      <c r="B214" s="7">
        <f>TYPE(종목정보tbl!$C214)</f>
        <v>1</v>
      </c>
      <c r="C214" s="6">
        <f>NAV!J410</f>
        <v>0</v>
      </c>
      <c r="D214" s="6">
        <f>NAV!K410</f>
        <v>0</v>
      </c>
      <c r="E214" s="6">
        <f>NAV!L410</f>
        <v>0</v>
      </c>
      <c r="F214" s="6">
        <f>NAV!M410</f>
        <v>0</v>
      </c>
      <c r="G214" s="6">
        <f>NAV!N410</f>
        <v>0</v>
      </c>
      <c r="H214" s="6">
        <f>NAV!O410</f>
        <v>0</v>
      </c>
      <c r="I214" s="6">
        <f>NAV!P410</f>
        <v>0</v>
      </c>
      <c r="J214" s="6">
        <f>NAV!Q410</f>
        <v>0</v>
      </c>
      <c r="K214" s="9">
        <f>NAV!R410</f>
        <v>0</v>
      </c>
      <c r="L214" s="6">
        <f>NAV!S410</f>
        <v>0</v>
      </c>
      <c r="M214" s="6">
        <f>NAV!T410</f>
        <v>0</v>
      </c>
      <c r="N214" s="6" t="str">
        <f>NAV!U410</f>
        <v>한국 원화(KRW)</v>
      </c>
      <c r="O214" s="6">
        <f>NAV!V410</f>
        <v>1</v>
      </c>
      <c r="P214" s="6">
        <f>NAV!W410</f>
        <v>0</v>
      </c>
      <c r="Q214" s="6">
        <f>NAV!X410</f>
        <v>0</v>
      </c>
      <c r="R214" s="6">
        <f>NAV!Y410</f>
        <v>0</v>
      </c>
      <c r="S214" s="6">
        <f>NAV!Z410</f>
        <v>0</v>
      </c>
      <c r="T214" s="6">
        <f>NAV!AA410</f>
        <v>0</v>
      </c>
      <c r="U214" s="10">
        <f>NAV!AB410</f>
        <v>0</v>
      </c>
      <c r="V214" s="6" t="str">
        <f>NAV!AC410</f>
        <v>2년이상</v>
      </c>
    </row>
    <row r="215" spans="1:22">
      <c r="A215" s="7">
        <f t="shared" si="3"/>
        <v>214</v>
      </c>
      <c r="B215" s="7">
        <f>TYPE(종목정보tbl!$C215)</f>
        <v>1</v>
      </c>
      <c r="C215" s="6">
        <f>NAV!J411</f>
        <v>0</v>
      </c>
      <c r="D215" s="6">
        <f>NAV!K411</f>
        <v>0</v>
      </c>
      <c r="E215" s="6">
        <f>NAV!L411</f>
        <v>0</v>
      </c>
      <c r="F215" s="6">
        <f>NAV!M411</f>
        <v>0</v>
      </c>
      <c r="G215" s="6">
        <f>NAV!N411</f>
        <v>0</v>
      </c>
      <c r="H215" s="6">
        <f>NAV!O411</f>
        <v>0</v>
      </c>
      <c r="I215" s="6">
        <f>NAV!P411</f>
        <v>0</v>
      </c>
      <c r="J215" s="6">
        <f>NAV!Q411</f>
        <v>0</v>
      </c>
      <c r="K215" s="9">
        <f>NAV!R411</f>
        <v>0</v>
      </c>
      <c r="L215" s="6">
        <f>NAV!S411</f>
        <v>0</v>
      </c>
      <c r="M215" s="6">
        <f>NAV!T411</f>
        <v>0</v>
      </c>
      <c r="N215" s="6" t="str">
        <f>NAV!U411</f>
        <v>한국 원화(KRW)</v>
      </c>
      <c r="O215" s="6">
        <f>NAV!V411</f>
        <v>1</v>
      </c>
      <c r="P215" s="6">
        <f>NAV!W411</f>
        <v>0</v>
      </c>
      <c r="Q215" s="6">
        <f>NAV!X411</f>
        <v>0</v>
      </c>
      <c r="R215" s="6">
        <f>NAV!Y411</f>
        <v>0</v>
      </c>
      <c r="S215" s="6">
        <f>NAV!Z411</f>
        <v>0</v>
      </c>
      <c r="T215" s="6">
        <f>NAV!AA411</f>
        <v>0</v>
      </c>
      <c r="U215" s="10">
        <f>NAV!AB411</f>
        <v>0</v>
      </c>
      <c r="V215" s="6" t="str">
        <f>NAV!AC411</f>
        <v>2년이상</v>
      </c>
    </row>
    <row r="216" spans="1:22">
      <c r="A216" s="7">
        <f t="shared" si="3"/>
        <v>215</v>
      </c>
      <c r="B216" s="7">
        <f>TYPE(종목정보tbl!$C216)</f>
        <v>1</v>
      </c>
      <c r="C216" s="6">
        <f>NAV!J412</f>
        <v>0</v>
      </c>
      <c r="D216" s="6">
        <f>NAV!K412</f>
        <v>0</v>
      </c>
      <c r="E216" s="6">
        <f>NAV!L412</f>
        <v>0</v>
      </c>
      <c r="F216" s="6">
        <f>NAV!M412</f>
        <v>0</v>
      </c>
      <c r="G216" s="6">
        <f>NAV!N412</f>
        <v>0</v>
      </c>
      <c r="H216" s="6">
        <f>NAV!O412</f>
        <v>0</v>
      </c>
      <c r="I216" s="6">
        <f>NAV!P412</f>
        <v>0</v>
      </c>
      <c r="J216" s="6">
        <f>NAV!Q412</f>
        <v>0</v>
      </c>
      <c r="K216" s="9">
        <f>NAV!R412</f>
        <v>0</v>
      </c>
      <c r="L216" s="6">
        <f>NAV!S412</f>
        <v>0</v>
      </c>
      <c r="M216" s="6">
        <f>NAV!T412</f>
        <v>0</v>
      </c>
      <c r="N216" s="6" t="str">
        <f>NAV!U412</f>
        <v>한국 원화(KRW)</v>
      </c>
      <c r="O216" s="6">
        <f>NAV!V412</f>
        <v>1</v>
      </c>
      <c r="P216" s="6">
        <f>NAV!W412</f>
        <v>0</v>
      </c>
      <c r="Q216" s="6">
        <f>NAV!X412</f>
        <v>0</v>
      </c>
      <c r="R216" s="6">
        <f>NAV!Y412</f>
        <v>0</v>
      </c>
      <c r="S216" s="6">
        <f>NAV!Z412</f>
        <v>0</v>
      </c>
      <c r="T216" s="6">
        <f>NAV!AA412</f>
        <v>0</v>
      </c>
      <c r="U216" s="10">
        <f>NAV!AB412</f>
        <v>0</v>
      </c>
      <c r="V216" s="6" t="str">
        <f>NAV!AC412</f>
        <v>2년이상</v>
      </c>
    </row>
    <row r="217" spans="1:22">
      <c r="A217" s="7">
        <f t="shared" si="3"/>
        <v>216</v>
      </c>
      <c r="B217" s="7">
        <f>TYPE(종목정보tbl!$C217)</f>
        <v>1</v>
      </c>
      <c r="C217" s="6">
        <f>NAV!J413</f>
        <v>0</v>
      </c>
      <c r="D217" s="6">
        <f>NAV!K413</f>
        <v>0</v>
      </c>
      <c r="E217" s="6">
        <f>NAV!L413</f>
        <v>0</v>
      </c>
      <c r="F217" s="6">
        <f>NAV!M413</f>
        <v>0</v>
      </c>
      <c r="G217" s="6">
        <f>NAV!N413</f>
        <v>0</v>
      </c>
      <c r="H217" s="6">
        <f>NAV!O413</f>
        <v>0</v>
      </c>
      <c r="I217" s="6">
        <f>NAV!P413</f>
        <v>0</v>
      </c>
      <c r="J217" s="6">
        <f>NAV!Q413</f>
        <v>0</v>
      </c>
      <c r="K217" s="9">
        <f>NAV!R413</f>
        <v>0</v>
      </c>
      <c r="L217" s="6">
        <f>NAV!S413</f>
        <v>0</v>
      </c>
      <c r="M217" s="6">
        <f>NAV!T413</f>
        <v>0</v>
      </c>
      <c r="N217" s="6" t="str">
        <f>NAV!U413</f>
        <v>한국 원화(KRW)</v>
      </c>
      <c r="O217" s="6">
        <f>NAV!V413</f>
        <v>1</v>
      </c>
      <c r="P217" s="6">
        <f>NAV!W413</f>
        <v>0</v>
      </c>
      <c r="Q217" s="6">
        <f>NAV!X413</f>
        <v>0</v>
      </c>
      <c r="R217" s="6">
        <f>NAV!Y413</f>
        <v>0</v>
      </c>
      <c r="S217" s="6">
        <f>NAV!Z413</f>
        <v>0</v>
      </c>
      <c r="T217" s="6">
        <f>NAV!AA413</f>
        <v>0</v>
      </c>
      <c r="U217" s="10">
        <f>NAV!AB413</f>
        <v>0</v>
      </c>
      <c r="V217" s="6" t="str">
        <f>NAV!AC413</f>
        <v>2년이상</v>
      </c>
    </row>
    <row r="218" spans="1:22">
      <c r="A218" s="7">
        <f t="shared" si="3"/>
        <v>217</v>
      </c>
      <c r="B218" s="7">
        <f>TYPE(종목정보tbl!$C218)</f>
        <v>1</v>
      </c>
      <c r="C218" s="6">
        <f>NAV!J441</f>
        <v>0</v>
      </c>
      <c r="D218" s="6">
        <f>NAV!K441</f>
        <v>0</v>
      </c>
      <c r="E218" s="6">
        <f>NAV!L441</f>
        <v>0</v>
      </c>
      <c r="F218" s="6">
        <f>NAV!M441</f>
        <v>0</v>
      </c>
      <c r="G218" s="6">
        <f>NAV!N441</f>
        <v>0</v>
      </c>
      <c r="H218" s="6">
        <f>NAV!O441</f>
        <v>0</v>
      </c>
      <c r="I218" s="6">
        <f>NAV!P441</f>
        <v>0</v>
      </c>
      <c r="J218" s="6">
        <f>NAV!Q441</f>
        <v>0</v>
      </c>
      <c r="K218" s="9">
        <f>NAV!R441</f>
        <v>0</v>
      </c>
      <c r="L218" s="6">
        <f>NAV!S441</f>
        <v>0</v>
      </c>
      <c r="M218" s="6">
        <f>NAV!T441</f>
        <v>0</v>
      </c>
      <c r="N218" s="6" t="str">
        <f>NAV!U441</f>
        <v>한국 원화(KRW)</v>
      </c>
      <c r="O218" s="6">
        <f>NAV!V441</f>
        <v>1</v>
      </c>
      <c r="P218" s="6">
        <f>NAV!W441</f>
        <v>0</v>
      </c>
      <c r="Q218" s="6">
        <f>NAV!X441</f>
        <v>0</v>
      </c>
      <c r="R218" s="6">
        <f>NAV!Y441</f>
        <v>0</v>
      </c>
      <c r="S218" s="6">
        <f>NAV!Z441</f>
        <v>0</v>
      </c>
      <c r="T218" s="6">
        <f>NAV!AA441</f>
        <v>0</v>
      </c>
      <c r="U218" s="10">
        <f>NAV!AB441</f>
        <v>0</v>
      </c>
      <c r="V218" s="6" t="str">
        <f>NAV!AC441</f>
        <v>2년이상</v>
      </c>
    </row>
    <row r="219" spans="1:22">
      <c r="A219" s="7">
        <f t="shared" si="3"/>
        <v>218</v>
      </c>
      <c r="B219" s="7">
        <f>TYPE(종목정보tbl!$C219)</f>
        <v>1</v>
      </c>
      <c r="C219" s="6">
        <f>NAV!J442</f>
        <v>0</v>
      </c>
      <c r="D219" s="6">
        <f>NAV!K442</f>
        <v>0</v>
      </c>
      <c r="E219" s="6">
        <f>NAV!L442</f>
        <v>0</v>
      </c>
      <c r="F219" s="6">
        <f>NAV!M442</f>
        <v>0</v>
      </c>
      <c r="G219" s="6">
        <f>NAV!N442</f>
        <v>0</v>
      </c>
      <c r="H219" s="6">
        <f>NAV!O442</f>
        <v>0</v>
      </c>
      <c r="I219" s="6">
        <f>NAV!P442</f>
        <v>0</v>
      </c>
      <c r="J219" s="6">
        <f>NAV!Q442</f>
        <v>0</v>
      </c>
      <c r="K219" s="9">
        <f>NAV!R442</f>
        <v>0</v>
      </c>
      <c r="L219" s="6">
        <f>NAV!S442</f>
        <v>0</v>
      </c>
      <c r="M219" s="6">
        <f>NAV!T442</f>
        <v>0</v>
      </c>
      <c r="N219" s="6" t="str">
        <f>NAV!U442</f>
        <v>한국 원화(KRW)</v>
      </c>
      <c r="O219" s="6">
        <f>NAV!V442</f>
        <v>1</v>
      </c>
      <c r="P219" s="6">
        <f>NAV!W442</f>
        <v>0</v>
      </c>
      <c r="Q219" s="6">
        <f>NAV!X442</f>
        <v>0</v>
      </c>
      <c r="R219" s="6">
        <f>NAV!Y442</f>
        <v>0</v>
      </c>
      <c r="S219" s="6">
        <f>NAV!Z442</f>
        <v>0</v>
      </c>
      <c r="T219" s="6">
        <f>NAV!AA442</f>
        <v>0</v>
      </c>
      <c r="U219" s="10">
        <f>NAV!AB442</f>
        <v>0</v>
      </c>
      <c r="V219" s="6" t="str">
        <f>NAV!AC442</f>
        <v>2년이상</v>
      </c>
    </row>
    <row r="220" spans="1:22">
      <c r="A220" s="7">
        <f t="shared" si="3"/>
        <v>219</v>
      </c>
      <c r="B220" s="7">
        <f>TYPE(종목정보tbl!$C220)</f>
        <v>1</v>
      </c>
      <c r="C220" s="6">
        <f>NAV!J443</f>
        <v>0</v>
      </c>
      <c r="D220" s="6">
        <f>NAV!K443</f>
        <v>0</v>
      </c>
      <c r="E220" s="6">
        <f>NAV!L443</f>
        <v>0</v>
      </c>
      <c r="F220" s="6">
        <f>NAV!M443</f>
        <v>0</v>
      </c>
      <c r="G220" s="6">
        <f>NAV!N443</f>
        <v>0</v>
      </c>
      <c r="H220" s="6">
        <f>NAV!O443</f>
        <v>0</v>
      </c>
      <c r="I220" s="6">
        <f>NAV!P443</f>
        <v>0</v>
      </c>
      <c r="J220" s="6">
        <f>NAV!Q443</f>
        <v>0</v>
      </c>
      <c r="K220" s="9">
        <f>NAV!R443</f>
        <v>0</v>
      </c>
      <c r="L220" s="6">
        <f>NAV!S443</f>
        <v>0</v>
      </c>
      <c r="M220" s="6">
        <f>NAV!T443</f>
        <v>0</v>
      </c>
      <c r="N220" s="6" t="str">
        <f>NAV!U443</f>
        <v>한국 원화(KRW)</v>
      </c>
      <c r="O220" s="6">
        <f>NAV!V443</f>
        <v>1</v>
      </c>
      <c r="P220" s="6">
        <f>NAV!W443</f>
        <v>0</v>
      </c>
      <c r="Q220" s="6">
        <f>NAV!X443</f>
        <v>0</v>
      </c>
      <c r="R220" s="6">
        <f>NAV!Y443</f>
        <v>0</v>
      </c>
      <c r="S220" s="6">
        <f>NAV!Z443</f>
        <v>0</v>
      </c>
      <c r="T220" s="6">
        <f>NAV!AA443</f>
        <v>0</v>
      </c>
      <c r="U220" s="10">
        <f>NAV!AB443</f>
        <v>0</v>
      </c>
      <c r="V220" s="6" t="str">
        <f>NAV!AC443</f>
        <v>2년이상</v>
      </c>
    </row>
    <row r="221" spans="1:22">
      <c r="A221" s="7">
        <f t="shared" si="3"/>
        <v>220</v>
      </c>
      <c r="B221" s="7">
        <f>TYPE(종목정보tbl!$C221)</f>
        <v>1</v>
      </c>
      <c r="C221" s="6">
        <f>NAV!J444</f>
        <v>0</v>
      </c>
      <c r="D221" s="6">
        <f>NAV!K444</f>
        <v>0</v>
      </c>
      <c r="E221" s="6">
        <f>NAV!L444</f>
        <v>0</v>
      </c>
      <c r="F221" s="6">
        <f>NAV!M444</f>
        <v>0</v>
      </c>
      <c r="G221" s="6">
        <f>NAV!N444</f>
        <v>0</v>
      </c>
      <c r="H221" s="6">
        <f>NAV!O444</f>
        <v>0</v>
      </c>
      <c r="I221" s="6">
        <f>NAV!P444</f>
        <v>0</v>
      </c>
      <c r="J221" s="6">
        <f>NAV!Q444</f>
        <v>0</v>
      </c>
      <c r="K221" s="9">
        <f>NAV!R444</f>
        <v>0</v>
      </c>
      <c r="L221" s="6">
        <f>NAV!S444</f>
        <v>0</v>
      </c>
      <c r="M221" s="6">
        <f>NAV!T444</f>
        <v>0</v>
      </c>
      <c r="N221" s="6" t="str">
        <f>NAV!U444</f>
        <v>한국 원화(KRW)</v>
      </c>
      <c r="O221" s="6">
        <f>NAV!V444</f>
        <v>1</v>
      </c>
      <c r="P221" s="6">
        <f>NAV!W444</f>
        <v>0</v>
      </c>
      <c r="Q221" s="6">
        <f>NAV!X444</f>
        <v>0</v>
      </c>
      <c r="R221" s="6">
        <f>NAV!Y444</f>
        <v>0</v>
      </c>
      <c r="S221" s="6">
        <f>NAV!Z444</f>
        <v>0</v>
      </c>
      <c r="T221" s="6">
        <f>NAV!AA444</f>
        <v>0</v>
      </c>
      <c r="U221" s="10">
        <f>NAV!AB444</f>
        <v>0</v>
      </c>
      <c r="V221" s="6" t="str">
        <f>NAV!AC444</f>
        <v>2년이상</v>
      </c>
    </row>
    <row r="222" spans="1:22">
      <c r="A222" s="7">
        <f t="shared" si="3"/>
        <v>221</v>
      </c>
      <c r="B222" s="7">
        <f>TYPE(종목정보tbl!$C222)</f>
        <v>1</v>
      </c>
      <c r="C222" s="6">
        <f>NAV!J445</f>
        <v>0</v>
      </c>
      <c r="D222" s="6">
        <f>NAV!K445</f>
        <v>0</v>
      </c>
      <c r="E222" s="6">
        <f>NAV!L445</f>
        <v>0</v>
      </c>
      <c r="F222" s="6">
        <f>NAV!M445</f>
        <v>0</v>
      </c>
      <c r="G222" s="6">
        <f>NAV!N445</f>
        <v>0</v>
      </c>
      <c r="H222" s="6">
        <f>NAV!O445</f>
        <v>0</v>
      </c>
      <c r="I222" s="6">
        <f>NAV!P445</f>
        <v>0</v>
      </c>
      <c r="J222" s="6">
        <f>NAV!Q445</f>
        <v>0</v>
      </c>
      <c r="K222" s="9">
        <f>NAV!R445</f>
        <v>0</v>
      </c>
      <c r="L222" s="6">
        <f>NAV!S445</f>
        <v>0</v>
      </c>
      <c r="M222" s="6">
        <f>NAV!T445</f>
        <v>0</v>
      </c>
      <c r="N222" s="6" t="str">
        <f>NAV!U445</f>
        <v>한국 원화(KRW)</v>
      </c>
      <c r="O222" s="6">
        <f>NAV!V445</f>
        <v>1</v>
      </c>
      <c r="P222" s="6">
        <f>NAV!W445</f>
        <v>0</v>
      </c>
      <c r="Q222" s="6">
        <f>NAV!X445</f>
        <v>0</v>
      </c>
      <c r="R222" s="6">
        <f>NAV!Y445</f>
        <v>0</v>
      </c>
      <c r="S222" s="6">
        <f>NAV!Z445</f>
        <v>0</v>
      </c>
      <c r="T222" s="6">
        <f>NAV!AA445</f>
        <v>0</v>
      </c>
      <c r="U222" s="10">
        <f>NAV!AB445</f>
        <v>0</v>
      </c>
      <c r="V222" s="6" t="str">
        <f>NAV!AC445</f>
        <v>2년이상</v>
      </c>
    </row>
    <row r="223" spans="1:22">
      <c r="A223" s="7">
        <f t="shared" si="3"/>
        <v>222</v>
      </c>
      <c r="B223" s="7">
        <f>TYPE(종목정보tbl!$C223)</f>
        <v>1</v>
      </c>
      <c r="C223" s="6">
        <f>NAV!J446</f>
        <v>0</v>
      </c>
      <c r="D223" s="6">
        <f>NAV!K446</f>
        <v>0</v>
      </c>
      <c r="E223" s="6">
        <f>NAV!L446</f>
        <v>0</v>
      </c>
      <c r="F223" s="6">
        <f>NAV!M446</f>
        <v>0</v>
      </c>
      <c r="G223" s="6">
        <f>NAV!N446</f>
        <v>0</v>
      </c>
      <c r="H223" s="6">
        <f>NAV!O446</f>
        <v>0</v>
      </c>
      <c r="I223" s="6">
        <f>NAV!P446</f>
        <v>0</v>
      </c>
      <c r="J223" s="6">
        <f>NAV!Q446</f>
        <v>0</v>
      </c>
      <c r="K223" s="9">
        <f>NAV!R446</f>
        <v>0</v>
      </c>
      <c r="L223" s="6">
        <f>NAV!S446</f>
        <v>0</v>
      </c>
      <c r="M223" s="6">
        <f>NAV!T446</f>
        <v>0</v>
      </c>
      <c r="N223" s="6" t="str">
        <f>NAV!U446</f>
        <v>한국 원화(KRW)</v>
      </c>
      <c r="O223" s="6">
        <f>NAV!V446</f>
        <v>1</v>
      </c>
      <c r="P223" s="6">
        <f>NAV!W446</f>
        <v>0</v>
      </c>
      <c r="Q223" s="6">
        <f>NAV!X446</f>
        <v>0</v>
      </c>
      <c r="R223" s="6">
        <f>NAV!Y446</f>
        <v>0</v>
      </c>
      <c r="S223" s="6">
        <f>NAV!Z446</f>
        <v>0</v>
      </c>
      <c r="T223" s="6">
        <f>NAV!AA446</f>
        <v>0</v>
      </c>
      <c r="U223" s="10">
        <f>NAV!AB446</f>
        <v>0</v>
      </c>
      <c r="V223" s="6" t="str">
        <f>NAV!AC446</f>
        <v>2년이상</v>
      </c>
    </row>
    <row r="224" spans="1:22">
      <c r="A224" s="7">
        <f t="shared" si="3"/>
        <v>223</v>
      </c>
      <c r="B224" s="7">
        <f>TYPE(종목정보tbl!$C224)</f>
        <v>1</v>
      </c>
      <c r="C224" s="6">
        <f>NAV!J447</f>
        <v>0</v>
      </c>
      <c r="D224" s="6">
        <f>NAV!K447</f>
        <v>0</v>
      </c>
      <c r="E224" s="6">
        <f>NAV!L447</f>
        <v>0</v>
      </c>
      <c r="F224" s="6">
        <f>NAV!M447</f>
        <v>0</v>
      </c>
      <c r="G224" s="6">
        <f>NAV!N447</f>
        <v>0</v>
      </c>
      <c r="H224" s="6">
        <f>NAV!O447</f>
        <v>0</v>
      </c>
      <c r="I224" s="6">
        <f>NAV!P447</f>
        <v>0</v>
      </c>
      <c r="J224" s="6">
        <f>NAV!Q447</f>
        <v>0</v>
      </c>
      <c r="K224" s="9">
        <f>NAV!R447</f>
        <v>0</v>
      </c>
      <c r="L224" s="6">
        <f>NAV!S447</f>
        <v>0</v>
      </c>
      <c r="M224" s="6">
        <f>NAV!T447</f>
        <v>0</v>
      </c>
      <c r="N224" s="6" t="str">
        <f>NAV!U447</f>
        <v>한국 원화(KRW)</v>
      </c>
      <c r="O224" s="6">
        <f>NAV!V447</f>
        <v>1</v>
      </c>
      <c r="P224" s="6">
        <f>NAV!W447</f>
        <v>0</v>
      </c>
      <c r="Q224" s="6">
        <f>NAV!X447</f>
        <v>0</v>
      </c>
      <c r="R224" s="6">
        <f>NAV!Y447</f>
        <v>0</v>
      </c>
      <c r="S224" s="6">
        <f>NAV!Z447</f>
        <v>0</v>
      </c>
      <c r="T224" s="6">
        <f>NAV!AA447</f>
        <v>0</v>
      </c>
      <c r="U224" s="10">
        <f>NAV!AB447</f>
        <v>0</v>
      </c>
      <c r="V224" s="6" t="str">
        <f>NAV!AC447</f>
        <v>2년이상</v>
      </c>
    </row>
    <row r="225" spans="1:22">
      <c r="A225" s="7">
        <f t="shared" si="3"/>
        <v>224</v>
      </c>
      <c r="B225" s="7">
        <f>TYPE(종목정보tbl!$C225)</f>
        <v>1</v>
      </c>
      <c r="C225" s="6">
        <f>NAV!J448</f>
        <v>0</v>
      </c>
      <c r="D225" s="6">
        <f>NAV!K448</f>
        <v>0</v>
      </c>
      <c r="E225" s="6">
        <f>NAV!L448</f>
        <v>0</v>
      </c>
      <c r="F225" s="6">
        <f>NAV!M448</f>
        <v>0</v>
      </c>
      <c r="G225" s="6">
        <f>NAV!N448</f>
        <v>0</v>
      </c>
      <c r="H225" s="6">
        <f>NAV!O448</f>
        <v>0</v>
      </c>
      <c r="I225" s="6">
        <f>NAV!P448</f>
        <v>0</v>
      </c>
      <c r="J225" s="6">
        <f>NAV!Q448</f>
        <v>0</v>
      </c>
      <c r="K225" s="9">
        <f>NAV!R448</f>
        <v>0</v>
      </c>
      <c r="L225" s="6">
        <f>NAV!S448</f>
        <v>0</v>
      </c>
      <c r="M225" s="6">
        <f>NAV!T448</f>
        <v>0</v>
      </c>
      <c r="N225" s="6" t="str">
        <f>NAV!U448</f>
        <v>한국 원화(KRW)</v>
      </c>
      <c r="O225" s="6">
        <f>NAV!V448</f>
        <v>1</v>
      </c>
      <c r="P225" s="6">
        <f>NAV!W448</f>
        <v>0</v>
      </c>
      <c r="Q225" s="6">
        <f>NAV!X448</f>
        <v>0</v>
      </c>
      <c r="R225" s="6">
        <f>NAV!Y448</f>
        <v>0</v>
      </c>
      <c r="S225" s="6">
        <f>NAV!Z448</f>
        <v>0</v>
      </c>
      <c r="T225" s="6">
        <f>NAV!AA448</f>
        <v>0</v>
      </c>
      <c r="U225" s="10">
        <f>NAV!AB448</f>
        <v>0</v>
      </c>
      <c r="V225" s="6" t="str">
        <f>NAV!AC448</f>
        <v>2년이상</v>
      </c>
    </row>
    <row r="226" spans="1:22">
      <c r="A226" s="7">
        <f t="shared" si="3"/>
        <v>225</v>
      </c>
      <c r="B226" s="7">
        <f>TYPE(종목정보tbl!$C226)</f>
        <v>1</v>
      </c>
      <c r="C226" s="6">
        <f>NAV!J449</f>
        <v>0</v>
      </c>
      <c r="D226" s="6">
        <f>NAV!K449</f>
        <v>0</v>
      </c>
      <c r="E226" s="6">
        <f>NAV!L449</f>
        <v>0</v>
      </c>
      <c r="F226" s="6">
        <f>NAV!M449</f>
        <v>0</v>
      </c>
      <c r="G226" s="6">
        <f>NAV!N449</f>
        <v>0</v>
      </c>
      <c r="H226" s="6">
        <f>NAV!O449</f>
        <v>0</v>
      </c>
      <c r="I226" s="6">
        <f>NAV!P449</f>
        <v>0</v>
      </c>
      <c r="J226" s="6">
        <f>NAV!Q449</f>
        <v>0</v>
      </c>
      <c r="K226" s="9">
        <f>NAV!R449</f>
        <v>0</v>
      </c>
      <c r="L226" s="6">
        <f>NAV!S449</f>
        <v>0</v>
      </c>
      <c r="M226" s="6">
        <f>NAV!T449</f>
        <v>0</v>
      </c>
      <c r="N226" s="6" t="str">
        <f>NAV!U449</f>
        <v>한국 원화(KRW)</v>
      </c>
      <c r="O226" s="6">
        <f>NAV!V449</f>
        <v>1</v>
      </c>
      <c r="P226" s="6">
        <f>NAV!W449</f>
        <v>0</v>
      </c>
      <c r="Q226" s="6">
        <f>NAV!X449</f>
        <v>0</v>
      </c>
      <c r="R226" s="6">
        <f>NAV!Y449</f>
        <v>0</v>
      </c>
      <c r="S226" s="6">
        <f>NAV!Z449</f>
        <v>0</v>
      </c>
      <c r="T226" s="6">
        <f>NAV!AA449</f>
        <v>0</v>
      </c>
      <c r="U226" s="10">
        <f>NAV!AB449</f>
        <v>0</v>
      </c>
      <c r="V226" s="6" t="str">
        <f>NAV!AC449</f>
        <v>2년이상</v>
      </c>
    </row>
    <row r="227" spans="1:22">
      <c r="A227" s="7">
        <f t="shared" si="3"/>
        <v>226</v>
      </c>
      <c r="B227" s="7">
        <f>TYPE(종목정보tbl!$C227)</f>
        <v>1</v>
      </c>
      <c r="C227" s="6">
        <f>NAV!J450</f>
        <v>0</v>
      </c>
      <c r="D227" s="6">
        <f>NAV!K450</f>
        <v>0</v>
      </c>
      <c r="E227" s="6">
        <f>NAV!L450</f>
        <v>0</v>
      </c>
      <c r="F227" s="6">
        <f>NAV!M450</f>
        <v>0</v>
      </c>
      <c r="G227" s="6">
        <f>NAV!N450</f>
        <v>0</v>
      </c>
      <c r="H227" s="6">
        <f>NAV!O450</f>
        <v>0</v>
      </c>
      <c r="I227" s="6">
        <f>NAV!P450</f>
        <v>0</v>
      </c>
      <c r="J227" s="6">
        <f>NAV!Q450</f>
        <v>0</v>
      </c>
      <c r="K227" s="9">
        <f>NAV!R450</f>
        <v>0</v>
      </c>
      <c r="L227" s="6">
        <f>NAV!S450</f>
        <v>0</v>
      </c>
      <c r="M227" s="6">
        <f>NAV!T450</f>
        <v>0</v>
      </c>
      <c r="N227" s="6" t="str">
        <f>NAV!U450</f>
        <v>한국 원화(KRW)</v>
      </c>
      <c r="O227" s="6">
        <f>NAV!V450</f>
        <v>1</v>
      </c>
      <c r="P227" s="6">
        <f>NAV!W450</f>
        <v>0</v>
      </c>
      <c r="Q227" s="6">
        <f>NAV!X450</f>
        <v>0</v>
      </c>
      <c r="R227" s="6">
        <f>NAV!Y450</f>
        <v>0</v>
      </c>
      <c r="S227" s="6">
        <f>NAV!Z450</f>
        <v>0</v>
      </c>
      <c r="T227" s="6">
        <f>NAV!AA450</f>
        <v>0</v>
      </c>
      <c r="U227" s="10">
        <f>NAV!AB450</f>
        <v>0</v>
      </c>
      <c r="V227" s="6" t="str">
        <f>NAV!AC450</f>
        <v>2년이상</v>
      </c>
    </row>
    <row r="228" spans="1:22">
      <c r="A228" s="7">
        <f t="shared" si="3"/>
        <v>227</v>
      </c>
      <c r="B228" s="7">
        <f>TYPE(종목정보tbl!$C228)</f>
        <v>1</v>
      </c>
      <c r="C228" s="6">
        <f>NAV!J451</f>
        <v>0</v>
      </c>
      <c r="D228" s="6">
        <f>NAV!K451</f>
        <v>0</v>
      </c>
      <c r="E228" s="6">
        <f>NAV!L451</f>
        <v>0</v>
      </c>
      <c r="F228" s="6">
        <f>NAV!M451</f>
        <v>0</v>
      </c>
      <c r="G228" s="6">
        <f>NAV!N451</f>
        <v>0</v>
      </c>
      <c r="H228" s="6">
        <f>NAV!O451</f>
        <v>0</v>
      </c>
      <c r="I228" s="6">
        <f>NAV!P451</f>
        <v>0</v>
      </c>
      <c r="J228" s="6">
        <f>NAV!Q451</f>
        <v>0</v>
      </c>
      <c r="K228" s="9">
        <f>NAV!R451</f>
        <v>0</v>
      </c>
      <c r="L228" s="6">
        <f>NAV!S451</f>
        <v>0</v>
      </c>
      <c r="M228" s="6">
        <f>NAV!T451</f>
        <v>0</v>
      </c>
      <c r="N228" s="6" t="str">
        <f>NAV!U451</f>
        <v>한국 원화(KRW)</v>
      </c>
      <c r="O228" s="6">
        <f>NAV!V451</f>
        <v>1</v>
      </c>
      <c r="P228" s="6">
        <f>NAV!W451</f>
        <v>0</v>
      </c>
      <c r="Q228" s="6">
        <f>NAV!X451</f>
        <v>0</v>
      </c>
      <c r="R228" s="6">
        <f>NAV!Y451</f>
        <v>0</v>
      </c>
      <c r="S228" s="6">
        <f>NAV!Z451</f>
        <v>0</v>
      </c>
      <c r="T228" s="6">
        <f>NAV!AA451</f>
        <v>0</v>
      </c>
      <c r="U228" s="10">
        <f>NAV!AB451</f>
        <v>0</v>
      </c>
      <c r="V228" s="6" t="str">
        <f>NAV!AC451</f>
        <v>2년이상</v>
      </c>
    </row>
    <row r="229" spans="1:22">
      <c r="A229" s="7">
        <f t="shared" si="3"/>
        <v>228</v>
      </c>
      <c r="B229" s="7">
        <f>TYPE(종목정보tbl!$C229)</f>
        <v>1</v>
      </c>
      <c r="C229" s="6">
        <f>NAV!J479</f>
        <v>0</v>
      </c>
      <c r="D229" s="6">
        <f>NAV!K479</f>
        <v>0</v>
      </c>
      <c r="E229" s="6">
        <f>NAV!L479</f>
        <v>0</v>
      </c>
      <c r="F229" s="6">
        <f>NAV!M479</f>
        <v>0</v>
      </c>
      <c r="G229" s="6">
        <f>NAV!N479</f>
        <v>0</v>
      </c>
      <c r="H229" s="6">
        <f>NAV!O479</f>
        <v>0</v>
      </c>
      <c r="I229" s="6">
        <f>NAV!P479</f>
        <v>0</v>
      </c>
      <c r="J229" s="6">
        <f>NAV!Q479</f>
        <v>0</v>
      </c>
      <c r="K229" s="9">
        <f>NAV!R479</f>
        <v>0</v>
      </c>
      <c r="L229" s="6">
        <f>NAV!S479</f>
        <v>0</v>
      </c>
      <c r="M229" s="6">
        <f>NAV!T479</f>
        <v>0</v>
      </c>
      <c r="N229" s="6" t="str">
        <f>NAV!U479</f>
        <v>한국 원화(KRW)</v>
      </c>
      <c r="O229" s="6">
        <f>NAV!V479</f>
        <v>1</v>
      </c>
      <c r="P229" s="6">
        <f>NAV!W479</f>
        <v>0</v>
      </c>
      <c r="Q229" s="6">
        <f>NAV!X479</f>
        <v>0</v>
      </c>
      <c r="R229" s="6">
        <f>NAV!Y479</f>
        <v>0</v>
      </c>
      <c r="S229" s="6">
        <f>NAV!Z479</f>
        <v>0</v>
      </c>
      <c r="T229" s="6">
        <f>NAV!AA479</f>
        <v>0</v>
      </c>
      <c r="U229" s="10">
        <f>NAV!AB479</f>
        <v>0</v>
      </c>
      <c r="V229" s="6" t="str">
        <f>NAV!AC479</f>
        <v>2년이상</v>
      </c>
    </row>
    <row r="230" spans="1:22">
      <c r="A230" s="7">
        <f t="shared" si="3"/>
        <v>229</v>
      </c>
      <c r="B230" s="7">
        <f>TYPE(종목정보tbl!$C230)</f>
        <v>1</v>
      </c>
      <c r="C230" s="6">
        <f>NAV!J480</f>
        <v>0</v>
      </c>
      <c r="D230" s="6">
        <f>NAV!K480</f>
        <v>0</v>
      </c>
      <c r="E230" s="6">
        <f>NAV!L480</f>
        <v>0</v>
      </c>
      <c r="F230" s="6">
        <f>NAV!M480</f>
        <v>0</v>
      </c>
      <c r="G230" s="6">
        <f>NAV!N480</f>
        <v>0</v>
      </c>
      <c r="H230" s="6">
        <f>NAV!O480</f>
        <v>0</v>
      </c>
      <c r="I230" s="6">
        <f>NAV!P480</f>
        <v>0</v>
      </c>
      <c r="J230" s="6">
        <f>NAV!Q480</f>
        <v>0</v>
      </c>
      <c r="K230" s="9">
        <f>NAV!R480</f>
        <v>0</v>
      </c>
      <c r="L230" s="6">
        <f>NAV!S480</f>
        <v>0</v>
      </c>
      <c r="M230" s="6">
        <f>NAV!T480</f>
        <v>0</v>
      </c>
      <c r="N230" s="6" t="str">
        <f>NAV!U480</f>
        <v>한국 원화(KRW)</v>
      </c>
      <c r="O230" s="6">
        <f>NAV!V480</f>
        <v>1</v>
      </c>
      <c r="P230" s="6">
        <f>NAV!W480</f>
        <v>0</v>
      </c>
      <c r="Q230" s="6">
        <f>NAV!X480</f>
        <v>0</v>
      </c>
      <c r="R230" s="6">
        <f>NAV!Y480</f>
        <v>0</v>
      </c>
      <c r="S230" s="6">
        <f>NAV!Z480</f>
        <v>0</v>
      </c>
      <c r="T230" s="6">
        <f>NAV!AA480</f>
        <v>0</v>
      </c>
      <c r="U230" s="10">
        <f>NAV!AB480</f>
        <v>0</v>
      </c>
      <c r="V230" s="6" t="str">
        <f>NAV!AC480</f>
        <v>2년이상</v>
      </c>
    </row>
    <row r="231" spans="1:22">
      <c r="A231" s="7">
        <f t="shared" si="3"/>
        <v>230</v>
      </c>
      <c r="B231" s="7">
        <f>TYPE(종목정보tbl!$C231)</f>
        <v>1</v>
      </c>
      <c r="C231" s="6">
        <f>NAV!J481</f>
        <v>0</v>
      </c>
      <c r="D231" s="6">
        <f>NAV!K481</f>
        <v>0</v>
      </c>
      <c r="E231" s="6">
        <f>NAV!L481</f>
        <v>0</v>
      </c>
      <c r="F231" s="6">
        <f>NAV!M481</f>
        <v>0</v>
      </c>
      <c r="G231" s="6">
        <f>NAV!N481</f>
        <v>0</v>
      </c>
      <c r="H231" s="6">
        <f>NAV!O481</f>
        <v>0</v>
      </c>
      <c r="I231" s="6">
        <f>NAV!P481</f>
        <v>0</v>
      </c>
      <c r="J231" s="6">
        <f>NAV!Q481</f>
        <v>0</v>
      </c>
      <c r="K231" s="9">
        <f>NAV!R481</f>
        <v>0</v>
      </c>
      <c r="L231" s="6">
        <f>NAV!S481</f>
        <v>0</v>
      </c>
      <c r="M231" s="6">
        <f>NAV!T481</f>
        <v>0</v>
      </c>
      <c r="N231" s="6" t="str">
        <f>NAV!U481</f>
        <v>한국 원화(KRW)</v>
      </c>
      <c r="O231" s="6">
        <f>NAV!V481</f>
        <v>1</v>
      </c>
      <c r="P231" s="6">
        <f>NAV!W481</f>
        <v>0</v>
      </c>
      <c r="Q231" s="6">
        <f>NAV!X481</f>
        <v>0</v>
      </c>
      <c r="R231" s="6">
        <f>NAV!Y481</f>
        <v>0</v>
      </c>
      <c r="S231" s="6">
        <f>NAV!Z481</f>
        <v>0</v>
      </c>
      <c r="T231" s="6">
        <f>NAV!AA481</f>
        <v>0</v>
      </c>
      <c r="U231" s="10">
        <f>NAV!AB481</f>
        <v>0</v>
      </c>
      <c r="V231" s="6" t="str">
        <f>NAV!AC481</f>
        <v>2년이상</v>
      </c>
    </row>
    <row r="232" spans="1:22">
      <c r="A232" s="7">
        <f t="shared" si="3"/>
        <v>231</v>
      </c>
      <c r="B232" s="7">
        <f>TYPE(종목정보tbl!$C232)</f>
        <v>1</v>
      </c>
      <c r="C232" s="6">
        <f>NAV!J482</f>
        <v>0</v>
      </c>
      <c r="D232" s="6">
        <f>NAV!K482</f>
        <v>0</v>
      </c>
      <c r="E232" s="6">
        <f>NAV!L482</f>
        <v>0</v>
      </c>
      <c r="F232" s="6">
        <f>NAV!M482</f>
        <v>0</v>
      </c>
      <c r="G232" s="6">
        <f>NAV!N482</f>
        <v>0</v>
      </c>
      <c r="H232" s="6">
        <f>NAV!O482</f>
        <v>0</v>
      </c>
      <c r="I232" s="6">
        <f>NAV!P482</f>
        <v>0</v>
      </c>
      <c r="J232" s="6">
        <f>NAV!Q482</f>
        <v>0</v>
      </c>
      <c r="K232" s="9">
        <f>NAV!R482</f>
        <v>0</v>
      </c>
      <c r="L232" s="6">
        <f>NAV!S482</f>
        <v>0</v>
      </c>
      <c r="M232" s="6">
        <f>NAV!T482</f>
        <v>0</v>
      </c>
      <c r="N232" s="6" t="str">
        <f>NAV!U482</f>
        <v>한국 원화(KRW)</v>
      </c>
      <c r="O232" s="6">
        <f>NAV!V482</f>
        <v>1</v>
      </c>
      <c r="P232" s="6">
        <f>NAV!W482</f>
        <v>0</v>
      </c>
      <c r="Q232" s="6">
        <f>NAV!X482</f>
        <v>0</v>
      </c>
      <c r="R232" s="6">
        <f>NAV!Y482</f>
        <v>0</v>
      </c>
      <c r="S232" s="6">
        <f>NAV!Z482</f>
        <v>0</v>
      </c>
      <c r="T232" s="6">
        <f>NAV!AA482</f>
        <v>0</v>
      </c>
      <c r="U232" s="10">
        <f>NAV!AB482</f>
        <v>0</v>
      </c>
      <c r="V232" s="6" t="str">
        <f>NAV!AC482</f>
        <v>2년이상</v>
      </c>
    </row>
    <row r="233" spans="1:22">
      <c r="A233" s="7">
        <f t="shared" si="3"/>
        <v>232</v>
      </c>
      <c r="B233" s="7">
        <f>TYPE(종목정보tbl!$C233)</f>
        <v>1</v>
      </c>
      <c r="C233" s="6">
        <f>NAV!J483</f>
        <v>0</v>
      </c>
      <c r="D233" s="6">
        <f>NAV!K483</f>
        <v>0</v>
      </c>
      <c r="E233" s="6">
        <f>NAV!L483</f>
        <v>0</v>
      </c>
      <c r="F233" s="6">
        <f>NAV!M483</f>
        <v>0</v>
      </c>
      <c r="G233" s="6">
        <f>NAV!N483</f>
        <v>0</v>
      </c>
      <c r="H233" s="6">
        <f>NAV!O483</f>
        <v>0</v>
      </c>
      <c r="I233" s="6">
        <f>NAV!P483</f>
        <v>0</v>
      </c>
      <c r="J233" s="6">
        <f>NAV!Q483</f>
        <v>0</v>
      </c>
      <c r="K233" s="9">
        <f>NAV!R483</f>
        <v>0</v>
      </c>
      <c r="L233" s="6">
        <f>NAV!S483</f>
        <v>0</v>
      </c>
      <c r="M233" s="6">
        <f>NAV!T483</f>
        <v>0</v>
      </c>
      <c r="N233" s="6" t="str">
        <f>NAV!U483</f>
        <v>한국 원화(KRW)</v>
      </c>
      <c r="O233" s="6">
        <f>NAV!V483</f>
        <v>1</v>
      </c>
      <c r="P233" s="6">
        <f>NAV!W483</f>
        <v>0</v>
      </c>
      <c r="Q233" s="6">
        <f>NAV!X483</f>
        <v>0</v>
      </c>
      <c r="R233" s="6">
        <f>NAV!Y483</f>
        <v>0</v>
      </c>
      <c r="S233" s="6">
        <f>NAV!Z483</f>
        <v>0</v>
      </c>
      <c r="T233" s="6">
        <f>NAV!AA483</f>
        <v>0</v>
      </c>
      <c r="U233" s="10">
        <f>NAV!AB483</f>
        <v>0</v>
      </c>
      <c r="V233" s="6" t="str">
        <f>NAV!AC483</f>
        <v>2년이상</v>
      </c>
    </row>
    <row r="234" spans="1:22">
      <c r="A234" s="7">
        <f t="shared" si="3"/>
        <v>233</v>
      </c>
      <c r="B234" s="7">
        <f>TYPE(종목정보tbl!$C234)</f>
        <v>1</v>
      </c>
      <c r="C234" s="6">
        <f>NAV!J484</f>
        <v>0</v>
      </c>
      <c r="D234" s="6">
        <f>NAV!K484</f>
        <v>0</v>
      </c>
      <c r="E234" s="6">
        <f>NAV!L484</f>
        <v>0</v>
      </c>
      <c r="F234" s="6">
        <f>NAV!M484</f>
        <v>0</v>
      </c>
      <c r="G234" s="6">
        <f>NAV!N484</f>
        <v>0</v>
      </c>
      <c r="H234" s="6">
        <f>NAV!O484</f>
        <v>0</v>
      </c>
      <c r="I234" s="6">
        <f>NAV!P484</f>
        <v>0</v>
      </c>
      <c r="J234" s="6">
        <f>NAV!Q484</f>
        <v>0</v>
      </c>
      <c r="K234" s="9">
        <f>NAV!R484</f>
        <v>0</v>
      </c>
      <c r="L234" s="6">
        <f>NAV!S484</f>
        <v>0</v>
      </c>
      <c r="M234" s="6">
        <f>NAV!T484</f>
        <v>0</v>
      </c>
      <c r="N234" s="6" t="str">
        <f>NAV!U484</f>
        <v>한국 원화(KRW)</v>
      </c>
      <c r="O234" s="6">
        <f>NAV!V484</f>
        <v>1</v>
      </c>
      <c r="P234" s="6">
        <f>NAV!W484</f>
        <v>0</v>
      </c>
      <c r="Q234" s="6">
        <f>NAV!X484</f>
        <v>0</v>
      </c>
      <c r="R234" s="6">
        <f>NAV!Y484</f>
        <v>0</v>
      </c>
      <c r="S234" s="6">
        <f>NAV!Z484</f>
        <v>0</v>
      </c>
      <c r="T234" s="6">
        <f>NAV!AA484</f>
        <v>0</v>
      </c>
      <c r="U234" s="10">
        <f>NAV!AB484</f>
        <v>0</v>
      </c>
      <c r="V234" s="6" t="str">
        <f>NAV!AC484</f>
        <v>2년이상</v>
      </c>
    </row>
    <row r="235" spans="1:22">
      <c r="A235" s="7">
        <f t="shared" si="3"/>
        <v>234</v>
      </c>
      <c r="B235" s="7">
        <f>TYPE(종목정보tbl!$C235)</f>
        <v>1</v>
      </c>
      <c r="C235" s="6">
        <f>NAV!J485</f>
        <v>0</v>
      </c>
      <c r="D235" s="6">
        <f>NAV!K485</f>
        <v>0</v>
      </c>
      <c r="E235" s="6">
        <f>NAV!L485</f>
        <v>0</v>
      </c>
      <c r="F235" s="6">
        <f>NAV!M485</f>
        <v>0</v>
      </c>
      <c r="G235" s="6">
        <f>NAV!N485</f>
        <v>0</v>
      </c>
      <c r="H235" s="6">
        <f>NAV!O485</f>
        <v>0</v>
      </c>
      <c r="I235" s="6">
        <f>NAV!P485</f>
        <v>0</v>
      </c>
      <c r="J235" s="6">
        <f>NAV!Q485</f>
        <v>0</v>
      </c>
      <c r="K235" s="9">
        <f>NAV!R485</f>
        <v>0</v>
      </c>
      <c r="L235" s="6">
        <f>NAV!S485</f>
        <v>0</v>
      </c>
      <c r="M235" s="6">
        <f>NAV!T485</f>
        <v>0</v>
      </c>
      <c r="N235" s="6" t="str">
        <f>NAV!U485</f>
        <v>한국 원화(KRW)</v>
      </c>
      <c r="O235" s="6">
        <f>NAV!V485</f>
        <v>1</v>
      </c>
      <c r="P235" s="6">
        <f>NAV!W485</f>
        <v>0</v>
      </c>
      <c r="Q235" s="6">
        <f>NAV!X485</f>
        <v>0</v>
      </c>
      <c r="R235" s="6">
        <f>NAV!Y485</f>
        <v>0</v>
      </c>
      <c r="S235" s="6">
        <f>NAV!Z485</f>
        <v>0</v>
      </c>
      <c r="T235" s="6">
        <f>NAV!AA485</f>
        <v>0</v>
      </c>
      <c r="U235" s="10">
        <f>NAV!AB485</f>
        <v>0</v>
      </c>
      <c r="V235" s="6" t="str">
        <f>NAV!AC485</f>
        <v>2년이상</v>
      </c>
    </row>
    <row r="236" spans="1:22">
      <c r="A236" s="7">
        <f t="shared" si="3"/>
        <v>235</v>
      </c>
      <c r="B236" s="7">
        <f>TYPE(종목정보tbl!$C236)</f>
        <v>1</v>
      </c>
      <c r="C236" s="6">
        <f>NAV!J486</f>
        <v>0</v>
      </c>
      <c r="D236" s="6">
        <f>NAV!K486</f>
        <v>0</v>
      </c>
      <c r="E236" s="6">
        <f>NAV!L486</f>
        <v>0</v>
      </c>
      <c r="F236" s="6">
        <f>NAV!M486</f>
        <v>0</v>
      </c>
      <c r="G236" s="6">
        <f>NAV!N486</f>
        <v>0</v>
      </c>
      <c r="H236" s="6">
        <f>NAV!O486</f>
        <v>0</v>
      </c>
      <c r="I236" s="6">
        <f>NAV!P486</f>
        <v>0</v>
      </c>
      <c r="J236" s="6">
        <f>NAV!Q486</f>
        <v>0</v>
      </c>
      <c r="K236" s="9">
        <f>NAV!R486</f>
        <v>0</v>
      </c>
      <c r="L236" s="6">
        <f>NAV!S486</f>
        <v>0</v>
      </c>
      <c r="M236" s="6">
        <f>NAV!T486</f>
        <v>0</v>
      </c>
      <c r="N236" s="6" t="str">
        <f>NAV!U486</f>
        <v>한국 원화(KRW)</v>
      </c>
      <c r="O236" s="6">
        <f>NAV!V486</f>
        <v>1</v>
      </c>
      <c r="P236" s="6">
        <f>NAV!W486</f>
        <v>0</v>
      </c>
      <c r="Q236" s="6">
        <f>NAV!X486</f>
        <v>0</v>
      </c>
      <c r="R236" s="6">
        <f>NAV!Y486</f>
        <v>0</v>
      </c>
      <c r="S236" s="6">
        <f>NAV!Z486</f>
        <v>0</v>
      </c>
      <c r="T236" s="6">
        <f>NAV!AA486</f>
        <v>0</v>
      </c>
      <c r="U236" s="10">
        <f>NAV!AB486</f>
        <v>0</v>
      </c>
      <c r="V236" s="6" t="str">
        <f>NAV!AC486</f>
        <v>2년이상</v>
      </c>
    </row>
    <row r="237" spans="1:22">
      <c r="A237" s="7">
        <f t="shared" si="3"/>
        <v>236</v>
      </c>
      <c r="B237" s="7">
        <f>TYPE(종목정보tbl!$C237)</f>
        <v>1</v>
      </c>
      <c r="C237" s="6">
        <f>NAV!J487</f>
        <v>0</v>
      </c>
      <c r="D237" s="6">
        <f>NAV!K487</f>
        <v>0</v>
      </c>
      <c r="E237" s="6">
        <f>NAV!L487</f>
        <v>0</v>
      </c>
      <c r="F237" s="6">
        <f>NAV!M487</f>
        <v>0</v>
      </c>
      <c r="G237" s="6">
        <f>NAV!N487</f>
        <v>0</v>
      </c>
      <c r="H237" s="6">
        <f>NAV!O487</f>
        <v>0</v>
      </c>
      <c r="I237" s="6">
        <f>NAV!P487</f>
        <v>0</v>
      </c>
      <c r="J237" s="6">
        <f>NAV!Q487</f>
        <v>0</v>
      </c>
      <c r="K237" s="9">
        <f>NAV!R487</f>
        <v>0</v>
      </c>
      <c r="L237" s="6">
        <f>NAV!S487</f>
        <v>0</v>
      </c>
      <c r="M237" s="6">
        <f>NAV!T487</f>
        <v>0</v>
      </c>
      <c r="N237" s="6" t="str">
        <f>NAV!U487</f>
        <v>한국 원화(KRW)</v>
      </c>
      <c r="O237" s="6">
        <f>NAV!V487</f>
        <v>1</v>
      </c>
      <c r="P237" s="6">
        <f>NAV!W487</f>
        <v>0</v>
      </c>
      <c r="Q237" s="6">
        <f>NAV!X487</f>
        <v>0</v>
      </c>
      <c r="R237" s="6">
        <f>NAV!Y487</f>
        <v>0</v>
      </c>
      <c r="S237" s="6">
        <f>NAV!Z487</f>
        <v>0</v>
      </c>
      <c r="T237" s="6">
        <f>NAV!AA487</f>
        <v>0</v>
      </c>
      <c r="U237" s="10">
        <f>NAV!AB487</f>
        <v>0</v>
      </c>
      <c r="V237" s="6" t="str">
        <f>NAV!AC487</f>
        <v>2년이상</v>
      </c>
    </row>
    <row r="238" spans="1:22">
      <c r="A238" s="7">
        <f t="shared" si="3"/>
        <v>237</v>
      </c>
      <c r="B238" s="7">
        <f>TYPE(종목정보tbl!$C238)</f>
        <v>1</v>
      </c>
      <c r="C238" s="6">
        <f>NAV!J488</f>
        <v>0</v>
      </c>
      <c r="D238" s="6">
        <f>NAV!K488</f>
        <v>0</v>
      </c>
      <c r="E238" s="6">
        <f>NAV!L488</f>
        <v>0</v>
      </c>
      <c r="F238" s="6">
        <f>NAV!M488</f>
        <v>0</v>
      </c>
      <c r="G238" s="6">
        <f>NAV!N488</f>
        <v>0</v>
      </c>
      <c r="H238" s="6">
        <f>NAV!O488</f>
        <v>0</v>
      </c>
      <c r="I238" s="6">
        <f>NAV!P488</f>
        <v>0</v>
      </c>
      <c r="J238" s="6">
        <f>NAV!Q488</f>
        <v>0</v>
      </c>
      <c r="K238" s="9">
        <f>NAV!R488</f>
        <v>0</v>
      </c>
      <c r="L238" s="6">
        <f>NAV!S488</f>
        <v>0</v>
      </c>
      <c r="M238" s="6">
        <f>NAV!T488</f>
        <v>0</v>
      </c>
      <c r="N238" s="6" t="str">
        <f>NAV!U488</f>
        <v>한국 원화(KRW)</v>
      </c>
      <c r="O238" s="6">
        <f>NAV!V488</f>
        <v>1</v>
      </c>
      <c r="P238" s="6">
        <f>NAV!W488</f>
        <v>0</v>
      </c>
      <c r="Q238" s="6">
        <f>NAV!X488</f>
        <v>0</v>
      </c>
      <c r="R238" s="6">
        <f>NAV!Y488</f>
        <v>0</v>
      </c>
      <c r="S238" s="6">
        <f>NAV!Z488</f>
        <v>0</v>
      </c>
      <c r="T238" s="6">
        <f>NAV!AA488</f>
        <v>0</v>
      </c>
      <c r="U238" s="10">
        <f>NAV!AB488</f>
        <v>0</v>
      </c>
      <c r="V238" s="6" t="str">
        <f>NAV!AC488</f>
        <v>2년이상</v>
      </c>
    </row>
    <row r="239" spans="1:22">
      <c r="A239" s="7">
        <f t="shared" si="3"/>
        <v>238</v>
      </c>
      <c r="B239" s="7">
        <f>TYPE(종목정보tbl!$C239)</f>
        <v>1</v>
      </c>
      <c r="C239" s="6">
        <f>NAV!J489</f>
        <v>0</v>
      </c>
      <c r="D239" s="6">
        <f>NAV!K489</f>
        <v>0</v>
      </c>
      <c r="E239" s="6">
        <f>NAV!L489</f>
        <v>0</v>
      </c>
      <c r="F239" s="6">
        <f>NAV!M489</f>
        <v>0</v>
      </c>
      <c r="G239" s="6">
        <f>NAV!N489</f>
        <v>0</v>
      </c>
      <c r="H239" s="6">
        <f>NAV!O489</f>
        <v>0</v>
      </c>
      <c r="I239" s="6">
        <f>NAV!P489</f>
        <v>0</v>
      </c>
      <c r="J239" s="6">
        <f>NAV!Q489</f>
        <v>0</v>
      </c>
      <c r="K239" s="9">
        <f>NAV!R489</f>
        <v>0</v>
      </c>
      <c r="L239" s="6">
        <f>NAV!S489</f>
        <v>0</v>
      </c>
      <c r="M239" s="6">
        <f>NAV!T489</f>
        <v>0</v>
      </c>
      <c r="N239" s="6" t="str">
        <f>NAV!U489</f>
        <v>한국 원화(KRW)</v>
      </c>
      <c r="O239" s="6">
        <f>NAV!V489</f>
        <v>1</v>
      </c>
      <c r="P239" s="6">
        <f>NAV!W489</f>
        <v>0</v>
      </c>
      <c r="Q239" s="6">
        <f>NAV!X489</f>
        <v>0</v>
      </c>
      <c r="R239" s="6">
        <f>NAV!Y489</f>
        <v>0</v>
      </c>
      <c r="S239" s="6">
        <f>NAV!Z489</f>
        <v>0</v>
      </c>
      <c r="T239" s="6">
        <f>NAV!AA489</f>
        <v>0</v>
      </c>
      <c r="U239" s="10">
        <f>NAV!AB489</f>
        <v>0</v>
      </c>
      <c r="V239" s="6" t="str">
        <f>NAV!AC489</f>
        <v>2년이상</v>
      </c>
    </row>
    <row r="240" spans="1:22">
      <c r="A240" s="7">
        <f t="shared" si="3"/>
        <v>239</v>
      </c>
      <c r="B240" s="7">
        <f>TYPE(종목정보tbl!$C240)</f>
        <v>1</v>
      </c>
      <c r="C240" s="6">
        <f>NAV!J517</f>
        <v>0</v>
      </c>
      <c r="D240" s="6">
        <f>NAV!K517</f>
        <v>0</v>
      </c>
      <c r="E240" s="6">
        <f>NAV!L517</f>
        <v>0</v>
      </c>
      <c r="F240" s="6">
        <f>NAV!M517</f>
        <v>0</v>
      </c>
      <c r="G240" s="6">
        <f>NAV!N517</f>
        <v>0</v>
      </c>
      <c r="H240" s="6">
        <f>NAV!O517</f>
        <v>0</v>
      </c>
      <c r="I240" s="6">
        <f>NAV!P517</f>
        <v>0</v>
      </c>
      <c r="J240" s="6">
        <f>NAV!Q517</f>
        <v>0</v>
      </c>
      <c r="K240" s="9">
        <f>NAV!R517</f>
        <v>0</v>
      </c>
      <c r="L240" s="6">
        <f>NAV!S517</f>
        <v>0</v>
      </c>
      <c r="M240" s="6">
        <f>NAV!T517</f>
        <v>0</v>
      </c>
      <c r="N240" s="6" t="str">
        <f>NAV!U517</f>
        <v>한국 원화(KRW)</v>
      </c>
      <c r="O240" s="6">
        <f>NAV!V517</f>
        <v>1</v>
      </c>
      <c r="P240" s="6">
        <f>NAV!W517</f>
        <v>0</v>
      </c>
      <c r="Q240" s="6">
        <f>NAV!X517</f>
        <v>0</v>
      </c>
      <c r="R240" s="6">
        <f>NAV!Y517</f>
        <v>0</v>
      </c>
      <c r="S240" s="6">
        <f>NAV!Z517</f>
        <v>0</v>
      </c>
      <c r="T240" s="6">
        <f>NAV!AA517</f>
        <v>0</v>
      </c>
      <c r="U240" s="10">
        <f>NAV!AB517</f>
        <v>0</v>
      </c>
      <c r="V240" s="6" t="str">
        <f>NAV!AC517</f>
        <v>2년이상</v>
      </c>
    </row>
    <row r="241" spans="1:22">
      <c r="A241" s="7">
        <f t="shared" si="3"/>
        <v>240</v>
      </c>
      <c r="B241" s="7">
        <f>TYPE(종목정보tbl!$C241)</f>
        <v>1</v>
      </c>
      <c r="C241" s="6">
        <f>NAV!J518</f>
        <v>0</v>
      </c>
      <c r="D241" s="6">
        <f>NAV!K518</f>
        <v>0</v>
      </c>
      <c r="E241" s="6">
        <f>NAV!L518</f>
        <v>0</v>
      </c>
      <c r="F241" s="6">
        <f>NAV!M518</f>
        <v>0</v>
      </c>
      <c r="G241" s="6">
        <f>NAV!N518</f>
        <v>0</v>
      </c>
      <c r="H241" s="6">
        <f>NAV!O518</f>
        <v>0</v>
      </c>
      <c r="I241" s="6">
        <f>NAV!P518</f>
        <v>0</v>
      </c>
      <c r="J241" s="6">
        <f>NAV!Q518</f>
        <v>0</v>
      </c>
      <c r="K241" s="9">
        <f>NAV!R518</f>
        <v>0</v>
      </c>
      <c r="L241" s="6">
        <f>NAV!S518</f>
        <v>0</v>
      </c>
      <c r="M241" s="6">
        <f>NAV!T518</f>
        <v>0</v>
      </c>
      <c r="N241" s="6" t="str">
        <f>NAV!U518</f>
        <v>한국 원화(KRW)</v>
      </c>
      <c r="O241" s="6">
        <f>NAV!V518</f>
        <v>1</v>
      </c>
      <c r="P241" s="6">
        <f>NAV!W518</f>
        <v>0</v>
      </c>
      <c r="Q241" s="6">
        <f>NAV!X518</f>
        <v>0</v>
      </c>
      <c r="R241" s="6">
        <f>NAV!Y518</f>
        <v>0</v>
      </c>
      <c r="S241" s="6">
        <f>NAV!Z518</f>
        <v>0</v>
      </c>
      <c r="T241" s="6">
        <f>NAV!AA518</f>
        <v>0</v>
      </c>
      <c r="U241" s="10">
        <f>NAV!AB518</f>
        <v>0</v>
      </c>
      <c r="V241" s="6" t="str">
        <f>NAV!AC518</f>
        <v>2년이상</v>
      </c>
    </row>
    <row r="242" spans="1:22">
      <c r="A242" s="7">
        <f t="shared" si="3"/>
        <v>241</v>
      </c>
      <c r="B242" s="7">
        <f>TYPE(종목정보tbl!$C242)</f>
        <v>1</v>
      </c>
      <c r="C242" s="6">
        <f>NAV!J519</f>
        <v>0</v>
      </c>
      <c r="D242" s="6">
        <f>NAV!K519</f>
        <v>0</v>
      </c>
      <c r="E242" s="6">
        <f>NAV!L519</f>
        <v>0</v>
      </c>
      <c r="F242" s="6">
        <f>NAV!M519</f>
        <v>0</v>
      </c>
      <c r="G242" s="6">
        <f>NAV!N519</f>
        <v>0</v>
      </c>
      <c r="H242" s="6">
        <f>NAV!O519</f>
        <v>0</v>
      </c>
      <c r="I242" s="6">
        <f>NAV!P519</f>
        <v>0</v>
      </c>
      <c r="J242" s="6">
        <f>NAV!Q519</f>
        <v>0</v>
      </c>
      <c r="K242" s="9">
        <f>NAV!R519</f>
        <v>0</v>
      </c>
      <c r="L242" s="6">
        <f>NAV!S519</f>
        <v>0</v>
      </c>
      <c r="M242" s="6">
        <f>NAV!T519</f>
        <v>0</v>
      </c>
      <c r="N242" s="6" t="str">
        <f>NAV!U519</f>
        <v>한국 원화(KRW)</v>
      </c>
      <c r="O242" s="6">
        <f>NAV!V519</f>
        <v>1</v>
      </c>
      <c r="P242" s="6">
        <f>NAV!W519</f>
        <v>0</v>
      </c>
      <c r="Q242" s="6">
        <f>NAV!X519</f>
        <v>0</v>
      </c>
      <c r="R242" s="6">
        <f>NAV!Y519</f>
        <v>0</v>
      </c>
      <c r="S242" s="6">
        <f>NAV!Z519</f>
        <v>0</v>
      </c>
      <c r="T242" s="6">
        <f>NAV!AA519</f>
        <v>0</v>
      </c>
      <c r="U242" s="10">
        <f>NAV!AB519</f>
        <v>0</v>
      </c>
      <c r="V242" s="6" t="str">
        <f>NAV!AC519</f>
        <v>2년이상</v>
      </c>
    </row>
    <row r="243" spans="1:22">
      <c r="A243" s="7">
        <f t="shared" si="3"/>
        <v>242</v>
      </c>
      <c r="B243" s="7">
        <f>TYPE(종목정보tbl!$C243)</f>
        <v>1</v>
      </c>
      <c r="C243" s="6">
        <f>NAV!J520</f>
        <v>0</v>
      </c>
      <c r="D243" s="6">
        <f>NAV!K520</f>
        <v>0</v>
      </c>
      <c r="E243" s="6">
        <f>NAV!L520</f>
        <v>0</v>
      </c>
      <c r="F243" s="6">
        <f>NAV!M520</f>
        <v>0</v>
      </c>
      <c r="G243" s="6">
        <f>NAV!N520</f>
        <v>0</v>
      </c>
      <c r="H243" s="6">
        <f>NAV!O520</f>
        <v>0</v>
      </c>
      <c r="I243" s="6">
        <f>NAV!P520</f>
        <v>0</v>
      </c>
      <c r="J243" s="6">
        <f>NAV!Q520</f>
        <v>0</v>
      </c>
      <c r="K243" s="9">
        <f>NAV!R520</f>
        <v>0</v>
      </c>
      <c r="L243" s="6">
        <f>NAV!S520</f>
        <v>0</v>
      </c>
      <c r="M243" s="6">
        <f>NAV!T520</f>
        <v>0</v>
      </c>
      <c r="N243" s="6" t="str">
        <f>NAV!U520</f>
        <v>한국 원화(KRW)</v>
      </c>
      <c r="O243" s="6">
        <f>NAV!V520</f>
        <v>1</v>
      </c>
      <c r="P243" s="6">
        <f>NAV!W520</f>
        <v>0</v>
      </c>
      <c r="Q243" s="6">
        <f>NAV!X520</f>
        <v>0</v>
      </c>
      <c r="R243" s="6">
        <f>NAV!Y520</f>
        <v>0</v>
      </c>
      <c r="S243" s="6">
        <f>NAV!Z520</f>
        <v>0</v>
      </c>
      <c r="T243" s="6">
        <f>NAV!AA520</f>
        <v>0</v>
      </c>
      <c r="U243" s="10">
        <f>NAV!AB520</f>
        <v>0</v>
      </c>
      <c r="V243" s="6" t="str">
        <f>NAV!AC520</f>
        <v>2년이상</v>
      </c>
    </row>
    <row r="244" spans="1:22">
      <c r="A244" s="7">
        <f t="shared" si="3"/>
        <v>243</v>
      </c>
      <c r="B244" s="7">
        <f>TYPE(종목정보tbl!$C244)</f>
        <v>1</v>
      </c>
      <c r="C244" s="6">
        <f>NAV!J521</f>
        <v>0</v>
      </c>
      <c r="D244" s="6">
        <f>NAV!K521</f>
        <v>0</v>
      </c>
      <c r="E244" s="6">
        <f>NAV!L521</f>
        <v>0</v>
      </c>
      <c r="F244" s="6">
        <f>NAV!M521</f>
        <v>0</v>
      </c>
      <c r="G244" s="6">
        <f>NAV!N521</f>
        <v>0</v>
      </c>
      <c r="H244" s="6">
        <f>NAV!O521</f>
        <v>0</v>
      </c>
      <c r="I244" s="6">
        <f>NAV!P521</f>
        <v>0</v>
      </c>
      <c r="J244" s="6">
        <f>NAV!Q521</f>
        <v>0</v>
      </c>
      <c r="K244" s="9">
        <f>NAV!R521</f>
        <v>0</v>
      </c>
      <c r="L244" s="6">
        <f>NAV!S521</f>
        <v>0</v>
      </c>
      <c r="M244" s="6">
        <f>NAV!T521</f>
        <v>0</v>
      </c>
      <c r="N244" s="6" t="str">
        <f>NAV!U521</f>
        <v>한국 원화(KRW)</v>
      </c>
      <c r="O244" s="6">
        <f>NAV!V521</f>
        <v>1</v>
      </c>
      <c r="P244" s="6">
        <f>NAV!W521</f>
        <v>0</v>
      </c>
      <c r="Q244" s="6">
        <f>NAV!X521</f>
        <v>0</v>
      </c>
      <c r="R244" s="6">
        <f>NAV!Y521</f>
        <v>0</v>
      </c>
      <c r="S244" s="6">
        <f>NAV!Z521</f>
        <v>0</v>
      </c>
      <c r="T244" s="6">
        <f>NAV!AA521</f>
        <v>0</v>
      </c>
      <c r="U244" s="10">
        <f>NAV!AB521</f>
        <v>0</v>
      </c>
      <c r="V244" s="6" t="str">
        <f>NAV!AC521</f>
        <v>2년이상</v>
      </c>
    </row>
    <row r="245" spans="1:22">
      <c r="A245" s="7">
        <f t="shared" si="3"/>
        <v>244</v>
      </c>
      <c r="B245" s="7">
        <f>TYPE(종목정보tbl!$C245)</f>
        <v>1</v>
      </c>
      <c r="C245" s="6">
        <f>NAV!J522</f>
        <v>0</v>
      </c>
      <c r="D245" s="6">
        <f>NAV!K522</f>
        <v>0</v>
      </c>
      <c r="E245" s="6">
        <f>NAV!L522</f>
        <v>0</v>
      </c>
      <c r="F245" s="6">
        <f>NAV!M522</f>
        <v>0</v>
      </c>
      <c r="G245" s="6">
        <f>NAV!N522</f>
        <v>0</v>
      </c>
      <c r="H245" s="6">
        <f>NAV!O522</f>
        <v>0</v>
      </c>
      <c r="I245" s="6">
        <f>NAV!P522</f>
        <v>0</v>
      </c>
      <c r="J245" s="6">
        <f>NAV!Q522</f>
        <v>0</v>
      </c>
      <c r="K245" s="9">
        <f>NAV!R522</f>
        <v>0</v>
      </c>
      <c r="L245" s="6">
        <f>NAV!S522</f>
        <v>0</v>
      </c>
      <c r="M245" s="6">
        <f>NAV!T522</f>
        <v>0</v>
      </c>
      <c r="N245" s="6" t="str">
        <f>NAV!U522</f>
        <v>한국 원화(KRW)</v>
      </c>
      <c r="O245" s="6">
        <f>NAV!V522</f>
        <v>1</v>
      </c>
      <c r="P245" s="6">
        <f>NAV!W522</f>
        <v>0</v>
      </c>
      <c r="Q245" s="6">
        <f>NAV!X522</f>
        <v>0</v>
      </c>
      <c r="R245" s="6">
        <f>NAV!Y522</f>
        <v>0</v>
      </c>
      <c r="S245" s="6">
        <f>NAV!Z522</f>
        <v>0</v>
      </c>
      <c r="T245" s="6">
        <f>NAV!AA522</f>
        <v>0</v>
      </c>
      <c r="U245" s="10">
        <f>NAV!AB522</f>
        <v>0</v>
      </c>
      <c r="V245" s="6" t="str">
        <f>NAV!AC522</f>
        <v>2년이상</v>
      </c>
    </row>
    <row r="246" spans="1:22">
      <c r="A246" s="7">
        <f t="shared" si="3"/>
        <v>245</v>
      </c>
      <c r="B246" s="7">
        <f>TYPE(종목정보tbl!$C246)</f>
        <v>1</v>
      </c>
      <c r="C246" s="6">
        <f>NAV!J523</f>
        <v>0</v>
      </c>
      <c r="D246" s="6">
        <f>NAV!K523</f>
        <v>0</v>
      </c>
      <c r="E246" s="6">
        <f>NAV!L523</f>
        <v>0</v>
      </c>
      <c r="F246" s="6">
        <f>NAV!M523</f>
        <v>0</v>
      </c>
      <c r="G246" s="6">
        <f>NAV!N523</f>
        <v>0</v>
      </c>
      <c r="H246" s="6">
        <f>NAV!O523</f>
        <v>0</v>
      </c>
      <c r="I246" s="6">
        <f>NAV!P523</f>
        <v>0</v>
      </c>
      <c r="J246" s="6">
        <f>NAV!Q523</f>
        <v>0</v>
      </c>
      <c r="K246" s="9">
        <f>NAV!R523</f>
        <v>0</v>
      </c>
      <c r="L246" s="6">
        <f>NAV!S523</f>
        <v>0</v>
      </c>
      <c r="M246" s="6">
        <f>NAV!T523</f>
        <v>0</v>
      </c>
      <c r="N246" s="6" t="str">
        <f>NAV!U523</f>
        <v>한국 원화(KRW)</v>
      </c>
      <c r="O246" s="6">
        <f>NAV!V523</f>
        <v>1</v>
      </c>
      <c r="P246" s="6">
        <f>NAV!W523</f>
        <v>0</v>
      </c>
      <c r="Q246" s="6">
        <f>NAV!X523</f>
        <v>0</v>
      </c>
      <c r="R246" s="6">
        <f>NAV!Y523</f>
        <v>0</v>
      </c>
      <c r="S246" s="6">
        <f>NAV!Z523</f>
        <v>0</v>
      </c>
      <c r="T246" s="6">
        <f>NAV!AA523</f>
        <v>0</v>
      </c>
      <c r="U246" s="10">
        <f>NAV!AB523</f>
        <v>0</v>
      </c>
      <c r="V246" s="6" t="str">
        <f>NAV!AC523</f>
        <v>2년이상</v>
      </c>
    </row>
    <row r="247" spans="1:22">
      <c r="A247" s="7">
        <f t="shared" si="3"/>
        <v>246</v>
      </c>
      <c r="B247" s="7">
        <f>TYPE(종목정보tbl!$C247)</f>
        <v>1</v>
      </c>
      <c r="C247" s="6">
        <f>NAV!J524</f>
        <v>0</v>
      </c>
      <c r="D247" s="6">
        <f>NAV!K524</f>
        <v>0</v>
      </c>
      <c r="E247" s="6">
        <f>NAV!L524</f>
        <v>0</v>
      </c>
      <c r="F247" s="6">
        <f>NAV!M524</f>
        <v>0</v>
      </c>
      <c r="G247" s="6">
        <f>NAV!N524</f>
        <v>0</v>
      </c>
      <c r="H247" s="6">
        <f>NAV!O524</f>
        <v>0</v>
      </c>
      <c r="I247" s="6">
        <f>NAV!P524</f>
        <v>0</v>
      </c>
      <c r="J247" s="6">
        <f>NAV!Q524</f>
        <v>0</v>
      </c>
      <c r="K247" s="9">
        <f>NAV!R524</f>
        <v>0</v>
      </c>
      <c r="L247" s="6">
        <f>NAV!S524</f>
        <v>0</v>
      </c>
      <c r="M247" s="6">
        <f>NAV!T524</f>
        <v>0</v>
      </c>
      <c r="N247" s="6" t="str">
        <f>NAV!U524</f>
        <v>한국 원화(KRW)</v>
      </c>
      <c r="O247" s="6">
        <f>NAV!V524</f>
        <v>1</v>
      </c>
      <c r="P247" s="6">
        <f>NAV!W524</f>
        <v>0</v>
      </c>
      <c r="Q247" s="6">
        <f>NAV!X524</f>
        <v>0</v>
      </c>
      <c r="R247" s="6">
        <f>NAV!Y524</f>
        <v>0</v>
      </c>
      <c r="S247" s="6">
        <f>NAV!Z524</f>
        <v>0</v>
      </c>
      <c r="T247" s="6">
        <f>NAV!AA524</f>
        <v>0</v>
      </c>
      <c r="U247" s="10">
        <f>NAV!AB524</f>
        <v>0</v>
      </c>
      <c r="V247" s="6" t="str">
        <f>NAV!AC524</f>
        <v>2년이상</v>
      </c>
    </row>
    <row r="248" spans="1:22">
      <c r="A248" s="7">
        <f t="shared" si="3"/>
        <v>247</v>
      </c>
      <c r="B248" s="7">
        <f>TYPE(종목정보tbl!$C248)</f>
        <v>1</v>
      </c>
      <c r="C248" s="6">
        <f>NAV!J525</f>
        <v>0</v>
      </c>
      <c r="D248" s="6">
        <f>NAV!K525</f>
        <v>0</v>
      </c>
      <c r="E248" s="6">
        <f>NAV!L525</f>
        <v>0</v>
      </c>
      <c r="F248" s="6">
        <f>NAV!M525</f>
        <v>0</v>
      </c>
      <c r="G248" s="6">
        <f>NAV!N525</f>
        <v>0</v>
      </c>
      <c r="H248" s="6">
        <f>NAV!O525</f>
        <v>0</v>
      </c>
      <c r="I248" s="6">
        <f>NAV!P525</f>
        <v>0</v>
      </c>
      <c r="J248" s="6">
        <f>NAV!Q525</f>
        <v>0</v>
      </c>
      <c r="K248" s="9">
        <f>NAV!R525</f>
        <v>0</v>
      </c>
      <c r="L248" s="6">
        <f>NAV!S525</f>
        <v>0</v>
      </c>
      <c r="M248" s="6">
        <f>NAV!T525</f>
        <v>0</v>
      </c>
      <c r="N248" s="6" t="str">
        <f>NAV!U525</f>
        <v>한국 원화(KRW)</v>
      </c>
      <c r="O248" s="6">
        <f>NAV!V525</f>
        <v>1</v>
      </c>
      <c r="P248" s="6">
        <f>NAV!W525</f>
        <v>0</v>
      </c>
      <c r="Q248" s="6">
        <f>NAV!X525</f>
        <v>0</v>
      </c>
      <c r="R248" s="6">
        <f>NAV!Y525</f>
        <v>0</v>
      </c>
      <c r="S248" s="6">
        <f>NAV!Z525</f>
        <v>0</v>
      </c>
      <c r="T248" s="6">
        <f>NAV!AA525</f>
        <v>0</v>
      </c>
      <c r="U248" s="10">
        <f>NAV!AB525</f>
        <v>0</v>
      </c>
      <c r="V248" s="6" t="str">
        <f>NAV!AC525</f>
        <v>2년이상</v>
      </c>
    </row>
    <row r="249" spans="1:22">
      <c r="A249" s="7">
        <f t="shared" si="3"/>
        <v>248</v>
      </c>
      <c r="B249" s="7">
        <f>TYPE(종목정보tbl!$C249)</f>
        <v>1</v>
      </c>
      <c r="C249" s="6">
        <f>NAV!J526</f>
        <v>0</v>
      </c>
      <c r="D249" s="6">
        <f>NAV!K526</f>
        <v>0</v>
      </c>
      <c r="E249" s="6">
        <f>NAV!L526</f>
        <v>0</v>
      </c>
      <c r="F249" s="6">
        <f>NAV!M526</f>
        <v>0</v>
      </c>
      <c r="G249" s="6">
        <f>NAV!N526</f>
        <v>0</v>
      </c>
      <c r="H249" s="6">
        <f>NAV!O526</f>
        <v>0</v>
      </c>
      <c r="I249" s="6">
        <f>NAV!P526</f>
        <v>0</v>
      </c>
      <c r="J249" s="6">
        <f>NAV!Q526</f>
        <v>0</v>
      </c>
      <c r="K249" s="9">
        <f>NAV!R526</f>
        <v>0</v>
      </c>
      <c r="L249" s="6">
        <f>NAV!S526</f>
        <v>0</v>
      </c>
      <c r="M249" s="6">
        <f>NAV!T526</f>
        <v>0</v>
      </c>
      <c r="N249" s="6" t="str">
        <f>NAV!U526</f>
        <v>한국 원화(KRW)</v>
      </c>
      <c r="O249" s="6">
        <f>NAV!V526</f>
        <v>1</v>
      </c>
      <c r="P249" s="6">
        <f>NAV!W526</f>
        <v>0</v>
      </c>
      <c r="Q249" s="6">
        <f>NAV!X526</f>
        <v>0</v>
      </c>
      <c r="R249" s="6">
        <f>NAV!Y526</f>
        <v>0</v>
      </c>
      <c r="S249" s="6">
        <f>NAV!Z526</f>
        <v>0</v>
      </c>
      <c r="T249" s="6">
        <f>NAV!AA526</f>
        <v>0</v>
      </c>
      <c r="U249" s="10">
        <f>NAV!AB526</f>
        <v>0</v>
      </c>
      <c r="V249" s="6" t="str">
        <f>NAV!AC526</f>
        <v>2년이상</v>
      </c>
    </row>
    <row r="250" spans="1:22">
      <c r="A250" s="7">
        <f t="shared" si="3"/>
        <v>249</v>
      </c>
      <c r="B250" s="7">
        <f>TYPE(종목정보tbl!$C250)</f>
        <v>1</v>
      </c>
      <c r="C250" s="6">
        <f>NAV!J527</f>
        <v>0</v>
      </c>
      <c r="D250" s="6">
        <f>NAV!K527</f>
        <v>0</v>
      </c>
      <c r="E250" s="6">
        <f>NAV!L527</f>
        <v>0</v>
      </c>
      <c r="F250" s="6">
        <f>NAV!M527</f>
        <v>0</v>
      </c>
      <c r="G250" s="6">
        <f>NAV!N527</f>
        <v>0</v>
      </c>
      <c r="H250" s="6">
        <f>NAV!O527</f>
        <v>0</v>
      </c>
      <c r="I250" s="6">
        <f>NAV!P527</f>
        <v>0</v>
      </c>
      <c r="J250" s="6">
        <f>NAV!Q527</f>
        <v>0</v>
      </c>
      <c r="K250" s="9">
        <f>NAV!R527</f>
        <v>0</v>
      </c>
      <c r="L250" s="6">
        <f>NAV!S527</f>
        <v>0</v>
      </c>
      <c r="M250" s="6">
        <f>NAV!T527</f>
        <v>0</v>
      </c>
      <c r="N250" s="6" t="str">
        <f>NAV!U527</f>
        <v>한국 원화(KRW)</v>
      </c>
      <c r="O250" s="6">
        <f>NAV!V527</f>
        <v>1</v>
      </c>
      <c r="P250" s="6">
        <f>NAV!W527</f>
        <v>0</v>
      </c>
      <c r="Q250" s="6">
        <f>NAV!X527</f>
        <v>0</v>
      </c>
      <c r="R250" s="6">
        <f>NAV!Y527</f>
        <v>0</v>
      </c>
      <c r="S250" s="6">
        <f>NAV!Z527</f>
        <v>0</v>
      </c>
      <c r="T250" s="6">
        <f>NAV!AA527</f>
        <v>0</v>
      </c>
      <c r="U250" s="10">
        <f>NAV!AB527</f>
        <v>0</v>
      </c>
      <c r="V250" s="6" t="str">
        <f>NAV!AC527</f>
        <v>2년이상</v>
      </c>
    </row>
    <row r="251" spans="1:22">
      <c r="A251" s="7">
        <f t="shared" si="3"/>
        <v>250</v>
      </c>
      <c r="B251" s="7">
        <f>TYPE(종목정보tbl!$C251)</f>
        <v>1</v>
      </c>
      <c r="C251" s="6">
        <f>NAV!J555</f>
        <v>0</v>
      </c>
      <c r="D251" s="6">
        <f>NAV!K555</f>
        <v>0</v>
      </c>
      <c r="E251" s="6">
        <f>NAV!L555</f>
        <v>0</v>
      </c>
      <c r="F251" s="6">
        <f>NAV!M555</f>
        <v>0</v>
      </c>
      <c r="G251" s="6">
        <f>NAV!N555</f>
        <v>0</v>
      </c>
      <c r="H251" s="6">
        <f>NAV!O555</f>
        <v>0</v>
      </c>
      <c r="I251" s="6">
        <f>NAV!P555</f>
        <v>0</v>
      </c>
      <c r="J251" s="6">
        <f>NAV!Q555</f>
        <v>0</v>
      </c>
      <c r="K251" s="9">
        <f>NAV!R555</f>
        <v>0</v>
      </c>
      <c r="L251" s="6">
        <f>NAV!S555</f>
        <v>0</v>
      </c>
      <c r="M251" s="6">
        <f>NAV!T555</f>
        <v>0</v>
      </c>
      <c r="N251" s="6" t="str">
        <f>NAV!U555</f>
        <v>한국 원화(KRW)</v>
      </c>
      <c r="O251" s="6">
        <f>NAV!V555</f>
        <v>1</v>
      </c>
      <c r="P251" s="6">
        <f>NAV!W555</f>
        <v>0</v>
      </c>
      <c r="Q251" s="6">
        <f>NAV!X555</f>
        <v>0</v>
      </c>
      <c r="R251" s="6">
        <f>NAV!Y555</f>
        <v>0</v>
      </c>
      <c r="S251" s="6">
        <f>NAV!Z555</f>
        <v>0</v>
      </c>
      <c r="T251" s="6">
        <f>NAV!AA555</f>
        <v>0</v>
      </c>
      <c r="U251" s="10">
        <f>NAV!AB555</f>
        <v>0</v>
      </c>
      <c r="V251" s="6" t="str">
        <f>NAV!AC555</f>
        <v>2년이상</v>
      </c>
    </row>
    <row r="252" spans="1:22">
      <c r="A252" s="7">
        <f t="shared" si="3"/>
        <v>251</v>
      </c>
      <c r="B252" s="7">
        <f>TYPE(종목정보tbl!$C252)</f>
        <v>1</v>
      </c>
      <c r="C252" s="6">
        <f>NAV!J556</f>
        <v>0</v>
      </c>
      <c r="D252" s="6">
        <f>NAV!K556</f>
        <v>0</v>
      </c>
      <c r="E252" s="6">
        <f>NAV!L556</f>
        <v>0</v>
      </c>
      <c r="F252" s="6">
        <f>NAV!M556</f>
        <v>0</v>
      </c>
      <c r="G252" s="6">
        <f>NAV!N556</f>
        <v>0</v>
      </c>
      <c r="H252" s="6">
        <f>NAV!O556</f>
        <v>0</v>
      </c>
      <c r="I252" s="6">
        <f>NAV!P556</f>
        <v>0</v>
      </c>
      <c r="J252" s="6">
        <f>NAV!Q556</f>
        <v>0</v>
      </c>
      <c r="K252" s="9">
        <f>NAV!R556</f>
        <v>0</v>
      </c>
      <c r="L252" s="6">
        <f>NAV!S556</f>
        <v>0</v>
      </c>
      <c r="M252" s="6">
        <f>NAV!T556</f>
        <v>0</v>
      </c>
      <c r="N252" s="6" t="str">
        <f>NAV!U556</f>
        <v>한국 원화(KRW)</v>
      </c>
      <c r="O252" s="6">
        <f>NAV!V556</f>
        <v>1</v>
      </c>
      <c r="P252" s="6">
        <f>NAV!W556</f>
        <v>0</v>
      </c>
      <c r="Q252" s="6">
        <f>NAV!X556</f>
        <v>0</v>
      </c>
      <c r="R252" s="6">
        <f>NAV!Y556</f>
        <v>0</v>
      </c>
      <c r="S252" s="6">
        <f>NAV!Z556</f>
        <v>0</v>
      </c>
      <c r="T252" s="6">
        <f>NAV!AA556</f>
        <v>0</v>
      </c>
      <c r="U252" s="10">
        <f>NAV!AB556</f>
        <v>0</v>
      </c>
      <c r="V252" s="6" t="str">
        <f>NAV!AC556</f>
        <v>2년이상</v>
      </c>
    </row>
    <row r="253" spans="1:22">
      <c r="A253" s="7">
        <f t="shared" si="3"/>
        <v>252</v>
      </c>
      <c r="B253" s="7">
        <f>TYPE(종목정보tbl!$C253)</f>
        <v>1</v>
      </c>
      <c r="C253" s="6">
        <f>NAV!J557</f>
        <v>0</v>
      </c>
      <c r="D253" s="6">
        <f>NAV!K557</f>
        <v>0</v>
      </c>
      <c r="E253" s="6">
        <f>NAV!L557</f>
        <v>0</v>
      </c>
      <c r="F253" s="6">
        <f>NAV!M557</f>
        <v>0</v>
      </c>
      <c r="G253" s="6">
        <f>NAV!N557</f>
        <v>0</v>
      </c>
      <c r="H253" s="6">
        <f>NAV!O557</f>
        <v>0</v>
      </c>
      <c r="I253" s="6">
        <f>NAV!P557</f>
        <v>0</v>
      </c>
      <c r="J253" s="6">
        <f>NAV!Q557</f>
        <v>0</v>
      </c>
      <c r="K253" s="9">
        <f>NAV!R557</f>
        <v>0</v>
      </c>
      <c r="L253" s="6">
        <f>NAV!S557</f>
        <v>0</v>
      </c>
      <c r="M253" s="6">
        <f>NAV!T557</f>
        <v>0</v>
      </c>
      <c r="N253" s="6" t="str">
        <f>NAV!U557</f>
        <v>한국 원화(KRW)</v>
      </c>
      <c r="O253" s="6">
        <f>NAV!V557</f>
        <v>1</v>
      </c>
      <c r="P253" s="6">
        <f>NAV!W557</f>
        <v>0</v>
      </c>
      <c r="Q253" s="6">
        <f>NAV!X557</f>
        <v>0</v>
      </c>
      <c r="R253" s="6">
        <f>NAV!Y557</f>
        <v>0</v>
      </c>
      <c r="S253" s="6">
        <f>NAV!Z557</f>
        <v>0</v>
      </c>
      <c r="T253" s="6">
        <f>NAV!AA557</f>
        <v>0</v>
      </c>
      <c r="U253" s="10">
        <f>NAV!AB557</f>
        <v>0</v>
      </c>
      <c r="V253" s="6" t="str">
        <f>NAV!AC557</f>
        <v>2년이상</v>
      </c>
    </row>
    <row r="254" spans="1:22">
      <c r="A254" s="7">
        <f t="shared" si="3"/>
        <v>253</v>
      </c>
      <c r="B254" s="7">
        <f>TYPE(종목정보tbl!$C254)</f>
        <v>1</v>
      </c>
      <c r="C254" s="6">
        <f>NAV!J558</f>
        <v>0</v>
      </c>
      <c r="D254" s="6">
        <f>NAV!K558</f>
        <v>0</v>
      </c>
      <c r="E254" s="6">
        <f>NAV!L558</f>
        <v>0</v>
      </c>
      <c r="F254" s="6">
        <f>NAV!M558</f>
        <v>0</v>
      </c>
      <c r="G254" s="6">
        <f>NAV!N558</f>
        <v>0</v>
      </c>
      <c r="H254" s="6">
        <f>NAV!O558</f>
        <v>0</v>
      </c>
      <c r="I254" s="6">
        <f>NAV!P558</f>
        <v>0</v>
      </c>
      <c r="J254" s="6">
        <f>NAV!Q558</f>
        <v>0</v>
      </c>
      <c r="K254" s="9">
        <f>NAV!R558</f>
        <v>0</v>
      </c>
      <c r="L254" s="6">
        <f>NAV!S558</f>
        <v>0</v>
      </c>
      <c r="M254" s="6">
        <f>NAV!T558</f>
        <v>0</v>
      </c>
      <c r="N254" s="6" t="str">
        <f>NAV!U558</f>
        <v>한국 원화(KRW)</v>
      </c>
      <c r="O254" s="6">
        <f>NAV!V558</f>
        <v>1</v>
      </c>
      <c r="P254" s="6">
        <f>NAV!W558</f>
        <v>0</v>
      </c>
      <c r="Q254" s="6">
        <f>NAV!X558</f>
        <v>0</v>
      </c>
      <c r="R254" s="6">
        <f>NAV!Y558</f>
        <v>0</v>
      </c>
      <c r="S254" s="6">
        <f>NAV!Z558</f>
        <v>0</v>
      </c>
      <c r="T254" s="6">
        <f>NAV!AA558</f>
        <v>0</v>
      </c>
      <c r="U254" s="10">
        <f>NAV!AB558</f>
        <v>0</v>
      </c>
      <c r="V254" s="6" t="str">
        <f>NAV!AC558</f>
        <v>2년이상</v>
      </c>
    </row>
    <row r="255" spans="1:22">
      <c r="A255" s="7">
        <f t="shared" si="3"/>
        <v>254</v>
      </c>
      <c r="B255" s="7">
        <f>TYPE(종목정보tbl!$C255)</f>
        <v>1</v>
      </c>
      <c r="C255" s="6">
        <f>NAV!J559</f>
        <v>0</v>
      </c>
      <c r="D255" s="6">
        <f>NAV!K559</f>
        <v>0</v>
      </c>
      <c r="E255" s="6">
        <f>NAV!L559</f>
        <v>0</v>
      </c>
      <c r="F255" s="6">
        <f>NAV!M559</f>
        <v>0</v>
      </c>
      <c r="G255" s="6">
        <f>NAV!N559</f>
        <v>0</v>
      </c>
      <c r="H255" s="6">
        <f>NAV!O559</f>
        <v>0</v>
      </c>
      <c r="I255" s="6">
        <f>NAV!P559</f>
        <v>0</v>
      </c>
      <c r="J255" s="6">
        <f>NAV!Q559</f>
        <v>0</v>
      </c>
      <c r="K255" s="9">
        <f>NAV!R559</f>
        <v>0</v>
      </c>
      <c r="L255" s="6">
        <f>NAV!S559</f>
        <v>0</v>
      </c>
      <c r="M255" s="6">
        <f>NAV!T559</f>
        <v>0</v>
      </c>
      <c r="N255" s="6" t="str">
        <f>NAV!U559</f>
        <v>한국 원화(KRW)</v>
      </c>
      <c r="O255" s="6">
        <f>NAV!V559</f>
        <v>1</v>
      </c>
      <c r="P255" s="6">
        <f>NAV!W559</f>
        <v>0</v>
      </c>
      <c r="Q255" s="6">
        <f>NAV!X559</f>
        <v>0</v>
      </c>
      <c r="R255" s="6">
        <f>NAV!Y559</f>
        <v>0</v>
      </c>
      <c r="S255" s="6">
        <f>NAV!Z559</f>
        <v>0</v>
      </c>
      <c r="T255" s="6">
        <f>NAV!AA559</f>
        <v>0</v>
      </c>
      <c r="U255" s="10">
        <f>NAV!AB559</f>
        <v>0</v>
      </c>
      <c r="V255" s="6" t="str">
        <f>NAV!AC559</f>
        <v>2년이상</v>
      </c>
    </row>
    <row r="256" spans="1:22">
      <c r="A256" s="7">
        <f t="shared" si="3"/>
        <v>255</v>
      </c>
      <c r="B256" s="7">
        <f>TYPE(종목정보tbl!$C256)</f>
        <v>1</v>
      </c>
      <c r="C256" s="6">
        <f>NAV!J560</f>
        <v>0</v>
      </c>
      <c r="D256" s="6">
        <f>NAV!K560</f>
        <v>0</v>
      </c>
      <c r="E256" s="6">
        <f>NAV!L560</f>
        <v>0</v>
      </c>
      <c r="F256" s="6">
        <f>NAV!M560</f>
        <v>0</v>
      </c>
      <c r="G256" s="6">
        <f>NAV!N560</f>
        <v>0</v>
      </c>
      <c r="H256" s="6">
        <f>NAV!O560</f>
        <v>0</v>
      </c>
      <c r="I256" s="6">
        <f>NAV!P560</f>
        <v>0</v>
      </c>
      <c r="J256" s="6">
        <f>NAV!Q560</f>
        <v>0</v>
      </c>
      <c r="K256" s="9">
        <f>NAV!R560</f>
        <v>0</v>
      </c>
      <c r="L256" s="6">
        <f>NAV!S560</f>
        <v>0</v>
      </c>
      <c r="M256" s="6">
        <f>NAV!T560</f>
        <v>0</v>
      </c>
      <c r="N256" s="6" t="str">
        <f>NAV!U560</f>
        <v>한국 원화(KRW)</v>
      </c>
      <c r="O256" s="6">
        <f>NAV!V560</f>
        <v>1</v>
      </c>
      <c r="P256" s="6">
        <f>NAV!W560</f>
        <v>0</v>
      </c>
      <c r="Q256" s="6">
        <f>NAV!X560</f>
        <v>0</v>
      </c>
      <c r="R256" s="6">
        <f>NAV!Y560</f>
        <v>0</v>
      </c>
      <c r="S256" s="6">
        <f>NAV!Z560</f>
        <v>0</v>
      </c>
      <c r="T256" s="6">
        <f>NAV!AA560</f>
        <v>0</v>
      </c>
      <c r="U256" s="10">
        <f>NAV!AB560</f>
        <v>0</v>
      </c>
      <c r="V256" s="6" t="str">
        <f>NAV!AC560</f>
        <v>2년이상</v>
      </c>
    </row>
    <row r="257" spans="1:22">
      <c r="A257" s="7">
        <f t="shared" si="3"/>
        <v>256</v>
      </c>
      <c r="B257" s="7">
        <f>TYPE(종목정보tbl!$C257)</f>
        <v>1</v>
      </c>
      <c r="C257" s="6">
        <f>NAV!J561</f>
        <v>0</v>
      </c>
      <c r="D257" s="6">
        <f>NAV!K561</f>
        <v>0</v>
      </c>
      <c r="E257" s="6">
        <f>NAV!L561</f>
        <v>0</v>
      </c>
      <c r="F257" s="6">
        <f>NAV!M561</f>
        <v>0</v>
      </c>
      <c r="G257" s="6">
        <f>NAV!N561</f>
        <v>0</v>
      </c>
      <c r="H257" s="6">
        <f>NAV!O561</f>
        <v>0</v>
      </c>
      <c r="I257" s="6">
        <f>NAV!P561</f>
        <v>0</v>
      </c>
      <c r="J257" s="6">
        <f>NAV!Q561</f>
        <v>0</v>
      </c>
      <c r="K257" s="9">
        <f>NAV!R561</f>
        <v>0</v>
      </c>
      <c r="L257" s="6">
        <f>NAV!S561</f>
        <v>0</v>
      </c>
      <c r="M257" s="6">
        <f>NAV!T561</f>
        <v>0</v>
      </c>
      <c r="N257" s="6" t="str">
        <f>NAV!U561</f>
        <v>한국 원화(KRW)</v>
      </c>
      <c r="O257" s="6">
        <f>NAV!V561</f>
        <v>1</v>
      </c>
      <c r="P257" s="6">
        <f>NAV!W561</f>
        <v>0</v>
      </c>
      <c r="Q257" s="6">
        <f>NAV!X561</f>
        <v>0</v>
      </c>
      <c r="R257" s="6">
        <f>NAV!Y561</f>
        <v>0</v>
      </c>
      <c r="S257" s="6">
        <f>NAV!Z561</f>
        <v>0</v>
      </c>
      <c r="T257" s="6">
        <f>NAV!AA561</f>
        <v>0</v>
      </c>
      <c r="U257" s="10">
        <f>NAV!AB561</f>
        <v>0</v>
      </c>
      <c r="V257" s="6" t="str">
        <f>NAV!AC561</f>
        <v>2년이상</v>
      </c>
    </row>
    <row r="258" spans="1:22">
      <c r="A258" s="7">
        <f t="shared" ref="A258:A321" si="4">ROW()-1</f>
        <v>257</v>
      </c>
      <c r="B258" s="7">
        <f>TYPE(종목정보tbl!$C258)</f>
        <v>1</v>
      </c>
      <c r="C258" s="6">
        <f>NAV!J562</f>
        <v>0</v>
      </c>
      <c r="D258" s="6">
        <f>NAV!K562</f>
        <v>0</v>
      </c>
      <c r="E258" s="6">
        <f>NAV!L562</f>
        <v>0</v>
      </c>
      <c r="F258" s="6">
        <f>NAV!M562</f>
        <v>0</v>
      </c>
      <c r="G258" s="6">
        <f>NAV!N562</f>
        <v>0</v>
      </c>
      <c r="H258" s="6">
        <f>NAV!O562</f>
        <v>0</v>
      </c>
      <c r="I258" s="6">
        <f>NAV!P562</f>
        <v>0</v>
      </c>
      <c r="J258" s="6">
        <f>NAV!Q562</f>
        <v>0</v>
      </c>
      <c r="K258" s="9">
        <f>NAV!R562</f>
        <v>0</v>
      </c>
      <c r="L258" s="6">
        <f>NAV!S562</f>
        <v>0</v>
      </c>
      <c r="M258" s="6">
        <f>NAV!T562</f>
        <v>0</v>
      </c>
      <c r="N258" s="6" t="str">
        <f>NAV!U562</f>
        <v>한국 원화(KRW)</v>
      </c>
      <c r="O258" s="6">
        <f>NAV!V562</f>
        <v>1</v>
      </c>
      <c r="P258" s="6">
        <f>NAV!W562</f>
        <v>0</v>
      </c>
      <c r="Q258" s="6">
        <f>NAV!X562</f>
        <v>0</v>
      </c>
      <c r="R258" s="6">
        <f>NAV!Y562</f>
        <v>0</v>
      </c>
      <c r="S258" s="6">
        <f>NAV!Z562</f>
        <v>0</v>
      </c>
      <c r="T258" s="6">
        <f>NAV!AA562</f>
        <v>0</v>
      </c>
      <c r="U258" s="10">
        <f>NAV!AB562</f>
        <v>0</v>
      </c>
      <c r="V258" s="6" t="str">
        <f>NAV!AC562</f>
        <v>2년이상</v>
      </c>
    </row>
    <row r="259" spans="1:22">
      <c r="A259" s="7">
        <f t="shared" si="4"/>
        <v>258</v>
      </c>
      <c r="B259" s="7">
        <f>TYPE(종목정보tbl!$C259)</f>
        <v>1</v>
      </c>
      <c r="C259" s="6">
        <f>NAV!J563</f>
        <v>0</v>
      </c>
      <c r="D259" s="6">
        <f>NAV!K563</f>
        <v>0</v>
      </c>
      <c r="E259" s="6">
        <f>NAV!L563</f>
        <v>0</v>
      </c>
      <c r="F259" s="6">
        <f>NAV!M563</f>
        <v>0</v>
      </c>
      <c r="G259" s="6">
        <f>NAV!N563</f>
        <v>0</v>
      </c>
      <c r="H259" s="6">
        <f>NAV!O563</f>
        <v>0</v>
      </c>
      <c r="I259" s="6">
        <f>NAV!P563</f>
        <v>0</v>
      </c>
      <c r="J259" s="6">
        <f>NAV!Q563</f>
        <v>0</v>
      </c>
      <c r="K259" s="9">
        <f>NAV!R563</f>
        <v>0</v>
      </c>
      <c r="L259" s="6">
        <f>NAV!S563</f>
        <v>0</v>
      </c>
      <c r="M259" s="6">
        <f>NAV!T563</f>
        <v>0</v>
      </c>
      <c r="N259" s="6" t="str">
        <f>NAV!U563</f>
        <v>한국 원화(KRW)</v>
      </c>
      <c r="O259" s="6">
        <f>NAV!V563</f>
        <v>1</v>
      </c>
      <c r="P259" s="6">
        <f>NAV!W563</f>
        <v>0</v>
      </c>
      <c r="Q259" s="6">
        <f>NAV!X563</f>
        <v>0</v>
      </c>
      <c r="R259" s="6">
        <f>NAV!Y563</f>
        <v>0</v>
      </c>
      <c r="S259" s="6">
        <f>NAV!Z563</f>
        <v>0</v>
      </c>
      <c r="T259" s="6">
        <f>NAV!AA563</f>
        <v>0</v>
      </c>
      <c r="U259" s="10">
        <f>NAV!AB563</f>
        <v>0</v>
      </c>
      <c r="V259" s="6" t="str">
        <f>NAV!AC563</f>
        <v>2년이상</v>
      </c>
    </row>
    <row r="260" spans="1:22">
      <c r="A260" s="7">
        <f t="shared" si="4"/>
        <v>259</v>
      </c>
      <c r="B260" s="7">
        <f>TYPE(종목정보tbl!$C260)</f>
        <v>1</v>
      </c>
      <c r="C260" s="6">
        <f>NAV!J564</f>
        <v>0</v>
      </c>
      <c r="D260" s="6">
        <f>NAV!K564</f>
        <v>0</v>
      </c>
      <c r="E260" s="6">
        <f>NAV!L564</f>
        <v>0</v>
      </c>
      <c r="F260" s="6">
        <f>NAV!M564</f>
        <v>0</v>
      </c>
      <c r="G260" s="6">
        <f>NAV!N564</f>
        <v>0</v>
      </c>
      <c r="H260" s="6">
        <f>NAV!O564</f>
        <v>0</v>
      </c>
      <c r="I260" s="6">
        <f>NAV!P564</f>
        <v>0</v>
      </c>
      <c r="J260" s="6">
        <f>NAV!Q564</f>
        <v>0</v>
      </c>
      <c r="K260" s="9">
        <f>NAV!R564</f>
        <v>0</v>
      </c>
      <c r="L260" s="6">
        <f>NAV!S564</f>
        <v>0</v>
      </c>
      <c r="M260" s="6">
        <f>NAV!T564</f>
        <v>0</v>
      </c>
      <c r="N260" s="6" t="str">
        <f>NAV!U564</f>
        <v>한국 원화(KRW)</v>
      </c>
      <c r="O260" s="6">
        <f>NAV!V564</f>
        <v>1</v>
      </c>
      <c r="P260" s="6">
        <f>NAV!W564</f>
        <v>0</v>
      </c>
      <c r="Q260" s="6">
        <f>NAV!X564</f>
        <v>0</v>
      </c>
      <c r="R260" s="6">
        <f>NAV!Y564</f>
        <v>0</v>
      </c>
      <c r="S260" s="6">
        <f>NAV!Z564</f>
        <v>0</v>
      </c>
      <c r="T260" s="6">
        <f>NAV!AA564</f>
        <v>0</v>
      </c>
      <c r="U260" s="10">
        <f>NAV!AB564</f>
        <v>0</v>
      </c>
      <c r="V260" s="6" t="str">
        <f>NAV!AC564</f>
        <v>2년이상</v>
      </c>
    </row>
    <row r="261" spans="1:22">
      <c r="A261" s="7">
        <f t="shared" si="4"/>
        <v>260</v>
      </c>
      <c r="B261" s="7">
        <f>TYPE(종목정보tbl!$C261)</f>
        <v>1</v>
      </c>
      <c r="C261" s="6">
        <f>NAV!J565</f>
        <v>0</v>
      </c>
      <c r="D261" s="6">
        <f>NAV!K565</f>
        <v>0</v>
      </c>
      <c r="E261" s="6">
        <f>NAV!L565</f>
        <v>0</v>
      </c>
      <c r="F261" s="6">
        <f>NAV!M565</f>
        <v>0</v>
      </c>
      <c r="G261" s="6">
        <f>NAV!N565</f>
        <v>0</v>
      </c>
      <c r="H261" s="6">
        <f>NAV!O565</f>
        <v>0</v>
      </c>
      <c r="I261" s="6">
        <f>NAV!P565</f>
        <v>0</v>
      </c>
      <c r="J261" s="6">
        <f>NAV!Q565</f>
        <v>0</v>
      </c>
      <c r="K261" s="9">
        <f>NAV!R565</f>
        <v>0</v>
      </c>
      <c r="L261" s="6">
        <f>NAV!S565</f>
        <v>0</v>
      </c>
      <c r="M261" s="6">
        <f>NAV!T565</f>
        <v>0</v>
      </c>
      <c r="N261" s="6" t="str">
        <f>NAV!U565</f>
        <v>한국 원화(KRW)</v>
      </c>
      <c r="O261" s="6">
        <f>NAV!V565</f>
        <v>1</v>
      </c>
      <c r="P261" s="6">
        <f>NAV!W565</f>
        <v>0</v>
      </c>
      <c r="Q261" s="6">
        <f>NAV!X565</f>
        <v>0</v>
      </c>
      <c r="R261" s="6">
        <f>NAV!Y565</f>
        <v>0</v>
      </c>
      <c r="S261" s="6">
        <f>NAV!Z565</f>
        <v>0</v>
      </c>
      <c r="T261" s="6">
        <f>NAV!AA565</f>
        <v>0</v>
      </c>
      <c r="U261" s="10">
        <f>NAV!AB565</f>
        <v>0</v>
      </c>
      <c r="V261" s="6" t="str">
        <f>NAV!AC565</f>
        <v>2년이상</v>
      </c>
    </row>
    <row r="262" spans="1:22">
      <c r="A262" s="7">
        <f t="shared" si="4"/>
        <v>261</v>
      </c>
      <c r="B262" s="7">
        <f>TYPE(종목정보tbl!$C262)</f>
        <v>1</v>
      </c>
      <c r="C262" s="6">
        <f>NAV!J593</f>
        <v>0</v>
      </c>
      <c r="D262" s="6">
        <f>NAV!K593</f>
        <v>0</v>
      </c>
      <c r="E262" s="6">
        <f>NAV!L593</f>
        <v>0</v>
      </c>
      <c r="F262" s="6">
        <f>NAV!M593</f>
        <v>0</v>
      </c>
      <c r="G262" s="6">
        <f>NAV!N593</f>
        <v>0</v>
      </c>
      <c r="H262" s="6">
        <f>NAV!O593</f>
        <v>0</v>
      </c>
      <c r="I262" s="6">
        <f>NAV!P593</f>
        <v>0</v>
      </c>
      <c r="J262" s="6">
        <f>NAV!Q593</f>
        <v>0</v>
      </c>
      <c r="K262" s="9">
        <f>NAV!R593</f>
        <v>0</v>
      </c>
      <c r="L262" s="6">
        <f>NAV!S593</f>
        <v>0</v>
      </c>
      <c r="M262" s="6">
        <f>NAV!T593</f>
        <v>0</v>
      </c>
      <c r="N262" s="6" t="str">
        <f>NAV!U593</f>
        <v>한국 원화(KRW)</v>
      </c>
      <c r="O262" s="6">
        <f>NAV!V593</f>
        <v>1</v>
      </c>
      <c r="P262" s="6">
        <f>NAV!W593</f>
        <v>0</v>
      </c>
      <c r="Q262" s="6">
        <f>NAV!X593</f>
        <v>0</v>
      </c>
      <c r="R262" s="6">
        <f>NAV!Y593</f>
        <v>0</v>
      </c>
      <c r="S262" s="6">
        <f>NAV!Z593</f>
        <v>0</v>
      </c>
      <c r="T262" s="6">
        <f>NAV!AA593</f>
        <v>0</v>
      </c>
      <c r="U262" s="10">
        <f>NAV!AB593</f>
        <v>0</v>
      </c>
      <c r="V262" s="6" t="str">
        <f>NAV!AC593</f>
        <v>2년이상</v>
      </c>
    </row>
    <row r="263" spans="1:22">
      <c r="A263" s="7">
        <f t="shared" si="4"/>
        <v>262</v>
      </c>
      <c r="B263" s="7">
        <f>TYPE(종목정보tbl!$C263)</f>
        <v>1</v>
      </c>
      <c r="C263" s="6">
        <f>NAV!J594</f>
        <v>0</v>
      </c>
      <c r="D263" s="6">
        <f>NAV!K594</f>
        <v>0</v>
      </c>
      <c r="E263" s="6">
        <f>NAV!L594</f>
        <v>0</v>
      </c>
      <c r="F263" s="6">
        <f>NAV!M594</f>
        <v>0</v>
      </c>
      <c r="G263" s="6">
        <f>NAV!N594</f>
        <v>0</v>
      </c>
      <c r="H263" s="6">
        <f>NAV!O594</f>
        <v>0</v>
      </c>
      <c r="I263" s="6">
        <f>NAV!P594</f>
        <v>0</v>
      </c>
      <c r="J263" s="6">
        <f>NAV!Q594</f>
        <v>0</v>
      </c>
      <c r="K263" s="9">
        <f>NAV!R594</f>
        <v>0</v>
      </c>
      <c r="L263" s="6">
        <f>NAV!S594</f>
        <v>0</v>
      </c>
      <c r="M263" s="6">
        <f>NAV!T594</f>
        <v>0</v>
      </c>
      <c r="N263" s="6" t="str">
        <f>NAV!U594</f>
        <v>한국 원화(KRW)</v>
      </c>
      <c r="O263" s="6">
        <f>NAV!V594</f>
        <v>1</v>
      </c>
      <c r="P263" s="6">
        <f>NAV!W594</f>
        <v>0</v>
      </c>
      <c r="Q263" s="6">
        <f>NAV!X594</f>
        <v>0</v>
      </c>
      <c r="R263" s="6">
        <f>NAV!Y594</f>
        <v>0</v>
      </c>
      <c r="S263" s="6">
        <f>NAV!Z594</f>
        <v>0</v>
      </c>
      <c r="T263" s="6">
        <f>NAV!AA594</f>
        <v>0</v>
      </c>
      <c r="U263" s="10">
        <f>NAV!AB594</f>
        <v>0</v>
      </c>
      <c r="V263" s="6" t="str">
        <f>NAV!AC594</f>
        <v>2년이상</v>
      </c>
    </row>
    <row r="264" spans="1:22">
      <c r="A264" s="7">
        <f t="shared" si="4"/>
        <v>263</v>
      </c>
      <c r="B264" s="7">
        <f>TYPE(종목정보tbl!$C264)</f>
        <v>1</v>
      </c>
      <c r="C264" s="6">
        <f>NAV!J595</f>
        <v>0</v>
      </c>
      <c r="D264" s="6">
        <f>NAV!K595</f>
        <v>0</v>
      </c>
      <c r="E264" s="6">
        <f>NAV!L595</f>
        <v>0</v>
      </c>
      <c r="F264" s="6">
        <f>NAV!M595</f>
        <v>0</v>
      </c>
      <c r="G264" s="6">
        <f>NAV!N595</f>
        <v>0</v>
      </c>
      <c r="H264" s="6">
        <f>NAV!O595</f>
        <v>0</v>
      </c>
      <c r="I264" s="6">
        <f>NAV!P595</f>
        <v>0</v>
      </c>
      <c r="J264" s="6">
        <f>NAV!Q595</f>
        <v>0</v>
      </c>
      <c r="K264" s="9">
        <f>NAV!R595</f>
        <v>0</v>
      </c>
      <c r="L264" s="6">
        <f>NAV!S595</f>
        <v>0</v>
      </c>
      <c r="M264" s="6">
        <f>NAV!T595</f>
        <v>0</v>
      </c>
      <c r="N264" s="6" t="str">
        <f>NAV!U595</f>
        <v>한국 원화(KRW)</v>
      </c>
      <c r="O264" s="6">
        <f>NAV!V595</f>
        <v>1</v>
      </c>
      <c r="P264" s="6">
        <f>NAV!W595</f>
        <v>0</v>
      </c>
      <c r="Q264" s="6">
        <f>NAV!X595</f>
        <v>0</v>
      </c>
      <c r="R264" s="6">
        <f>NAV!Y595</f>
        <v>0</v>
      </c>
      <c r="S264" s="6">
        <f>NAV!Z595</f>
        <v>0</v>
      </c>
      <c r="T264" s="6">
        <f>NAV!AA595</f>
        <v>0</v>
      </c>
      <c r="U264" s="10">
        <f>NAV!AB595</f>
        <v>0</v>
      </c>
      <c r="V264" s="6" t="str">
        <f>NAV!AC595</f>
        <v>2년이상</v>
      </c>
    </row>
    <row r="265" spans="1:22">
      <c r="A265" s="7">
        <f t="shared" si="4"/>
        <v>264</v>
      </c>
      <c r="B265" s="7">
        <f>TYPE(종목정보tbl!$C265)</f>
        <v>1</v>
      </c>
      <c r="C265" s="6">
        <f>NAV!J596</f>
        <v>0</v>
      </c>
      <c r="D265" s="6">
        <f>NAV!K596</f>
        <v>0</v>
      </c>
      <c r="E265" s="6">
        <f>NAV!L596</f>
        <v>0</v>
      </c>
      <c r="F265" s="6">
        <f>NAV!M596</f>
        <v>0</v>
      </c>
      <c r="G265" s="6">
        <f>NAV!N596</f>
        <v>0</v>
      </c>
      <c r="H265" s="6">
        <f>NAV!O596</f>
        <v>0</v>
      </c>
      <c r="I265" s="6">
        <f>NAV!P596</f>
        <v>0</v>
      </c>
      <c r="J265" s="6">
        <f>NAV!Q596</f>
        <v>0</v>
      </c>
      <c r="K265" s="9">
        <f>NAV!R596</f>
        <v>0</v>
      </c>
      <c r="L265" s="6">
        <f>NAV!S596</f>
        <v>0</v>
      </c>
      <c r="M265" s="6">
        <f>NAV!T596</f>
        <v>0</v>
      </c>
      <c r="N265" s="6" t="str">
        <f>NAV!U596</f>
        <v>한국 원화(KRW)</v>
      </c>
      <c r="O265" s="6">
        <f>NAV!V596</f>
        <v>1</v>
      </c>
      <c r="P265" s="6">
        <f>NAV!W596</f>
        <v>0</v>
      </c>
      <c r="Q265" s="6">
        <f>NAV!X596</f>
        <v>0</v>
      </c>
      <c r="R265" s="6">
        <f>NAV!Y596</f>
        <v>0</v>
      </c>
      <c r="S265" s="6">
        <f>NAV!Z596</f>
        <v>0</v>
      </c>
      <c r="T265" s="6">
        <f>NAV!AA596</f>
        <v>0</v>
      </c>
      <c r="U265" s="10">
        <f>NAV!AB596</f>
        <v>0</v>
      </c>
      <c r="V265" s="6" t="str">
        <f>NAV!AC596</f>
        <v>2년이상</v>
      </c>
    </row>
    <row r="266" spans="1:22">
      <c r="A266" s="7">
        <f t="shared" si="4"/>
        <v>265</v>
      </c>
      <c r="B266" s="7">
        <f>TYPE(종목정보tbl!$C266)</f>
        <v>1</v>
      </c>
      <c r="C266" s="6">
        <f>NAV!J597</f>
        <v>0</v>
      </c>
      <c r="D266" s="6">
        <f>NAV!K597</f>
        <v>0</v>
      </c>
      <c r="E266" s="6">
        <f>NAV!L597</f>
        <v>0</v>
      </c>
      <c r="F266" s="6">
        <f>NAV!M597</f>
        <v>0</v>
      </c>
      <c r="G266" s="6">
        <f>NAV!N597</f>
        <v>0</v>
      </c>
      <c r="H266" s="6">
        <f>NAV!O597</f>
        <v>0</v>
      </c>
      <c r="I266" s="6">
        <f>NAV!P597</f>
        <v>0</v>
      </c>
      <c r="J266" s="6">
        <f>NAV!Q597</f>
        <v>0</v>
      </c>
      <c r="K266" s="9">
        <f>NAV!R597</f>
        <v>0</v>
      </c>
      <c r="L266" s="6">
        <f>NAV!S597</f>
        <v>0</v>
      </c>
      <c r="M266" s="6">
        <f>NAV!T597</f>
        <v>0</v>
      </c>
      <c r="N266" s="6" t="str">
        <f>NAV!U597</f>
        <v>한국 원화(KRW)</v>
      </c>
      <c r="O266" s="6">
        <f>NAV!V597</f>
        <v>1</v>
      </c>
      <c r="P266" s="6">
        <f>NAV!W597</f>
        <v>0</v>
      </c>
      <c r="Q266" s="6">
        <f>NAV!X597</f>
        <v>0</v>
      </c>
      <c r="R266" s="6">
        <f>NAV!Y597</f>
        <v>0</v>
      </c>
      <c r="S266" s="6">
        <f>NAV!Z597</f>
        <v>0</v>
      </c>
      <c r="T266" s="6">
        <f>NAV!AA597</f>
        <v>0</v>
      </c>
      <c r="U266" s="10">
        <f>NAV!AB597</f>
        <v>0</v>
      </c>
      <c r="V266" s="6" t="str">
        <f>NAV!AC597</f>
        <v>2년이상</v>
      </c>
    </row>
    <row r="267" spans="1:22">
      <c r="A267" s="7">
        <f t="shared" si="4"/>
        <v>266</v>
      </c>
      <c r="B267" s="7">
        <f>TYPE(종목정보tbl!$C267)</f>
        <v>1</v>
      </c>
      <c r="C267" s="6">
        <f>NAV!J598</f>
        <v>0</v>
      </c>
      <c r="D267" s="6">
        <f>NAV!K598</f>
        <v>0</v>
      </c>
      <c r="E267" s="6">
        <f>NAV!L598</f>
        <v>0</v>
      </c>
      <c r="F267" s="6">
        <f>NAV!M598</f>
        <v>0</v>
      </c>
      <c r="G267" s="6">
        <f>NAV!N598</f>
        <v>0</v>
      </c>
      <c r="H267" s="6">
        <f>NAV!O598</f>
        <v>0</v>
      </c>
      <c r="I267" s="6">
        <f>NAV!P598</f>
        <v>0</v>
      </c>
      <c r="J267" s="6">
        <f>NAV!Q598</f>
        <v>0</v>
      </c>
      <c r="K267" s="9">
        <f>NAV!R598</f>
        <v>0</v>
      </c>
      <c r="L267" s="6">
        <f>NAV!S598</f>
        <v>0</v>
      </c>
      <c r="M267" s="6">
        <f>NAV!T598</f>
        <v>0</v>
      </c>
      <c r="N267" s="6" t="str">
        <f>NAV!U598</f>
        <v>한국 원화(KRW)</v>
      </c>
      <c r="O267" s="6">
        <f>NAV!V598</f>
        <v>1</v>
      </c>
      <c r="P267" s="6">
        <f>NAV!W598</f>
        <v>0</v>
      </c>
      <c r="Q267" s="6">
        <f>NAV!X598</f>
        <v>0</v>
      </c>
      <c r="R267" s="6">
        <f>NAV!Y598</f>
        <v>0</v>
      </c>
      <c r="S267" s="6">
        <f>NAV!Z598</f>
        <v>0</v>
      </c>
      <c r="T267" s="6">
        <f>NAV!AA598</f>
        <v>0</v>
      </c>
      <c r="U267" s="10">
        <f>NAV!AB598</f>
        <v>0</v>
      </c>
      <c r="V267" s="6" t="str">
        <f>NAV!AC598</f>
        <v>2년이상</v>
      </c>
    </row>
    <row r="268" spans="1:22">
      <c r="A268" s="7">
        <f t="shared" si="4"/>
        <v>267</v>
      </c>
      <c r="B268" s="7">
        <f>TYPE(종목정보tbl!$C268)</f>
        <v>1</v>
      </c>
      <c r="C268" s="6">
        <f>NAV!J599</f>
        <v>0</v>
      </c>
      <c r="D268" s="6">
        <f>NAV!K599</f>
        <v>0</v>
      </c>
      <c r="E268" s="6">
        <f>NAV!L599</f>
        <v>0</v>
      </c>
      <c r="F268" s="6">
        <f>NAV!M599</f>
        <v>0</v>
      </c>
      <c r="G268" s="6">
        <f>NAV!N599</f>
        <v>0</v>
      </c>
      <c r="H268" s="6">
        <f>NAV!O599</f>
        <v>0</v>
      </c>
      <c r="I268" s="6">
        <f>NAV!P599</f>
        <v>0</v>
      </c>
      <c r="J268" s="6">
        <f>NAV!Q599</f>
        <v>0</v>
      </c>
      <c r="K268" s="9">
        <f>NAV!R599</f>
        <v>0</v>
      </c>
      <c r="L268" s="6">
        <f>NAV!S599</f>
        <v>0</v>
      </c>
      <c r="M268" s="6">
        <f>NAV!T599</f>
        <v>0</v>
      </c>
      <c r="N268" s="6" t="str">
        <f>NAV!U599</f>
        <v>한국 원화(KRW)</v>
      </c>
      <c r="O268" s="6">
        <f>NAV!V599</f>
        <v>1</v>
      </c>
      <c r="P268" s="6">
        <f>NAV!W599</f>
        <v>0</v>
      </c>
      <c r="Q268" s="6">
        <f>NAV!X599</f>
        <v>0</v>
      </c>
      <c r="R268" s="6">
        <f>NAV!Y599</f>
        <v>0</v>
      </c>
      <c r="S268" s="6">
        <f>NAV!Z599</f>
        <v>0</v>
      </c>
      <c r="T268" s="6">
        <f>NAV!AA599</f>
        <v>0</v>
      </c>
      <c r="U268" s="10">
        <f>NAV!AB599</f>
        <v>0</v>
      </c>
      <c r="V268" s="6" t="str">
        <f>NAV!AC599</f>
        <v>2년이상</v>
      </c>
    </row>
    <row r="269" spans="1:22">
      <c r="A269" s="7">
        <f t="shared" si="4"/>
        <v>268</v>
      </c>
      <c r="B269" s="7">
        <f>TYPE(종목정보tbl!$C269)</f>
        <v>1</v>
      </c>
      <c r="C269" s="6">
        <f>NAV!J600</f>
        <v>0</v>
      </c>
      <c r="D269" s="6">
        <f>NAV!K600</f>
        <v>0</v>
      </c>
      <c r="E269" s="6">
        <f>NAV!L600</f>
        <v>0</v>
      </c>
      <c r="F269" s="6">
        <f>NAV!M600</f>
        <v>0</v>
      </c>
      <c r="G269" s="6">
        <f>NAV!N600</f>
        <v>0</v>
      </c>
      <c r="H269" s="6">
        <f>NAV!O600</f>
        <v>0</v>
      </c>
      <c r="I269" s="6">
        <f>NAV!P600</f>
        <v>0</v>
      </c>
      <c r="J269" s="6">
        <f>NAV!Q600</f>
        <v>0</v>
      </c>
      <c r="K269" s="9">
        <f>NAV!R600</f>
        <v>0</v>
      </c>
      <c r="L269" s="6">
        <f>NAV!S600</f>
        <v>0</v>
      </c>
      <c r="M269" s="6">
        <f>NAV!T600</f>
        <v>0</v>
      </c>
      <c r="N269" s="6" t="str">
        <f>NAV!U600</f>
        <v>한국 원화(KRW)</v>
      </c>
      <c r="O269" s="6">
        <f>NAV!V600</f>
        <v>1</v>
      </c>
      <c r="P269" s="6">
        <f>NAV!W600</f>
        <v>0</v>
      </c>
      <c r="Q269" s="6">
        <f>NAV!X600</f>
        <v>0</v>
      </c>
      <c r="R269" s="6">
        <f>NAV!Y600</f>
        <v>0</v>
      </c>
      <c r="S269" s="6">
        <f>NAV!Z600</f>
        <v>0</v>
      </c>
      <c r="T269" s="6">
        <f>NAV!AA600</f>
        <v>0</v>
      </c>
      <c r="U269" s="10">
        <f>NAV!AB600</f>
        <v>0</v>
      </c>
      <c r="V269" s="6" t="str">
        <f>NAV!AC600</f>
        <v>2년이상</v>
      </c>
    </row>
    <row r="270" spans="1:22">
      <c r="A270" s="7">
        <f t="shared" si="4"/>
        <v>269</v>
      </c>
      <c r="B270" s="7">
        <f>TYPE(종목정보tbl!$C270)</f>
        <v>1</v>
      </c>
      <c r="C270" s="6">
        <f>NAV!J601</f>
        <v>0</v>
      </c>
      <c r="D270" s="6">
        <f>NAV!K601</f>
        <v>0</v>
      </c>
      <c r="E270" s="6">
        <f>NAV!L601</f>
        <v>0</v>
      </c>
      <c r="F270" s="6">
        <f>NAV!M601</f>
        <v>0</v>
      </c>
      <c r="G270" s="6">
        <f>NAV!N601</f>
        <v>0</v>
      </c>
      <c r="H270" s="6">
        <f>NAV!O601</f>
        <v>0</v>
      </c>
      <c r="I270" s="6">
        <f>NAV!P601</f>
        <v>0</v>
      </c>
      <c r="J270" s="6">
        <f>NAV!Q601</f>
        <v>0</v>
      </c>
      <c r="K270" s="9">
        <f>NAV!R601</f>
        <v>0</v>
      </c>
      <c r="L270" s="6">
        <f>NAV!S601</f>
        <v>0</v>
      </c>
      <c r="M270" s="6">
        <f>NAV!T601</f>
        <v>0</v>
      </c>
      <c r="N270" s="6" t="str">
        <f>NAV!U601</f>
        <v>한국 원화(KRW)</v>
      </c>
      <c r="O270" s="6">
        <f>NAV!V601</f>
        <v>1</v>
      </c>
      <c r="P270" s="6">
        <f>NAV!W601</f>
        <v>0</v>
      </c>
      <c r="Q270" s="6">
        <f>NAV!X601</f>
        <v>0</v>
      </c>
      <c r="R270" s="6">
        <f>NAV!Y601</f>
        <v>0</v>
      </c>
      <c r="S270" s="6">
        <f>NAV!Z601</f>
        <v>0</v>
      </c>
      <c r="T270" s="6">
        <f>NAV!AA601</f>
        <v>0</v>
      </c>
      <c r="U270" s="10">
        <f>NAV!AB601</f>
        <v>0</v>
      </c>
      <c r="V270" s="6" t="str">
        <f>NAV!AC601</f>
        <v>2년이상</v>
      </c>
    </row>
    <row r="271" spans="1:22">
      <c r="A271" s="7">
        <f t="shared" si="4"/>
        <v>270</v>
      </c>
      <c r="B271" s="7">
        <f>TYPE(종목정보tbl!$C271)</f>
        <v>1</v>
      </c>
      <c r="C271" s="6">
        <f>NAV!J602</f>
        <v>0</v>
      </c>
      <c r="D271" s="6">
        <f>NAV!K602</f>
        <v>0</v>
      </c>
      <c r="E271" s="6">
        <f>NAV!L602</f>
        <v>0</v>
      </c>
      <c r="F271" s="6">
        <f>NAV!M602</f>
        <v>0</v>
      </c>
      <c r="G271" s="6">
        <f>NAV!N602</f>
        <v>0</v>
      </c>
      <c r="H271" s="6">
        <f>NAV!O602</f>
        <v>0</v>
      </c>
      <c r="I271" s="6">
        <f>NAV!P602</f>
        <v>0</v>
      </c>
      <c r="J271" s="6">
        <f>NAV!Q602</f>
        <v>0</v>
      </c>
      <c r="K271" s="9">
        <f>NAV!R602</f>
        <v>0</v>
      </c>
      <c r="L271" s="6">
        <f>NAV!S602</f>
        <v>0</v>
      </c>
      <c r="M271" s="6">
        <f>NAV!T602</f>
        <v>0</v>
      </c>
      <c r="N271" s="6" t="str">
        <f>NAV!U602</f>
        <v>한국 원화(KRW)</v>
      </c>
      <c r="O271" s="6">
        <f>NAV!V602</f>
        <v>1</v>
      </c>
      <c r="P271" s="6">
        <f>NAV!W602</f>
        <v>0</v>
      </c>
      <c r="Q271" s="6">
        <f>NAV!X602</f>
        <v>0</v>
      </c>
      <c r="R271" s="6">
        <f>NAV!Y602</f>
        <v>0</v>
      </c>
      <c r="S271" s="6">
        <f>NAV!Z602</f>
        <v>0</v>
      </c>
      <c r="T271" s="6">
        <f>NAV!AA602</f>
        <v>0</v>
      </c>
      <c r="U271" s="10">
        <f>NAV!AB602</f>
        <v>0</v>
      </c>
      <c r="V271" s="6" t="str">
        <f>NAV!AC602</f>
        <v>2년이상</v>
      </c>
    </row>
    <row r="272" spans="1:22">
      <c r="A272" s="7">
        <f t="shared" si="4"/>
        <v>271</v>
      </c>
      <c r="B272" s="7">
        <f>TYPE(종목정보tbl!$C272)</f>
        <v>1</v>
      </c>
      <c r="C272" s="6">
        <f>NAV!J603</f>
        <v>0</v>
      </c>
      <c r="D272" s="6">
        <f>NAV!K603</f>
        <v>0</v>
      </c>
      <c r="E272" s="6">
        <f>NAV!L603</f>
        <v>0</v>
      </c>
      <c r="F272" s="6">
        <f>NAV!M603</f>
        <v>0</v>
      </c>
      <c r="G272" s="6">
        <f>NAV!N603</f>
        <v>0</v>
      </c>
      <c r="H272" s="6">
        <f>NAV!O603</f>
        <v>0</v>
      </c>
      <c r="I272" s="6">
        <f>NAV!P603</f>
        <v>0</v>
      </c>
      <c r="J272" s="6">
        <f>NAV!Q603</f>
        <v>0</v>
      </c>
      <c r="K272" s="9">
        <f>NAV!R603</f>
        <v>0</v>
      </c>
      <c r="L272" s="6">
        <f>NAV!S603</f>
        <v>0</v>
      </c>
      <c r="M272" s="6">
        <f>NAV!T603</f>
        <v>0</v>
      </c>
      <c r="N272" s="6" t="str">
        <f>NAV!U603</f>
        <v>한국 원화(KRW)</v>
      </c>
      <c r="O272" s="6">
        <f>NAV!V603</f>
        <v>1</v>
      </c>
      <c r="P272" s="6">
        <f>NAV!W603</f>
        <v>0</v>
      </c>
      <c r="Q272" s="6">
        <f>NAV!X603</f>
        <v>0</v>
      </c>
      <c r="R272" s="6">
        <f>NAV!Y603</f>
        <v>0</v>
      </c>
      <c r="S272" s="6">
        <f>NAV!Z603</f>
        <v>0</v>
      </c>
      <c r="T272" s="6">
        <f>NAV!AA603</f>
        <v>0</v>
      </c>
      <c r="U272" s="10">
        <f>NAV!AB603</f>
        <v>0</v>
      </c>
      <c r="V272" s="6" t="str">
        <f>NAV!AC603</f>
        <v>2년이상</v>
      </c>
    </row>
    <row r="273" spans="1:22">
      <c r="A273" s="7">
        <f t="shared" si="4"/>
        <v>272</v>
      </c>
      <c r="B273" s="7">
        <f>TYPE(종목정보tbl!$C273)</f>
        <v>1</v>
      </c>
      <c r="C273" s="6">
        <f>NAV!J631</f>
        <v>0</v>
      </c>
      <c r="D273" s="6">
        <f>NAV!K631</f>
        <v>0</v>
      </c>
      <c r="E273" s="6">
        <f>NAV!L631</f>
        <v>0</v>
      </c>
      <c r="F273" s="6">
        <f>NAV!M631</f>
        <v>0</v>
      </c>
      <c r="G273" s="6">
        <f>NAV!N631</f>
        <v>0</v>
      </c>
      <c r="H273" s="6">
        <f>NAV!O631</f>
        <v>0</v>
      </c>
      <c r="I273" s="6">
        <f>NAV!P631</f>
        <v>0</v>
      </c>
      <c r="J273" s="6">
        <f>NAV!Q631</f>
        <v>0</v>
      </c>
      <c r="K273" s="9">
        <f>NAV!R631</f>
        <v>0</v>
      </c>
      <c r="L273" s="6">
        <f>NAV!S631</f>
        <v>0</v>
      </c>
      <c r="M273" s="6">
        <f>NAV!T631</f>
        <v>0</v>
      </c>
      <c r="N273" s="6" t="str">
        <f>NAV!U631</f>
        <v>한국 원화(KRW)</v>
      </c>
      <c r="O273" s="6">
        <f>NAV!V631</f>
        <v>1</v>
      </c>
      <c r="P273" s="6">
        <f>NAV!W631</f>
        <v>0</v>
      </c>
      <c r="Q273" s="6">
        <f>NAV!X631</f>
        <v>0</v>
      </c>
      <c r="R273" s="6">
        <f>NAV!Y631</f>
        <v>0</v>
      </c>
      <c r="S273" s="6">
        <f>NAV!Z631</f>
        <v>0</v>
      </c>
      <c r="T273" s="6">
        <f>NAV!AA631</f>
        <v>0</v>
      </c>
      <c r="U273" s="10">
        <f>NAV!AB631</f>
        <v>0</v>
      </c>
      <c r="V273" s="6" t="str">
        <f>NAV!AC631</f>
        <v>2년이상</v>
      </c>
    </row>
    <row r="274" spans="1:22">
      <c r="A274" s="7">
        <f t="shared" si="4"/>
        <v>273</v>
      </c>
      <c r="B274" s="7">
        <f>TYPE(종목정보tbl!$C274)</f>
        <v>1</v>
      </c>
      <c r="C274" s="6">
        <f>NAV!J632</f>
        <v>0</v>
      </c>
      <c r="D274" s="6">
        <f>NAV!K632</f>
        <v>0</v>
      </c>
      <c r="E274" s="6">
        <f>NAV!L632</f>
        <v>0</v>
      </c>
      <c r="F274" s="6">
        <f>NAV!M632</f>
        <v>0</v>
      </c>
      <c r="G274" s="6">
        <f>NAV!N632</f>
        <v>0</v>
      </c>
      <c r="H274" s="6">
        <f>NAV!O632</f>
        <v>0</v>
      </c>
      <c r="I274" s="6">
        <f>NAV!P632</f>
        <v>0</v>
      </c>
      <c r="J274" s="6">
        <f>NAV!Q632</f>
        <v>0</v>
      </c>
      <c r="K274" s="9">
        <f>NAV!R632</f>
        <v>0</v>
      </c>
      <c r="L274" s="6">
        <f>NAV!S632</f>
        <v>0</v>
      </c>
      <c r="M274" s="6">
        <f>NAV!T632</f>
        <v>0</v>
      </c>
      <c r="N274" s="6" t="str">
        <f>NAV!U632</f>
        <v>한국 원화(KRW)</v>
      </c>
      <c r="O274" s="6">
        <f>NAV!V632</f>
        <v>1</v>
      </c>
      <c r="P274" s="6">
        <f>NAV!W632</f>
        <v>0</v>
      </c>
      <c r="Q274" s="6">
        <f>NAV!X632</f>
        <v>0</v>
      </c>
      <c r="R274" s="6">
        <f>NAV!Y632</f>
        <v>0</v>
      </c>
      <c r="S274" s="6">
        <f>NAV!Z632</f>
        <v>0</v>
      </c>
      <c r="T274" s="6">
        <f>NAV!AA632</f>
        <v>0</v>
      </c>
      <c r="U274" s="10">
        <f>NAV!AB632</f>
        <v>0</v>
      </c>
      <c r="V274" s="6" t="str">
        <f>NAV!AC632</f>
        <v>2년이상</v>
      </c>
    </row>
    <row r="275" spans="1:22">
      <c r="A275" s="7">
        <f t="shared" si="4"/>
        <v>274</v>
      </c>
      <c r="B275" s="7">
        <f>TYPE(종목정보tbl!$C275)</f>
        <v>1</v>
      </c>
      <c r="C275" s="6">
        <f>NAV!J633</f>
        <v>0</v>
      </c>
      <c r="D275" s="6">
        <f>NAV!K633</f>
        <v>0</v>
      </c>
      <c r="E275" s="6">
        <f>NAV!L633</f>
        <v>0</v>
      </c>
      <c r="F275" s="6">
        <f>NAV!M633</f>
        <v>0</v>
      </c>
      <c r="G275" s="6">
        <f>NAV!N633</f>
        <v>0</v>
      </c>
      <c r="H275" s="6">
        <f>NAV!O633</f>
        <v>0</v>
      </c>
      <c r="I275" s="6">
        <f>NAV!P633</f>
        <v>0</v>
      </c>
      <c r="J275" s="6">
        <f>NAV!Q633</f>
        <v>0</v>
      </c>
      <c r="K275" s="9">
        <f>NAV!R633</f>
        <v>0</v>
      </c>
      <c r="L275" s="6">
        <f>NAV!S633</f>
        <v>0</v>
      </c>
      <c r="M275" s="6">
        <f>NAV!T633</f>
        <v>0</v>
      </c>
      <c r="N275" s="6" t="str">
        <f>NAV!U633</f>
        <v>한국 원화(KRW)</v>
      </c>
      <c r="O275" s="6">
        <f>NAV!V633</f>
        <v>1</v>
      </c>
      <c r="P275" s="6">
        <f>NAV!W633</f>
        <v>0</v>
      </c>
      <c r="Q275" s="6">
        <f>NAV!X633</f>
        <v>0</v>
      </c>
      <c r="R275" s="6">
        <f>NAV!Y633</f>
        <v>0</v>
      </c>
      <c r="S275" s="6">
        <f>NAV!Z633</f>
        <v>0</v>
      </c>
      <c r="T275" s="6">
        <f>NAV!AA633</f>
        <v>0</v>
      </c>
      <c r="U275" s="10">
        <f>NAV!AB633</f>
        <v>0</v>
      </c>
      <c r="V275" s="6" t="str">
        <f>NAV!AC633</f>
        <v>2년이상</v>
      </c>
    </row>
    <row r="276" spans="1:22">
      <c r="A276" s="7">
        <f t="shared" si="4"/>
        <v>275</v>
      </c>
      <c r="B276" s="7">
        <f>TYPE(종목정보tbl!$C276)</f>
        <v>1</v>
      </c>
      <c r="C276" s="6">
        <f>NAV!J634</f>
        <v>0</v>
      </c>
      <c r="D276" s="6">
        <f>NAV!K634</f>
        <v>0</v>
      </c>
      <c r="E276" s="6">
        <f>NAV!L634</f>
        <v>0</v>
      </c>
      <c r="F276" s="6">
        <f>NAV!M634</f>
        <v>0</v>
      </c>
      <c r="G276" s="6">
        <f>NAV!N634</f>
        <v>0</v>
      </c>
      <c r="H276" s="6">
        <f>NAV!O634</f>
        <v>0</v>
      </c>
      <c r="I276" s="6">
        <f>NAV!P634</f>
        <v>0</v>
      </c>
      <c r="J276" s="6">
        <f>NAV!Q634</f>
        <v>0</v>
      </c>
      <c r="K276" s="9">
        <f>NAV!R634</f>
        <v>0</v>
      </c>
      <c r="L276" s="6">
        <f>NAV!S634</f>
        <v>0</v>
      </c>
      <c r="M276" s="6">
        <f>NAV!T634</f>
        <v>0</v>
      </c>
      <c r="N276" s="6" t="str">
        <f>NAV!U634</f>
        <v>한국 원화(KRW)</v>
      </c>
      <c r="O276" s="6">
        <f>NAV!V634</f>
        <v>1</v>
      </c>
      <c r="P276" s="6">
        <f>NAV!W634</f>
        <v>0</v>
      </c>
      <c r="Q276" s="6">
        <f>NAV!X634</f>
        <v>0</v>
      </c>
      <c r="R276" s="6">
        <f>NAV!Y634</f>
        <v>0</v>
      </c>
      <c r="S276" s="6">
        <f>NAV!Z634</f>
        <v>0</v>
      </c>
      <c r="T276" s="6">
        <f>NAV!AA634</f>
        <v>0</v>
      </c>
      <c r="U276" s="10">
        <f>NAV!AB634</f>
        <v>0</v>
      </c>
      <c r="V276" s="6" t="str">
        <f>NAV!AC634</f>
        <v>2년이상</v>
      </c>
    </row>
    <row r="277" spans="1:22">
      <c r="A277" s="7">
        <f t="shared" si="4"/>
        <v>276</v>
      </c>
      <c r="B277" s="7">
        <f>TYPE(종목정보tbl!$C277)</f>
        <v>1</v>
      </c>
      <c r="C277" s="6">
        <f>NAV!J635</f>
        <v>0</v>
      </c>
      <c r="D277" s="6">
        <f>NAV!K635</f>
        <v>0</v>
      </c>
      <c r="E277" s="6">
        <f>NAV!L635</f>
        <v>0</v>
      </c>
      <c r="F277" s="6">
        <f>NAV!M635</f>
        <v>0</v>
      </c>
      <c r="G277" s="6">
        <f>NAV!N635</f>
        <v>0</v>
      </c>
      <c r="H277" s="6">
        <f>NAV!O635</f>
        <v>0</v>
      </c>
      <c r="I277" s="6">
        <f>NAV!P635</f>
        <v>0</v>
      </c>
      <c r="J277" s="6">
        <f>NAV!Q635</f>
        <v>0</v>
      </c>
      <c r="K277" s="9">
        <f>NAV!R635</f>
        <v>0</v>
      </c>
      <c r="L277" s="6">
        <f>NAV!S635</f>
        <v>0</v>
      </c>
      <c r="M277" s="6">
        <f>NAV!T635</f>
        <v>0</v>
      </c>
      <c r="N277" s="6" t="str">
        <f>NAV!U635</f>
        <v>한국 원화(KRW)</v>
      </c>
      <c r="O277" s="6">
        <f>NAV!V635</f>
        <v>1</v>
      </c>
      <c r="P277" s="6">
        <f>NAV!W635</f>
        <v>0</v>
      </c>
      <c r="Q277" s="6">
        <f>NAV!X635</f>
        <v>0</v>
      </c>
      <c r="R277" s="6">
        <f>NAV!Y635</f>
        <v>0</v>
      </c>
      <c r="S277" s="6">
        <f>NAV!Z635</f>
        <v>0</v>
      </c>
      <c r="T277" s="6">
        <f>NAV!AA635</f>
        <v>0</v>
      </c>
      <c r="U277" s="10">
        <f>NAV!AB635</f>
        <v>0</v>
      </c>
      <c r="V277" s="6" t="str">
        <f>NAV!AC635</f>
        <v>2년이상</v>
      </c>
    </row>
    <row r="278" spans="1:22">
      <c r="A278" s="7">
        <f t="shared" si="4"/>
        <v>277</v>
      </c>
      <c r="B278" s="7">
        <f>TYPE(종목정보tbl!$C278)</f>
        <v>1</v>
      </c>
      <c r="C278" s="6">
        <f>NAV!J636</f>
        <v>0</v>
      </c>
      <c r="D278" s="6">
        <f>NAV!K636</f>
        <v>0</v>
      </c>
      <c r="E278" s="6">
        <f>NAV!L636</f>
        <v>0</v>
      </c>
      <c r="F278" s="6">
        <f>NAV!M636</f>
        <v>0</v>
      </c>
      <c r="G278" s="6">
        <f>NAV!N636</f>
        <v>0</v>
      </c>
      <c r="H278" s="6">
        <f>NAV!O636</f>
        <v>0</v>
      </c>
      <c r="I278" s="6">
        <f>NAV!P636</f>
        <v>0</v>
      </c>
      <c r="J278" s="6">
        <f>NAV!Q636</f>
        <v>0</v>
      </c>
      <c r="K278" s="9">
        <f>NAV!R636</f>
        <v>0</v>
      </c>
      <c r="L278" s="6">
        <f>NAV!S636</f>
        <v>0</v>
      </c>
      <c r="M278" s="6">
        <f>NAV!T636</f>
        <v>0</v>
      </c>
      <c r="N278" s="6" t="str">
        <f>NAV!U636</f>
        <v>한국 원화(KRW)</v>
      </c>
      <c r="O278" s="6">
        <f>NAV!V636</f>
        <v>1</v>
      </c>
      <c r="P278" s="6">
        <f>NAV!W636</f>
        <v>0</v>
      </c>
      <c r="Q278" s="6">
        <f>NAV!X636</f>
        <v>0</v>
      </c>
      <c r="R278" s="6">
        <f>NAV!Y636</f>
        <v>0</v>
      </c>
      <c r="S278" s="6">
        <f>NAV!Z636</f>
        <v>0</v>
      </c>
      <c r="T278" s="6">
        <f>NAV!AA636</f>
        <v>0</v>
      </c>
      <c r="U278" s="10">
        <f>NAV!AB636</f>
        <v>0</v>
      </c>
      <c r="V278" s="6" t="str">
        <f>NAV!AC636</f>
        <v>2년이상</v>
      </c>
    </row>
    <row r="279" spans="1:22">
      <c r="A279" s="7">
        <f t="shared" si="4"/>
        <v>278</v>
      </c>
      <c r="B279" s="7">
        <f>TYPE(종목정보tbl!$C279)</f>
        <v>1</v>
      </c>
      <c r="C279" s="6">
        <f>NAV!J637</f>
        <v>0</v>
      </c>
      <c r="D279" s="6">
        <f>NAV!K637</f>
        <v>0</v>
      </c>
      <c r="E279" s="6">
        <f>NAV!L637</f>
        <v>0</v>
      </c>
      <c r="F279" s="6">
        <f>NAV!M637</f>
        <v>0</v>
      </c>
      <c r="G279" s="6">
        <f>NAV!N637</f>
        <v>0</v>
      </c>
      <c r="H279" s="6">
        <f>NAV!O637</f>
        <v>0</v>
      </c>
      <c r="I279" s="6">
        <f>NAV!P637</f>
        <v>0</v>
      </c>
      <c r="J279" s="6">
        <f>NAV!Q637</f>
        <v>0</v>
      </c>
      <c r="K279" s="9">
        <f>NAV!R637</f>
        <v>0</v>
      </c>
      <c r="L279" s="6">
        <f>NAV!S637</f>
        <v>0</v>
      </c>
      <c r="M279" s="6">
        <f>NAV!T637</f>
        <v>0</v>
      </c>
      <c r="N279" s="6" t="str">
        <f>NAV!U637</f>
        <v>한국 원화(KRW)</v>
      </c>
      <c r="O279" s="6">
        <f>NAV!V637</f>
        <v>1</v>
      </c>
      <c r="P279" s="6">
        <f>NAV!W637</f>
        <v>0</v>
      </c>
      <c r="Q279" s="6">
        <f>NAV!X637</f>
        <v>0</v>
      </c>
      <c r="R279" s="6">
        <f>NAV!Y637</f>
        <v>0</v>
      </c>
      <c r="S279" s="6">
        <f>NAV!Z637</f>
        <v>0</v>
      </c>
      <c r="T279" s="6">
        <f>NAV!AA637</f>
        <v>0</v>
      </c>
      <c r="U279" s="10">
        <f>NAV!AB637</f>
        <v>0</v>
      </c>
      <c r="V279" s="6" t="str">
        <f>NAV!AC637</f>
        <v>2년이상</v>
      </c>
    </row>
    <row r="280" spans="1:22">
      <c r="A280" s="7">
        <f t="shared" si="4"/>
        <v>279</v>
      </c>
      <c r="B280" s="7">
        <f>TYPE(종목정보tbl!$C280)</f>
        <v>1</v>
      </c>
      <c r="C280" s="6">
        <f>NAV!J638</f>
        <v>0</v>
      </c>
      <c r="D280" s="6">
        <f>NAV!K638</f>
        <v>0</v>
      </c>
      <c r="E280" s="6">
        <f>NAV!L638</f>
        <v>0</v>
      </c>
      <c r="F280" s="6">
        <f>NAV!M638</f>
        <v>0</v>
      </c>
      <c r="G280" s="6">
        <f>NAV!N638</f>
        <v>0</v>
      </c>
      <c r="H280" s="6">
        <f>NAV!O638</f>
        <v>0</v>
      </c>
      <c r="I280" s="6">
        <f>NAV!P638</f>
        <v>0</v>
      </c>
      <c r="J280" s="6">
        <f>NAV!Q638</f>
        <v>0</v>
      </c>
      <c r="K280" s="9">
        <f>NAV!R638</f>
        <v>0</v>
      </c>
      <c r="L280" s="6">
        <f>NAV!S638</f>
        <v>0</v>
      </c>
      <c r="M280" s="6">
        <f>NAV!T638</f>
        <v>0</v>
      </c>
      <c r="N280" s="6" t="str">
        <f>NAV!U638</f>
        <v>한국 원화(KRW)</v>
      </c>
      <c r="O280" s="6">
        <f>NAV!V638</f>
        <v>1</v>
      </c>
      <c r="P280" s="6">
        <f>NAV!W638</f>
        <v>0</v>
      </c>
      <c r="Q280" s="6">
        <f>NAV!X638</f>
        <v>0</v>
      </c>
      <c r="R280" s="6">
        <f>NAV!Y638</f>
        <v>0</v>
      </c>
      <c r="S280" s="6">
        <f>NAV!Z638</f>
        <v>0</v>
      </c>
      <c r="T280" s="6">
        <f>NAV!AA638</f>
        <v>0</v>
      </c>
      <c r="U280" s="10">
        <f>NAV!AB638</f>
        <v>0</v>
      </c>
      <c r="V280" s="6" t="str">
        <f>NAV!AC638</f>
        <v>2년이상</v>
      </c>
    </row>
    <row r="281" spans="1:22">
      <c r="A281" s="7">
        <f t="shared" si="4"/>
        <v>280</v>
      </c>
      <c r="B281" s="7">
        <f>TYPE(종목정보tbl!$C281)</f>
        <v>1</v>
      </c>
      <c r="C281" s="6">
        <f>NAV!J639</f>
        <v>0</v>
      </c>
      <c r="D281" s="6">
        <f>NAV!K639</f>
        <v>0</v>
      </c>
      <c r="E281" s="6">
        <f>NAV!L639</f>
        <v>0</v>
      </c>
      <c r="F281" s="6">
        <f>NAV!M639</f>
        <v>0</v>
      </c>
      <c r="G281" s="6">
        <f>NAV!N639</f>
        <v>0</v>
      </c>
      <c r="H281" s="6">
        <f>NAV!O639</f>
        <v>0</v>
      </c>
      <c r="I281" s="6">
        <f>NAV!P639</f>
        <v>0</v>
      </c>
      <c r="J281" s="6">
        <f>NAV!Q639</f>
        <v>0</v>
      </c>
      <c r="K281" s="9">
        <f>NAV!R639</f>
        <v>0</v>
      </c>
      <c r="L281" s="6">
        <f>NAV!S639</f>
        <v>0</v>
      </c>
      <c r="M281" s="6">
        <f>NAV!T639</f>
        <v>0</v>
      </c>
      <c r="N281" s="6" t="str">
        <f>NAV!U639</f>
        <v>한국 원화(KRW)</v>
      </c>
      <c r="O281" s="6">
        <f>NAV!V639</f>
        <v>1</v>
      </c>
      <c r="P281" s="6">
        <f>NAV!W639</f>
        <v>0</v>
      </c>
      <c r="Q281" s="6">
        <f>NAV!X639</f>
        <v>0</v>
      </c>
      <c r="R281" s="6">
        <f>NAV!Y639</f>
        <v>0</v>
      </c>
      <c r="S281" s="6">
        <f>NAV!Z639</f>
        <v>0</v>
      </c>
      <c r="T281" s="6">
        <f>NAV!AA639</f>
        <v>0</v>
      </c>
      <c r="U281" s="10">
        <f>NAV!AB639</f>
        <v>0</v>
      </c>
      <c r="V281" s="6" t="str">
        <f>NAV!AC639</f>
        <v>2년이상</v>
      </c>
    </row>
    <row r="282" spans="1:22">
      <c r="A282" s="7">
        <f t="shared" si="4"/>
        <v>281</v>
      </c>
      <c r="B282" s="7">
        <f>TYPE(종목정보tbl!$C282)</f>
        <v>1</v>
      </c>
      <c r="C282" s="6">
        <f>NAV!J640</f>
        <v>0</v>
      </c>
      <c r="D282" s="6">
        <f>NAV!K640</f>
        <v>0</v>
      </c>
      <c r="E282" s="6">
        <f>NAV!L640</f>
        <v>0</v>
      </c>
      <c r="F282" s="6">
        <f>NAV!M640</f>
        <v>0</v>
      </c>
      <c r="G282" s="6">
        <f>NAV!N640</f>
        <v>0</v>
      </c>
      <c r="H282" s="6">
        <f>NAV!O640</f>
        <v>0</v>
      </c>
      <c r="I282" s="6">
        <f>NAV!P640</f>
        <v>0</v>
      </c>
      <c r="J282" s="6">
        <f>NAV!Q640</f>
        <v>0</v>
      </c>
      <c r="K282" s="9">
        <f>NAV!R640</f>
        <v>0</v>
      </c>
      <c r="L282" s="6">
        <f>NAV!S640</f>
        <v>0</v>
      </c>
      <c r="M282" s="6">
        <f>NAV!T640</f>
        <v>0</v>
      </c>
      <c r="N282" s="6" t="str">
        <f>NAV!U640</f>
        <v>한국 원화(KRW)</v>
      </c>
      <c r="O282" s="6">
        <f>NAV!V640</f>
        <v>1</v>
      </c>
      <c r="P282" s="6">
        <f>NAV!W640</f>
        <v>0</v>
      </c>
      <c r="Q282" s="6">
        <f>NAV!X640</f>
        <v>0</v>
      </c>
      <c r="R282" s="6">
        <f>NAV!Y640</f>
        <v>0</v>
      </c>
      <c r="S282" s="6">
        <f>NAV!Z640</f>
        <v>0</v>
      </c>
      <c r="T282" s="6">
        <f>NAV!AA640</f>
        <v>0</v>
      </c>
      <c r="U282" s="10">
        <f>NAV!AB640</f>
        <v>0</v>
      </c>
      <c r="V282" s="6" t="str">
        <f>NAV!AC640</f>
        <v>2년이상</v>
      </c>
    </row>
    <row r="283" spans="1:22">
      <c r="A283" s="7">
        <f t="shared" si="4"/>
        <v>282</v>
      </c>
      <c r="B283" s="7">
        <f>TYPE(종목정보tbl!$C283)</f>
        <v>1</v>
      </c>
      <c r="C283" s="6">
        <f>NAV!J641</f>
        <v>0</v>
      </c>
      <c r="D283" s="6">
        <f>NAV!K641</f>
        <v>0</v>
      </c>
      <c r="E283" s="6">
        <f>NAV!L641</f>
        <v>0</v>
      </c>
      <c r="F283" s="6">
        <f>NAV!M641</f>
        <v>0</v>
      </c>
      <c r="G283" s="6">
        <f>NAV!N641</f>
        <v>0</v>
      </c>
      <c r="H283" s="6">
        <f>NAV!O641</f>
        <v>0</v>
      </c>
      <c r="I283" s="6">
        <f>NAV!P641</f>
        <v>0</v>
      </c>
      <c r="J283" s="6">
        <f>NAV!Q641</f>
        <v>0</v>
      </c>
      <c r="K283" s="9">
        <f>NAV!R641</f>
        <v>0</v>
      </c>
      <c r="L283" s="6">
        <f>NAV!S641</f>
        <v>0</v>
      </c>
      <c r="M283" s="6">
        <f>NAV!T641</f>
        <v>0</v>
      </c>
      <c r="N283" s="6" t="str">
        <f>NAV!U641</f>
        <v>한국 원화(KRW)</v>
      </c>
      <c r="O283" s="6">
        <f>NAV!V641</f>
        <v>1</v>
      </c>
      <c r="P283" s="6">
        <f>NAV!W641</f>
        <v>0</v>
      </c>
      <c r="Q283" s="6">
        <f>NAV!X641</f>
        <v>0</v>
      </c>
      <c r="R283" s="6">
        <f>NAV!Y641</f>
        <v>0</v>
      </c>
      <c r="S283" s="6">
        <f>NAV!Z641</f>
        <v>0</v>
      </c>
      <c r="T283" s="6">
        <f>NAV!AA641</f>
        <v>0</v>
      </c>
      <c r="U283" s="10">
        <f>NAV!AB641</f>
        <v>0</v>
      </c>
      <c r="V283" s="6" t="str">
        <f>NAV!AC641</f>
        <v>2년이상</v>
      </c>
    </row>
    <row r="284" spans="1:22">
      <c r="A284" s="7">
        <f t="shared" si="4"/>
        <v>283</v>
      </c>
      <c r="B284" s="7">
        <f>TYPE(종목정보tbl!$C284)</f>
        <v>1</v>
      </c>
      <c r="C284" s="6">
        <f>NAV!J669</f>
        <v>0</v>
      </c>
      <c r="D284" s="6">
        <f>NAV!K669</f>
        <v>0</v>
      </c>
      <c r="E284" s="6">
        <f>NAV!L669</f>
        <v>0</v>
      </c>
      <c r="F284" s="6">
        <f>NAV!M669</f>
        <v>0</v>
      </c>
      <c r="G284" s="6">
        <f>NAV!N669</f>
        <v>0</v>
      </c>
      <c r="H284" s="6">
        <f>NAV!O669</f>
        <v>0</v>
      </c>
      <c r="I284" s="6">
        <f>NAV!P669</f>
        <v>0</v>
      </c>
      <c r="J284" s="6">
        <f>NAV!Q669</f>
        <v>0</v>
      </c>
      <c r="K284" s="9">
        <f>NAV!R669</f>
        <v>0</v>
      </c>
      <c r="L284" s="6">
        <f>NAV!S669</f>
        <v>0</v>
      </c>
      <c r="M284" s="6">
        <f>NAV!T669</f>
        <v>0</v>
      </c>
      <c r="N284" s="6" t="str">
        <f>NAV!U669</f>
        <v>한국 원화(KRW)</v>
      </c>
      <c r="O284" s="6">
        <f>NAV!V669</f>
        <v>1</v>
      </c>
      <c r="P284" s="6">
        <f>NAV!W669</f>
        <v>0</v>
      </c>
      <c r="Q284" s="6">
        <f>NAV!X669</f>
        <v>0</v>
      </c>
      <c r="R284" s="6">
        <f>NAV!Y669</f>
        <v>0</v>
      </c>
      <c r="S284" s="6">
        <f>NAV!Z669</f>
        <v>0</v>
      </c>
      <c r="T284" s="6">
        <f>NAV!AA669</f>
        <v>0</v>
      </c>
      <c r="U284" s="10">
        <f>NAV!AB669</f>
        <v>0</v>
      </c>
      <c r="V284" s="6" t="str">
        <f>NAV!AC669</f>
        <v>2년이상</v>
      </c>
    </row>
    <row r="285" spans="1:22">
      <c r="A285" s="7">
        <f t="shared" si="4"/>
        <v>284</v>
      </c>
      <c r="B285" s="7">
        <f>TYPE(종목정보tbl!$C285)</f>
        <v>1</v>
      </c>
      <c r="C285" s="6">
        <f>NAV!J670</f>
        <v>0</v>
      </c>
      <c r="D285" s="6">
        <f>NAV!K670</f>
        <v>0</v>
      </c>
      <c r="E285" s="6">
        <f>NAV!L670</f>
        <v>0</v>
      </c>
      <c r="F285" s="6">
        <f>NAV!M670</f>
        <v>0</v>
      </c>
      <c r="G285" s="6">
        <f>NAV!N670</f>
        <v>0</v>
      </c>
      <c r="H285" s="6">
        <f>NAV!O670</f>
        <v>0</v>
      </c>
      <c r="I285" s="6">
        <f>NAV!P670</f>
        <v>0</v>
      </c>
      <c r="J285" s="6">
        <f>NAV!Q670</f>
        <v>0</v>
      </c>
      <c r="K285" s="9">
        <f>NAV!R670</f>
        <v>0</v>
      </c>
      <c r="L285" s="6">
        <f>NAV!S670</f>
        <v>0</v>
      </c>
      <c r="M285" s="6">
        <f>NAV!T670</f>
        <v>0</v>
      </c>
      <c r="N285" s="6" t="str">
        <f>NAV!U670</f>
        <v>한국 원화(KRW)</v>
      </c>
      <c r="O285" s="6">
        <f>NAV!V670</f>
        <v>1</v>
      </c>
      <c r="P285" s="6">
        <f>NAV!W670</f>
        <v>0</v>
      </c>
      <c r="Q285" s="6">
        <f>NAV!X670</f>
        <v>0</v>
      </c>
      <c r="R285" s="6">
        <f>NAV!Y670</f>
        <v>0</v>
      </c>
      <c r="S285" s="6">
        <f>NAV!Z670</f>
        <v>0</v>
      </c>
      <c r="T285" s="6">
        <f>NAV!AA670</f>
        <v>0</v>
      </c>
      <c r="U285" s="10">
        <f>NAV!AB670</f>
        <v>0</v>
      </c>
      <c r="V285" s="6" t="str">
        <f>NAV!AC670</f>
        <v>2년이상</v>
      </c>
    </row>
    <row r="286" spans="1:22">
      <c r="A286" s="7">
        <f t="shared" si="4"/>
        <v>285</v>
      </c>
      <c r="B286" s="7">
        <f>TYPE(종목정보tbl!$C286)</f>
        <v>1</v>
      </c>
      <c r="C286" s="6">
        <f>NAV!J671</f>
        <v>0</v>
      </c>
      <c r="D286" s="6">
        <f>NAV!K671</f>
        <v>0</v>
      </c>
      <c r="E286" s="6">
        <f>NAV!L671</f>
        <v>0</v>
      </c>
      <c r="F286" s="6">
        <f>NAV!M671</f>
        <v>0</v>
      </c>
      <c r="G286" s="6">
        <f>NAV!N671</f>
        <v>0</v>
      </c>
      <c r="H286" s="6">
        <f>NAV!O671</f>
        <v>0</v>
      </c>
      <c r="I286" s="6">
        <f>NAV!P671</f>
        <v>0</v>
      </c>
      <c r="J286" s="6">
        <f>NAV!Q671</f>
        <v>0</v>
      </c>
      <c r="K286" s="9">
        <f>NAV!R671</f>
        <v>0</v>
      </c>
      <c r="L286" s="6">
        <f>NAV!S671</f>
        <v>0</v>
      </c>
      <c r="M286" s="6">
        <f>NAV!T671</f>
        <v>0</v>
      </c>
      <c r="N286" s="6" t="str">
        <f>NAV!U671</f>
        <v>한국 원화(KRW)</v>
      </c>
      <c r="O286" s="6">
        <f>NAV!V671</f>
        <v>1</v>
      </c>
      <c r="P286" s="6">
        <f>NAV!W671</f>
        <v>0</v>
      </c>
      <c r="Q286" s="6">
        <f>NAV!X671</f>
        <v>0</v>
      </c>
      <c r="R286" s="6">
        <f>NAV!Y671</f>
        <v>0</v>
      </c>
      <c r="S286" s="6">
        <f>NAV!Z671</f>
        <v>0</v>
      </c>
      <c r="T286" s="6">
        <f>NAV!AA671</f>
        <v>0</v>
      </c>
      <c r="U286" s="10">
        <f>NAV!AB671</f>
        <v>0</v>
      </c>
      <c r="V286" s="6" t="str">
        <f>NAV!AC671</f>
        <v>2년이상</v>
      </c>
    </row>
    <row r="287" spans="1:22">
      <c r="A287" s="7">
        <f t="shared" si="4"/>
        <v>286</v>
      </c>
      <c r="B287" s="7">
        <f>TYPE(종목정보tbl!$C287)</f>
        <v>1</v>
      </c>
      <c r="C287" s="6">
        <f>NAV!J672</f>
        <v>0</v>
      </c>
      <c r="D287" s="6">
        <f>NAV!K672</f>
        <v>0</v>
      </c>
      <c r="E287" s="6">
        <f>NAV!L672</f>
        <v>0</v>
      </c>
      <c r="F287" s="6">
        <f>NAV!M672</f>
        <v>0</v>
      </c>
      <c r="G287" s="6">
        <f>NAV!N672</f>
        <v>0</v>
      </c>
      <c r="H287" s="6">
        <f>NAV!O672</f>
        <v>0</v>
      </c>
      <c r="I287" s="6">
        <f>NAV!P672</f>
        <v>0</v>
      </c>
      <c r="J287" s="6">
        <f>NAV!Q672</f>
        <v>0</v>
      </c>
      <c r="K287" s="9">
        <f>NAV!R672</f>
        <v>0</v>
      </c>
      <c r="L287" s="6">
        <f>NAV!S672</f>
        <v>0</v>
      </c>
      <c r="M287" s="6">
        <f>NAV!T672</f>
        <v>0</v>
      </c>
      <c r="N287" s="6" t="str">
        <f>NAV!U672</f>
        <v>한국 원화(KRW)</v>
      </c>
      <c r="O287" s="6">
        <f>NAV!V672</f>
        <v>1</v>
      </c>
      <c r="P287" s="6">
        <f>NAV!W672</f>
        <v>0</v>
      </c>
      <c r="Q287" s="6">
        <f>NAV!X672</f>
        <v>0</v>
      </c>
      <c r="R287" s="6">
        <f>NAV!Y672</f>
        <v>0</v>
      </c>
      <c r="S287" s="6">
        <f>NAV!Z672</f>
        <v>0</v>
      </c>
      <c r="T287" s="6">
        <f>NAV!AA672</f>
        <v>0</v>
      </c>
      <c r="U287" s="10">
        <f>NAV!AB672</f>
        <v>0</v>
      </c>
      <c r="V287" s="6" t="str">
        <f>NAV!AC672</f>
        <v>2년이상</v>
      </c>
    </row>
    <row r="288" spans="1:22">
      <c r="A288" s="7">
        <f t="shared" si="4"/>
        <v>287</v>
      </c>
      <c r="B288" s="7">
        <f>TYPE(종목정보tbl!$C288)</f>
        <v>1</v>
      </c>
      <c r="C288" s="6">
        <f>NAV!J673</f>
        <v>0</v>
      </c>
      <c r="D288" s="6">
        <f>NAV!K673</f>
        <v>0</v>
      </c>
      <c r="E288" s="6">
        <f>NAV!L673</f>
        <v>0</v>
      </c>
      <c r="F288" s="6">
        <f>NAV!M673</f>
        <v>0</v>
      </c>
      <c r="G288" s="6">
        <f>NAV!N673</f>
        <v>0</v>
      </c>
      <c r="H288" s="6">
        <f>NAV!O673</f>
        <v>0</v>
      </c>
      <c r="I288" s="6">
        <f>NAV!P673</f>
        <v>0</v>
      </c>
      <c r="J288" s="6">
        <f>NAV!Q673</f>
        <v>0</v>
      </c>
      <c r="K288" s="9">
        <f>NAV!R673</f>
        <v>0</v>
      </c>
      <c r="L288" s="6">
        <f>NAV!S673</f>
        <v>0</v>
      </c>
      <c r="M288" s="6">
        <f>NAV!T673</f>
        <v>0</v>
      </c>
      <c r="N288" s="6" t="str">
        <f>NAV!U673</f>
        <v>한국 원화(KRW)</v>
      </c>
      <c r="O288" s="6">
        <f>NAV!V673</f>
        <v>1</v>
      </c>
      <c r="P288" s="6">
        <f>NAV!W673</f>
        <v>0</v>
      </c>
      <c r="Q288" s="6">
        <f>NAV!X673</f>
        <v>0</v>
      </c>
      <c r="R288" s="6">
        <f>NAV!Y673</f>
        <v>0</v>
      </c>
      <c r="S288" s="6">
        <f>NAV!Z673</f>
        <v>0</v>
      </c>
      <c r="T288" s="6">
        <f>NAV!AA673</f>
        <v>0</v>
      </c>
      <c r="U288" s="10">
        <f>NAV!AB673</f>
        <v>0</v>
      </c>
      <c r="V288" s="6" t="str">
        <f>NAV!AC673</f>
        <v>2년이상</v>
      </c>
    </row>
    <row r="289" spans="1:22">
      <c r="A289" s="7">
        <f t="shared" si="4"/>
        <v>288</v>
      </c>
      <c r="B289" s="7">
        <f>TYPE(종목정보tbl!$C289)</f>
        <v>1</v>
      </c>
      <c r="C289" s="6">
        <f>NAV!J674</f>
        <v>0</v>
      </c>
      <c r="D289" s="6">
        <f>NAV!K674</f>
        <v>0</v>
      </c>
      <c r="E289" s="6">
        <f>NAV!L674</f>
        <v>0</v>
      </c>
      <c r="F289" s="6">
        <f>NAV!M674</f>
        <v>0</v>
      </c>
      <c r="G289" s="6">
        <f>NAV!N674</f>
        <v>0</v>
      </c>
      <c r="H289" s="6">
        <f>NAV!O674</f>
        <v>0</v>
      </c>
      <c r="I289" s="6">
        <f>NAV!P674</f>
        <v>0</v>
      </c>
      <c r="J289" s="6">
        <f>NAV!Q674</f>
        <v>0</v>
      </c>
      <c r="K289" s="9">
        <f>NAV!R674</f>
        <v>0</v>
      </c>
      <c r="L289" s="6">
        <f>NAV!S674</f>
        <v>0</v>
      </c>
      <c r="M289" s="6">
        <f>NAV!T674</f>
        <v>0</v>
      </c>
      <c r="N289" s="6" t="str">
        <f>NAV!U674</f>
        <v>한국 원화(KRW)</v>
      </c>
      <c r="O289" s="6">
        <f>NAV!V674</f>
        <v>1</v>
      </c>
      <c r="P289" s="6">
        <f>NAV!W674</f>
        <v>0</v>
      </c>
      <c r="Q289" s="6">
        <f>NAV!X674</f>
        <v>0</v>
      </c>
      <c r="R289" s="6">
        <f>NAV!Y674</f>
        <v>0</v>
      </c>
      <c r="S289" s="6">
        <f>NAV!Z674</f>
        <v>0</v>
      </c>
      <c r="T289" s="6">
        <f>NAV!AA674</f>
        <v>0</v>
      </c>
      <c r="U289" s="10">
        <f>NAV!AB674</f>
        <v>0</v>
      </c>
      <c r="V289" s="6" t="str">
        <f>NAV!AC674</f>
        <v>2년이상</v>
      </c>
    </row>
    <row r="290" spans="1:22">
      <c r="A290" s="7">
        <f t="shared" si="4"/>
        <v>289</v>
      </c>
      <c r="B290" s="7">
        <f>TYPE(종목정보tbl!$C290)</f>
        <v>1</v>
      </c>
      <c r="C290" s="6">
        <f>NAV!J675</f>
        <v>0</v>
      </c>
      <c r="D290" s="6">
        <f>NAV!K675</f>
        <v>0</v>
      </c>
      <c r="E290" s="6">
        <f>NAV!L675</f>
        <v>0</v>
      </c>
      <c r="F290" s="6">
        <f>NAV!M675</f>
        <v>0</v>
      </c>
      <c r="G290" s="6">
        <f>NAV!N675</f>
        <v>0</v>
      </c>
      <c r="H290" s="6">
        <f>NAV!O675</f>
        <v>0</v>
      </c>
      <c r="I290" s="6">
        <f>NAV!P675</f>
        <v>0</v>
      </c>
      <c r="J290" s="6">
        <f>NAV!Q675</f>
        <v>0</v>
      </c>
      <c r="K290" s="9">
        <f>NAV!R675</f>
        <v>0</v>
      </c>
      <c r="L290" s="6">
        <f>NAV!S675</f>
        <v>0</v>
      </c>
      <c r="M290" s="6">
        <f>NAV!T675</f>
        <v>0</v>
      </c>
      <c r="N290" s="6" t="str">
        <f>NAV!U675</f>
        <v>한국 원화(KRW)</v>
      </c>
      <c r="O290" s="6">
        <f>NAV!V675</f>
        <v>1</v>
      </c>
      <c r="P290" s="6">
        <f>NAV!W675</f>
        <v>0</v>
      </c>
      <c r="Q290" s="6">
        <f>NAV!X675</f>
        <v>0</v>
      </c>
      <c r="R290" s="6">
        <f>NAV!Y675</f>
        <v>0</v>
      </c>
      <c r="S290" s="6">
        <f>NAV!Z675</f>
        <v>0</v>
      </c>
      <c r="T290" s="6">
        <f>NAV!AA675</f>
        <v>0</v>
      </c>
      <c r="U290" s="10">
        <f>NAV!AB675</f>
        <v>0</v>
      </c>
      <c r="V290" s="6" t="str">
        <f>NAV!AC675</f>
        <v>2년이상</v>
      </c>
    </row>
    <row r="291" spans="1:22">
      <c r="A291" s="7">
        <f t="shared" si="4"/>
        <v>290</v>
      </c>
      <c r="B291" s="7">
        <f>TYPE(종목정보tbl!$C291)</f>
        <v>1</v>
      </c>
      <c r="C291" s="6">
        <f>NAV!J676</f>
        <v>0</v>
      </c>
      <c r="D291" s="6">
        <f>NAV!K676</f>
        <v>0</v>
      </c>
      <c r="E291" s="6">
        <f>NAV!L676</f>
        <v>0</v>
      </c>
      <c r="F291" s="6">
        <f>NAV!M676</f>
        <v>0</v>
      </c>
      <c r="G291" s="6">
        <f>NAV!N676</f>
        <v>0</v>
      </c>
      <c r="H291" s="6">
        <f>NAV!O676</f>
        <v>0</v>
      </c>
      <c r="I291" s="6">
        <f>NAV!P676</f>
        <v>0</v>
      </c>
      <c r="J291" s="6">
        <f>NAV!Q676</f>
        <v>0</v>
      </c>
      <c r="K291" s="9">
        <f>NAV!R676</f>
        <v>0</v>
      </c>
      <c r="L291" s="6">
        <f>NAV!S676</f>
        <v>0</v>
      </c>
      <c r="M291" s="6">
        <f>NAV!T676</f>
        <v>0</v>
      </c>
      <c r="N291" s="6" t="str">
        <f>NAV!U676</f>
        <v>한국 원화(KRW)</v>
      </c>
      <c r="O291" s="6">
        <f>NAV!V676</f>
        <v>1</v>
      </c>
      <c r="P291" s="6">
        <f>NAV!W676</f>
        <v>0</v>
      </c>
      <c r="Q291" s="6">
        <f>NAV!X676</f>
        <v>0</v>
      </c>
      <c r="R291" s="6">
        <f>NAV!Y676</f>
        <v>0</v>
      </c>
      <c r="S291" s="6">
        <f>NAV!Z676</f>
        <v>0</v>
      </c>
      <c r="T291" s="6">
        <f>NAV!AA676</f>
        <v>0</v>
      </c>
      <c r="U291" s="10">
        <f>NAV!AB676</f>
        <v>0</v>
      </c>
      <c r="V291" s="6" t="str">
        <f>NAV!AC676</f>
        <v>2년이상</v>
      </c>
    </row>
    <row r="292" spans="1:22">
      <c r="A292" s="7">
        <f t="shared" si="4"/>
        <v>291</v>
      </c>
      <c r="B292" s="7">
        <f>TYPE(종목정보tbl!$C292)</f>
        <v>1</v>
      </c>
      <c r="C292" s="6">
        <f>NAV!J677</f>
        <v>0</v>
      </c>
      <c r="D292" s="6">
        <f>NAV!K677</f>
        <v>0</v>
      </c>
      <c r="E292" s="6">
        <f>NAV!L677</f>
        <v>0</v>
      </c>
      <c r="F292" s="6">
        <f>NAV!M677</f>
        <v>0</v>
      </c>
      <c r="G292" s="6">
        <f>NAV!N677</f>
        <v>0</v>
      </c>
      <c r="H292" s="6">
        <f>NAV!O677</f>
        <v>0</v>
      </c>
      <c r="I292" s="6">
        <f>NAV!P677</f>
        <v>0</v>
      </c>
      <c r="J292" s="6">
        <f>NAV!Q677</f>
        <v>0</v>
      </c>
      <c r="K292" s="9">
        <f>NAV!R677</f>
        <v>0</v>
      </c>
      <c r="L292" s="6">
        <f>NAV!S677</f>
        <v>0</v>
      </c>
      <c r="M292" s="6">
        <f>NAV!T677</f>
        <v>0</v>
      </c>
      <c r="N292" s="6" t="str">
        <f>NAV!U677</f>
        <v>한국 원화(KRW)</v>
      </c>
      <c r="O292" s="6">
        <f>NAV!V677</f>
        <v>1</v>
      </c>
      <c r="P292" s="6">
        <f>NAV!W677</f>
        <v>0</v>
      </c>
      <c r="Q292" s="6">
        <f>NAV!X677</f>
        <v>0</v>
      </c>
      <c r="R292" s="6">
        <f>NAV!Y677</f>
        <v>0</v>
      </c>
      <c r="S292" s="6">
        <f>NAV!Z677</f>
        <v>0</v>
      </c>
      <c r="T292" s="6">
        <f>NAV!AA677</f>
        <v>0</v>
      </c>
      <c r="U292" s="10">
        <f>NAV!AB677</f>
        <v>0</v>
      </c>
      <c r="V292" s="6" t="str">
        <f>NAV!AC677</f>
        <v>2년이상</v>
      </c>
    </row>
    <row r="293" spans="1:22">
      <c r="A293" s="7">
        <f t="shared" si="4"/>
        <v>292</v>
      </c>
      <c r="B293" s="7">
        <f>TYPE(종목정보tbl!$C293)</f>
        <v>1</v>
      </c>
      <c r="C293" s="6">
        <f>NAV!J678</f>
        <v>0</v>
      </c>
      <c r="D293" s="6">
        <f>NAV!K678</f>
        <v>0</v>
      </c>
      <c r="E293" s="6">
        <f>NAV!L678</f>
        <v>0</v>
      </c>
      <c r="F293" s="6">
        <f>NAV!M678</f>
        <v>0</v>
      </c>
      <c r="G293" s="6">
        <f>NAV!N678</f>
        <v>0</v>
      </c>
      <c r="H293" s="6">
        <f>NAV!O678</f>
        <v>0</v>
      </c>
      <c r="I293" s="6">
        <f>NAV!P678</f>
        <v>0</v>
      </c>
      <c r="J293" s="6">
        <f>NAV!Q678</f>
        <v>0</v>
      </c>
      <c r="K293" s="9">
        <f>NAV!R678</f>
        <v>0</v>
      </c>
      <c r="L293" s="6">
        <f>NAV!S678</f>
        <v>0</v>
      </c>
      <c r="M293" s="6">
        <f>NAV!T678</f>
        <v>0</v>
      </c>
      <c r="N293" s="6" t="str">
        <f>NAV!U678</f>
        <v>한국 원화(KRW)</v>
      </c>
      <c r="O293" s="6">
        <f>NAV!V678</f>
        <v>1</v>
      </c>
      <c r="P293" s="6">
        <f>NAV!W678</f>
        <v>0</v>
      </c>
      <c r="Q293" s="6">
        <f>NAV!X678</f>
        <v>0</v>
      </c>
      <c r="R293" s="6">
        <f>NAV!Y678</f>
        <v>0</v>
      </c>
      <c r="S293" s="6">
        <f>NAV!Z678</f>
        <v>0</v>
      </c>
      <c r="T293" s="6">
        <f>NAV!AA678</f>
        <v>0</v>
      </c>
      <c r="U293" s="10">
        <f>NAV!AB678</f>
        <v>0</v>
      </c>
      <c r="V293" s="6" t="str">
        <f>NAV!AC678</f>
        <v>2년이상</v>
      </c>
    </row>
    <row r="294" spans="1:22">
      <c r="A294" s="7">
        <f t="shared" si="4"/>
        <v>293</v>
      </c>
      <c r="B294" s="7">
        <f>TYPE(종목정보tbl!$C294)</f>
        <v>1</v>
      </c>
      <c r="C294" s="6">
        <f>NAV!J679</f>
        <v>0</v>
      </c>
      <c r="D294" s="6">
        <f>NAV!K679</f>
        <v>0</v>
      </c>
      <c r="E294" s="6">
        <f>NAV!L679</f>
        <v>0</v>
      </c>
      <c r="F294" s="6">
        <f>NAV!M679</f>
        <v>0</v>
      </c>
      <c r="G294" s="6">
        <f>NAV!N679</f>
        <v>0</v>
      </c>
      <c r="H294" s="6">
        <f>NAV!O679</f>
        <v>0</v>
      </c>
      <c r="I294" s="6">
        <f>NAV!P679</f>
        <v>0</v>
      </c>
      <c r="J294" s="6">
        <f>NAV!Q679</f>
        <v>0</v>
      </c>
      <c r="K294" s="9">
        <f>NAV!R679</f>
        <v>0</v>
      </c>
      <c r="L294" s="6">
        <f>NAV!S679</f>
        <v>0</v>
      </c>
      <c r="M294" s="6">
        <f>NAV!T679</f>
        <v>0</v>
      </c>
      <c r="N294" s="6" t="str">
        <f>NAV!U679</f>
        <v>한국 원화(KRW)</v>
      </c>
      <c r="O294" s="6">
        <f>NAV!V679</f>
        <v>1</v>
      </c>
      <c r="P294" s="6">
        <f>NAV!W679</f>
        <v>0</v>
      </c>
      <c r="Q294" s="6">
        <f>NAV!X679</f>
        <v>0</v>
      </c>
      <c r="R294" s="6">
        <f>NAV!Y679</f>
        <v>0</v>
      </c>
      <c r="S294" s="6">
        <f>NAV!Z679</f>
        <v>0</v>
      </c>
      <c r="T294" s="6">
        <f>NAV!AA679</f>
        <v>0</v>
      </c>
      <c r="U294" s="10">
        <f>NAV!AB679</f>
        <v>0</v>
      </c>
      <c r="V294" s="6" t="str">
        <f>NAV!AC679</f>
        <v>2년이상</v>
      </c>
    </row>
    <row r="295" spans="1:22">
      <c r="A295" s="7">
        <f t="shared" si="4"/>
        <v>294</v>
      </c>
      <c r="B295" s="7">
        <f>TYPE(종목정보tbl!$C295)</f>
        <v>1</v>
      </c>
      <c r="C295" s="6">
        <f>NAV!J707</f>
        <v>0</v>
      </c>
      <c r="D295" s="6">
        <f>NAV!K707</f>
        <v>0</v>
      </c>
      <c r="E295" s="6">
        <f>NAV!L707</f>
        <v>0</v>
      </c>
      <c r="F295" s="6">
        <f>NAV!M707</f>
        <v>0</v>
      </c>
      <c r="G295" s="6">
        <f>NAV!N707</f>
        <v>0</v>
      </c>
      <c r="H295" s="6">
        <f>NAV!O707</f>
        <v>0</v>
      </c>
      <c r="I295" s="6">
        <f>NAV!P707</f>
        <v>0</v>
      </c>
      <c r="J295" s="6">
        <f>NAV!Q707</f>
        <v>0</v>
      </c>
      <c r="K295" s="9">
        <f>NAV!R707</f>
        <v>0</v>
      </c>
      <c r="L295" s="6">
        <f>NAV!S707</f>
        <v>0</v>
      </c>
      <c r="M295" s="6">
        <f>NAV!T707</f>
        <v>0</v>
      </c>
      <c r="N295" s="6" t="str">
        <f>NAV!U707</f>
        <v>한국 원화(KRW)</v>
      </c>
      <c r="O295" s="6">
        <f>NAV!V707</f>
        <v>1</v>
      </c>
      <c r="P295" s="6">
        <f>NAV!W707</f>
        <v>0</v>
      </c>
      <c r="Q295" s="6">
        <f>NAV!X707</f>
        <v>0</v>
      </c>
      <c r="R295" s="6">
        <f>NAV!Y707</f>
        <v>0</v>
      </c>
      <c r="S295" s="6">
        <f>NAV!Z707</f>
        <v>0</v>
      </c>
      <c r="T295" s="6">
        <f>NAV!AA707</f>
        <v>0</v>
      </c>
      <c r="U295" s="10">
        <f>NAV!AB707</f>
        <v>0</v>
      </c>
      <c r="V295" s="6" t="str">
        <f>NAV!AC707</f>
        <v>2년이상</v>
      </c>
    </row>
    <row r="296" spans="1:22">
      <c r="A296" s="7">
        <f t="shared" si="4"/>
        <v>295</v>
      </c>
      <c r="B296" s="7">
        <f>TYPE(종목정보tbl!$C296)</f>
        <v>1</v>
      </c>
      <c r="C296" s="6">
        <f>NAV!J708</f>
        <v>0</v>
      </c>
      <c r="D296" s="6">
        <f>NAV!K708</f>
        <v>0</v>
      </c>
      <c r="E296" s="6">
        <f>NAV!L708</f>
        <v>0</v>
      </c>
      <c r="F296" s="6">
        <f>NAV!M708</f>
        <v>0</v>
      </c>
      <c r="G296" s="6">
        <f>NAV!N708</f>
        <v>0</v>
      </c>
      <c r="H296" s="6">
        <f>NAV!O708</f>
        <v>0</v>
      </c>
      <c r="I296" s="6">
        <f>NAV!P708</f>
        <v>0</v>
      </c>
      <c r="J296" s="6">
        <f>NAV!Q708</f>
        <v>0</v>
      </c>
      <c r="K296" s="9">
        <f>NAV!R708</f>
        <v>0</v>
      </c>
      <c r="L296" s="6">
        <f>NAV!S708</f>
        <v>0</v>
      </c>
      <c r="M296" s="6">
        <f>NAV!T708</f>
        <v>0</v>
      </c>
      <c r="N296" s="6" t="str">
        <f>NAV!U708</f>
        <v>한국 원화(KRW)</v>
      </c>
      <c r="O296" s="6">
        <f>NAV!V708</f>
        <v>1</v>
      </c>
      <c r="P296" s="6">
        <f>NAV!W708</f>
        <v>0</v>
      </c>
      <c r="Q296" s="6">
        <f>NAV!X708</f>
        <v>0</v>
      </c>
      <c r="R296" s="6">
        <f>NAV!Y708</f>
        <v>0</v>
      </c>
      <c r="S296" s="6">
        <f>NAV!Z708</f>
        <v>0</v>
      </c>
      <c r="T296" s="6">
        <f>NAV!AA708</f>
        <v>0</v>
      </c>
      <c r="U296" s="10">
        <f>NAV!AB708</f>
        <v>0</v>
      </c>
      <c r="V296" s="6" t="str">
        <f>NAV!AC708</f>
        <v>2년이상</v>
      </c>
    </row>
    <row r="297" spans="1:22">
      <c r="A297" s="7">
        <f t="shared" si="4"/>
        <v>296</v>
      </c>
      <c r="B297" s="7">
        <f>TYPE(종목정보tbl!$C297)</f>
        <v>1</v>
      </c>
      <c r="C297" s="6">
        <f>NAV!J709</f>
        <v>0</v>
      </c>
      <c r="D297" s="6">
        <f>NAV!K709</f>
        <v>0</v>
      </c>
      <c r="E297" s="6">
        <f>NAV!L709</f>
        <v>0</v>
      </c>
      <c r="F297" s="6">
        <f>NAV!M709</f>
        <v>0</v>
      </c>
      <c r="G297" s="6">
        <f>NAV!N709</f>
        <v>0</v>
      </c>
      <c r="H297" s="6">
        <f>NAV!O709</f>
        <v>0</v>
      </c>
      <c r="I297" s="6">
        <f>NAV!P709</f>
        <v>0</v>
      </c>
      <c r="J297" s="6">
        <f>NAV!Q709</f>
        <v>0</v>
      </c>
      <c r="K297" s="9">
        <f>NAV!R709</f>
        <v>0</v>
      </c>
      <c r="L297" s="6">
        <f>NAV!S709</f>
        <v>0</v>
      </c>
      <c r="M297" s="6">
        <f>NAV!T709</f>
        <v>0</v>
      </c>
      <c r="N297" s="6" t="str">
        <f>NAV!U709</f>
        <v>한국 원화(KRW)</v>
      </c>
      <c r="O297" s="6">
        <f>NAV!V709</f>
        <v>1</v>
      </c>
      <c r="P297" s="6">
        <f>NAV!W709</f>
        <v>0</v>
      </c>
      <c r="Q297" s="6">
        <f>NAV!X709</f>
        <v>0</v>
      </c>
      <c r="R297" s="6">
        <f>NAV!Y709</f>
        <v>0</v>
      </c>
      <c r="S297" s="6">
        <f>NAV!Z709</f>
        <v>0</v>
      </c>
      <c r="T297" s="6">
        <f>NAV!AA709</f>
        <v>0</v>
      </c>
      <c r="U297" s="10">
        <f>NAV!AB709</f>
        <v>0</v>
      </c>
      <c r="V297" s="6" t="str">
        <f>NAV!AC709</f>
        <v>2년이상</v>
      </c>
    </row>
    <row r="298" spans="1:22">
      <c r="A298" s="7">
        <f t="shared" si="4"/>
        <v>297</v>
      </c>
      <c r="B298" s="7">
        <f>TYPE(종목정보tbl!$C298)</f>
        <v>1</v>
      </c>
      <c r="C298" s="6">
        <f>NAV!J710</f>
        <v>0</v>
      </c>
      <c r="D298" s="6">
        <f>NAV!K710</f>
        <v>0</v>
      </c>
      <c r="E298" s="6">
        <f>NAV!L710</f>
        <v>0</v>
      </c>
      <c r="F298" s="6">
        <f>NAV!M710</f>
        <v>0</v>
      </c>
      <c r="G298" s="6">
        <f>NAV!N710</f>
        <v>0</v>
      </c>
      <c r="H298" s="6">
        <f>NAV!O710</f>
        <v>0</v>
      </c>
      <c r="I298" s="6">
        <f>NAV!P710</f>
        <v>0</v>
      </c>
      <c r="J298" s="6">
        <f>NAV!Q710</f>
        <v>0</v>
      </c>
      <c r="K298" s="9">
        <f>NAV!R710</f>
        <v>0</v>
      </c>
      <c r="L298" s="6">
        <f>NAV!S710</f>
        <v>0</v>
      </c>
      <c r="M298" s="6">
        <f>NAV!T710</f>
        <v>0</v>
      </c>
      <c r="N298" s="6" t="str">
        <f>NAV!U710</f>
        <v>한국 원화(KRW)</v>
      </c>
      <c r="O298" s="6">
        <f>NAV!V710</f>
        <v>1</v>
      </c>
      <c r="P298" s="6">
        <f>NAV!W710</f>
        <v>0</v>
      </c>
      <c r="Q298" s="6">
        <f>NAV!X710</f>
        <v>0</v>
      </c>
      <c r="R298" s="6">
        <f>NAV!Y710</f>
        <v>0</v>
      </c>
      <c r="S298" s="6">
        <f>NAV!Z710</f>
        <v>0</v>
      </c>
      <c r="T298" s="6">
        <f>NAV!AA710</f>
        <v>0</v>
      </c>
      <c r="U298" s="10">
        <f>NAV!AB710</f>
        <v>0</v>
      </c>
      <c r="V298" s="6" t="str">
        <f>NAV!AC710</f>
        <v>2년이상</v>
      </c>
    </row>
    <row r="299" spans="1:22">
      <c r="A299" s="7">
        <f t="shared" si="4"/>
        <v>298</v>
      </c>
      <c r="B299" s="7">
        <f>TYPE(종목정보tbl!$C299)</f>
        <v>1</v>
      </c>
      <c r="C299" s="6">
        <f>NAV!J711</f>
        <v>0</v>
      </c>
      <c r="D299" s="6">
        <f>NAV!K711</f>
        <v>0</v>
      </c>
      <c r="E299" s="6">
        <f>NAV!L711</f>
        <v>0</v>
      </c>
      <c r="F299" s="6">
        <f>NAV!M711</f>
        <v>0</v>
      </c>
      <c r="G299" s="6">
        <f>NAV!N711</f>
        <v>0</v>
      </c>
      <c r="H299" s="6">
        <f>NAV!O711</f>
        <v>0</v>
      </c>
      <c r="I299" s="6">
        <f>NAV!P711</f>
        <v>0</v>
      </c>
      <c r="J299" s="6">
        <f>NAV!Q711</f>
        <v>0</v>
      </c>
      <c r="K299" s="9">
        <f>NAV!R711</f>
        <v>0</v>
      </c>
      <c r="L299" s="6">
        <f>NAV!S711</f>
        <v>0</v>
      </c>
      <c r="M299" s="6">
        <f>NAV!T711</f>
        <v>0</v>
      </c>
      <c r="N299" s="6" t="str">
        <f>NAV!U711</f>
        <v>한국 원화(KRW)</v>
      </c>
      <c r="O299" s="6">
        <f>NAV!V711</f>
        <v>1</v>
      </c>
      <c r="P299" s="6">
        <f>NAV!W711</f>
        <v>0</v>
      </c>
      <c r="Q299" s="6">
        <f>NAV!X711</f>
        <v>0</v>
      </c>
      <c r="R299" s="6">
        <f>NAV!Y711</f>
        <v>0</v>
      </c>
      <c r="S299" s="6">
        <f>NAV!Z711</f>
        <v>0</v>
      </c>
      <c r="T299" s="6">
        <f>NAV!AA711</f>
        <v>0</v>
      </c>
      <c r="U299" s="10">
        <f>NAV!AB711</f>
        <v>0</v>
      </c>
      <c r="V299" s="6" t="str">
        <f>NAV!AC711</f>
        <v>2년이상</v>
      </c>
    </row>
    <row r="300" spans="1:22">
      <c r="A300" s="7">
        <f t="shared" si="4"/>
        <v>299</v>
      </c>
      <c r="B300" s="7">
        <f>TYPE(종목정보tbl!$C300)</f>
        <v>1</v>
      </c>
      <c r="C300" s="6">
        <f>NAV!J712</f>
        <v>0</v>
      </c>
      <c r="D300" s="6">
        <f>NAV!K712</f>
        <v>0</v>
      </c>
      <c r="E300" s="6">
        <f>NAV!L712</f>
        <v>0</v>
      </c>
      <c r="F300" s="6">
        <f>NAV!M712</f>
        <v>0</v>
      </c>
      <c r="G300" s="6">
        <f>NAV!N712</f>
        <v>0</v>
      </c>
      <c r="H300" s="6">
        <f>NAV!O712</f>
        <v>0</v>
      </c>
      <c r="I300" s="6">
        <f>NAV!P712</f>
        <v>0</v>
      </c>
      <c r="J300" s="6">
        <f>NAV!Q712</f>
        <v>0</v>
      </c>
      <c r="K300" s="9">
        <f>NAV!R712</f>
        <v>0</v>
      </c>
      <c r="L300" s="6">
        <f>NAV!S712</f>
        <v>0</v>
      </c>
      <c r="M300" s="6">
        <f>NAV!T712</f>
        <v>0</v>
      </c>
      <c r="N300" s="6" t="str">
        <f>NAV!U712</f>
        <v>한국 원화(KRW)</v>
      </c>
      <c r="O300" s="6">
        <f>NAV!V712</f>
        <v>1</v>
      </c>
      <c r="P300" s="6">
        <f>NAV!W712</f>
        <v>0</v>
      </c>
      <c r="Q300" s="6">
        <f>NAV!X712</f>
        <v>0</v>
      </c>
      <c r="R300" s="6">
        <f>NAV!Y712</f>
        <v>0</v>
      </c>
      <c r="S300" s="6">
        <f>NAV!Z712</f>
        <v>0</v>
      </c>
      <c r="T300" s="6">
        <f>NAV!AA712</f>
        <v>0</v>
      </c>
      <c r="U300" s="10">
        <f>NAV!AB712</f>
        <v>0</v>
      </c>
      <c r="V300" s="6" t="str">
        <f>NAV!AC712</f>
        <v>2년이상</v>
      </c>
    </row>
    <row r="301" spans="1:22">
      <c r="A301" s="7">
        <f t="shared" si="4"/>
        <v>300</v>
      </c>
      <c r="B301" s="7">
        <f>TYPE(종목정보tbl!$C301)</f>
        <v>1</v>
      </c>
      <c r="C301" s="6">
        <f>NAV!J713</f>
        <v>0</v>
      </c>
      <c r="D301" s="6">
        <f>NAV!K713</f>
        <v>0</v>
      </c>
      <c r="E301" s="6">
        <f>NAV!L713</f>
        <v>0</v>
      </c>
      <c r="F301" s="6">
        <f>NAV!M713</f>
        <v>0</v>
      </c>
      <c r="G301" s="6">
        <f>NAV!N713</f>
        <v>0</v>
      </c>
      <c r="H301" s="6">
        <f>NAV!O713</f>
        <v>0</v>
      </c>
      <c r="I301" s="6">
        <f>NAV!P713</f>
        <v>0</v>
      </c>
      <c r="J301" s="6">
        <f>NAV!Q713</f>
        <v>0</v>
      </c>
      <c r="K301" s="9">
        <f>NAV!R713</f>
        <v>0</v>
      </c>
      <c r="L301" s="6">
        <f>NAV!S713</f>
        <v>0</v>
      </c>
      <c r="M301" s="6">
        <f>NAV!T713</f>
        <v>0</v>
      </c>
      <c r="N301" s="6" t="str">
        <f>NAV!U713</f>
        <v>한국 원화(KRW)</v>
      </c>
      <c r="O301" s="6">
        <f>NAV!V713</f>
        <v>1</v>
      </c>
      <c r="P301" s="6">
        <f>NAV!W713</f>
        <v>0</v>
      </c>
      <c r="Q301" s="6">
        <f>NAV!X713</f>
        <v>0</v>
      </c>
      <c r="R301" s="6">
        <f>NAV!Y713</f>
        <v>0</v>
      </c>
      <c r="S301" s="6">
        <f>NAV!Z713</f>
        <v>0</v>
      </c>
      <c r="T301" s="6">
        <f>NAV!AA713</f>
        <v>0</v>
      </c>
      <c r="U301" s="10">
        <f>NAV!AB713</f>
        <v>0</v>
      </c>
      <c r="V301" s="6" t="str">
        <f>NAV!AC713</f>
        <v>2년이상</v>
      </c>
    </row>
    <row r="302" spans="1:22">
      <c r="A302" s="7">
        <f t="shared" si="4"/>
        <v>301</v>
      </c>
      <c r="B302" s="7">
        <f>TYPE(종목정보tbl!$C302)</f>
        <v>1</v>
      </c>
      <c r="C302" s="6">
        <f>NAV!J714</f>
        <v>0</v>
      </c>
      <c r="D302" s="6">
        <f>NAV!K714</f>
        <v>0</v>
      </c>
      <c r="E302" s="6">
        <f>NAV!L714</f>
        <v>0</v>
      </c>
      <c r="F302" s="6">
        <f>NAV!M714</f>
        <v>0</v>
      </c>
      <c r="G302" s="6">
        <f>NAV!N714</f>
        <v>0</v>
      </c>
      <c r="H302" s="6">
        <f>NAV!O714</f>
        <v>0</v>
      </c>
      <c r="I302" s="6">
        <f>NAV!P714</f>
        <v>0</v>
      </c>
      <c r="J302" s="6">
        <f>NAV!Q714</f>
        <v>0</v>
      </c>
      <c r="K302" s="9">
        <f>NAV!R714</f>
        <v>0</v>
      </c>
      <c r="L302" s="6">
        <f>NAV!S714</f>
        <v>0</v>
      </c>
      <c r="M302" s="6">
        <f>NAV!T714</f>
        <v>0</v>
      </c>
      <c r="N302" s="6" t="str">
        <f>NAV!U714</f>
        <v>한국 원화(KRW)</v>
      </c>
      <c r="O302" s="6">
        <f>NAV!V714</f>
        <v>1</v>
      </c>
      <c r="P302" s="6">
        <f>NAV!W714</f>
        <v>0</v>
      </c>
      <c r="Q302" s="6">
        <f>NAV!X714</f>
        <v>0</v>
      </c>
      <c r="R302" s="6">
        <f>NAV!Y714</f>
        <v>0</v>
      </c>
      <c r="S302" s="6">
        <f>NAV!Z714</f>
        <v>0</v>
      </c>
      <c r="T302" s="6">
        <f>NAV!AA714</f>
        <v>0</v>
      </c>
      <c r="U302" s="10">
        <f>NAV!AB714</f>
        <v>0</v>
      </c>
      <c r="V302" s="6" t="str">
        <f>NAV!AC714</f>
        <v>2년이상</v>
      </c>
    </row>
    <row r="303" spans="1:22">
      <c r="A303" s="7">
        <f t="shared" si="4"/>
        <v>302</v>
      </c>
      <c r="B303" s="7">
        <f>TYPE(종목정보tbl!$C303)</f>
        <v>1</v>
      </c>
      <c r="C303" s="6">
        <f>NAV!J715</f>
        <v>0</v>
      </c>
      <c r="D303" s="6">
        <f>NAV!K715</f>
        <v>0</v>
      </c>
      <c r="E303" s="6">
        <f>NAV!L715</f>
        <v>0</v>
      </c>
      <c r="F303" s="6">
        <f>NAV!M715</f>
        <v>0</v>
      </c>
      <c r="G303" s="6">
        <f>NAV!N715</f>
        <v>0</v>
      </c>
      <c r="H303" s="6">
        <f>NAV!O715</f>
        <v>0</v>
      </c>
      <c r="I303" s="6">
        <f>NAV!P715</f>
        <v>0</v>
      </c>
      <c r="J303" s="6">
        <f>NAV!Q715</f>
        <v>0</v>
      </c>
      <c r="K303" s="9">
        <f>NAV!R715</f>
        <v>0</v>
      </c>
      <c r="L303" s="6">
        <f>NAV!S715</f>
        <v>0</v>
      </c>
      <c r="M303" s="6">
        <f>NAV!T715</f>
        <v>0</v>
      </c>
      <c r="N303" s="6" t="str">
        <f>NAV!U715</f>
        <v>한국 원화(KRW)</v>
      </c>
      <c r="O303" s="6">
        <f>NAV!V715</f>
        <v>1</v>
      </c>
      <c r="P303" s="6">
        <f>NAV!W715</f>
        <v>0</v>
      </c>
      <c r="Q303" s="6">
        <f>NAV!X715</f>
        <v>0</v>
      </c>
      <c r="R303" s="6">
        <f>NAV!Y715</f>
        <v>0</v>
      </c>
      <c r="S303" s="6">
        <f>NAV!Z715</f>
        <v>0</v>
      </c>
      <c r="T303" s="6">
        <f>NAV!AA715</f>
        <v>0</v>
      </c>
      <c r="U303" s="10">
        <f>NAV!AB715</f>
        <v>0</v>
      </c>
      <c r="V303" s="6" t="str">
        <f>NAV!AC715</f>
        <v>2년이상</v>
      </c>
    </row>
    <row r="304" spans="1:22">
      <c r="A304" s="7">
        <f t="shared" si="4"/>
        <v>303</v>
      </c>
      <c r="B304" s="7">
        <f>TYPE(종목정보tbl!$C304)</f>
        <v>1</v>
      </c>
      <c r="C304" s="6">
        <f>NAV!J716</f>
        <v>0</v>
      </c>
      <c r="D304" s="6">
        <f>NAV!K716</f>
        <v>0</v>
      </c>
      <c r="E304" s="6">
        <f>NAV!L716</f>
        <v>0</v>
      </c>
      <c r="F304" s="6">
        <f>NAV!M716</f>
        <v>0</v>
      </c>
      <c r="G304" s="6">
        <f>NAV!N716</f>
        <v>0</v>
      </c>
      <c r="H304" s="6">
        <f>NAV!O716</f>
        <v>0</v>
      </c>
      <c r="I304" s="6">
        <f>NAV!P716</f>
        <v>0</v>
      </c>
      <c r="J304" s="6">
        <f>NAV!Q716</f>
        <v>0</v>
      </c>
      <c r="K304" s="9">
        <f>NAV!R716</f>
        <v>0</v>
      </c>
      <c r="L304" s="6">
        <f>NAV!S716</f>
        <v>0</v>
      </c>
      <c r="M304" s="6">
        <f>NAV!T716</f>
        <v>0</v>
      </c>
      <c r="N304" s="6" t="str">
        <f>NAV!U716</f>
        <v>한국 원화(KRW)</v>
      </c>
      <c r="O304" s="6">
        <f>NAV!V716</f>
        <v>1</v>
      </c>
      <c r="P304" s="6">
        <f>NAV!W716</f>
        <v>0</v>
      </c>
      <c r="Q304" s="6">
        <f>NAV!X716</f>
        <v>0</v>
      </c>
      <c r="R304" s="6">
        <f>NAV!Y716</f>
        <v>0</v>
      </c>
      <c r="S304" s="6">
        <f>NAV!Z716</f>
        <v>0</v>
      </c>
      <c r="T304" s="6">
        <f>NAV!AA716</f>
        <v>0</v>
      </c>
      <c r="U304" s="10">
        <f>NAV!AB716</f>
        <v>0</v>
      </c>
      <c r="V304" s="6" t="str">
        <f>NAV!AC716</f>
        <v>2년이상</v>
      </c>
    </row>
    <row r="305" spans="1:22">
      <c r="A305" s="7">
        <f t="shared" si="4"/>
        <v>304</v>
      </c>
      <c r="B305" s="7">
        <f>TYPE(종목정보tbl!$C305)</f>
        <v>1</v>
      </c>
      <c r="C305" s="6">
        <f>NAV!J717</f>
        <v>0</v>
      </c>
      <c r="D305" s="6">
        <f>NAV!K717</f>
        <v>0</v>
      </c>
      <c r="E305" s="6">
        <f>NAV!L717</f>
        <v>0</v>
      </c>
      <c r="F305" s="6">
        <f>NAV!M717</f>
        <v>0</v>
      </c>
      <c r="G305" s="6">
        <f>NAV!N717</f>
        <v>0</v>
      </c>
      <c r="H305" s="6">
        <f>NAV!O717</f>
        <v>0</v>
      </c>
      <c r="I305" s="6">
        <f>NAV!P717</f>
        <v>0</v>
      </c>
      <c r="J305" s="6">
        <f>NAV!Q717</f>
        <v>0</v>
      </c>
      <c r="K305" s="9">
        <f>NAV!R717</f>
        <v>0</v>
      </c>
      <c r="L305" s="6">
        <f>NAV!S717</f>
        <v>0</v>
      </c>
      <c r="M305" s="6">
        <f>NAV!T717</f>
        <v>0</v>
      </c>
      <c r="N305" s="6" t="str">
        <f>NAV!U717</f>
        <v>한국 원화(KRW)</v>
      </c>
      <c r="O305" s="6">
        <f>NAV!V717</f>
        <v>1</v>
      </c>
      <c r="P305" s="6">
        <f>NAV!W717</f>
        <v>0</v>
      </c>
      <c r="Q305" s="6">
        <f>NAV!X717</f>
        <v>0</v>
      </c>
      <c r="R305" s="6">
        <f>NAV!Y717</f>
        <v>0</v>
      </c>
      <c r="S305" s="6">
        <f>NAV!Z717</f>
        <v>0</v>
      </c>
      <c r="T305" s="6">
        <f>NAV!AA717</f>
        <v>0</v>
      </c>
      <c r="U305" s="10">
        <f>NAV!AB717</f>
        <v>0</v>
      </c>
      <c r="V305" s="6" t="str">
        <f>NAV!AC717</f>
        <v>2년이상</v>
      </c>
    </row>
    <row r="306" spans="1:22">
      <c r="A306" s="7">
        <f t="shared" si="4"/>
        <v>305</v>
      </c>
      <c r="B306" s="7">
        <f>TYPE(종목정보tbl!$C306)</f>
        <v>1</v>
      </c>
      <c r="C306" s="6">
        <f>NAV!J745</f>
        <v>0</v>
      </c>
      <c r="D306" s="6">
        <f>NAV!K745</f>
        <v>0</v>
      </c>
      <c r="E306" s="6">
        <f>NAV!L745</f>
        <v>0</v>
      </c>
      <c r="F306" s="6">
        <f>NAV!M745</f>
        <v>0</v>
      </c>
      <c r="G306" s="6">
        <f>NAV!N745</f>
        <v>0</v>
      </c>
      <c r="H306" s="6">
        <f>NAV!O745</f>
        <v>0</v>
      </c>
      <c r="I306" s="6">
        <f>NAV!P745</f>
        <v>0</v>
      </c>
      <c r="J306" s="6">
        <f>NAV!Q745</f>
        <v>0</v>
      </c>
      <c r="K306" s="9">
        <f>NAV!R745</f>
        <v>0</v>
      </c>
      <c r="L306" s="6">
        <f>NAV!S745</f>
        <v>0</v>
      </c>
      <c r="M306" s="6">
        <f>NAV!T745</f>
        <v>0</v>
      </c>
      <c r="N306" s="6" t="str">
        <f>NAV!U745</f>
        <v>한국 원화(KRW)</v>
      </c>
      <c r="O306" s="6">
        <f>NAV!V745</f>
        <v>1</v>
      </c>
      <c r="P306" s="6">
        <f>NAV!W745</f>
        <v>0</v>
      </c>
      <c r="Q306" s="6">
        <f>NAV!X745</f>
        <v>0</v>
      </c>
      <c r="R306" s="6">
        <f>NAV!Y745</f>
        <v>0</v>
      </c>
      <c r="S306" s="6">
        <f>NAV!Z745</f>
        <v>0</v>
      </c>
      <c r="T306" s="6">
        <f>NAV!AA745</f>
        <v>0</v>
      </c>
      <c r="U306" s="10">
        <f>NAV!AB745</f>
        <v>0</v>
      </c>
      <c r="V306" s="6" t="str">
        <f>NAV!AC745</f>
        <v>2년이상</v>
      </c>
    </row>
    <row r="307" spans="1:22">
      <c r="A307" s="7">
        <f t="shared" si="4"/>
        <v>306</v>
      </c>
      <c r="B307" s="7">
        <f>TYPE(종목정보tbl!$C307)</f>
        <v>1</v>
      </c>
      <c r="C307" s="6">
        <f>NAV!J746</f>
        <v>0</v>
      </c>
      <c r="D307" s="6">
        <f>NAV!K746</f>
        <v>0</v>
      </c>
      <c r="E307" s="6">
        <f>NAV!L746</f>
        <v>0</v>
      </c>
      <c r="F307" s="6">
        <f>NAV!M746</f>
        <v>0</v>
      </c>
      <c r="G307" s="6">
        <f>NAV!N746</f>
        <v>0</v>
      </c>
      <c r="H307" s="6">
        <f>NAV!O746</f>
        <v>0</v>
      </c>
      <c r="I307" s="6">
        <f>NAV!P746</f>
        <v>0</v>
      </c>
      <c r="J307" s="6">
        <f>NAV!Q746</f>
        <v>0</v>
      </c>
      <c r="K307" s="9">
        <f>NAV!R746</f>
        <v>0</v>
      </c>
      <c r="L307" s="6">
        <f>NAV!S746</f>
        <v>0</v>
      </c>
      <c r="M307" s="6">
        <f>NAV!T746</f>
        <v>0</v>
      </c>
      <c r="N307" s="6" t="str">
        <f>NAV!U746</f>
        <v>한국 원화(KRW)</v>
      </c>
      <c r="O307" s="6">
        <f>NAV!V746</f>
        <v>1</v>
      </c>
      <c r="P307" s="6">
        <f>NAV!W746</f>
        <v>0</v>
      </c>
      <c r="Q307" s="6">
        <f>NAV!X746</f>
        <v>0</v>
      </c>
      <c r="R307" s="6">
        <f>NAV!Y746</f>
        <v>0</v>
      </c>
      <c r="S307" s="6">
        <f>NAV!Z746</f>
        <v>0</v>
      </c>
      <c r="T307" s="6">
        <f>NAV!AA746</f>
        <v>0</v>
      </c>
      <c r="U307" s="10">
        <f>NAV!AB746</f>
        <v>0</v>
      </c>
      <c r="V307" s="6" t="str">
        <f>NAV!AC746</f>
        <v>2년이상</v>
      </c>
    </row>
    <row r="308" spans="1:22">
      <c r="A308" s="7">
        <f t="shared" si="4"/>
        <v>307</v>
      </c>
      <c r="B308" s="7">
        <f>TYPE(종목정보tbl!$C308)</f>
        <v>1</v>
      </c>
      <c r="C308" s="6">
        <f>NAV!J747</f>
        <v>0</v>
      </c>
      <c r="D308" s="6">
        <f>NAV!K747</f>
        <v>0</v>
      </c>
      <c r="E308" s="6">
        <f>NAV!L747</f>
        <v>0</v>
      </c>
      <c r="F308" s="6">
        <f>NAV!M747</f>
        <v>0</v>
      </c>
      <c r="G308" s="6">
        <f>NAV!N747</f>
        <v>0</v>
      </c>
      <c r="H308" s="6">
        <f>NAV!O747</f>
        <v>0</v>
      </c>
      <c r="I308" s="6">
        <f>NAV!P747</f>
        <v>0</v>
      </c>
      <c r="J308" s="6">
        <f>NAV!Q747</f>
        <v>0</v>
      </c>
      <c r="K308" s="9">
        <f>NAV!R747</f>
        <v>0</v>
      </c>
      <c r="L308" s="6">
        <f>NAV!S747</f>
        <v>0</v>
      </c>
      <c r="M308" s="6">
        <f>NAV!T747</f>
        <v>0</v>
      </c>
      <c r="N308" s="6" t="str">
        <f>NAV!U747</f>
        <v>한국 원화(KRW)</v>
      </c>
      <c r="O308" s="6">
        <f>NAV!V747</f>
        <v>1</v>
      </c>
      <c r="P308" s="6">
        <f>NAV!W747</f>
        <v>0</v>
      </c>
      <c r="Q308" s="6">
        <f>NAV!X747</f>
        <v>0</v>
      </c>
      <c r="R308" s="6">
        <f>NAV!Y747</f>
        <v>0</v>
      </c>
      <c r="S308" s="6">
        <f>NAV!Z747</f>
        <v>0</v>
      </c>
      <c r="T308" s="6">
        <f>NAV!AA747</f>
        <v>0</v>
      </c>
      <c r="U308" s="10">
        <f>NAV!AB747</f>
        <v>0</v>
      </c>
      <c r="V308" s="6" t="str">
        <f>NAV!AC747</f>
        <v>2년이상</v>
      </c>
    </row>
    <row r="309" spans="1:22">
      <c r="A309" s="7">
        <f t="shared" si="4"/>
        <v>308</v>
      </c>
      <c r="B309" s="7">
        <f>TYPE(종목정보tbl!$C309)</f>
        <v>1</v>
      </c>
      <c r="C309" s="6">
        <f>NAV!J748</f>
        <v>0</v>
      </c>
      <c r="D309" s="6">
        <f>NAV!K748</f>
        <v>0</v>
      </c>
      <c r="E309" s="6">
        <f>NAV!L748</f>
        <v>0</v>
      </c>
      <c r="F309" s="6">
        <f>NAV!M748</f>
        <v>0</v>
      </c>
      <c r="G309" s="6">
        <f>NAV!N748</f>
        <v>0</v>
      </c>
      <c r="H309" s="6">
        <f>NAV!O748</f>
        <v>0</v>
      </c>
      <c r="I309" s="6">
        <f>NAV!P748</f>
        <v>0</v>
      </c>
      <c r="J309" s="6">
        <f>NAV!Q748</f>
        <v>0</v>
      </c>
      <c r="K309" s="9">
        <f>NAV!R748</f>
        <v>0</v>
      </c>
      <c r="L309" s="6">
        <f>NAV!S748</f>
        <v>0</v>
      </c>
      <c r="M309" s="6">
        <f>NAV!T748</f>
        <v>0</v>
      </c>
      <c r="N309" s="6" t="str">
        <f>NAV!U748</f>
        <v>한국 원화(KRW)</v>
      </c>
      <c r="O309" s="6">
        <f>NAV!V748</f>
        <v>1</v>
      </c>
      <c r="P309" s="6">
        <f>NAV!W748</f>
        <v>0</v>
      </c>
      <c r="Q309" s="6">
        <f>NAV!X748</f>
        <v>0</v>
      </c>
      <c r="R309" s="6">
        <f>NAV!Y748</f>
        <v>0</v>
      </c>
      <c r="S309" s="6">
        <f>NAV!Z748</f>
        <v>0</v>
      </c>
      <c r="T309" s="6">
        <f>NAV!AA748</f>
        <v>0</v>
      </c>
      <c r="U309" s="10">
        <f>NAV!AB748</f>
        <v>0</v>
      </c>
      <c r="V309" s="6" t="str">
        <f>NAV!AC748</f>
        <v>2년이상</v>
      </c>
    </row>
    <row r="310" spans="1:22">
      <c r="A310" s="7">
        <f t="shared" si="4"/>
        <v>309</v>
      </c>
      <c r="B310" s="7">
        <f>TYPE(종목정보tbl!$C310)</f>
        <v>1</v>
      </c>
      <c r="C310" s="6">
        <f>NAV!J749</f>
        <v>0</v>
      </c>
      <c r="D310" s="6">
        <f>NAV!K749</f>
        <v>0</v>
      </c>
      <c r="E310" s="6">
        <f>NAV!L749</f>
        <v>0</v>
      </c>
      <c r="F310" s="6">
        <f>NAV!M749</f>
        <v>0</v>
      </c>
      <c r="G310" s="6">
        <f>NAV!N749</f>
        <v>0</v>
      </c>
      <c r="H310" s="6">
        <f>NAV!O749</f>
        <v>0</v>
      </c>
      <c r="I310" s="6">
        <f>NAV!P749</f>
        <v>0</v>
      </c>
      <c r="J310" s="6">
        <f>NAV!Q749</f>
        <v>0</v>
      </c>
      <c r="K310" s="9">
        <f>NAV!R749</f>
        <v>0</v>
      </c>
      <c r="L310" s="6">
        <f>NAV!S749</f>
        <v>0</v>
      </c>
      <c r="M310" s="6">
        <f>NAV!T749</f>
        <v>0</v>
      </c>
      <c r="N310" s="6" t="str">
        <f>NAV!U749</f>
        <v>한국 원화(KRW)</v>
      </c>
      <c r="O310" s="6">
        <f>NAV!V749</f>
        <v>1</v>
      </c>
      <c r="P310" s="6">
        <f>NAV!W749</f>
        <v>0</v>
      </c>
      <c r="Q310" s="6">
        <f>NAV!X749</f>
        <v>0</v>
      </c>
      <c r="R310" s="6">
        <f>NAV!Y749</f>
        <v>0</v>
      </c>
      <c r="S310" s="6">
        <f>NAV!Z749</f>
        <v>0</v>
      </c>
      <c r="T310" s="6">
        <f>NAV!AA749</f>
        <v>0</v>
      </c>
      <c r="U310" s="10">
        <f>NAV!AB749</f>
        <v>0</v>
      </c>
      <c r="V310" s="6" t="str">
        <f>NAV!AC749</f>
        <v>2년이상</v>
      </c>
    </row>
    <row r="311" spans="1:22">
      <c r="A311" s="7">
        <f t="shared" si="4"/>
        <v>310</v>
      </c>
      <c r="B311" s="7">
        <f>TYPE(종목정보tbl!$C311)</f>
        <v>1</v>
      </c>
      <c r="C311" s="6">
        <f>NAV!J750</f>
        <v>0</v>
      </c>
      <c r="D311" s="6">
        <f>NAV!K750</f>
        <v>0</v>
      </c>
      <c r="E311" s="6">
        <f>NAV!L750</f>
        <v>0</v>
      </c>
      <c r="F311" s="6">
        <f>NAV!M750</f>
        <v>0</v>
      </c>
      <c r="G311" s="6">
        <f>NAV!N750</f>
        <v>0</v>
      </c>
      <c r="H311" s="6">
        <f>NAV!O750</f>
        <v>0</v>
      </c>
      <c r="I311" s="6">
        <f>NAV!P750</f>
        <v>0</v>
      </c>
      <c r="J311" s="6">
        <f>NAV!Q750</f>
        <v>0</v>
      </c>
      <c r="K311" s="9">
        <f>NAV!R750</f>
        <v>0</v>
      </c>
      <c r="L311" s="6">
        <f>NAV!S750</f>
        <v>0</v>
      </c>
      <c r="M311" s="6">
        <f>NAV!T750</f>
        <v>0</v>
      </c>
      <c r="N311" s="6" t="str">
        <f>NAV!U750</f>
        <v>한국 원화(KRW)</v>
      </c>
      <c r="O311" s="6">
        <f>NAV!V750</f>
        <v>1</v>
      </c>
      <c r="P311" s="6">
        <f>NAV!W750</f>
        <v>0</v>
      </c>
      <c r="Q311" s="6">
        <f>NAV!X750</f>
        <v>0</v>
      </c>
      <c r="R311" s="6">
        <f>NAV!Y750</f>
        <v>0</v>
      </c>
      <c r="S311" s="6">
        <f>NAV!Z750</f>
        <v>0</v>
      </c>
      <c r="T311" s="6">
        <f>NAV!AA750</f>
        <v>0</v>
      </c>
      <c r="U311" s="10">
        <f>NAV!AB750</f>
        <v>0</v>
      </c>
      <c r="V311" s="6" t="str">
        <f>NAV!AC750</f>
        <v>2년이상</v>
      </c>
    </row>
    <row r="312" spans="1:22">
      <c r="A312" s="7">
        <f t="shared" si="4"/>
        <v>311</v>
      </c>
      <c r="B312" s="7">
        <f>TYPE(종목정보tbl!$C312)</f>
        <v>1</v>
      </c>
      <c r="C312" s="6">
        <f>NAV!J751</f>
        <v>0</v>
      </c>
      <c r="D312" s="6">
        <f>NAV!K751</f>
        <v>0</v>
      </c>
      <c r="E312" s="6">
        <f>NAV!L751</f>
        <v>0</v>
      </c>
      <c r="F312" s="6">
        <f>NAV!M751</f>
        <v>0</v>
      </c>
      <c r="G312" s="6">
        <f>NAV!N751</f>
        <v>0</v>
      </c>
      <c r="H312" s="6">
        <f>NAV!O751</f>
        <v>0</v>
      </c>
      <c r="I312" s="6">
        <f>NAV!P751</f>
        <v>0</v>
      </c>
      <c r="J312" s="6">
        <f>NAV!Q751</f>
        <v>0</v>
      </c>
      <c r="K312" s="9">
        <f>NAV!R751</f>
        <v>0</v>
      </c>
      <c r="L312" s="6">
        <f>NAV!S751</f>
        <v>0</v>
      </c>
      <c r="M312" s="6">
        <f>NAV!T751</f>
        <v>0</v>
      </c>
      <c r="N312" s="6" t="str">
        <f>NAV!U751</f>
        <v>한국 원화(KRW)</v>
      </c>
      <c r="O312" s="6">
        <f>NAV!V751</f>
        <v>1</v>
      </c>
      <c r="P312" s="6">
        <f>NAV!W751</f>
        <v>0</v>
      </c>
      <c r="Q312" s="6">
        <f>NAV!X751</f>
        <v>0</v>
      </c>
      <c r="R312" s="6">
        <f>NAV!Y751</f>
        <v>0</v>
      </c>
      <c r="S312" s="6">
        <f>NAV!Z751</f>
        <v>0</v>
      </c>
      <c r="T312" s="6">
        <f>NAV!AA751</f>
        <v>0</v>
      </c>
      <c r="U312" s="10">
        <f>NAV!AB751</f>
        <v>0</v>
      </c>
      <c r="V312" s="6" t="str">
        <f>NAV!AC751</f>
        <v>2년이상</v>
      </c>
    </row>
    <row r="313" spans="1:22">
      <c r="A313" s="7">
        <f t="shared" si="4"/>
        <v>312</v>
      </c>
      <c r="B313" s="7">
        <f>TYPE(종목정보tbl!$C313)</f>
        <v>1</v>
      </c>
      <c r="C313" s="6">
        <f>NAV!J752</f>
        <v>0</v>
      </c>
      <c r="D313" s="6">
        <f>NAV!K752</f>
        <v>0</v>
      </c>
      <c r="E313" s="6">
        <f>NAV!L752</f>
        <v>0</v>
      </c>
      <c r="F313" s="6">
        <f>NAV!M752</f>
        <v>0</v>
      </c>
      <c r="G313" s="6">
        <f>NAV!N752</f>
        <v>0</v>
      </c>
      <c r="H313" s="6">
        <f>NAV!O752</f>
        <v>0</v>
      </c>
      <c r="I313" s="6">
        <f>NAV!P752</f>
        <v>0</v>
      </c>
      <c r="J313" s="6">
        <f>NAV!Q752</f>
        <v>0</v>
      </c>
      <c r="K313" s="9">
        <f>NAV!R752</f>
        <v>0</v>
      </c>
      <c r="L313" s="6">
        <f>NAV!S752</f>
        <v>0</v>
      </c>
      <c r="M313" s="6">
        <f>NAV!T752</f>
        <v>0</v>
      </c>
      <c r="N313" s="6" t="str">
        <f>NAV!U752</f>
        <v>한국 원화(KRW)</v>
      </c>
      <c r="O313" s="6">
        <f>NAV!V752</f>
        <v>1</v>
      </c>
      <c r="P313" s="6">
        <f>NAV!W752</f>
        <v>0</v>
      </c>
      <c r="Q313" s="6">
        <f>NAV!X752</f>
        <v>0</v>
      </c>
      <c r="R313" s="6">
        <f>NAV!Y752</f>
        <v>0</v>
      </c>
      <c r="S313" s="6">
        <f>NAV!Z752</f>
        <v>0</v>
      </c>
      <c r="T313" s="6">
        <f>NAV!AA752</f>
        <v>0</v>
      </c>
      <c r="U313" s="10">
        <f>NAV!AB752</f>
        <v>0</v>
      </c>
      <c r="V313" s="6" t="str">
        <f>NAV!AC752</f>
        <v>2년이상</v>
      </c>
    </row>
    <row r="314" spans="1:22">
      <c r="A314" s="7">
        <f t="shared" si="4"/>
        <v>313</v>
      </c>
      <c r="B314" s="7">
        <f>TYPE(종목정보tbl!$C314)</f>
        <v>1</v>
      </c>
      <c r="C314" s="6">
        <f>NAV!J753</f>
        <v>0</v>
      </c>
      <c r="D314" s="6">
        <f>NAV!K753</f>
        <v>0</v>
      </c>
      <c r="E314" s="6">
        <f>NAV!L753</f>
        <v>0</v>
      </c>
      <c r="F314" s="6">
        <f>NAV!M753</f>
        <v>0</v>
      </c>
      <c r="G314" s="6">
        <f>NAV!N753</f>
        <v>0</v>
      </c>
      <c r="H314" s="6">
        <f>NAV!O753</f>
        <v>0</v>
      </c>
      <c r="I314" s="6">
        <f>NAV!P753</f>
        <v>0</v>
      </c>
      <c r="J314" s="6">
        <f>NAV!Q753</f>
        <v>0</v>
      </c>
      <c r="K314" s="9">
        <f>NAV!R753</f>
        <v>0</v>
      </c>
      <c r="L314" s="6">
        <f>NAV!S753</f>
        <v>0</v>
      </c>
      <c r="M314" s="6">
        <f>NAV!T753</f>
        <v>0</v>
      </c>
      <c r="N314" s="6" t="str">
        <f>NAV!U753</f>
        <v>한국 원화(KRW)</v>
      </c>
      <c r="O314" s="6">
        <f>NAV!V753</f>
        <v>1</v>
      </c>
      <c r="P314" s="6">
        <f>NAV!W753</f>
        <v>0</v>
      </c>
      <c r="Q314" s="6">
        <f>NAV!X753</f>
        <v>0</v>
      </c>
      <c r="R314" s="6">
        <f>NAV!Y753</f>
        <v>0</v>
      </c>
      <c r="S314" s="6">
        <f>NAV!Z753</f>
        <v>0</v>
      </c>
      <c r="T314" s="6">
        <f>NAV!AA753</f>
        <v>0</v>
      </c>
      <c r="U314" s="10">
        <f>NAV!AB753</f>
        <v>0</v>
      </c>
      <c r="V314" s="6" t="str">
        <f>NAV!AC753</f>
        <v>2년이상</v>
      </c>
    </row>
    <row r="315" spans="1:22">
      <c r="A315" s="7">
        <f t="shared" si="4"/>
        <v>314</v>
      </c>
      <c r="B315" s="7">
        <f>TYPE(종목정보tbl!$C315)</f>
        <v>1</v>
      </c>
      <c r="C315" s="6">
        <f>NAV!J754</f>
        <v>0</v>
      </c>
      <c r="D315" s="6">
        <f>NAV!K754</f>
        <v>0</v>
      </c>
      <c r="E315" s="6">
        <f>NAV!L754</f>
        <v>0</v>
      </c>
      <c r="F315" s="6">
        <f>NAV!M754</f>
        <v>0</v>
      </c>
      <c r="G315" s="6">
        <f>NAV!N754</f>
        <v>0</v>
      </c>
      <c r="H315" s="6">
        <f>NAV!O754</f>
        <v>0</v>
      </c>
      <c r="I315" s="6">
        <f>NAV!P754</f>
        <v>0</v>
      </c>
      <c r="J315" s="6">
        <f>NAV!Q754</f>
        <v>0</v>
      </c>
      <c r="K315" s="9">
        <f>NAV!R754</f>
        <v>0</v>
      </c>
      <c r="L315" s="6">
        <f>NAV!S754</f>
        <v>0</v>
      </c>
      <c r="M315" s="6">
        <f>NAV!T754</f>
        <v>0</v>
      </c>
      <c r="N315" s="6" t="str">
        <f>NAV!U754</f>
        <v>한국 원화(KRW)</v>
      </c>
      <c r="O315" s="6">
        <f>NAV!V754</f>
        <v>1</v>
      </c>
      <c r="P315" s="6">
        <f>NAV!W754</f>
        <v>0</v>
      </c>
      <c r="Q315" s="6">
        <f>NAV!X754</f>
        <v>0</v>
      </c>
      <c r="R315" s="6">
        <f>NAV!Y754</f>
        <v>0</v>
      </c>
      <c r="S315" s="6">
        <f>NAV!Z754</f>
        <v>0</v>
      </c>
      <c r="T315" s="6">
        <f>NAV!AA754</f>
        <v>0</v>
      </c>
      <c r="U315" s="10">
        <f>NAV!AB754</f>
        <v>0</v>
      </c>
      <c r="V315" s="6" t="str">
        <f>NAV!AC754</f>
        <v>2년이상</v>
      </c>
    </row>
    <row r="316" spans="1:22">
      <c r="A316" s="7">
        <f t="shared" si="4"/>
        <v>315</v>
      </c>
      <c r="B316" s="7">
        <f>TYPE(종목정보tbl!$C316)</f>
        <v>1</v>
      </c>
      <c r="C316" s="6">
        <f>NAV!J755</f>
        <v>0</v>
      </c>
      <c r="D316" s="6">
        <f>NAV!K755</f>
        <v>0</v>
      </c>
      <c r="E316" s="6">
        <f>NAV!L755</f>
        <v>0</v>
      </c>
      <c r="F316" s="6">
        <f>NAV!M755</f>
        <v>0</v>
      </c>
      <c r="G316" s="6">
        <f>NAV!N755</f>
        <v>0</v>
      </c>
      <c r="H316" s="6">
        <f>NAV!O755</f>
        <v>0</v>
      </c>
      <c r="I316" s="6">
        <f>NAV!P755</f>
        <v>0</v>
      </c>
      <c r="J316" s="6">
        <f>NAV!Q755</f>
        <v>0</v>
      </c>
      <c r="K316" s="9">
        <f>NAV!R755</f>
        <v>0</v>
      </c>
      <c r="L316" s="6">
        <f>NAV!S755</f>
        <v>0</v>
      </c>
      <c r="M316" s="6">
        <f>NAV!T755</f>
        <v>0</v>
      </c>
      <c r="N316" s="6" t="str">
        <f>NAV!U755</f>
        <v>한국 원화(KRW)</v>
      </c>
      <c r="O316" s="6">
        <f>NAV!V755</f>
        <v>1</v>
      </c>
      <c r="P316" s="6">
        <f>NAV!W755</f>
        <v>0</v>
      </c>
      <c r="Q316" s="6">
        <f>NAV!X755</f>
        <v>0</v>
      </c>
      <c r="R316" s="6">
        <f>NAV!Y755</f>
        <v>0</v>
      </c>
      <c r="S316" s="6">
        <f>NAV!Z755</f>
        <v>0</v>
      </c>
      <c r="T316" s="6">
        <f>NAV!AA755</f>
        <v>0</v>
      </c>
      <c r="U316" s="10">
        <f>NAV!AB755</f>
        <v>0</v>
      </c>
      <c r="V316" s="6" t="str">
        <f>NAV!AC755</f>
        <v>2년이상</v>
      </c>
    </row>
    <row r="317" spans="1:22">
      <c r="A317" s="7">
        <f t="shared" si="4"/>
        <v>316</v>
      </c>
      <c r="B317" s="7">
        <f>TYPE(종목정보tbl!$C317)</f>
        <v>1</v>
      </c>
      <c r="C317" s="6">
        <f>NAV!J783</f>
        <v>0</v>
      </c>
      <c r="D317" s="6">
        <f>NAV!K783</f>
        <v>0</v>
      </c>
      <c r="E317" s="6">
        <f>NAV!L783</f>
        <v>0</v>
      </c>
      <c r="F317" s="6">
        <f>NAV!M783</f>
        <v>0</v>
      </c>
      <c r="G317" s="6">
        <f>NAV!N783</f>
        <v>0</v>
      </c>
      <c r="H317" s="6">
        <f>NAV!O783</f>
        <v>0</v>
      </c>
      <c r="I317" s="6">
        <f>NAV!P783</f>
        <v>0</v>
      </c>
      <c r="J317" s="6">
        <f>NAV!Q783</f>
        <v>0</v>
      </c>
      <c r="K317" s="9">
        <f>NAV!R783</f>
        <v>0</v>
      </c>
      <c r="L317" s="6">
        <f>NAV!S783</f>
        <v>0</v>
      </c>
      <c r="M317" s="6">
        <f>NAV!T783</f>
        <v>0</v>
      </c>
      <c r="N317" s="6" t="str">
        <f>NAV!U783</f>
        <v>한국 원화(KRW)</v>
      </c>
      <c r="O317" s="6">
        <f>NAV!V783</f>
        <v>1</v>
      </c>
      <c r="P317" s="6">
        <f>NAV!W783</f>
        <v>0</v>
      </c>
      <c r="Q317" s="6">
        <f>NAV!X783</f>
        <v>0</v>
      </c>
      <c r="R317" s="6">
        <f>NAV!Y783</f>
        <v>0</v>
      </c>
      <c r="S317" s="6">
        <f>NAV!Z783</f>
        <v>0</v>
      </c>
      <c r="T317" s="6">
        <f>NAV!AA783</f>
        <v>0</v>
      </c>
      <c r="U317" s="10">
        <f>NAV!AB783</f>
        <v>0</v>
      </c>
      <c r="V317" s="6" t="str">
        <f>NAV!AC783</f>
        <v>2년이상</v>
      </c>
    </row>
    <row r="318" spans="1:22">
      <c r="A318" s="7">
        <f t="shared" si="4"/>
        <v>317</v>
      </c>
      <c r="B318" s="7">
        <f>TYPE(종목정보tbl!$C318)</f>
        <v>1</v>
      </c>
      <c r="C318" s="6">
        <f>NAV!J784</f>
        <v>0</v>
      </c>
      <c r="D318" s="6">
        <f>NAV!K784</f>
        <v>0</v>
      </c>
      <c r="E318" s="6">
        <f>NAV!L784</f>
        <v>0</v>
      </c>
      <c r="F318" s="6">
        <f>NAV!M784</f>
        <v>0</v>
      </c>
      <c r="G318" s="6">
        <f>NAV!N784</f>
        <v>0</v>
      </c>
      <c r="H318" s="6">
        <f>NAV!O784</f>
        <v>0</v>
      </c>
      <c r="I318" s="6">
        <f>NAV!P784</f>
        <v>0</v>
      </c>
      <c r="J318" s="6">
        <f>NAV!Q784</f>
        <v>0</v>
      </c>
      <c r="K318" s="9">
        <f>NAV!R784</f>
        <v>0</v>
      </c>
      <c r="L318" s="6">
        <f>NAV!S784</f>
        <v>0</v>
      </c>
      <c r="M318" s="6">
        <f>NAV!T784</f>
        <v>0</v>
      </c>
      <c r="N318" s="6" t="str">
        <f>NAV!U784</f>
        <v>한국 원화(KRW)</v>
      </c>
      <c r="O318" s="6">
        <f>NAV!V784</f>
        <v>1</v>
      </c>
      <c r="P318" s="6">
        <f>NAV!W784</f>
        <v>0</v>
      </c>
      <c r="Q318" s="6">
        <f>NAV!X784</f>
        <v>0</v>
      </c>
      <c r="R318" s="6">
        <f>NAV!Y784</f>
        <v>0</v>
      </c>
      <c r="S318" s="6">
        <f>NAV!Z784</f>
        <v>0</v>
      </c>
      <c r="T318" s="6">
        <f>NAV!AA784</f>
        <v>0</v>
      </c>
      <c r="U318" s="10">
        <f>NAV!AB784</f>
        <v>0</v>
      </c>
      <c r="V318" s="6" t="str">
        <f>NAV!AC784</f>
        <v>2년이상</v>
      </c>
    </row>
    <row r="319" spans="1:22">
      <c r="A319" s="7">
        <f t="shared" si="4"/>
        <v>318</v>
      </c>
      <c r="B319" s="7">
        <f>TYPE(종목정보tbl!$C319)</f>
        <v>1</v>
      </c>
      <c r="C319" s="6">
        <f>NAV!J785</f>
        <v>0</v>
      </c>
      <c r="D319" s="6">
        <f>NAV!K785</f>
        <v>0</v>
      </c>
      <c r="E319" s="6">
        <f>NAV!L785</f>
        <v>0</v>
      </c>
      <c r="F319" s="6">
        <f>NAV!M785</f>
        <v>0</v>
      </c>
      <c r="G319" s="6">
        <f>NAV!N785</f>
        <v>0</v>
      </c>
      <c r="H319" s="6">
        <f>NAV!O785</f>
        <v>0</v>
      </c>
      <c r="I319" s="6">
        <f>NAV!P785</f>
        <v>0</v>
      </c>
      <c r="J319" s="6">
        <f>NAV!Q785</f>
        <v>0</v>
      </c>
      <c r="K319" s="9">
        <f>NAV!R785</f>
        <v>0</v>
      </c>
      <c r="L319" s="6">
        <f>NAV!S785</f>
        <v>0</v>
      </c>
      <c r="M319" s="6">
        <f>NAV!T785</f>
        <v>0</v>
      </c>
      <c r="N319" s="6" t="str">
        <f>NAV!U785</f>
        <v>한국 원화(KRW)</v>
      </c>
      <c r="O319" s="6">
        <f>NAV!V785</f>
        <v>1</v>
      </c>
      <c r="P319" s="6">
        <f>NAV!W785</f>
        <v>0</v>
      </c>
      <c r="Q319" s="6">
        <f>NAV!X785</f>
        <v>0</v>
      </c>
      <c r="R319" s="6">
        <f>NAV!Y785</f>
        <v>0</v>
      </c>
      <c r="S319" s="6">
        <f>NAV!Z785</f>
        <v>0</v>
      </c>
      <c r="T319" s="6">
        <f>NAV!AA785</f>
        <v>0</v>
      </c>
      <c r="U319" s="10">
        <f>NAV!AB785</f>
        <v>0</v>
      </c>
      <c r="V319" s="6" t="str">
        <f>NAV!AC785</f>
        <v>2년이상</v>
      </c>
    </row>
    <row r="320" spans="1:22">
      <c r="A320" s="7">
        <f t="shared" si="4"/>
        <v>319</v>
      </c>
      <c r="B320" s="7">
        <f>TYPE(종목정보tbl!$C320)</f>
        <v>1</v>
      </c>
      <c r="C320" s="6">
        <f>NAV!J786</f>
        <v>0</v>
      </c>
      <c r="D320" s="6">
        <f>NAV!K786</f>
        <v>0</v>
      </c>
      <c r="E320" s="6">
        <f>NAV!L786</f>
        <v>0</v>
      </c>
      <c r="F320" s="6">
        <f>NAV!M786</f>
        <v>0</v>
      </c>
      <c r="G320" s="6">
        <f>NAV!N786</f>
        <v>0</v>
      </c>
      <c r="H320" s="6">
        <f>NAV!O786</f>
        <v>0</v>
      </c>
      <c r="I320" s="6">
        <f>NAV!P786</f>
        <v>0</v>
      </c>
      <c r="J320" s="6">
        <f>NAV!Q786</f>
        <v>0</v>
      </c>
      <c r="K320" s="9">
        <f>NAV!R786</f>
        <v>0</v>
      </c>
      <c r="L320" s="6">
        <f>NAV!S786</f>
        <v>0</v>
      </c>
      <c r="M320" s="6">
        <f>NAV!T786</f>
        <v>0</v>
      </c>
      <c r="N320" s="6" t="str">
        <f>NAV!U786</f>
        <v>한국 원화(KRW)</v>
      </c>
      <c r="O320" s="6">
        <f>NAV!V786</f>
        <v>1</v>
      </c>
      <c r="P320" s="6">
        <f>NAV!W786</f>
        <v>0</v>
      </c>
      <c r="Q320" s="6">
        <f>NAV!X786</f>
        <v>0</v>
      </c>
      <c r="R320" s="6">
        <f>NAV!Y786</f>
        <v>0</v>
      </c>
      <c r="S320" s="6">
        <f>NAV!Z786</f>
        <v>0</v>
      </c>
      <c r="T320" s="6">
        <f>NAV!AA786</f>
        <v>0</v>
      </c>
      <c r="U320" s="10">
        <f>NAV!AB786</f>
        <v>0</v>
      </c>
      <c r="V320" s="6" t="str">
        <f>NAV!AC786</f>
        <v>2년이상</v>
      </c>
    </row>
    <row r="321" spans="1:22">
      <c r="A321" s="7">
        <f t="shared" si="4"/>
        <v>320</v>
      </c>
      <c r="B321" s="7">
        <f>TYPE(종목정보tbl!$C321)</f>
        <v>1</v>
      </c>
      <c r="C321" s="6">
        <f>NAV!J787</f>
        <v>0</v>
      </c>
      <c r="D321" s="6">
        <f>NAV!K787</f>
        <v>0</v>
      </c>
      <c r="E321" s="6">
        <f>NAV!L787</f>
        <v>0</v>
      </c>
      <c r="F321" s="6">
        <f>NAV!M787</f>
        <v>0</v>
      </c>
      <c r="G321" s="6">
        <f>NAV!N787</f>
        <v>0</v>
      </c>
      <c r="H321" s="6">
        <f>NAV!O787</f>
        <v>0</v>
      </c>
      <c r="I321" s="6">
        <f>NAV!P787</f>
        <v>0</v>
      </c>
      <c r="J321" s="6">
        <f>NAV!Q787</f>
        <v>0</v>
      </c>
      <c r="K321" s="9">
        <f>NAV!R787</f>
        <v>0</v>
      </c>
      <c r="L321" s="6">
        <f>NAV!S787</f>
        <v>0</v>
      </c>
      <c r="M321" s="6">
        <f>NAV!T787</f>
        <v>0</v>
      </c>
      <c r="N321" s="6" t="str">
        <f>NAV!U787</f>
        <v>한국 원화(KRW)</v>
      </c>
      <c r="O321" s="6">
        <f>NAV!V787</f>
        <v>1</v>
      </c>
      <c r="P321" s="6">
        <f>NAV!W787</f>
        <v>0</v>
      </c>
      <c r="Q321" s="6">
        <f>NAV!X787</f>
        <v>0</v>
      </c>
      <c r="R321" s="6">
        <f>NAV!Y787</f>
        <v>0</v>
      </c>
      <c r="S321" s="6">
        <f>NAV!Z787</f>
        <v>0</v>
      </c>
      <c r="T321" s="6">
        <f>NAV!AA787</f>
        <v>0</v>
      </c>
      <c r="U321" s="10">
        <f>NAV!AB787</f>
        <v>0</v>
      </c>
      <c r="V321" s="6" t="str">
        <f>NAV!AC787</f>
        <v>2년이상</v>
      </c>
    </row>
    <row r="322" spans="1:22">
      <c r="A322" s="7">
        <f t="shared" ref="A322:A385" si="5">ROW()-1</f>
        <v>321</v>
      </c>
      <c r="B322" s="7">
        <f>TYPE(종목정보tbl!$C322)</f>
        <v>1</v>
      </c>
      <c r="C322" s="6">
        <f>NAV!J788</f>
        <v>0</v>
      </c>
      <c r="D322" s="6">
        <f>NAV!K788</f>
        <v>0</v>
      </c>
      <c r="E322" s="6">
        <f>NAV!L788</f>
        <v>0</v>
      </c>
      <c r="F322" s="6">
        <f>NAV!M788</f>
        <v>0</v>
      </c>
      <c r="G322" s="6">
        <f>NAV!N788</f>
        <v>0</v>
      </c>
      <c r="H322" s="6">
        <f>NAV!O788</f>
        <v>0</v>
      </c>
      <c r="I322" s="6">
        <f>NAV!P788</f>
        <v>0</v>
      </c>
      <c r="J322" s="6">
        <f>NAV!Q788</f>
        <v>0</v>
      </c>
      <c r="K322" s="9">
        <f>NAV!R788</f>
        <v>0</v>
      </c>
      <c r="L322" s="6">
        <f>NAV!S788</f>
        <v>0</v>
      </c>
      <c r="M322" s="6">
        <f>NAV!T788</f>
        <v>0</v>
      </c>
      <c r="N322" s="6" t="str">
        <f>NAV!U788</f>
        <v>한국 원화(KRW)</v>
      </c>
      <c r="O322" s="6">
        <f>NAV!V788</f>
        <v>1</v>
      </c>
      <c r="P322" s="6">
        <f>NAV!W788</f>
        <v>0</v>
      </c>
      <c r="Q322" s="6">
        <f>NAV!X788</f>
        <v>0</v>
      </c>
      <c r="R322" s="6">
        <f>NAV!Y788</f>
        <v>0</v>
      </c>
      <c r="S322" s="6">
        <f>NAV!Z788</f>
        <v>0</v>
      </c>
      <c r="T322" s="6">
        <f>NAV!AA788</f>
        <v>0</v>
      </c>
      <c r="U322" s="10">
        <f>NAV!AB788</f>
        <v>0</v>
      </c>
      <c r="V322" s="6" t="str">
        <f>NAV!AC788</f>
        <v>2년이상</v>
      </c>
    </row>
    <row r="323" spans="1:22">
      <c r="A323" s="7">
        <f t="shared" si="5"/>
        <v>322</v>
      </c>
      <c r="B323" s="7">
        <f>TYPE(종목정보tbl!$C323)</f>
        <v>1</v>
      </c>
      <c r="C323" s="6">
        <f>NAV!J789</f>
        <v>0</v>
      </c>
      <c r="D323" s="6">
        <f>NAV!K789</f>
        <v>0</v>
      </c>
      <c r="E323" s="6">
        <f>NAV!L789</f>
        <v>0</v>
      </c>
      <c r="F323" s="6">
        <f>NAV!M789</f>
        <v>0</v>
      </c>
      <c r="G323" s="6">
        <f>NAV!N789</f>
        <v>0</v>
      </c>
      <c r="H323" s="6">
        <f>NAV!O789</f>
        <v>0</v>
      </c>
      <c r="I323" s="6">
        <f>NAV!P789</f>
        <v>0</v>
      </c>
      <c r="J323" s="6">
        <f>NAV!Q789</f>
        <v>0</v>
      </c>
      <c r="K323" s="9">
        <f>NAV!R789</f>
        <v>0</v>
      </c>
      <c r="L323" s="6">
        <f>NAV!S789</f>
        <v>0</v>
      </c>
      <c r="M323" s="6">
        <f>NAV!T789</f>
        <v>0</v>
      </c>
      <c r="N323" s="6" t="str">
        <f>NAV!U789</f>
        <v>한국 원화(KRW)</v>
      </c>
      <c r="O323" s="6">
        <f>NAV!V789</f>
        <v>1</v>
      </c>
      <c r="P323" s="6">
        <f>NAV!W789</f>
        <v>0</v>
      </c>
      <c r="Q323" s="6">
        <f>NAV!X789</f>
        <v>0</v>
      </c>
      <c r="R323" s="6">
        <f>NAV!Y789</f>
        <v>0</v>
      </c>
      <c r="S323" s="6">
        <f>NAV!Z789</f>
        <v>0</v>
      </c>
      <c r="T323" s="6">
        <f>NAV!AA789</f>
        <v>0</v>
      </c>
      <c r="U323" s="10">
        <f>NAV!AB789</f>
        <v>0</v>
      </c>
      <c r="V323" s="6" t="str">
        <f>NAV!AC789</f>
        <v>2년이상</v>
      </c>
    </row>
    <row r="324" spans="1:22">
      <c r="A324" s="7">
        <f t="shared" si="5"/>
        <v>323</v>
      </c>
      <c r="B324" s="7">
        <f>TYPE(종목정보tbl!$C324)</f>
        <v>1</v>
      </c>
      <c r="C324" s="6">
        <f>NAV!J790</f>
        <v>0</v>
      </c>
      <c r="D324" s="6">
        <f>NAV!K790</f>
        <v>0</v>
      </c>
      <c r="E324" s="6">
        <f>NAV!L790</f>
        <v>0</v>
      </c>
      <c r="F324" s="6">
        <f>NAV!M790</f>
        <v>0</v>
      </c>
      <c r="G324" s="6">
        <f>NAV!N790</f>
        <v>0</v>
      </c>
      <c r="H324" s="6">
        <f>NAV!O790</f>
        <v>0</v>
      </c>
      <c r="I324" s="6">
        <f>NAV!P790</f>
        <v>0</v>
      </c>
      <c r="J324" s="6">
        <f>NAV!Q790</f>
        <v>0</v>
      </c>
      <c r="K324" s="9">
        <f>NAV!R790</f>
        <v>0</v>
      </c>
      <c r="L324" s="6">
        <f>NAV!S790</f>
        <v>0</v>
      </c>
      <c r="M324" s="6">
        <f>NAV!T790</f>
        <v>0</v>
      </c>
      <c r="N324" s="6" t="str">
        <f>NAV!U790</f>
        <v>한국 원화(KRW)</v>
      </c>
      <c r="O324" s="6">
        <f>NAV!V790</f>
        <v>1</v>
      </c>
      <c r="P324" s="6">
        <f>NAV!W790</f>
        <v>0</v>
      </c>
      <c r="Q324" s="6">
        <f>NAV!X790</f>
        <v>0</v>
      </c>
      <c r="R324" s="6">
        <f>NAV!Y790</f>
        <v>0</v>
      </c>
      <c r="S324" s="6">
        <f>NAV!Z790</f>
        <v>0</v>
      </c>
      <c r="T324" s="6">
        <f>NAV!AA790</f>
        <v>0</v>
      </c>
      <c r="U324" s="10">
        <f>NAV!AB790</f>
        <v>0</v>
      </c>
      <c r="V324" s="6" t="str">
        <f>NAV!AC790</f>
        <v>2년이상</v>
      </c>
    </row>
    <row r="325" spans="1:22">
      <c r="A325" s="7">
        <f t="shared" si="5"/>
        <v>324</v>
      </c>
      <c r="B325" s="7">
        <f>TYPE(종목정보tbl!$C325)</f>
        <v>1</v>
      </c>
      <c r="C325" s="6">
        <f>NAV!J791</f>
        <v>0</v>
      </c>
      <c r="D325" s="6">
        <f>NAV!K791</f>
        <v>0</v>
      </c>
      <c r="E325" s="6">
        <f>NAV!L791</f>
        <v>0</v>
      </c>
      <c r="F325" s="6">
        <f>NAV!M791</f>
        <v>0</v>
      </c>
      <c r="G325" s="6">
        <f>NAV!N791</f>
        <v>0</v>
      </c>
      <c r="H325" s="6">
        <f>NAV!O791</f>
        <v>0</v>
      </c>
      <c r="I325" s="6">
        <f>NAV!P791</f>
        <v>0</v>
      </c>
      <c r="J325" s="6">
        <f>NAV!Q791</f>
        <v>0</v>
      </c>
      <c r="K325" s="9">
        <f>NAV!R791</f>
        <v>0</v>
      </c>
      <c r="L325" s="6">
        <f>NAV!S791</f>
        <v>0</v>
      </c>
      <c r="M325" s="6">
        <f>NAV!T791</f>
        <v>0</v>
      </c>
      <c r="N325" s="6" t="str">
        <f>NAV!U791</f>
        <v>한국 원화(KRW)</v>
      </c>
      <c r="O325" s="6">
        <f>NAV!V791</f>
        <v>1</v>
      </c>
      <c r="P325" s="6">
        <f>NAV!W791</f>
        <v>0</v>
      </c>
      <c r="Q325" s="6">
        <f>NAV!X791</f>
        <v>0</v>
      </c>
      <c r="R325" s="6">
        <f>NAV!Y791</f>
        <v>0</v>
      </c>
      <c r="S325" s="6">
        <f>NAV!Z791</f>
        <v>0</v>
      </c>
      <c r="T325" s="6">
        <f>NAV!AA791</f>
        <v>0</v>
      </c>
      <c r="U325" s="10">
        <f>NAV!AB791</f>
        <v>0</v>
      </c>
      <c r="V325" s="6" t="str">
        <f>NAV!AC791</f>
        <v>2년이상</v>
      </c>
    </row>
    <row r="326" spans="1:22">
      <c r="A326" s="7">
        <f t="shared" si="5"/>
        <v>325</v>
      </c>
      <c r="B326" s="7">
        <f>TYPE(종목정보tbl!$C326)</f>
        <v>1</v>
      </c>
      <c r="C326" s="6">
        <f>NAV!J792</f>
        <v>0</v>
      </c>
      <c r="D326" s="6">
        <f>NAV!K792</f>
        <v>0</v>
      </c>
      <c r="E326" s="6">
        <f>NAV!L792</f>
        <v>0</v>
      </c>
      <c r="F326" s="6">
        <f>NAV!M792</f>
        <v>0</v>
      </c>
      <c r="G326" s="6">
        <f>NAV!N792</f>
        <v>0</v>
      </c>
      <c r="H326" s="6">
        <f>NAV!O792</f>
        <v>0</v>
      </c>
      <c r="I326" s="6">
        <f>NAV!P792</f>
        <v>0</v>
      </c>
      <c r="J326" s="6">
        <f>NAV!Q792</f>
        <v>0</v>
      </c>
      <c r="K326" s="9">
        <f>NAV!R792</f>
        <v>0</v>
      </c>
      <c r="L326" s="6">
        <f>NAV!S792</f>
        <v>0</v>
      </c>
      <c r="M326" s="6">
        <f>NAV!T792</f>
        <v>0</v>
      </c>
      <c r="N326" s="6" t="str">
        <f>NAV!U792</f>
        <v>한국 원화(KRW)</v>
      </c>
      <c r="O326" s="6">
        <f>NAV!V792</f>
        <v>1</v>
      </c>
      <c r="P326" s="6">
        <f>NAV!W792</f>
        <v>0</v>
      </c>
      <c r="Q326" s="6">
        <f>NAV!X792</f>
        <v>0</v>
      </c>
      <c r="R326" s="6">
        <f>NAV!Y792</f>
        <v>0</v>
      </c>
      <c r="S326" s="6">
        <f>NAV!Z792</f>
        <v>0</v>
      </c>
      <c r="T326" s="6">
        <f>NAV!AA792</f>
        <v>0</v>
      </c>
      <c r="U326" s="10">
        <f>NAV!AB792</f>
        <v>0</v>
      </c>
      <c r="V326" s="6" t="str">
        <f>NAV!AC792</f>
        <v>2년이상</v>
      </c>
    </row>
    <row r="327" spans="1:22">
      <c r="A327" s="7">
        <f t="shared" si="5"/>
        <v>326</v>
      </c>
      <c r="B327" s="7">
        <f>TYPE(종목정보tbl!$C327)</f>
        <v>1</v>
      </c>
      <c r="C327" s="6">
        <f>NAV!J793</f>
        <v>0</v>
      </c>
      <c r="D327" s="6">
        <f>NAV!K793</f>
        <v>0</v>
      </c>
      <c r="E327" s="6">
        <f>NAV!L793</f>
        <v>0</v>
      </c>
      <c r="F327" s="6">
        <f>NAV!M793</f>
        <v>0</v>
      </c>
      <c r="G327" s="6">
        <f>NAV!N793</f>
        <v>0</v>
      </c>
      <c r="H327" s="6">
        <f>NAV!O793</f>
        <v>0</v>
      </c>
      <c r="I327" s="6">
        <f>NAV!P793</f>
        <v>0</v>
      </c>
      <c r="J327" s="6">
        <f>NAV!Q793</f>
        <v>0</v>
      </c>
      <c r="K327" s="9">
        <f>NAV!R793</f>
        <v>0</v>
      </c>
      <c r="L327" s="6">
        <f>NAV!S793</f>
        <v>0</v>
      </c>
      <c r="M327" s="6">
        <f>NAV!T793</f>
        <v>0</v>
      </c>
      <c r="N327" s="6" t="str">
        <f>NAV!U793</f>
        <v>한국 원화(KRW)</v>
      </c>
      <c r="O327" s="6">
        <f>NAV!V793</f>
        <v>1</v>
      </c>
      <c r="P327" s="6">
        <f>NAV!W793</f>
        <v>0</v>
      </c>
      <c r="Q327" s="6">
        <f>NAV!X793</f>
        <v>0</v>
      </c>
      <c r="R327" s="6">
        <f>NAV!Y793</f>
        <v>0</v>
      </c>
      <c r="S327" s="6">
        <f>NAV!Z793</f>
        <v>0</v>
      </c>
      <c r="T327" s="6">
        <f>NAV!AA793</f>
        <v>0</v>
      </c>
      <c r="U327" s="10">
        <f>NAV!AB793</f>
        <v>0</v>
      </c>
      <c r="V327" s="6" t="str">
        <f>NAV!AC793</f>
        <v>2년이상</v>
      </c>
    </row>
    <row r="328" spans="1:22">
      <c r="A328" s="7">
        <f t="shared" si="5"/>
        <v>327</v>
      </c>
      <c r="B328" s="7">
        <f>TYPE(종목정보tbl!$C328)</f>
        <v>1</v>
      </c>
      <c r="C328" s="6">
        <f>NAV!J821</f>
        <v>0</v>
      </c>
      <c r="D328" s="6">
        <f>NAV!K821</f>
        <v>0</v>
      </c>
      <c r="E328" s="6">
        <f>NAV!L821</f>
        <v>0</v>
      </c>
      <c r="F328" s="6">
        <f>NAV!M821</f>
        <v>0</v>
      </c>
      <c r="G328" s="6">
        <f>NAV!N821</f>
        <v>0</v>
      </c>
      <c r="H328" s="6">
        <f>NAV!O821</f>
        <v>0</v>
      </c>
      <c r="I328" s="6">
        <f>NAV!P821</f>
        <v>0</v>
      </c>
      <c r="J328" s="6">
        <f>NAV!Q821</f>
        <v>0</v>
      </c>
      <c r="K328" s="9">
        <f>NAV!R821</f>
        <v>0</v>
      </c>
      <c r="L328" s="6">
        <f>NAV!S821</f>
        <v>0</v>
      </c>
      <c r="M328" s="6">
        <f>NAV!T821</f>
        <v>0</v>
      </c>
      <c r="N328" s="6" t="str">
        <f>NAV!U821</f>
        <v>한국 원화(KRW)</v>
      </c>
      <c r="O328" s="6">
        <f>NAV!V821</f>
        <v>1</v>
      </c>
      <c r="P328" s="6">
        <f>NAV!W821</f>
        <v>0</v>
      </c>
      <c r="Q328" s="6">
        <f>NAV!X821</f>
        <v>0</v>
      </c>
      <c r="R328" s="6">
        <f>NAV!Y821</f>
        <v>0</v>
      </c>
      <c r="S328" s="6">
        <f>NAV!Z821</f>
        <v>0</v>
      </c>
      <c r="T328" s="6">
        <f>NAV!AA821</f>
        <v>0</v>
      </c>
      <c r="U328" s="10">
        <f>NAV!AB821</f>
        <v>0</v>
      </c>
      <c r="V328" s="6" t="str">
        <f>NAV!AC821</f>
        <v>2년이상</v>
      </c>
    </row>
    <row r="329" spans="1:22">
      <c r="A329" s="7">
        <f t="shared" si="5"/>
        <v>328</v>
      </c>
      <c r="B329" s="7">
        <f>TYPE(종목정보tbl!$C329)</f>
        <v>1</v>
      </c>
      <c r="C329" s="6">
        <f>NAV!J822</f>
        <v>0</v>
      </c>
      <c r="D329" s="6">
        <f>NAV!K822</f>
        <v>0</v>
      </c>
      <c r="E329" s="6">
        <f>NAV!L822</f>
        <v>0</v>
      </c>
      <c r="F329" s="6">
        <f>NAV!M822</f>
        <v>0</v>
      </c>
      <c r="G329" s="6">
        <f>NAV!N822</f>
        <v>0</v>
      </c>
      <c r="H329" s="6">
        <f>NAV!O822</f>
        <v>0</v>
      </c>
      <c r="I329" s="6">
        <f>NAV!P822</f>
        <v>0</v>
      </c>
      <c r="J329" s="6">
        <f>NAV!Q822</f>
        <v>0</v>
      </c>
      <c r="K329" s="9">
        <f>NAV!R822</f>
        <v>0</v>
      </c>
      <c r="L329" s="6">
        <f>NAV!S822</f>
        <v>0</v>
      </c>
      <c r="M329" s="6">
        <f>NAV!T822</f>
        <v>0</v>
      </c>
      <c r="N329" s="6" t="str">
        <f>NAV!U822</f>
        <v>한국 원화(KRW)</v>
      </c>
      <c r="O329" s="6">
        <f>NAV!V822</f>
        <v>1</v>
      </c>
      <c r="P329" s="6">
        <f>NAV!W822</f>
        <v>0</v>
      </c>
      <c r="Q329" s="6">
        <f>NAV!X822</f>
        <v>0</v>
      </c>
      <c r="R329" s="6">
        <f>NAV!Y822</f>
        <v>0</v>
      </c>
      <c r="S329" s="6">
        <f>NAV!Z822</f>
        <v>0</v>
      </c>
      <c r="T329" s="6">
        <f>NAV!AA822</f>
        <v>0</v>
      </c>
      <c r="U329" s="10">
        <f>NAV!AB822</f>
        <v>0</v>
      </c>
      <c r="V329" s="6" t="str">
        <f>NAV!AC822</f>
        <v>2년이상</v>
      </c>
    </row>
    <row r="330" spans="1:22">
      <c r="A330" s="7">
        <f t="shared" si="5"/>
        <v>329</v>
      </c>
      <c r="B330" s="7">
        <f>TYPE(종목정보tbl!$C330)</f>
        <v>1</v>
      </c>
      <c r="C330" s="6">
        <f>NAV!J823</f>
        <v>0</v>
      </c>
      <c r="D330" s="6">
        <f>NAV!K823</f>
        <v>0</v>
      </c>
      <c r="E330" s="6">
        <f>NAV!L823</f>
        <v>0</v>
      </c>
      <c r="F330" s="6">
        <f>NAV!M823</f>
        <v>0</v>
      </c>
      <c r="G330" s="6">
        <f>NAV!N823</f>
        <v>0</v>
      </c>
      <c r="H330" s="6">
        <f>NAV!O823</f>
        <v>0</v>
      </c>
      <c r="I330" s="6">
        <f>NAV!P823</f>
        <v>0</v>
      </c>
      <c r="J330" s="6">
        <f>NAV!Q823</f>
        <v>0</v>
      </c>
      <c r="K330" s="9">
        <f>NAV!R823</f>
        <v>0</v>
      </c>
      <c r="L330" s="6">
        <f>NAV!S823</f>
        <v>0</v>
      </c>
      <c r="M330" s="6">
        <f>NAV!T823</f>
        <v>0</v>
      </c>
      <c r="N330" s="6" t="str">
        <f>NAV!U823</f>
        <v>한국 원화(KRW)</v>
      </c>
      <c r="O330" s="6">
        <f>NAV!V823</f>
        <v>1</v>
      </c>
      <c r="P330" s="6">
        <f>NAV!W823</f>
        <v>0</v>
      </c>
      <c r="Q330" s="6">
        <f>NAV!X823</f>
        <v>0</v>
      </c>
      <c r="R330" s="6">
        <f>NAV!Y823</f>
        <v>0</v>
      </c>
      <c r="S330" s="6">
        <f>NAV!Z823</f>
        <v>0</v>
      </c>
      <c r="T330" s="6">
        <f>NAV!AA823</f>
        <v>0</v>
      </c>
      <c r="U330" s="10">
        <f>NAV!AB823</f>
        <v>0</v>
      </c>
      <c r="V330" s="6" t="str">
        <f>NAV!AC823</f>
        <v>2년이상</v>
      </c>
    </row>
    <row r="331" spans="1:22">
      <c r="A331" s="7">
        <f t="shared" si="5"/>
        <v>330</v>
      </c>
      <c r="B331" s="7">
        <f>TYPE(종목정보tbl!$C331)</f>
        <v>1</v>
      </c>
      <c r="C331" s="6">
        <f>NAV!J824</f>
        <v>0</v>
      </c>
      <c r="D331" s="6">
        <f>NAV!K824</f>
        <v>0</v>
      </c>
      <c r="E331" s="6">
        <f>NAV!L824</f>
        <v>0</v>
      </c>
      <c r="F331" s="6">
        <f>NAV!M824</f>
        <v>0</v>
      </c>
      <c r="G331" s="6">
        <f>NAV!N824</f>
        <v>0</v>
      </c>
      <c r="H331" s="6">
        <f>NAV!O824</f>
        <v>0</v>
      </c>
      <c r="I331" s="6">
        <f>NAV!P824</f>
        <v>0</v>
      </c>
      <c r="J331" s="6">
        <f>NAV!Q824</f>
        <v>0</v>
      </c>
      <c r="K331" s="9">
        <f>NAV!R824</f>
        <v>0</v>
      </c>
      <c r="L331" s="6">
        <f>NAV!S824</f>
        <v>0</v>
      </c>
      <c r="M331" s="6">
        <f>NAV!T824</f>
        <v>0</v>
      </c>
      <c r="N331" s="6" t="str">
        <f>NAV!U824</f>
        <v>한국 원화(KRW)</v>
      </c>
      <c r="O331" s="6">
        <f>NAV!V824</f>
        <v>1</v>
      </c>
      <c r="P331" s="6">
        <f>NAV!W824</f>
        <v>0</v>
      </c>
      <c r="Q331" s="6">
        <f>NAV!X824</f>
        <v>0</v>
      </c>
      <c r="R331" s="6">
        <f>NAV!Y824</f>
        <v>0</v>
      </c>
      <c r="S331" s="6">
        <f>NAV!Z824</f>
        <v>0</v>
      </c>
      <c r="T331" s="6">
        <f>NAV!AA824</f>
        <v>0</v>
      </c>
      <c r="U331" s="10">
        <f>NAV!AB824</f>
        <v>0</v>
      </c>
      <c r="V331" s="6" t="str">
        <f>NAV!AC824</f>
        <v>2년이상</v>
      </c>
    </row>
    <row r="332" spans="1:22">
      <c r="A332" s="7">
        <f t="shared" si="5"/>
        <v>331</v>
      </c>
      <c r="B332" s="7">
        <f>TYPE(종목정보tbl!$C332)</f>
        <v>1</v>
      </c>
      <c r="C332" s="6">
        <f>NAV!J825</f>
        <v>0</v>
      </c>
      <c r="D332" s="6">
        <f>NAV!K825</f>
        <v>0</v>
      </c>
      <c r="E332" s="6">
        <f>NAV!L825</f>
        <v>0</v>
      </c>
      <c r="F332" s="6">
        <f>NAV!M825</f>
        <v>0</v>
      </c>
      <c r="G332" s="6">
        <f>NAV!N825</f>
        <v>0</v>
      </c>
      <c r="H332" s="6">
        <f>NAV!O825</f>
        <v>0</v>
      </c>
      <c r="I332" s="6">
        <f>NAV!P825</f>
        <v>0</v>
      </c>
      <c r="J332" s="6">
        <f>NAV!Q825</f>
        <v>0</v>
      </c>
      <c r="K332" s="9">
        <f>NAV!R825</f>
        <v>0</v>
      </c>
      <c r="L332" s="6">
        <f>NAV!S825</f>
        <v>0</v>
      </c>
      <c r="M332" s="6">
        <f>NAV!T825</f>
        <v>0</v>
      </c>
      <c r="N332" s="6" t="str">
        <f>NAV!U825</f>
        <v>한국 원화(KRW)</v>
      </c>
      <c r="O332" s="6">
        <f>NAV!V825</f>
        <v>1</v>
      </c>
      <c r="P332" s="6">
        <f>NAV!W825</f>
        <v>0</v>
      </c>
      <c r="Q332" s="6">
        <f>NAV!X825</f>
        <v>0</v>
      </c>
      <c r="R332" s="6">
        <f>NAV!Y825</f>
        <v>0</v>
      </c>
      <c r="S332" s="6">
        <f>NAV!Z825</f>
        <v>0</v>
      </c>
      <c r="T332" s="6">
        <f>NAV!AA825</f>
        <v>0</v>
      </c>
      <c r="U332" s="10">
        <f>NAV!AB825</f>
        <v>0</v>
      </c>
      <c r="V332" s="6" t="str">
        <f>NAV!AC825</f>
        <v>2년이상</v>
      </c>
    </row>
    <row r="333" spans="1:22">
      <c r="A333" s="7">
        <f t="shared" si="5"/>
        <v>332</v>
      </c>
      <c r="B333" s="7">
        <f>TYPE(종목정보tbl!$C333)</f>
        <v>1</v>
      </c>
      <c r="C333" s="6">
        <f>NAV!J826</f>
        <v>0</v>
      </c>
      <c r="D333" s="6">
        <f>NAV!K826</f>
        <v>0</v>
      </c>
      <c r="E333" s="6">
        <f>NAV!L826</f>
        <v>0</v>
      </c>
      <c r="F333" s="6">
        <f>NAV!M826</f>
        <v>0</v>
      </c>
      <c r="G333" s="6">
        <f>NAV!N826</f>
        <v>0</v>
      </c>
      <c r="H333" s="6">
        <f>NAV!O826</f>
        <v>0</v>
      </c>
      <c r="I333" s="6">
        <f>NAV!P826</f>
        <v>0</v>
      </c>
      <c r="J333" s="6">
        <f>NAV!Q826</f>
        <v>0</v>
      </c>
      <c r="K333" s="9">
        <f>NAV!R826</f>
        <v>0</v>
      </c>
      <c r="L333" s="6">
        <f>NAV!S826</f>
        <v>0</v>
      </c>
      <c r="M333" s="6">
        <f>NAV!T826</f>
        <v>0</v>
      </c>
      <c r="N333" s="6" t="str">
        <f>NAV!U826</f>
        <v>한국 원화(KRW)</v>
      </c>
      <c r="O333" s="6">
        <f>NAV!V826</f>
        <v>1</v>
      </c>
      <c r="P333" s="6">
        <f>NAV!W826</f>
        <v>0</v>
      </c>
      <c r="Q333" s="6">
        <f>NAV!X826</f>
        <v>0</v>
      </c>
      <c r="R333" s="6">
        <f>NAV!Y826</f>
        <v>0</v>
      </c>
      <c r="S333" s="6">
        <f>NAV!Z826</f>
        <v>0</v>
      </c>
      <c r="T333" s="6">
        <f>NAV!AA826</f>
        <v>0</v>
      </c>
      <c r="U333" s="10">
        <f>NAV!AB826</f>
        <v>0</v>
      </c>
      <c r="V333" s="6" t="str">
        <f>NAV!AC826</f>
        <v>2년이상</v>
      </c>
    </row>
    <row r="334" spans="1:22">
      <c r="A334" s="7">
        <f t="shared" si="5"/>
        <v>333</v>
      </c>
      <c r="B334" s="7">
        <f>TYPE(종목정보tbl!$C334)</f>
        <v>1</v>
      </c>
      <c r="C334" s="6">
        <f>NAV!J827</f>
        <v>0</v>
      </c>
      <c r="D334" s="6">
        <f>NAV!K827</f>
        <v>0</v>
      </c>
      <c r="E334" s="6">
        <f>NAV!L827</f>
        <v>0</v>
      </c>
      <c r="F334" s="6">
        <f>NAV!M827</f>
        <v>0</v>
      </c>
      <c r="G334" s="6">
        <f>NAV!N827</f>
        <v>0</v>
      </c>
      <c r="H334" s="6">
        <f>NAV!O827</f>
        <v>0</v>
      </c>
      <c r="I334" s="6">
        <f>NAV!P827</f>
        <v>0</v>
      </c>
      <c r="J334" s="6">
        <f>NAV!Q827</f>
        <v>0</v>
      </c>
      <c r="K334" s="9">
        <f>NAV!R827</f>
        <v>0</v>
      </c>
      <c r="L334" s="6">
        <f>NAV!S827</f>
        <v>0</v>
      </c>
      <c r="M334" s="6">
        <f>NAV!T827</f>
        <v>0</v>
      </c>
      <c r="N334" s="6" t="str">
        <f>NAV!U827</f>
        <v>한국 원화(KRW)</v>
      </c>
      <c r="O334" s="6">
        <f>NAV!V827</f>
        <v>1</v>
      </c>
      <c r="P334" s="6">
        <f>NAV!W827</f>
        <v>0</v>
      </c>
      <c r="Q334" s="6">
        <f>NAV!X827</f>
        <v>0</v>
      </c>
      <c r="R334" s="6">
        <f>NAV!Y827</f>
        <v>0</v>
      </c>
      <c r="S334" s="6">
        <f>NAV!Z827</f>
        <v>0</v>
      </c>
      <c r="T334" s="6">
        <f>NAV!AA827</f>
        <v>0</v>
      </c>
      <c r="U334" s="10">
        <f>NAV!AB827</f>
        <v>0</v>
      </c>
      <c r="V334" s="6" t="str">
        <f>NAV!AC827</f>
        <v>2년이상</v>
      </c>
    </row>
    <row r="335" spans="1:22">
      <c r="A335" s="7">
        <f t="shared" si="5"/>
        <v>334</v>
      </c>
      <c r="B335" s="7">
        <f>TYPE(종목정보tbl!$C335)</f>
        <v>1</v>
      </c>
      <c r="C335" s="6">
        <f>NAV!J828</f>
        <v>0</v>
      </c>
      <c r="D335" s="6">
        <f>NAV!K828</f>
        <v>0</v>
      </c>
      <c r="E335" s="6">
        <f>NAV!L828</f>
        <v>0</v>
      </c>
      <c r="F335" s="6">
        <f>NAV!M828</f>
        <v>0</v>
      </c>
      <c r="G335" s="6">
        <f>NAV!N828</f>
        <v>0</v>
      </c>
      <c r="H335" s="6">
        <f>NAV!O828</f>
        <v>0</v>
      </c>
      <c r="I335" s="6">
        <f>NAV!P828</f>
        <v>0</v>
      </c>
      <c r="J335" s="6">
        <f>NAV!Q828</f>
        <v>0</v>
      </c>
      <c r="K335" s="9">
        <f>NAV!R828</f>
        <v>0</v>
      </c>
      <c r="L335" s="6">
        <f>NAV!S828</f>
        <v>0</v>
      </c>
      <c r="M335" s="6">
        <f>NAV!T828</f>
        <v>0</v>
      </c>
      <c r="N335" s="6" t="str">
        <f>NAV!U828</f>
        <v>한국 원화(KRW)</v>
      </c>
      <c r="O335" s="6">
        <f>NAV!V828</f>
        <v>1</v>
      </c>
      <c r="P335" s="6">
        <f>NAV!W828</f>
        <v>0</v>
      </c>
      <c r="Q335" s="6">
        <f>NAV!X828</f>
        <v>0</v>
      </c>
      <c r="R335" s="6">
        <f>NAV!Y828</f>
        <v>0</v>
      </c>
      <c r="S335" s="6">
        <f>NAV!Z828</f>
        <v>0</v>
      </c>
      <c r="T335" s="6">
        <f>NAV!AA828</f>
        <v>0</v>
      </c>
      <c r="U335" s="10">
        <f>NAV!AB828</f>
        <v>0</v>
      </c>
      <c r="V335" s="6" t="str">
        <f>NAV!AC828</f>
        <v>2년이상</v>
      </c>
    </row>
    <row r="336" spans="1:22">
      <c r="A336" s="7">
        <f t="shared" si="5"/>
        <v>335</v>
      </c>
      <c r="B336" s="7">
        <f>TYPE(종목정보tbl!$C336)</f>
        <v>1</v>
      </c>
      <c r="C336" s="6">
        <f>NAV!J829</f>
        <v>0</v>
      </c>
      <c r="D336" s="6">
        <f>NAV!K829</f>
        <v>0</v>
      </c>
      <c r="E336" s="6">
        <f>NAV!L829</f>
        <v>0</v>
      </c>
      <c r="F336" s="6">
        <f>NAV!M829</f>
        <v>0</v>
      </c>
      <c r="G336" s="6">
        <f>NAV!N829</f>
        <v>0</v>
      </c>
      <c r="H336" s="6">
        <f>NAV!O829</f>
        <v>0</v>
      </c>
      <c r="I336" s="6">
        <f>NAV!P829</f>
        <v>0</v>
      </c>
      <c r="J336" s="6">
        <f>NAV!Q829</f>
        <v>0</v>
      </c>
      <c r="K336" s="9">
        <f>NAV!R829</f>
        <v>0</v>
      </c>
      <c r="L336" s="6">
        <f>NAV!S829</f>
        <v>0</v>
      </c>
      <c r="M336" s="6">
        <f>NAV!T829</f>
        <v>0</v>
      </c>
      <c r="N336" s="6" t="str">
        <f>NAV!U829</f>
        <v>한국 원화(KRW)</v>
      </c>
      <c r="O336" s="6">
        <f>NAV!V829</f>
        <v>1</v>
      </c>
      <c r="P336" s="6">
        <f>NAV!W829</f>
        <v>0</v>
      </c>
      <c r="Q336" s="6">
        <f>NAV!X829</f>
        <v>0</v>
      </c>
      <c r="R336" s="6">
        <f>NAV!Y829</f>
        <v>0</v>
      </c>
      <c r="S336" s="6">
        <f>NAV!Z829</f>
        <v>0</v>
      </c>
      <c r="T336" s="6">
        <f>NAV!AA829</f>
        <v>0</v>
      </c>
      <c r="U336" s="10">
        <f>NAV!AB829</f>
        <v>0</v>
      </c>
      <c r="V336" s="6" t="str">
        <f>NAV!AC829</f>
        <v>2년이상</v>
      </c>
    </row>
    <row r="337" spans="1:22">
      <c r="A337" s="7">
        <f t="shared" si="5"/>
        <v>336</v>
      </c>
      <c r="B337" s="7">
        <f>TYPE(종목정보tbl!$C337)</f>
        <v>1</v>
      </c>
      <c r="C337" s="6">
        <f>NAV!J830</f>
        <v>0</v>
      </c>
      <c r="D337" s="6">
        <f>NAV!K830</f>
        <v>0</v>
      </c>
      <c r="E337" s="6">
        <f>NAV!L830</f>
        <v>0</v>
      </c>
      <c r="F337" s="6">
        <f>NAV!M830</f>
        <v>0</v>
      </c>
      <c r="G337" s="6">
        <f>NAV!N830</f>
        <v>0</v>
      </c>
      <c r="H337" s="6">
        <f>NAV!O830</f>
        <v>0</v>
      </c>
      <c r="I337" s="6">
        <f>NAV!P830</f>
        <v>0</v>
      </c>
      <c r="J337" s="6">
        <f>NAV!Q830</f>
        <v>0</v>
      </c>
      <c r="K337" s="9">
        <f>NAV!R830</f>
        <v>0</v>
      </c>
      <c r="L337" s="6">
        <f>NAV!S830</f>
        <v>0</v>
      </c>
      <c r="M337" s="6">
        <f>NAV!T830</f>
        <v>0</v>
      </c>
      <c r="N337" s="6" t="str">
        <f>NAV!U830</f>
        <v>한국 원화(KRW)</v>
      </c>
      <c r="O337" s="6">
        <f>NAV!V830</f>
        <v>1</v>
      </c>
      <c r="P337" s="6">
        <f>NAV!W830</f>
        <v>0</v>
      </c>
      <c r="Q337" s="6">
        <f>NAV!X830</f>
        <v>0</v>
      </c>
      <c r="R337" s="6">
        <f>NAV!Y830</f>
        <v>0</v>
      </c>
      <c r="S337" s="6">
        <f>NAV!Z830</f>
        <v>0</v>
      </c>
      <c r="T337" s="6">
        <f>NAV!AA830</f>
        <v>0</v>
      </c>
      <c r="U337" s="10">
        <f>NAV!AB830</f>
        <v>0</v>
      </c>
      <c r="V337" s="6" t="str">
        <f>NAV!AC830</f>
        <v>2년이상</v>
      </c>
    </row>
    <row r="338" spans="1:22">
      <c r="A338" s="7">
        <f t="shared" si="5"/>
        <v>337</v>
      </c>
      <c r="B338" s="7">
        <f>TYPE(종목정보tbl!$C338)</f>
        <v>1</v>
      </c>
      <c r="C338" s="6">
        <f>NAV!J831</f>
        <v>0</v>
      </c>
      <c r="D338" s="6">
        <f>NAV!K831</f>
        <v>0</v>
      </c>
      <c r="E338" s="6">
        <f>NAV!L831</f>
        <v>0</v>
      </c>
      <c r="F338" s="6">
        <f>NAV!M831</f>
        <v>0</v>
      </c>
      <c r="G338" s="6">
        <f>NAV!N831</f>
        <v>0</v>
      </c>
      <c r="H338" s="6">
        <f>NAV!O831</f>
        <v>0</v>
      </c>
      <c r="I338" s="6">
        <f>NAV!P831</f>
        <v>0</v>
      </c>
      <c r="J338" s="6">
        <f>NAV!Q831</f>
        <v>0</v>
      </c>
      <c r="K338" s="9">
        <f>NAV!R831</f>
        <v>0</v>
      </c>
      <c r="L338" s="6">
        <f>NAV!S831</f>
        <v>0</v>
      </c>
      <c r="M338" s="6">
        <f>NAV!T831</f>
        <v>0</v>
      </c>
      <c r="N338" s="6" t="str">
        <f>NAV!U831</f>
        <v>한국 원화(KRW)</v>
      </c>
      <c r="O338" s="6">
        <f>NAV!V831</f>
        <v>1</v>
      </c>
      <c r="P338" s="6">
        <f>NAV!W831</f>
        <v>0</v>
      </c>
      <c r="Q338" s="6">
        <f>NAV!X831</f>
        <v>0</v>
      </c>
      <c r="R338" s="6">
        <f>NAV!Y831</f>
        <v>0</v>
      </c>
      <c r="S338" s="6">
        <f>NAV!Z831</f>
        <v>0</v>
      </c>
      <c r="T338" s="6">
        <f>NAV!AA831</f>
        <v>0</v>
      </c>
      <c r="U338" s="10">
        <f>NAV!AB831</f>
        <v>0</v>
      </c>
      <c r="V338" s="6" t="str">
        <f>NAV!AC831</f>
        <v>2년이상</v>
      </c>
    </row>
    <row r="339" spans="1:22">
      <c r="A339" s="7">
        <f t="shared" si="5"/>
        <v>338</v>
      </c>
      <c r="B339" s="7">
        <f>TYPE(종목정보tbl!$C339)</f>
        <v>1</v>
      </c>
      <c r="C339" s="6">
        <f>NAV!J859</f>
        <v>0</v>
      </c>
      <c r="D339" s="6">
        <f>NAV!K859</f>
        <v>0</v>
      </c>
      <c r="E339" s="6">
        <f>NAV!L859</f>
        <v>0</v>
      </c>
      <c r="F339" s="6">
        <f>NAV!M859</f>
        <v>0</v>
      </c>
      <c r="G339" s="6">
        <f>NAV!N859</f>
        <v>0</v>
      </c>
      <c r="H339" s="6">
        <f>NAV!O859</f>
        <v>0</v>
      </c>
      <c r="I339" s="6">
        <f>NAV!P859</f>
        <v>0</v>
      </c>
      <c r="J339" s="6">
        <f>NAV!Q859</f>
        <v>0</v>
      </c>
      <c r="K339" s="9">
        <f>NAV!R859</f>
        <v>0</v>
      </c>
      <c r="L339" s="6">
        <f>NAV!S859</f>
        <v>0</v>
      </c>
      <c r="M339" s="6">
        <f>NAV!T859</f>
        <v>0</v>
      </c>
      <c r="N339" s="6" t="str">
        <f>NAV!U859</f>
        <v>한국 원화(KRW)</v>
      </c>
      <c r="O339" s="6">
        <f>NAV!V859</f>
        <v>1</v>
      </c>
      <c r="P339" s="6">
        <f>NAV!W859</f>
        <v>0</v>
      </c>
      <c r="Q339" s="6">
        <f>NAV!X859</f>
        <v>0</v>
      </c>
      <c r="R339" s="6">
        <f>NAV!Y859</f>
        <v>0</v>
      </c>
      <c r="S339" s="6">
        <f>NAV!Z859</f>
        <v>0</v>
      </c>
      <c r="T339" s="6">
        <f>NAV!AA859</f>
        <v>0</v>
      </c>
      <c r="U339" s="10">
        <f>NAV!AB859</f>
        <v>0</v>
      </c>
      <c r="V339" s="6" t="str">
        <f>NAV!AC859</f>
        <v>2년이상</v>
      </c>
    </row>
    <row r="340" spans="1:22">
      <c r="A340" s="7">
        <f t="shared" si="5"/>
        <v>339</v>
      </c>
      <c r="B340" s="7">
        <f>TYPE(종목정보tbl!$C340)</f>
        <v>1</v>
      </c>
      <c r="C340" s="6">
        <f>NAV!J860</f>
        <v>0</v>
      </c>
      <c r="D340" s="6">
        <f>NAV!K860</f>
        <v>0</v>
      </c>
      <c r="E340" s="6">
        <f>NAV!L860</f>
        <v>0</v>
      </c>
      <c r="F340" s="6">
        <f>NAV!M860</f>
        <v>0</v>
      </c>
      <c r="G340" s="6">
        <f>NAV!N860</f>
        <v>0</v>
      </c>
      <c r="H340" s="6">
        <f>NAV!O860</f>
        <v>0</v>
      </c>
      <c r="I340" s="6">
        <f>NAV!P860</f>
        <v>0</v>
      </c>
      <c r="J340" s="6">
        <f>NAV!Q860</f>
        <v>0</v>
      </c>
      <c r="K340" s="9">
        <f>NAV!R860</f>
        <v>0</v>
      </c>
      <c r="L340" s="6">
        <f>NAV!S860</f>
        <v>0</v>
      </c>
      <c r="M340" s="6">
        <f>NAV!T860</f>
        <v>0</v>
      </c>
      <c r="N340" s="6" t="str">
        <f>NAV!U860</f>
        <v>한국 원화(KRW)</v>
      </c>
      <c r="O340" s="6">
        <f>NAV!V860</f>
        <v>1</v>
      </c>
      <c r="P340" s="6">
        <f>NAV!W860</f>
        <v>0</v>
      </c>
      <c r="Q340" s="6">
        <f>NAV!X860</f>
        <v>0</v>
      </c>
      <c r="R340" s="6">
        <f>NAV!Y860</f>
        <v>0</v>
      </c>
      <c r="S340" s="6">
        <f>NAV!Z860</f>
        <v>0</v>
      </c>
      <c r="T340" s="6">
        <f>NAV!AA860</f>
        <v>0</v>
      </c>
      <c r="U340" s="10">
        <f>NAV!AB860</f>
        <v>0</v>
      </c>
      <c r="V340" s="6" t="str">
        <f>NAV!AC860</f>
        <v>2년이상</v>
      </c>
    </row>
    <row r="341" spans="1:22">
      <c r="A341" s="7">
        <f t="shared" si="5"/>
        <v>340</v>
      </c>
      <c r="B341" s="7">
        <f>TYPE(종목정보tbl!$C341)</f>
        <v>1</v>
      </c>
      <c r="C341" s="6">
        <f>NAV!J861</f>
        <v>0</v>
      </c>
      <c r="D341" s="6">
        <f>NAV!K861</f>
        <v>0</v>
      </c>
      <c r="E341" s="6">
        <f>NAV!L861</f>
        <v>0</v>
      </c>
      <c r="F341" s="6">
        <f>NAV!M861</f>
        <v>0</v>
      </c>
      <c r="G341" s="6">
        <f>NAV!N861</f>
        <v>0</v>
      </c>
      <c r="H341" s="6">
        <f>NAV!O861</f>
        <v>0</v>
      </c>
      <c r="I341" s="6">
        <f>NAV!P861</f>
        <v>0</v>
      </c>
      <c r="J341" s="6">
        <f>NAV!Q861</f>
        <v>0</v>
      </c>
      <c r="K341" s="9">
        <f>NAV!R861</f>
        <v>0</v>
      </c>
      <c r="L341" s="6">
        <f>NAV!S861</f>
        <v>0</v>
      </c>
      <c r="M341" s="6">
        <f>NAV!T861</f>
        <v>0</v>
      </c>
      <c r="N341" s="6" t="str">
        <f>NAV!U861</f>
        <v>한국 원화(KRW)</v>
      </c>
      <c r="O341" s="6">
        <f>NAV!V861</f>
        <v>1</v>
      </c>
      <c r="P341" s="6">
        <f>NAV!W861</f>
        <v>0</v>
      </c>
      <c r="Q341" s="6">
        <f>NAV!X861</f>
        <v>0</v>
      </c>
      <c r="R341" s="6">
        <f>NAV!Y861</f>
        <v>0</v>
      </c>
      <c r="S341" s="6">
        <f>NAV!Z861</f>
        <v>0</v>
      </c>
      <c r="T341" s="6">
        <f>NAV!AA861</f>
        <v>0</v>
      </c>
      <c r="U341" s="10">
        <f>NAV!AB861</f>
        <v>0</v>
      </c>
      <c r="V341" s="6" t="str">
        <f>NAV!AC861</f>
        <v>2년이상</v>
      </c>
    </row>
    <row r="342" spans="1:22">
      <c r="A342" s="7">
        <f t="shared" si="5"/>
        <v>341</v>
      </c>
      <c r="B342" s="7">
        <f>TYPE(종목정보tbl!$C342)</f>
        <v>1</v>
      </c>
      <c r="C342" s="6">
        <f>NAV!J862</f>
        <v>0</v>
      </c>
      <c r="D342" s="6">
        <f>NAV!K862</f>
        <v>0</v>
      </c>
      <c r="E342" s="6">
        <f>NAV!L862</f>
        <v>0</v>
      </c>
      <c r="F342" s="6">
        <f>NAV!M862</f>
        <v>0</v>
      </c>
      <c r="G342" s="6">
        <f>NAV!N862</f>
        <v>0</v>
      </c>
      <c r="H342" s="6">
        <f>NAV!O862</f>
        <v>0</v>
      </c>
      <c r="I342" s="6">
        <f>NAV!P862</f>
        <v>0</v>
      </c>
      <c r="J342" s="6">
        <f>NAV!Q862</f>
        <v>0</v>
      </c>
      <c r="K342" s="9">
        <f>NAV!R862</f>
        <v>0</v>
      </c>
      <c r="L342" s="6">
        <f>NAV!S862</f>
        <v>0</v>
      </c>
      <c r="M342" s="6">
        <f>NAV!T862</f>
        <v>0</v>
      </c>
      <c r="N342" s="6" t="str">
        <f>NAV!U862</f>
        <v>한국 원화(KRW)</v>
      </c>
      <c r="O342" s="6">
        <f>NAV!V862</f>
        <v>1</v>
      </c>
      <c r="P342" s="6">
        <f>NAV!W862</f>
        <v>0</v>
      </c>
      <c r="Q342" s="6">
        <f>NAV!X862</f>
        <v>0</v>
      </c>
      <c r="R342" s="6">
        <f>NAV!Y862</f>
        <v>0</v>
      </c>
      <c r="S342" s="6">
        <f>NAV!Z862</f>
        <v>0</v>
      </c>
      <c r="T342" s="6">
        <f>NAV!AA862</f>
        <v>0</v>
      </c>
      <c r="U342" s="10">
        <f>NAV!AB862</f>
        <v>0</v>
      </c>
      <c r="V342" s="6" t="str">
        <f>NAV!AC862</f>
        <v>2년이상</v>
      </c>
    </row>
    <row r="343" spans="1:22">
      <c r="A343" s="7">
        <f t="shared" si="5"/>
        <v>342</v>
      </c>
      <c r="B343" s="7">
        <f>TYPE(종목정보tbl!$C343)</f>
        <v>1</v>
      </c>
      <c r="C343" s="6">
        <f>NAV!J863</f>
        <v>0</v>
      </c>
      <c r="D343" s="6">
        <f>NAV!K863</f>
        <v>0</v>
      </c>
      <c r="E343" s="6">
        <f>NAV!L863</f>
        <v>0</v>
      </c>
      <c r="F343" s="6">
        <f>NAV!M863</f>
        <v>0</v>
      </c>
      <c r="G343" s="6">
        <f>NAV!N863</f>
        <v>0</v>
      </c>
      <c r="H343" s="6">
        <f>NAV!O863</f>
        <v>0</v>
      </c>
      <c r="I343" s="6">
        <f>NAV!P863</f>
        <v>0</v>
      </c>
      <c r="J343" s="6">
        <f>NAV!Q863</f>
        <v>0</v>
      </c>
      <c r="K343" s="9">
        <f>NAV!R863</f>
        <v>0</v>
      </c>
      <c r="L343" s="6">
        <f>NAV!S863</f>
        <v>0</v>
      </c>
      <c r="M343" s="6">
        <f>NAV!T863</f>
        <v>0</v>
      </c>
      <c r="N343" s="6" t="str">
        <f>NAV!U863</f>
        <v>한국 원화(KRW)</v>
      </c>
      <c r="O343" s="6">
        <f>NAV!V863</f>
        <v>1</v>
      </c>
      <c r="P343" s="6">
        <f>NAV!W863</f>
        <v>0</v>
      </c>
      <c r="Q343" s="6">
        <f>NAV!X863</f>
        <v>0</v>
      </c>
      <c r="R343" s="6">
        <f>NAV!Y863</f>
        <v>0</v>
      </c>
      <c r="S343" s="6">
        <f>NAV!Z863</f>
        <v>0</v>
      </c>
      <c r="T343" s="6">
        <f>NAV!AA863</f>
        <v>0</v>
      </c>
      <c r="U343" s="10">
        <f>NAV!AB863</f>
        <v>0</v>
      </c>
      <c r="V343" s="6" t="str">
        <f>NAV!AC863</f>
        <v>2년이상</v>
      </c>
    </row>
    <row r="344" spans="1:22">
      <c r="A344" s="7">
        <f t="shared" si="5"/>
        <v>343</v>
      </c>
      <c r="B344" s="7">
        <f>TYPE(종목정보tbl!$C344)</f>
        <v>1</v>
      </c>
      <c r="C344" s="6">
        <f>NAV!J864</f>
        <v>0</v>
      </c>
      <c r="D344" s="6">
        <f>NAV!K864</f>
        <v>0</v>
      </c>
      <c r="E344" s="6">
        <f>NAV!L864</f>
        <v>0</v>
      </c>
      <c r="F344" s="6">
        <f>NAV!M864</f>
        <v>0</v>
      </c>
      <c r="G344" s="6">
        <f>NAV!N864</f>
        <v>0</v>
      </c>
      <c r="H344" s="6">
        <f>NAV!O864</f>
        <v>0</v>
      </c>
      <c r="I344" s="6">
        <f>NAV!P864</f>
        <v>0</v>
      </c>
      <c r="J344" s="6">
        <f>NAV!Q864</f>
        <v>0</v>
      </c>
      <c r="K344" s="9">
        <f>NAV!R864</f>
        <v>0</v>
      </c>
      <c r="L344" s="6">
        <f>NAV!S864</f>
        <v>0</v>
      </c>
      <c r="M344" s="6">
        <f>NAV!T864</f>
        <v>0</v>
      </c>
      <c r="N344" s="6" t="str">
        <f>NAV!U864</f>
        <v>한국 원화(KRW)</v>
      </c>
      <c r="O344" s="6">
        <f>NAV!V864</f>
        <v>1</v>
      </c>
      <c r="P344" s="6">
        <f>NAV!W864</f>
        <v>0</v>
      </c>
      <c r="Q344" s="6">
        <f>NAV!X864</f>
        <v>0</v>
      </c>
      <c r="R344" s="6">
        <f>NAV!Y864</f>
        <v>0</v>
      </c>
      <c r="S344" s="6">
        <f>NAV!Z864</f>
        <v>0</v>
      </c>
      <c r="T344" s="6">
        <f>NAV!AA864</f>
        <v>0</v>
      </c>
      <c r="U344" s="10">
        <f>NAV!AB864</f>
        <v>0</v>
      </c>
      <c r="V344" s="6" t="str">
        <f>NAV!AC864</f>
        <v>2년이상</v>
      </c>
    </row>
    <row r="345" spans="1:22">
      <c r="A345" s="7">
        <f t="shared" si="5"/>
        <v>344</v>
      </c>
      <c r="B345" s="7">
        <f>TYPE(종목정보tbl!$C345)</f>
        <v>1</v>
      </c>
      <c r="C345" s="6">
        <f>NAV!J865</f>
        <v>0</v>
      </c>
      <c r="D345" s="6">
        <f>NAV!K865</f>
        <v>0</v>
      </c>
      <c r="E345" s="6">
        <f>NAV!L865</f>
        <v>0</v>
      </c>
      <c r="F345" s="6">
        <f>NAV!M865</f>
        <v>0</v>
      </c>
      <c r="G345" s="6">
        <f>NAV!N865</f>
        <v>0</v>
      </c>
      <c r="H345" s="6">
        <f>NAV!O865</f>
        <v>0</v>
      </c>
      <c r="I345" s="6">
        <f>NAV!P865</f>
        <v>0</v>
      </c>
      <c r="J345" s="6">
        <f>NAV!Q865</f>
        <v>0</v>
      </c>
      <c r="K345" s="9">
        <f>NAV!R865</f>
        <v>0</v>
      </c>
      <c r="L345" s="6">
        <f>NAV!S865</f>
        <v>0</v>
      </c>
      <c r="M345" s="6">
        <f>NAV!T865</f>
        <v>0</v>
      </c>
      <c r="N345" s="6" t="str">
        <f>NAV!U865</f>
        <v>한국 원화(KRW)</v>
      </c>
      <c r="O345" s="6">
        <f>NAV!V865</f>
        <v>1</v>
      </c>
      <c r="P345" s="6">
        <f>NAV!W865</f>
        <v>0</v>
      </c>
      <c r="Q345" s="6">
        <f>NAV!X865</f>
        <v>0</v>
      </c>
      <c r="R345" s="6">
        <f>NAV!Y865</f>
        <v>0</v>
      </c>
      <c r="S345" s="6">
        <f>NAV!Z865</f>
        <v>0</v>
      </c>
      <c r="T345" s="6">
        <f>NAV!AA865</f>
        <v>0</v>
      </c>
      <c r="U345" s="10">
        <f>NAV!AB865</f>
        <v>0</v>
      </c>
      <c r="V345" s="6" t="str">
        <f>NAV!AC865</f>
        <v>2년이상</v>
      </c>
    </row>
    <row r="346" spans="1:22">
      <c r="A346" s="7">
        <f t="shared" si="5"/>
        <v>345</v>
      </c>
      <c r="B346" s="7">
        <f>TYPE(종목정보tbl!$C346)</f>
        <v>1</v>
      </c>
      <c r="C346" s="6">
        <f>NAV!J866</f>
        <v>0</v>
      </c>
      <c r="D346" s="6">
        <f>NAV!K866</f>
        <v>0</v>
      </c>
      <c r="E346" s="6">
        <f>NAV!L866</f>
        <v>0</v>
      </c>
      <c r="F346" s="6">
        <f>NAV!M866</f>
        <v>0</v>
      </c>
      <c r="G346" s="6">
        <f>NAV!N866</f>
        <v>0</v>
      </c>
      <c r="H346" s="6">
        <f>NAV!O866</f>
        <v>0</v>
      </c>
      <c r="I346" s="6">
        <f>NAV!P866</f>
        <v>0</v>
      </c>
      <c r="J346" s="6">
        <f>NAV!Q866</f>
        <v>0</v>
      </c>
      <c r="K346" s="9">
        <f>NAV!R866</f>
        <v>0</v>
      </c>
      <c r="L346" s="6">
        <f>NAV!S866</f>
        <v>0</v>
      </c>
      <c r="M346" s="6">
        <f>NAV!T866</f>
        <v>0</v>
      </c>
      <c r="N346" s="6" t="str">
        <f>NAV!U866</f>
        <v>한국 원화(KRW)</v>
      </c>
      <c r="O346" s="6">
        <f>NAV!V866</f>
        <v>1</v>
      </c>
      <c r="P346" s="6">
        <f>NAV!W866</f>
        <v>0</v>
      </c>
      <c r="Q346" s="6">
        <f>NAV!X866</f>
        <v>0</v>
      </c>
      <c r="R346" s="6">
        <f>NAV!Y866</f>
        <v>0</v>
      </c>
      <c r="S346" s="6">
        <f>NAV!Z866</f>
        <v>0</v>
      </c>
      <c r="T346" s="6">
        <f>NAV!AA866</f>
        <v>0</v>
      </c>
      <c r="U346" s="10">
        <f>NAV!AB866</f>
        <v>0</v>
      </c>
      <c r="V346" s="6" t="str">
        <f>NAV!AC866</f>
        <v>2년이상</v>
      </c>
    </row>
    <row r="347" spans="1:22">
      <c r="A347" s="7">
        <f t="shared" si="5"/>
        <v>346</v>
      </c>
      <c r="B347" s="7">
        <f>TYPE(종목정보tbl!$C347)</f>
        <v>1</v>
      </c>
      <c r="C347" s="6">
        <f>NAV!J867</f>
        <v>0</v>
      </c>
      <c r="D347" s="6">
        <f>NAV!K867</f>
        <v>0</v>
      </c>
      <c r="E347" s="6">
        <f>NAV!L867</f>
        <v>0</v>
      </c>
      <c r="F347" s="6">
        <f>NAV!M867</f>
        <v>0</v>
      </c>
      <c r="G347" s="6">
        <f>NAV!N867</f>
        <v>0</v>
      </c>
      <c r="H347" s="6">
        <f>NAV!O867</f>
        <v>0</v>
      </c>
      <c r="I347" s="6">
        <f>NAV!P867</f>
        <v>0</v>
      </c>
      <c r="J347" s="6">
        <f>NAV!Q867</f>
        <v>0</v>
      </c>
      <c r="K347" s="9">
        <f>NAV!R867</f>
        <v>0</v>
      </c>
      <c r="L347" s="6">
        <f>NAV!S867</f>
        <v>0</v>
      </c>
      <c r="M347" s="6">
        <f>NAV!T867</f>
        <v>0</v>
      </c>
      <c r="N347" s="6" t="str">
        <f>NAV!U867</f>
        <v>한국 원화(KRW)</v>
      </c>
      <c r="O347" s="6">
        <f>NAV!V867</f>
        <v>1</v>
      </c>
      <c r="P347" s="6">
        <f>NAV!W867</f>
        <v>0</v>
      </c>
      <c r="Q347" s="6">
        <f>NAV!X867</f>
        <v>0</v>
      </c>
      <c r="R347" s="6">
        <f>NAV!Y867</f>
        <v>0</v>
      </c>
      <c r="S347" s="6">
        <f>NAV!Z867</f>
        <v>0</v>
      </c>
      <c r="T347" s="6">
        <f>NAV!AA867</f>
        <v>0</v>
      </c>
      <c r="U347" s="10">
        <f>NAV!AB867</f>
        <v>0</v>
      </c>
      <c r="V347" s="6" t="str">
        <f>NAV!AC867</f>
        <v>2년이상</v>
      </c>
    </row>
    <row r="348" spans="1:22">
      <c r="A348" s="7">
        <f t="shared" si="5"/>
        <v>347</v>
      </c>
      <c r="B348" s="7">
        <f>TYPE(종목정보tbl!$C348)</f>
        <v>1</v>
      </c>
      <c r="C348" s="6">
        <f>NAV!J868</f>
        <v>0</v>
      </c>
      <c r="D348" s="6">
        <f>NAV!K868</f>
        <v>0</v>
      </c>
      <c r="E348" s="6">
        <f>NAV!L868</f>
        <v>0</v>
      </c>
      <c r="F348" s="6">
        <f>NAV!M868</f>
        <v>0</v>
      </c>
      <c r="G348" s="6">
        <f>NAV!N868</f>
        <v>0</v>
      </c>
      <c r="H348" s="6">
        <f>NAV!O868</f>
        <v>0</v>
      </c>
      <c r="I348" s="6">
        <f>NAV!P868</f>
        <v>0</v>
      </c>
      <c r="J348" s="6">
        <f>NAV!Q868</f>
        <v>0</v>
      </c>
      <c r="K348" s="9">
        <f>NAV!R868</f>
        <v>0</v>
      </c>
      <c r="L348" s="6">
        <f>NAV!S868</f>
        <v>0</v>
      </c>
      <c r="M348" s="6">
        <f>NAV!T868</f>
        <v>0</v>
      </c>
      <c r="N348" s="6" t="str">
        <f>NAV!U868</f>
        <v>한국 원화(KRW)</v>
      </c>
      <c r="O348" s="6">
        <f>NAV!V868</f>
        <v>1</v>
      </c>
      <c r="P348" s="6">
        <f>NAV!W868</f>
        <v>0</v>
      </c>
      <c r="Q348" s="6">
        <f>NAV!X868</f>
        <v>0</v>
      </c>
      <c r="R348" s="6">
        <f>NAV!Y868</f>
        <v>0</v>
      </c>
      <c r="S348" s="6">
        <f>NAV!Z868</f>
        <v>0</v>
      </c>
      <c r="T348" s="6">
        <f>NAV!AA868</f>
        <v>0</v>
      </c>
      <c r="U348" s="10">
        <f>NAV!AB868</f>
        <v>0</v>
      </c>
      <c r="V348" s="6" t="str">
        <f>NAV!AC868</f>
        <v>2년이상</v>
      </c>
    </row>
    <row r="349" spans="1:22">
      <c r="A349" s="7">
        <f t="shared" si="5"/>
        <v>348</v>
      </c>
      <c r="B349" s="7">
        <f>TYPE(종목정보tbl!$C349)</f>
        <v>1</v>
      </c>
      <c r="C349" s="6">
        <f>NAV!J869</f>
        <v>0</v>
      </c>
      <c r="D349" s="6">
        <f>NAV!K869</f>
        <v>0</v>
      </c>
      <c r="E349" s="6">
        <f>NAV!L869</f>
        <v>0</v>
      </c>
      <c r="F349" s="6">
        <f>NAV!M869</f>
        <v>0</v>
      </c>
      <c r="G349" s="6">
        <f>NAV!N869</f>
        <v>0</v>
      </c>
      <c r="H349" s="6">
        <f>NAV!O869</f>
        <v>0</v>
      </c>
      <c r="I349" s="6">
        <f>NAV!P869</f>
        <v>0</v>
      </c>
      <c r="J349" s="6">
        <f>NAV!Q869</f>
        <v>0</v>
      </c>
      <c r="K349" s="9">
        <f>NAV!R869</f>
        <v>0</v>
      </c>
      <c r="L349" s="6">
        <f>NAV!S869</f>
        <v>0</v>
      </c>
      <c r="M349" s="6">
        <f>NAV!T869</f>
        <v>0</v>
      </c>
      <c r="N349" s="6" t="str">
        <f>NAV!U869</f>
        <v>한국 원화(KRW)</v>
      </c>
      <c r="O349" s="6">
        <f>NAV!V869</f>
        <v>1</v>
      </c>
      <c r="P349" s="6">
        <f>NAV!W869</f>
        <v>0</v>
      </c>
      <c r="Q349" s="6">
        <f>NAV!X869</f>
        <v>0</v>
      </c>
      <c r="R349" s="6">
        <f>NAV!Y869</f>
        <v>0</v>
      </c>
      <c r="S349" s="6">
        <f>NAV!Z869</f>
        <v>0</v>
      </c>
      <c r="T349" s="6">
        <f>NAV!AA869</f>
        <v>0</v>
      </c>
      <c r="U349" s="10">
        <f>NAV!AB869</f>
        <v>0</v>
      </c>
      <c r="V349" s="6" t="str">
        <f>NAV!AC869</f>
        <v>2년이상</v>
      </c>
    </row>
    <row r="350" spans="1:22">
      <c r="A350" s="7">
        <f t="shared" si="5"/>
        <v>349</v>
      </c>
      <c r="B350" s="7">
        <f>TYPE(종목정보tbl!$C350)</f>
        <v>1</v>
      </c>
      <c r="C350" s="6">
        <f>NAV!J897</f>
        <v>0</v>
      </c>
      <c r="D350" s="6">
        <f>NAV!K897</f>
        <v>0</v>
      </c>
      <c r="E350" s="6">
        <f>NAV!L897</f>
        <v>0</v>
      </c>
      <c r="F350" s="6">
        <f>NAV!M897</f>
        <v>0</v>
      </c>
      <c r="G350" s="6">
        <f>NAV!N897</f>
        <v>0</v>
      </c>
      <c r="H350" s="6">
        <f>NAV!O897</f>
        <v>0</v>
      </c>
      <c r="I350" s="6">
        <f>NAV!P897</f>
        <v>0</v>
      </c>
      <c r="J350" s="6">
        <f>NAV!Q897</f>
        <v>0</v>
      </c>
      <c r="K350" s="9">
        <f>NAV!R897</f>
        <v>0</v>
      </c>
      <c r="L350" s="6">
        <f>NAV!S897</f>
        <v>0</v>
      </c>
      <c r="M350" s="6">
        <f>NAV!T897</f>
        <v>0</v>
      </c>
      <c r="N350" s="6" t="str">
        <f>NAV!U897</f>
        <v>한국 원화(KRW)</v>
      </c>
      <c r="O350" s="6">
        <f>NAV!V897</f>
        <v>1</v>
      </c>
      <c r="P350" s="6">
        <f>NAV!W897</f>
        <v>0</v>
      </c>
      <c r="Q350" s="6">
        <f>NAV!X897</f>
        <v>0</v>
      </c>
      <c r="R350" s="6">
        <f>NAV!Y897</f>
        <v>0</v>
      </c>
      <c r="S350" s="6">
        <f>NAV!Z897</f>
        <v>0</v>
      </c>
      <c r="T350" s="6">
        <f>NAV!AA897</f>
        <v>0</v>
      </c>
      <c r="U350" s="10">
        <f>NAV!AB897</f>
        <v>0</v>
      </c>
      <c r="V350" s="6" t="str">
        <f>NAV!AC897</f>
        <v>2년이상</v>
      </c>
    </row>
    <row r="351" spans="1:22">
      <c r="A351" s="7">
        <f t="shared" si="5"/>
        <v>350</v>
      </c>
      <c r="B351" s="7">
        <f>TYPE(종목정보tbl!$C351)</f>
        <v>1</v>
      </c>
      <c r="C351" s="6">
        <f>NAV!J898</f>
        <v>0</v>
      </c>
      <c r="D351" s="6">
        <f>NAV!K898</f>
        <v>0</v>
      </c>
      <c r="E351" s="6">
        <f>NAV!L898</f>
        <v>0</v>
      </c>
      <c r="F351" s="6">
        <f>NAV!M898</f>
        <v>0</v>
      </c>
      <c r="G351" s="6">
        <f>NAV!N898</f>
        <v>0</v>
      </c>
      <c r="H351" s="6">
        <f>NAV!O898</f>
        <v>0</v>
      </c>
      <c r="I351" s="6">
        <f>NAV!P898</f>
        <v>0</v>
      </c>
      <c r="J351" s="6">
        <f>NAV!Q898</f>
        <v>0</v>
      </c>
      <c r="K351" s="9">
        <f>NAV!R898</f>
        <v>0</v>
      </c>
      <c r="L351" s="6">
        <f>NAV!S898</f>
        <v>0</v>
      </c>
      <c r="M351" s="6">
        <f>NAV!T898</f>
        <v>0</v>
      </c>
      <c r="N351" s="6" t="str">
        <f>NAV!U898</f>
        <v>한국 원화(KRW)</v>
      </c>
      <c r="O351" s="6">
        <f>NAV!V898</f>
        <v>1</v>
      </c>
      <c r="P351" s="6">
        <f>NAV!W898</f>
        <v>0</v>
      </c>
      <c r="Q351" s="6">
        <f>NAV!X898</f>
        <v>0</v>
      </c>
      <c r="R351" s="6">
        <f>NAV!Y898</f>
        <v>0</v>
      </c>
      <c r="S351" s="6">
        <f>NAV!Z898</f>
        <v>0</v>
      </c>
      <c r="T351" s="6">
        <f>NAV!AA898</f>
        <v>0</v>
      </c>
      <c r="U351" s="10">
        <f>NAV!AB898</f>
        <v>0</v>
      </c>
      <c r="V351" s="6" t="str">
        <f>NAV!AC898</f>
        <v>2년이상</v>
      </c>
    </row>
    <row r="352" spans="1:22">
      <c r="A352" s="7">
        <f t="shared" si="5"/>
        <v>351</v>
      </c>
      <c r="B352" s="7">
        <f>TYPE(종목정보tbl!$C352)</f>
        <v>1</v>
      </c>
      <c r="C352" s="6">
        <f>NAV!J899</f>
        <v>0</v>
      </c>
      <c r="D352" s="6">
        <f>NAV!K899</f>
        <v>0</v>
      </c>
      <c r="E352" s="6">
        <f>NAV!L899</f>
        <v>0</v>
      </c>
      <c r="F352" s="6">
        <f>NAV!M899</f>
        <v>0</v>
      </c>
      <c r="G352" s="6">
        <f>NAV!N899</f>
        <v>0</v>
      </c>
      <c r="H352" s="6">
        <f>NAV!O899</f>
        <v>0</v>
      </c>
      <c r="I352" s="6">
        <f>NAV!P899</f>
        <v>0</v>
      </c>
      <c r="J352" s="6">
        <f>NAV!Q899</f>
        <v>0</v>
      </c>
      <c r="K352" s="9">
        <f>NAV!R899</f>
        <v>0</v>
      </c>
      <c r="L352" s="6">
        <f>NAV!S899</f>
        <v>0</v>
      </c>
      <c r="M352" s="6">
        <f>NAV!T899</f>
        <v>0</v>
      </c>
      <c r="N352" s="6" t="str">
        <f>NAV!U899</f>
        <v>한국 원화(KRW)</v>
      </c>
      <c r="O352" s="6">
        <f>NAV!V899</f>
        <v>1</v>
      </c>
      <c r="P352" s="6">
        <f>NAV!W899</f>
        <v>0</v>
      </c>
      <c r="Q352" s="6">
        <f>NAV!X899</f>
        <v>0</v>
      </c>
      <c r="R352" s="6">
        <f>NAV!Y899</f>
        <v>0</v>
      </c>
      <c r="S352" s="6">
        <f>NAV!Z899</f>
        <v>0</v>
      </c>
      <c r="T352" s="6">
        <f>NAV!AA899</f>
        <v>0</v>
      </c>
      <c r="U352" s="10">
        <f>NAV!AB899</f>
        <v>0</v>
      </c>
      <c r="V352" s="6" t="str">
        <f>NAV!AC899</f>
        <v>2년이상</v>
      </c>
    </row>
    <row r="353" spans="1:22">
      <c r="A353" s="7">
        <f t="shared" si="5"/>
        <v>352</v>
      </c>
      <c r="B353" s="7">
        <f>TYPE(종목정보tbl!$C353)</f>
        <v>1</v>
      </c>
      <c r="C353" s="6">
        <f>NAV!J900</f>
        <v>0</v>
      </c>
      <c r="D353" s="6">
        <f>NAV!K900</f>
        <v>0</v>
      </c>
      <c r="E353" s="6">
        <f>NAV!L900</f>
        <v>0</v>
      </c>
      <c r="F353" s="6">
        <f>NAV!M900</f>
        <v>0</v>
      </c>
      <c r="G353" s="6">
        <f>NAV!N900</f>
        <v>0</v>
      </c>
      <c r="H353" s="6">
        <f>NAV!O900</f>
        <v>0</v>
      </c>
      <c r="I353" s="6">
        <f>NAV!P900</f>
        <v>0</v>
      </c>
      <c r="J353" s="6">
        <f>NAV!Q900</f>
        <v>0</v>
      </c>
      <c r="K353" s="9">
        <f>NAV!R900</f>
        <v>0</v>
      </c>
      <c r="L353" s="6">
        <f>NAV!S900</f>
        <v>0</v>
      </c>
      <c r="M353" s="6">
        <f>NAV!T900</f>
        <v>0</v>
      </c>
      <c r="N353" s="6" t="str">
        <f>NAV!U900</f>
        <v>한국 원화(KRW)</v>
      </c>
      <c r="O353" s="6">
        <f>NAV!V900</f>
        <v>1</v>
      </c>
      <c r="P353" s="6">
        <f>NAV!W900</f>
        <v>0</v>
      </c>
      <c r="Q353" s="6">
        <f>NAV!X900</f>
        <v>0</v>
      </c>
      <c r="R353" s="6">
        <f>NAV!Y900</f>
        <v>0</v>
      </c>
      <c r="S353" s="6">
        <f>NAV!Z900</f>
        <v>0</v>
      </c>
      <c r="T353" s="6">
        <f>NAV!AA900</f>
        <v>0</v>
      </c>
      <c r="U353" s="10">
        <f>NAV!AB900</f>
        <v>0</v>
      </c>
      <c r="V353" s="6" t="str">
        <f>NAV!AC900</f>
        <v>2년이상</v>
      </c>
    </row>
    <row r="354" spans="1:22">
      <c r="A354" s="7">
        <f t="shared" si="5"/>
        <v>353</v>
      </c>
      <c r="B354" s="7">
        <f>TYPE(종목정보tbl!$C354)</f>
        <v>1</v>
      </c>
      <c r="C354" s="6">
        <f>NAV!J901</f>
        <v>0</v>
      </c>
      <c r="D354" s="6">
        <f>NAV!K901</f>
        <v>0</v>
      </c>
      <c r="E354" s="6">
        <f>NAV!L901</f>
        <v>0</v>
      </c>
      <c r="F354" s="6">
        <f>NAV!M901</f>
        <v>0</v>
      </c>
      <c r="G354" s="6">
        <f>NAV!N901</f>
        <v>0</v>
      </c>
      <c r="H354" s="6">
        <f>NAV!O901</f>
        <v>0</v>
      </c>
      <c r="I354" s="6">
        <f>NAV!P901</f>
        <v>0</v>
      </c>
      <c r="J354" s="6">
        <f>NAV!Q901</f>
        <v>0</v>
      </c>
      <c r="K354" s="9">
        <f>NAV!R901</f>
        <v>0</v>
      </c>
      <c r="L354" s="6">
        <f>NAV!S901</f>
        <v>0</v>
      </c>
      <c r="M354" s="6">
        <f>NAV!T901</f>
        <v>0</v>
      </c>
      <c r="N354" s="6" t="str">
        <f>NAV!U901</f>
        <v>한국 원화(KRW)</v>
      </c>
      <c r="O354" s="6">
        <f>NAV!V901</f>
        <v>1</v>
      </c>
      <c r="P354" s="6">
        <f>NAV!W901</f>
        <v>0</v>
      </c>
      <c r="Q354" s="6">
        <f>NAV!X901</f>
        <v>0</v>
      </c>
      <c r="R354" s="6">
        <f>NAV!Y901</f>
        <v>0</v>
      </c>
      <c r="S354" s="6">
        <f>NAV!Z901</f>
        <v>0</v>
      </c>
      <c r="T354" s="6">
        <f>NAV!AA901</f>
        <v>0</v>
      </c>
      <c r="U354" s="10">
        <f>NAV!AB901</f>
        <v>0</v>
      </c>
      <c r="V354" s="6" t="str">
        <f>NAV!AC901</f>
        <v>2년이상</v>
      </c>
    </row>
    <row r="355" spans="1:22">
      <c r="A355" s="7">
        <f t="shared" si="5"/>
        <v>354</v>
      </c>
      <c r="B355" s="7">
        <f>TYPE(종목정보tbl!$C355)</f>
        <v>1</v>
      </c>
      <c r="C355" s="6">
        <f>NAV!J902</f>
        <v>0</v>
      </c>
      <c r="D355" s="6">
        <f>NAV!K902</f>
        <v>0</v>
      </c>
      <c r="E355" s="6">
        <f>NAV!L902</f>
        <v>0</v>
      </c>
      <c r="F355" s="6">
        <f>NAV!M902</f>
        <v>0</v>
      </c>
      <c r="G355" s="6">
        <f>NAV!N902</f>
        <v>0</v>
      </c>
      <c r="H355" s="6">
        <f>NAV!O902</f>
        <v>0</v>
      </c>
      <c r="I355" s="6">
        <f>NAV!P902</f>
        <v>0</v>
      </c>
      <c r="J355" s="6">
        <f>NAV!Q902</f>
        <v>0</v>
      </c>
      <c r="K355" s="9">
        <f>NAV!R902</f>
        <v>0</v>
      </c>
      <c r="L355" s="6">
        <f>NAV!S902</f>
        <v>0</v>
      </c>
      <c r="M355" s="6">
        <f>NAV!T902</f>
        <v>0</v>
      </c>
      <c r="N355" s="6" t="str">
        <f>NAV!U902</f>
        <v>한국 원화(KRW)</v>
      </c>
      <c r="O355" s="6">
        <f>NAV!V902</f>
        <v>1</v>
      </c>
      <c r="P355" s="6">
        <f>NAV!W902</f>
        <v>0</v>
      </c>
      <c r="Q355" s="6">
        <f>NAV!X902</f>
        <v>0</v>
      </c>
      <c r="R355" s="6">
        <f>NAV!Y902</f>
        <v>0</v>
      </c>
      <c r="S355" s="6">
        <f>NAV!Z902</f>
        <v>0</v>
      </c>
      <c r="T355" s="6">
        <f>NAV!AA902</f>
        <v>0</v>
      </c>
      <c r="U355" s="10">
        <f>NAV!AB902</f>
        <v>0</v>
      </c>
      <c r="V355" s="6" t="str">
        <f>NAV!AC902</f>
        <v>2년이상</v>
      </c>
    </row>
    <row r="356" spans="1:22">
      <c r="A356" s="7">
        <f t="shared" si="5"/>
        <v>355</v>
      </c>
      <c r="B356" s="7">
        <f>TYPE(종목정보tbl!$C356)</f>
        <v>1</v>
      </c>
      <c r="C356" s="6">
        <f>NAV!J903</f>
        <v>0</v>
      </c>
      <c r="D356" s="6">
        <f>NAV!K903</f>
        <v>0</v>
      </c>
      <c r="E356" s="6">
        <f>NAV!L903</f>
        <v>0</v>
      </c>
      <c r="F356" s="6">
        <f>NAV!M903</f>
        <v>0</v>
      </c>
      <c r="G356" s="6">
        <f>NAV!N903</f>
        <v>0</v>
      </c>
      <c r="H356" s="6">
        <f>NAV!O903</f>
        <v>0</v>
      </c>
      <c r="I356" s="6">
        <f>NAV!P903</f>
        <v>0</v>
      </c>
      <c r="J356" s="6">
        <f>NAV!Q903</f>
        <v>0</v>
      </c>
      <c r="K356" s="9">
        <f>NAV!R903</f>
        <v>0</v>
      </c>
      <c r="L356" s="6">
        <f>NAV!S903</f>
        <v>0</v>
      </c>
      <c r="M356" s="6">
        <f>NAV!T903</f>
        <v>0</v>
      </c>
      <c r="N356" s="6" t="str">
        <f>NAV!U903</f>
        <v>한국 원화(KRW)</v>
      </c>
      <c r="O356" s="6">
        <f>NAV!V903</f>
        <v>1</v>
      </c>
      <c r="P356" s="6">
        <f>NAV!W903</f>
        <v>0</v>
      </c>
      <c r="Q356" s="6">
        <f>NAV!X903</f>
        <v>0</v>
      </c>
      <c r="R356" s="6">
        <f>NAV!Y903</f>
        <v>0</v>
      </c>
      <c r="S356" s="6">
        <f>NAV!Z903</f>
        <v>0</v>
      </c>
      <c r="T356" s="6">
        <f>NAV!AA903</f>
        <v>0</v>
      </c>
      <c r="U356" s="10">
        <f>NAV!AB903</f>
        <v>0</v>
      </c>
      <c r="V356" s="6" t="str">
        <f>NAV!AC903</f>
        <v>2년이상</v>
      </c>
    </row>
    <row r="357" spans="1:22">
      <c r="A357" s="7">
        <f t="shared" si="5"/>
        <v>356</v>
      </c>
      <c r="B357" s="7">
        <f>TYPE(종목정보tbl!$C357)</f>
        <v>1</v>
      </c>
      <c r="C357" s="6">
        <f>NAV!J904</f>
        <v>0</v>
      </c>
      <c r="D357" s="6">
        <f>NAV!K904</f>
        <v>0</v>
      </c>
      <c r="E357" s="6">
        <f>NAV!L904</f>
        <v>0</v>
      </c>
      <c r="F357" s="6">
        <f>NAV!M904</f>
        <v>0</v>
      </c>
      <c r="G357" s="6">
        <f>NAV!N904</f>
        <v>0</v>
      </c>
      <c r="H357" s="6">
        <f>NAV!O904</f>
        <v>0</v>
      </c>
      <c r="I357" s="6">
        <f>NAV!P904</f>
        <v>0</v>
      </c>
      <c r="J357" s="6">
        <f>NAV!Q904</f>
        <v>0</v>
      </c>
      <c r="K357" s="9">
        <f>NAV!R904</f>
        <v>0</v>
      </c>
      <c r="L357" s="6">
        <f>NAV!S904</f>
        <v>0</v>
      </c>
      <c r="M357" s="6">
        <f>NAV!T904</f>
        <v>0</v>
      </c>
      <c r="N357" s="6" t="str">
        <f>NAV!U904</f>
        <v>한국 원화(KRW)</v>
      </c>
      <c r="O357" s="6">
        <f>NAV!V904</f>
        <v>1</v>
      </c>
      <c r="P357" s="6">
        <f>NAV!W904</f>
        <v>0</v>
      </c>
      <c r="Q357" s="6">
        <f>NAV!X904</f>
        <v>0</v>
      </c>
      <c r="R357" s="6">
        <f>NAV!Y904</f>
        <v>0</v>
      </c>
      <c r="S357" s="6">
        <f>NAV!Z904</f>
        <v>0</v>
      </c>
      <c r="T357" s="6">
        <f>NAV!AA904</f>
        <v>0</v>
      </c>
      <c r="U357" s="10">
        <f>NAV!AB904</f>
        <v>0</v>
      </c>
      <c r="V357" s="6" t="str">
        <f>NAV!AC904</f>
        <v>2년이상</v>
      </c>
    </row>
    <row r="358" spans="1:22">
      <c r="A358" s="7">
        <f t="shared" si="5"/>
        <v>357</v>
      </c>
      <c r="B358" s="7">
        <f>TYPE(종목정보tbl!$C358)</f>
        <v>1</v>
      </c>
      <c r="C358" s="6">
        <f>NAV!J905</f>
        <v>0</v>
      </c>
      <c r="D358" s="6">
        <f>NAV!K905</f>
        <v>0</v>
      </c>
      <c r="E358" s="6">
        <f>NAV!L905</f>
        <v>0</v>
      </c>
      <c r="F358" s="6">
        <f>NAV!M905</f>
        <v>0</v>
      </c>
      <c r="G358" s="6">
        <f>NAV!N905</f>
        <v>0</v>
      </c>
      <c r="H358" s="6">
        <f>NAV!O905</f>
        <v>0</v>
      </c>
      <c r="I358" s="6">
        <f>NAV!P905</f>
        <v>0</v>
      </c>
      <c r="J358" s="6">
        <f>NAV!Q905</f>
        <v>0</v>
      </c>
      <c r="K358" s="9">
        <f>NAV!R905</f>
        <v>0</v>
      </c>
      <c r="L358" s="6">
        <f>NAV!S905</f>
        <v>0</v>
      </c>
      <c r="M358" s="6">
        <f>NAV!T905</f>
        <v>0</v>
      </c>
      <c r="N358" s="6" t="str">
        <f>NAV!U905</f>
        <v>한국 원화(KRW)</v>
      </c>
      <c r="O358" s="6">
        <f>NAV!V905</f>
        <v>1</v>
      </c>
      <c r="P358" s="6">
        <f>NAV!W905</f>
        <v>0</v>
      </c>
      <c r="Q358" s="6">
        <f>NAV!X905</f>
        <v>0</v>
      </c>
      <c r="R358" s="6">
        <f>NAV!Y905</f>
        <v>0</v>
      </c>
      <c r="S358" s="6">
        <f>NAV!Z905</f>
        <v>0</v>
      </c>
      <c r="T358" s="6">
        <f>NAV!AA905</f>
        <v>0</v>
      </c>
      <c r="U358" s="10">
        <f>NAV!AB905</f>
        <v>0</v>
      </c>
      <c r="V358" s="6" t="str">
        <f>NAV!AC905</f>
        <v>2년이상</v>
      </c>
    </row>
    <row r="359" spans="1:22">
      <c r="A359" s="7">
        <f t="shared" si="5"/>
        <v>358</v>
      </c>
      <c r="B359" s="7">
        <f>TYPE(종목정보tbl!$C359)</f>
        <v>1</v>
      </c>
      <c r="C359" s="6">
        <f>NAV!J906</f>
        <v>0</v>
      </c>
      <c r="D359" s="6">
        <f>NAV!K906</f>
        <v>0</v>
      </c>
      <c r="E359" s="6">
        <f>NAV!L906</f>
        <v>0</v>
      </c>
      <c r="F359" s="6">
        <f>NAV!M906</f>
        <v>0</v>
      </c>
      <c r="G359" s="6">
        <f>NAV!N906</f>
        <v>0</v>
      </c>
      <c r="H359" s="6">
        <f>NAV!O906</f>
        <v>0</v>
      </c>
      <c r="I359" s="6">
        <f>NAV!P906</f>
        <v>0</v>
      </c>
      <c r="J359" s="6">
        <f>NAV!Q906</f>
        <v>0</v>
      </c>
      <c r="K359" s="9">
        <f>NAV!R906</f>
        <v>0</v>
      </c>
      <c r="L359" s="6">
        <f>NAV!S906</f>
        <v>0</v>
      </c>
      <c r="M359" s="6">
        <f>NAV!T906</f>
        <v>0</v>
      </c>
      <c r="N359" s="6" t="str">
        <f>NAV!U906</f>
        <v>한국 원화(KRW)</v>
      </c>
      <c r="O359" s="6">
        <f>NAV!V906</f>
        <v>1</v>
      </c>
      <c r="P359" s="6">
        <f>NAV!W906</f>
        <v>0</v>
      </c>
      <c r="Q359" s="6">
        <f>NAV!X906</f>
        <v>0</v>
      </c>
      <c r="R359" s="6">
        <f>NAV!Y906</f>
        <v>0</v>
      </c>
      <c r="S359" s="6">
        <f>NAV!Z906</f>
        <v>0</v>
      </c>
      <c r="T359" s="6">
        <f>NAV!AA906</f>
        <v>0</v>
      </c>
      <c r="U359" s="10">
        <f>NAV!AB906</f>
        <v>0</v>
      </c>
      <c r="V359" s="6" t="str">
        <f>NAV!AC906</f>
        <v>2년이상</v>
      </c>
    </row>
    <row r="360" spans="1:22">
      <c r="A360" s="7">
        <f t="shared" si="5"/>
        <v>359</v>
      </c>
      <c r="B360" s="7">
        <f>TYPE(종목정보tbl!$C360)</f>
        <v>1</v>
      </c>
      <c r="C360" s="6">
        <f>NAV!J907</f>
        <v>0</v>
      </c>
      <c r="D360" s="6">
        <f>NAV!K907</f>
        <v>0</v>
      </c>
      <c r="E360" s="6">
        <f>NAV!L907</f>
        <v>0</v>
      </c>
      <c r="F360" s="6">
        <f>NAV!M907</f>
        <v>0</v>
      </c>
      <c r="G360" s="6">
        <f>NAV!N907</f>
        <v>0</v>
      </c>
      <c r="H360" s="6">
        <f>NAV!O907</f>
        <v>0</v>
      </c>
      <c r="I360" s="6">
        <f>NAV!P907</f>
        <v>0</v>
      </c>
      <c r="J360" s="6">
        <f>NAV!Q907</f>
        <v>0</v>
      </c>
      <c r="K360" s="9">
        <f>NAV!R907</f>
        <v>0</v>
      </c>
      <c r="L360" s="6">
        <f>NAV!S907</f>
        <v>0</v>
      </c>
      <c r="M360" s="6">
        <f>NAV!T907</f>
        <v>0</v>
      </c>
      <c r="N360" s="6" t="str">
        <f>NAV!U907</f>
        <v>한국 원화(KRW)</v>
      </c>
      <c r="O360" s="6">
        <f>NAV!V907</f>
        <v>1</v>
      </c>
      <c r="P360" s="6">
        <f>NAV!W907</f>
        <v>0</v>
      </c>
      <c r="Q360" s="6">
        <f>NAV!X907</f>
        <v>0</v>
      </c>
      <c r="R360" s="6">
        <f>NAV!Y907</f>
        <v>0</v>
      </c>
      <c r="S360" s="6">
        <f>NAV!Z907</f>
        <v>0</v>
      </c>
      <c r="T360" s="6">
        <f>NAV!AA907</f>
        <v>0</v>
      </c>
      <c r="U360" s="10">
        <f>NAV!AB907</f>
        <v>0</v>
      </c>
      <c r="V360" s="6" t="str">
        <f>NAV!AC907</f>
        <v>2년이상</v>
      </c>
    </row>
    <row r="361" spans="1:22">
      <c r="A361" s="7">
        <f t="shared" si="5"/>
        <v>360</v>
      </c>
      <c r="B361" s="7">
        <f>TYPE(종목정보tbl!$C361)</f>
        <v>1</v>
      </c>
      <c r="C361" s="6">
        <f>NAV!J935</f>
        <v>0</v>
      </c>
      <c r="D361" s="6">
        <f>NAV!K935</f>
        <v>0</v>
      </c>
      <c r="E361" s="6">
        <f>NAV!L935</f>
        <v>0</v>
      </c>
      <c r="F361" s="6">
        <f>NAV!M935</f>
        <v>0</v>
      </c>
      <c r="G361" s="6">
        <f>NAV!N935</f>
        <v>0</v>
      </c>
      <c r="H361" s="6">
        <f>NAV!O935</f>
        <v>0</v>
      </c>
      <c r="I361" s="6">
        <f>NAV!P935</f>
        <v>0</v>
      </c>
      <c r="J361" s="6">
        <f>NAV!Q935</f>
        <v>0</v>
      </c>
      <c r="K361" s="9">
        <f>NAV!R935</f>
        <v>0</v>
      </c>
      <c r="L361" s="6">
        <f>NAV!S935</f>
        <v>0</v>
      </c>
      <c r="M361" s="6">
        <f>NAV!T935</f>
        <v>0</v>
      </c>
      <c r="N361" s="6" t="str">
        <f>NAV!U935</f>
        <v>한국 원화(KRW)</v>
      </c>
      <c r="O361" s="6">
        <f>NAV!V935</f>
        <v>1</v>
      </c>
      <c r="P361" s="6">
        <f>NAV!W935</f>
        <v>0</v>
      </c>
      <c r="Q361" s="6">
        <f>NAV!X935</f>
        <v>0</v>
      </c>
      <c r="R361" s="6">
        <f>NAV!Y935</f>
        <v>0</v>
      </c>
      <c r="S361" s="6">
        <f>NAV!Z935</f>
        <v>0</v>
      </c>
      <c r="T361" s="6">
        <f>NAV!AA935</f>
        <v>0</v>
      </c>
      <c r="U361" s="10">
        <f>NAV!AB935</f>
        <v>0</v>
      </c>
      <c r="V361" s="6" t="str">
        <f>NAV!AC935</f>
        <v>2년이상</v>
      </c>
    </row>
    <row r="362" spans="1:22">
      <c r="A362" s="7">
        <f t="shared" si="5"/>
        <v>361</v>
      </c>
      <c r="B362" s="7">
        <f>TYPE(종목정보tbl!$C362)</f>
        <v>1</v>
      </c>
      <c r="C362" s="6">
        <f>NAV!J936</f>
        <v>0</v>
      </c>
      <c r="D362" s="6">
        <f>NAV!K936</f>
        <v>0</v>
      </c>
      <c r="E362" s="6">
        <f>NAV!L936</f>
        <v>0</v>
      </c>
      <c r="F362" s="6">
        <f>NAV!M936</f>
        <v>0</v>
      </c>
      <c r="G362" s="6">
        <f>NAV!N936</f>
        <v>0</v>
      </c>
      <c r="H362" s="6">
        <f>NAV!O936</f>
        <v>0</v>
      </c>
      <c r="I362" s="6">
        <f>NAV!P936</f>
        <v>0</v>
      </c>
      <c r="J362" s="6">
        <f>NAV!Q936</f>
        <v>0</v>
      </c>
      <c r="K362" s="9">
        <f>NAV!R936</f>
        <v>0</v>
      </c>
      <c r="L362" s="6">
        <f>NAV!S936</f>
        <v>0</v>
      </c>
      <c r="M362" s="6">
        <f>NAV!T936</f>
        <v>0</v>
      </c>
      <c r="N362" s="6" t="str">
        <f>NAV!U936</f>
        <v>한국 원화(KRW)</v>
      </c>
      <c r="O362" s="6">
        <f>NAV!V936</f>
        <v>1</v>
      </c>
      <c r="P362" s="6">
        <f>NAV!W936</f>
        <v>0</v>
      </c>
      <c r="Q362" s="6">
        <f>NAV!X936</f>
        <v>0</v>
      </c>
      <c r="R362" s="6">
        <f>NAV!Y936</f>
        <v>0</v>
      </c>
      <c r="S362" s="6">
        <f>NAV!Z936</f>
        <v>0</v>
      </c>
      <c r="T362" s="6">
        <f>NAV!AA936</f>
        <v>0</v>
      </c>
      <c r="U362" s="10">
        <f>NAV!AB936</f>
        <v>0</v>
      </c>
      <c r="V362" s="6" t="str">
        <f>NAV!AC936</f>
        <v>2년이상</v>
      </c>
    </row>
    <row r="363" spans="1:22">
      <c r="A363" s="7">
        <f t="shared" si="5"/>
        <v>362</v>
      </c>
      <c r="B363" s="7">
        <f>TYPE(종목정보tbl!$C363)</f>
        <v>1</v>
      </c>
      <c r="C363" s="6">
        <f>NAV!J937</f>
        <v>0</v>
      </c>
      <c r="D363" s="6">
        <f>NAV!K937</f>
        <v>0</v>
      </c>
      <c r="E363" s="6">
        <f>NAV!L937</f>
        <v>0</v>
      </c>
      <c r="F363" s="6">
        <f>NAV!M937</f>
        <v>0</v>
      </c>
      <c r="G363" s="6">
        <f>NAV!N937</f>
        <v>0</v>
      </c>
      <c r="H363" s="6">
        <f>NAV!O937</f>
        <v>0</v>
      </c>
      <c r="I363" s="6">
        <f>NAV!P937</f>
        <v>0</v>
      </c>
      <c r="J363" s="6">
        <f>NAV!Q937</f>
        <v>0</v>
      </c>
      <c r="K363" s="9">
        <f>NAV!R937</f>
        <v>0</v>
      </c>
      <c r="L363" s="6">
        <f>NAV!S937</f>
        <v>0</v>
      </c>
      <c r="M363" s="6">
        <f>NAV!T937</f>
        <v>0</v>
      </c>
      <c r="N363" s="6" t="str">
        <f>NAV!U937</f>
        <v>한국 원화(KRW)</v>
      </c>
      <c r="O363" s="6">
        <f>NAV!V937</f>
        <v>1</v>
      </c>
      <c r="P363" s="6">
        <f>NAV!W937</f>
        <v>0</v>
      </c>
      <c r="Q363" s="6">
        <f>NAV!X937</f>
        <v>0</v>
      </c>
      <c r="R363" s="6">
        <f>NAV!Y937</f>
        <v>0</v>
      </c>
      <c r="S363" s="6">
        <f>NAV!Z937</f>
        <v>0</v>
      </c>
      <c r="T363" s="6">
        <f>NAV!AA937</f>
        <v>0</v>
      </c>
      <c r="U363" s="10">
        <f>NAV!AB937</f>
        <v>0</v>
      </c>
      <c r="V363" s="6" t="str">
        <f>NAV!AC937</f>
        <v>2년이상</v>
      </c>
    </row>
    <row r="364" spans="1:22">
      <c r="A364" s="7">
        <f t="shared" si="5"/>
        <v>363</v>
      </c>
      <c r="B364" s="7">
        <f>TYPE(종목정보tbl!$C364)</f>
        <v>1</v>
      </c>
      <c r="C364" s="6">
        <f>NAV!J938</f>
        <v>0</v>
      </c>
      <c r="D364" s="6">
        <f>NAV!K938</f>
        <v>0</v>
      </c>
      <c r="E364" s="6">
        <f>NAV!L938</f>
        <v>0</v>
      </c>
      <c r="F364" s="6">
        <f>NAV!M938</f>
        <v>0</v>
      </c>
      <c r="G364" s="6">
        <f>NAV!N938</f>
        <v>0</v>
      </c>
      <c r="H364" s="6">
        <f>NAV!O938</f>
        <v>0</v>
      </c>
      <c r="I364" s="6">
        <f>NAV!P938</f>
        <v>0</v>
      </c>
      <c r="J364" s="6">
        <f>NAV!Q938</f>
        <v>0</v>
      </c>
      <c r="K364" s="9">
        <f>NAV!R938</f>
        <v>0</v>
      </c>
      <c r="L364" s="6">
        <f>NAV!S938</f>
        <v>0</v>
      </c>
      <c r="M364" s="6">
        <f>NAV!T938</f>
        <v>0</v>
      </c>
      <c r="N364" s="6" t="str">
        <f>NAV!U938</f>
        <v>한국 원화(KRW)</v>
      </c>
      <c r="O364" s="6">
        <f>NAV!V938</f>
        <v>1</v>
      </c>
      <c r="P364" s="6">
        <f>NAV!W938</f>
        <v>0</v>
      </c>
      <c r="Q364" s="6">
        <f>NAV!X938</f>
        <v>0</v>
      </c>
      <c r="R364" s="6">
        <f>NAV!Y938</f>
        <v>0</v>
      </c>
      <c r="S364" s="6">
        <f>NAV!Z938</f>
        <v>0</v>
      </c>
      <c r="T364" s="6">
        <f>NAV!AA938</f>
        <v>0</v>
      </c>
      <c r="U364" s="10">
        <f>NAV!AB938</f>
        <v>0</v>
      </c>
      <c r="V364" s="6" t="str">
        <f>NAV!AC938</f>
        <v>2년이상</v>
      </c>
    </row>
    <row r="365" spans="1:22">
      <c r="A365" s="7">
        <f t="shared" si="5"/>
        <v>364</v>
      </c>
      <c r="B365" s="7">
        <f>TYPE(종목정보tbl!$C365)</f>
        <v>1</v>
      </c>
      <c r="C365" s="6">
        <f>NAV!J939</f>
        <v>0</v>
      </c>
      <c r="D365" s="6">
        <f>NAV!K939</f>
        <v>0</v>
      </c>
      <c r="E365" s="6">
        <f>NAV!L939</f>
        <v>0</v>
      </c>
      <c r="F365" s="6">
        <f>NAV!M939</f>
        <v>0</v>
      </c>
      <c r="G365" s="6">
        <f>NAV!N939</f>
        <v>0</v>
      </c>
      <c r="H365" s="6">
        <f>NAV!O939</f>
        <v>0</v>
      </c>
      <c r="I365" s="6">
        <f>NAV!P939</f>
        <v>0</v>
      </c>
      <c r="J365" s="6">
        <f>NAV!Q939</f>
        <v>0</v>
      </c>
      <c r="K365" s="9">
        <f>NAV!R939</f>
        <v>0</v>
      </c>
      <c r="L365" s="6">
        <f>NAV!S939</f>
        <v>0</v>
      </c>
      <c r="M365" s="6">
        <f>NAV!T939</f>
        <v>0</v>
      </c>
      <c r="N365" s="6" t="str">
        <f>NAV!U939</f>
        <v>한국 원화(KRW)</v>
      </c>
      <c r="O365" s="6">
        <f>NAV!V939</f>
        <v>1</v>
      </c>
      <c r="P365" s="6">
        <f>NAV!W939</f>
        <v>0</v>
      </c>
      <c r="Q365" s="6">
        <f>NAV!X939</f>
        <v>0</v>
      </c>
      <c r="R365" s="6">
        <f>NAV!Y939</f>
        <v>0</v>
      </c>
      <c r="S365" s="6">
        <f>NAV!Z939</f>
        <v>0</v>
      </c>
      <c r="T365" s="6">
        <f>NAV!AA939</f>
        <v>0</v>
      </c>
      <c r="U365" s="10">
        <f>NAV!AB939</f>
        <v>0</v>
      </c>
      <c r="V365" s="6" t="str">
        <f>NAV!AC939</f>
        <v>2년이상</v>
      </c>
    </row>
    <row r="366" spans="1:22">
      <c r="A366" s="7">
        <f t="shared" si="5"/>
        <v>365</v>
      </c>
      <c r="B366" s="7">
        <f>TYPE(종목정보tbl!$C366)</f>
        <v>1</v>
      </c>
      <c r="C366" s="6">
        <f>NAV!J940</f>
        <v>0</v>
      </c>
      <c r="D366" s="6">
        <f>NAV!K940</f>
        <v>0</v>
      </c>
      <c r="E366" s="6">
        <f>NAV!L940</f>
        <v>0</v>
      </c>
      <c r="F366" s="6">
        <f>NAV!M940</f>
        <v>0</v>
      </c>
      <c r="G366" s="6">
        <f>NAV!N940</f>
        <v>0</v>
      </c>
      <c r="H366" s="6">
        <f>NAV!O940</f>
        <v>0</v>
      </c>
      <c r="I366" s="6">
        <f>NAV!P940</f>
        <v>0</v>
      </c>
      <c r="J366" s="6">
        <f>NAV!Q940</f>
        <v>0</v>
      </c>
      <c r="K366" s="9">
        <f>NAV!R940</f>
        <v>0</v>
      </c>
      <c r="L366" s="6">
        <f>NAV!S940</f>
        <v>0</v>
      </c>
      <c r="M366" s="6">
        <f>NAV!T940</f>
        <v>0</v>
      </c>
      <c r="N366" s="6" t="str">
        <f>NAV!U940</f>
        <v>한국 원화(KRW)</v>
      </c>
      <c r="O366" s="6">
        <f>NAV!V940</f>
        <v>1</v>
      </c>
      <c r="P366" s="6">
        <f>NAV!W940</f>
        <v>0</v>
      </c>
      <c r="Q366" s="6">
        <f>NAV!X940</f>
        <v>0</v>
      </c>
      <c r="R366" s="6">
        <f>NAV!Y940</f>
        <v>0</v>
      </c>
      <c r="S366" s="6">
        <f>NAV!Z940</f>
        <v>0</v>
      </c>
      <c r="T366" s="6">
        <f>NAV!AA940</f>
        <v>0</v>
      </c>
      <c r="U366" s="10">
        <f>NAV!AB940</f>
        <v>0</v>
      </c>
      <c r="V366" s="6" t="str">
        <f>NAV!AC940</f>
        <v>2년이상</v>
      </c>
    </row>
    <row r="367" spans="1:22">
      <c r="A367" s="7">
        <f t="shared" si="5"/>
        <v>366</v>
      </c>
      <c r="B367" s="7">
        <f>TYPE(종목정보tbl!$C367)</f>
        <v>1</v>
      </c>
      <c r="C367" s="6">
        <f>NAV!J941</f>
        <v>0</v>
      </c>
      <c r="D367" s="6">
        <f>NAV!K941</f>
        <v>0</v>
      </c>
      <c r="E367" s="6">
        <f>NAV!L941</f>
        <v>0</v>
      </c>
      <c r="F367" s="6">
        <f>NAV!M941</f>
        <v>0</v>
      </c>
      <c r="G367" s="6">
        <f>NAV!N941</f>
        <v>0</v>
      </c>
      <c r="H367" s="6">
        <f>NAV!O941</f>
        <v>0</v>
      </c>
      <c r="I367" s="6">
        <f>NAV!P941</f>
        <v>0</v>
      </c>
      <c r="J367" s="6">
        <f>NAV!Q941</f>
        <v>0</v>
      </c>
      <c r="K367" s="9">
        <f>NAV!R941</f>
        <v>0</v>
      </c>
      <c r="L367" s="6">
        <f>NAV!S941</f>
        <v>0</v>
      </c>
      <c r="M367" s="6">
        <f>NAV!T941</f>
        <v>0</v>
      </c>
      <c r="N367" s="6" t="str">
        <f>NAV!U941</f>
        <v>한국 원화(KRW)</v>
      </c>
      <c r="O367" s="6">
        <f>NAV!V941</f>
        <v>1</v>
      </c>
      <c r="P367" s="6">
        <f>NAV!W941</f>
        <v>0</v>
      </c>
      <c r="Q367" s="6">
        <f>NAV!X941</f>
        <v>0</v>
      </c>
      <c r="R367" s="6">
        <f>NAV!Y941</f>
        <v>0</v>
      </c>
      <c r="S367" s="6">
        <f>NAV!Z941</f>
        <v>0</v>
      </c>
      <c r="T367" s="6">
        <f>NAV!AA941</f>
        <v>0</v>
      </c>
      <c r="U367" s="10">
        <f>NAV!AB941</f>
        <v>0</v>
      </c>
      <c r="V367" s="6" t="str">
        <f>NAV!AC941</f>
        <v>2년이상</v>
      </c>
    </row>
    <row r="368" spans="1:22">
      <c r="A368" s="7">
        <f t="shared" si="5"/>
        <v>367</v>
      </c>
      <c r="B368" s="7">
        <f>TYPE(종목정보tbl!$C368)</f>
        <v>1</v>
      </c>
      <c r="C368" s="6">
        <f>NAV!J942</f>
        <v>0</v>
      </c>
      <c r="D368" s="6">
        <f>NAV!K942</f>
        <v>0</v>
      </c>
      <c r="E368" s="6">
        <f>NAV!L942</f>
        <v>0</v>
      </c>
      <c r="F368" s="6">
        <f>NAV!M942</f>
        <v>0</v>
      </c>
      <c r="G368" s="6">
        <f>NAV!N942</f>
        <v>0</v>
      </c>
      <c r="H368" s="6">
        <f>NAV!O942</f>
        <v>0</v>
      </c>
      <c r="I368" s="6">
        <f>NAV!P942</f>
        <v>0</v>
      </c>
      <c r="J368" s="6">
        <f>NAV!Q942</f>
        <v>0</v>
      </c>
      <c r="K368" s="9">
        <f>NAV!R942</f>
        <v>0</v>
      </c>
      <c r="L368" s="6">
        <f>NAV!S942</f>
        <v>0</v>
      </c>
      <c r="M368" s="6">
        <f>NAV!T942</f>
        <v>0</v>
      </c>
      <c r="N368" s="6" t="str">
        <f>NAV!U942</f>
        <v>한국 원화(KRW)</v>
      </c>
      <c r="O368" s="6">
        <f>NAV!V942</f>
        <v>1</v>
      </c>
      <c r="P368" s="6">
        <f>NAV!W942</f>
        <v>0</v>
      </c>
      <c r="Q368" s="6">
        <f>NAV!X942</f>
        <v>0</v>
      </c>
      <c r="R368" s="6">
        <f>NAV!Y942</f>
        <v>0</v>
      </c>
      <c r="S368" s="6">
        <f>NAV!Z942</f>
        <v>0</v>
      </c>
      <c r="T368" s="6">
        <f>NAV!AA942</f>
        <v>0</v>
      </c>
      <c r="U368" s="10">
        <f>NAV!AB942</f>
        <v>0</v>
      </c>
      <c r="V368" s="6" t="str">
        <f>NAV!AC942</f>
        <v>2년이상</v>
      </c>
    </row>
    <row r="369" spans="1:22">
      <c r="A369" s="7">
        <f t="shared" si="5"/>
        <v>368</v>
      </c>
      <c r="B369" s="7">
        <f>TYPE(종목정보tbl!$C369)</f>
        <v>1</v>
      </c>
      <c r="C369" s="6">
        <f>NAV!J943</f>
        <v>0</v>
      </c>
      <c r="D369" s="6">
        <f>NAV!K943</f>
        <v>0</v>
      </c>
      <c r="E369" s="6">
        <f>NAV!L943</f>
        <v>0</v>
      </c>
      <c r="F369" s="6">
        <f>NAV!M943</f>
        <v>0</v>
      </c>
      <c r="G369" s="6">
        <f>NAV!N943</f>
        <v>0</v>
      </c>
      <c r="H369" s="6">
        <f>NAV!O943</f>
        <v>0</v>
      </c>
      <c r="I369" s="6">
        <f>NAV!P943</f>
        <v>0</v>
      </c>
      <c r="J369" s="6">
        <f>NAV!Q943</f>
        <v>0</v>
      </c>
      <c r="K369" s="9">
        <f>NAV!R943</f>
        <v>0</v>
      </c>
      <c r="L369" s="6">
        <f>NAV!S943</f>
        <v>0</v>
      </c>
      <c r="M369" s="6">
        <f>NAV!T943</f>
        <v>0</v>
      </c>
      <c r="N369" s="6" t="str">
        <f>NAV!U943</f>
        <v>한국 원화(KRW)</v>
      </c>
      <c r="O369" s="6">
        <f>NAV!V943</f>
        <v>1</v>
      </c>
      <c r="P369" s="6">
        <f>NAV!W943</f>
        <v>0</v>
      </c>
      <c r="Q369" s="6">
        <f>NAV!X943</f>
        <v>0</v>
      </c>
      <c r="R369" s="6">
        <f>NAV!Y943</f>
        <v>0</v>
      </c>
      <c r="S369" s="6">
        <f>NAV!Z943</f>
        <v>0</v>
      </c>
      <c r="T369" s="6">
        <f>NAV!AA943</f>
        <v>0</v>
      </c>
      <c r="U369" s="10">
        <f>NAV!AB943</f>
        <v>0</v>
      </c>
      <c r="V369" s="6" t="str">
        <f>NAV!AC943</f>
        <v>2년이상</v>
      </c>
    </row>
    <row r="370" spans="1:22">
      <c r="A370" s="7">
        <f t="shared" si="5"/>
        <v>369</v>
      </c>
      <c r="B370" s="7">
        <f>TYPE(종목정보tbl!$C370)</f>
        <v>1</v>
      </c>
      <c r="C370" s="6">
        <f>NAV!J944</f>
        <v>0</v>
      </c>
      <c r="D370" s="6">
        <f>NAV!K944</f>
        <v>0</v>
      </c>
      <c r="E370" s="6">
        <f>NAV!L944</f>
        <v>0</v>
      </c>
      <c r="F370" s="6">
        <f>NAV!M944</f>
        <v>0</v>
      </c>
      <c r="G370" s="6">
        <f>NAV!N944</f>
        <v>0</v>
      </c>
      <c r="H370" s="6">
        <f>NAV!O944</f>
        <v>0</v>
      </c>
      <c r="I370" s="6">
        <f>NAV!P944</f>
        <v>0</v>
      </c>
      <c r="J370" s="6">
        <f>NAV!Q944</f>
        <v>0</v>
      </c>
      <c r="K370" s="9">
        <f>NAV!R944</f>
        <v>0</v>
      </c>
      <c r="L370" s="6">
        <f>NAV!S944</f>
        <v>0</v>
      </c>
      <c r="M370" s="6">
        <f>NAV!T944</f>
        <v>0</v>
      </c>
      <c r="N370" s="6" t="str">
        <f>NAV!U944</f>
        <v>한국 원화(KRW)</v>
      </c>
      <c r="O370" s="6">
        <f>NAV!V944</f>
        <v>1</v>
      </c>
      <c r="P370" s="6">
        <f>NAV!W944</f>
        <v>0</v>
      </c>
      <c r="Q370" s="6">
        <f>NAV!X944</f>
        <v>0</v>
      </c>
      <c r="R370" s="6">
        <f>NAV!Y944</f>
        <v>0</v>
      </c>
      <c r="S370" s="6">
        <f>NAV!Z944</f>
        <v>0</v>
      </c>
      <c r="T370" s="6">
        <f>NAV!AA944</f>
        <v>0</v>
      </c>
      <c r="U370" s="10">
        <f>NAV!AB944</f>
        <v>0</v>
      </c>
      <c r="V370" s="6" t="str">
        <f>NAV!AC944</f>
        <v>2년이상</v>
      </c>
    </row>
    <row r="371" spans="1:22">
      <c r="A371" s="7">
        <f t="shared" si="5"/>
        <v>370</v>
      </c>
      <c r="B371" s="7">
        <f>TYPE(종목정보tbl!$C371)</f>
        <v>1</v>
      </c>
      <c r="C371" s="6">
        <f>NAV!J945</f>
        <v>0</v>
      </c>
      <c r="D371" s="6">
        <f>NAV!K945</f>
        <v>0</v>
      </c>
      <c r="E371" s="6">
        <f>NAV!L945</f>
        <v>0</v>
      </c>
      <c r="F371" s="6">
        <f>NAV!M945</f>
        <v>0</v>
      </c>
      <c r="G371" s="6">
        <f>NAV!N945</f>
        <v>0</v>
      </c>
      <c r="H371" s="6">
        <f>NAV!O945</f>
        <v>0</v>
      </c>
      <c r="I371" s="6">
        <f>NAV!P945</f>
        <v>0</v>
      </c>
      <c r="J371" s="6">
        <f>NAV!Q945</f>
        <v>0</v>
      </c>
      <c r="K371" s="9">
        <f>NAV!R945</f>
        <v>0</v>
      </c>
      <c r="L371" s="6">
        <f>NAV!S945</f>
        <v>0</v>
      </c>
      <c r="M371" s="6">
        <f>NAV!T945</f>
        <v>0</v>
      </c>
      <c r="N371" s="6" t="str">
        <f>NAV!U945</f>
        <v>한국 원화(KRW)</v>
      </c>
      <c r="O371" s="6">
        <f>NAV!V945</f>
        <v>1</v>
      </c>
      <c r="P371" s="6">
        <f>NAV!W945</f>
        <v>0</v>
      </c>
      <c r="Q371" s="6">
        <f>NAV!X945</f>
        <v>0</v>
      </c>
      <c r="R371" s="6">
        <f>NAV!Y945</f>
        <v>0</v>
      </c>
      <c r="S371" s="6">
        <f>NAV!Z945</f>
        <v>0</v>
      </c>
      <c r="T371" s="6">
        <f>NAV!AA945</f>
        <v>0</v>
      </c>
      <c r="U371" s="10">
        <f>NAV!AB945</f>
        <v>0</v>
      </c>
      <c r="V371" s="6" t="str">
        <f>NAV!AC945</f>
        <v>2년이상</v>
      </c>
    </row>
    <row r="372" spans="1:22">
      <c r="A372" s="7">
        <f t="shared" si="5"/>
        <v>371</v>
      </c>
      <c r="B372" s="7">
        <f>TYPE(종목정보tbl!$C372)</f>
        <v>1</v>
      </c>
      <c r="C372" s="6">
        <f>NAV!J973</f>
        <v>0</v>
      </c>
      <c r="D372" s="6">
        <f>NAV!K973</f>
        <v>0</v>
      </c>
      <c r="E372" s="6">
        <f>NAV!L973</f>
        <v>0</v>
      </c>
      <c r="F372" s="6">
        <f>NAV!M973</f>
        <v>0</v>
      </c>
      <c r="G372" s="6">
        <f>NAV!N973</f>
        <v>0</v>
      </c>
      <c r="H372" s="6">
        <f>NAV!O973</f>
        <v>0</v>
      </c>
      <c r="I372" s="6">
        <f>NAV!P973</f>
        <v>0</v>
      </c>
      <c r="J372" s="6">
        <f>NAV!Q973</f>
        <v>0</v>
      </c>
      <c r="K372" s="9">
        <f>NAV!R973</f>
        <v>0</v>
      </c>
      <c r="L372" s="6">
        <f>NAV!S973</f>
        <v>0</v>
      </c>
      <c r="M372" s="6">
        <f>NAV!T973</f>
        <v>0</v>
      </c>
      <c r="N372" s="6" t="str">
        <f>NAV!U973</f>
        <v>한국 원화(KRW)</v>
      </c>
      <c r="O372" s="6">
        <f>NAV!V973</f>
        <v>1</v>
      </c>
      <c r="P372" s="6">
        <f>NAV!W973</f>
        <v>0</v>
      </c>
      <c r="Q372" s="6">
        <f>NAV!X973</f>
        <v>0</v>
      </c>
      <c r="R372" s="6">
        <f>NAV!Y973</f>
        <v>0</v>
      </c>
      <c r="S372" s="6">
        <f>NAV!Z973</f>
        <v>0</v>
      </c>
      <c r="T372" s="6">
        <f>NAV!AA973</f>
        <v>0</v>
      </c>
      <c r="U372" s="10">
        <f>NAV!AB973</f>
        <v>0</v>
      </c>
      <c r="V372" s="6" t="str">
        <f>NAV!AC973</f>
        <v>2년이상</v>
      </c>
    </row>
    <row r="373" spans="1:22">
      <c r="A373" s="7">
        <f t="shared" si="5"/>
        <v>372</v>
      </c>
      <c r="B373" s="7">
        <f>TYPE(종목정보tbl!$C373)</f>
        <v>1</v>
      </c>
      <c r="C373" s="6">
        <f>NAV!J974</f>
        <v>0</v>
      </c>
      <c r="D373" s="6">
        <f>NAV!K974</f>
        <v>0</v>
      </c>
      <c r="E373" s="6">
        <f>NAV!L974</f>
        <v>0</v>
      </c>
      <c r="F373" s="6">
        <f>NAV!M974</f>
        <v>0</v>
      </c>
      <c r="G373" s="6">
        <f>NAV!N974</f>
        <v>0</v>
      </c>
      <c r="H373" s="6">
        <f>NAV!O974</f>
        <v>0</v>
      </c>
      <c r="I373" s="6">
        <f>NAV!P974</f>
        <v>0</v>
      </c>
      <c r="J373" s="6">
        <f>NAV!Q974</f>
        <v>0</v>
      </c>
      <c r="K373" s="9">
        <f>NAV!R974</f>
        <v>0</v>
      </c>
      <c r="L373" s="6">
        <f>NAV!S974</f>
        <v>0</v>
      </c>
      <c r="M373" s="6">
        <f>NAV!T974</f>
        <v>0</v>
      </c>
      <c r="N373" s="6" t="str">
        <f>NAV!U974</f>
        <v>한국 원화(KRW)</v>
      </c>
      <c r="O373" s="6">
        <f>NAV!V974</f>
        <v>1</v>
      </c>
      <c r="P373" s="6">
        <f>NAV!W974</f>
        <v>0</v>
      </c>
      <c r="Q373" s="6">
        <f>NAV!X974</f>
        <v>0</v>
      </c>
      <c r="R373" s="6">
        <f>NAV!Y974</f>
        <v>0</v>
      </c>
      <c r="S373" s="6">
        <f>NAV!Z974</f>
        <v>0</v>
      </c>
      <c r="T373" s="6">
        <f>NAV!AA974</f>
        <v>0</v>
      </c>
      <c r="U373" s="10">
        <f>NAV!AB974</f>
        <v>0</v>
      </c>
      <c r="V373" s="6" t="str">
        <f>NAV!AC974</f>
        <v>2년이상</v>
      </c>
    </row>
    <row r="374" spans="1:22">
      <c r="A374" s="7">
        <f t="shared" si="5"/>
        <v>373</v>
      </c>
      <c r="B374" s="7">
        <f>TYPE(종목정보tbl!$C374)</f>
        <v>1</v>
      </c>
      <c r="C374" s="6">
        <f>NAV!J975</f>
        <v>0</v>
      </c>
      <c r="D374" s="6">
        <f>NAV!K975</f>
        <v>0</v>
      </c>
      <c r="E374" s="6">
        <f>NAV!L975</f>
        <v>0</v>
      </c>
      <c r="F374" s="6">
        <f>NAV!M975</f>
        <v>0</v>
      </c>
      <c r="G374" s="6">
        <f>NAV!N975</f>
        <v>0</v>
      </c>
      <c r="H374" s="6">
        <f>NAV!O975</f>
        <v>0</v>
      </c>
      <c r="I374" s="6">
        <f>NAV!P975</f>
        <v>0</v>
      </c>
      <c r="J374" s="6">
        <f>NAV!Q975</f>
        <v>0</v>
      </c>
      <c r="K374" s="9">
        <f>NAV!R975</f>
        <v>0</v>
      </c>
      <c r="L374" s="6">
        <f>NAV!S975</f>
        <v>0</v>
      </c>
      <c r="M374" s="6">
        <f>NAV!T975</f>
        <v>0</v>
      </c>
      <c r="N374" s="6" t="str">
        <f>NAV!U975</f>
        <v>한국 원화(KRW)</v>
      </c>
      <c r="O374" s="6">
        <f>NAV!V975</f>
        <v>1</v>
      </c>
      <c r="P374" s="6">
        <f>NAV!W975</f>
        <v>0</v>
      </c>
      <c r="Q374" s="6">
        <f>NAV!X975</f>
        <v>0</v>
      </c>
      <c r="R374" s="6">
        <f>NAV!Y975</f>
        <v>0</v>
      </c>
      <c r="S374" s="6">
        <f>NAV!Z975</f>
        <v>0</v>
      </c>
      <c r="T374" s="6">
        <f>NAV!AA975</f>
        <v>0</v>
      </c>
      <c r="U374" s="10">
        <f>NAV!AB975</f>
        <v>0</v>
      </c>
      <c r="V374" s="6" t="str">
        <f>NAV!AC975</f>
        <v>2년이상</v>
      </c>
    </row>
    <row r="375" spans="1:22">
      <c r="A375" s="7">
        <f t="shared" si="5"/>
        <v>374</v>
      </c>
      <c r="B375" s="7">
        <f>TYPE(종목정보tbl!$C375)</f>
        <v>1</v>
      </c>
      <c r="C375" s="6">
        <f>NAV!J976</f>
        <v>0</v>
      </c>
      <c r="D375" s="6">
        <f>NAV!K976</f>
        <v>0</v>
      </c>
      <c r="E375" s="6">
        <f>NAV!L976</f>
        <v>0</v>
      </c>
      <c r="F375" s="6">
        <f>NAV!M976</f>
        <v>0</v>
      </c>
      <c r="G375" s="6">
        <f>NAV!N976</f>
        <v>0</v>
      </c>
      <c r="H375" s="6">
        <f>NAV!O976</f>
        <v>0</v>
      </c>
      <c r="I375" s="6">
        <f>NAV!P976</f>
        <v>0</v>
      </c>
      <c r="J375" s="6">
        <f>NAV!Q976</f>
        <v>0</v>
      </c>
      <c r="K375" s="9">
        <f>NAV!R976</f>
        <v>0</v>
      </c>
      <c r="L375" s="6">
        <f>NAV!S976</f>
        <v>0</v>
      </c>
      <c r="M375" s="6">
        <f>NAV!T976</f>
        <v>0</v>
      </c>
      <c r="N375" s="6" t="str">
        <f>NAV!U976</f>
        <v>한국 원화(KRW)</v>
      </c>
      <c r="O375" s="6">
        <f>NAV!V976</f>
        <v>1</v>
      </c>
      <c r="P375" s="6">
        <f>NAV!W976</f>
        <v>0</v>
      </c>
      <c r="Q375" s="6">
        <f>NAV!X976</f>
        <v>0</v>
      </c>
      <c r="R375" s="6">
        <f>NAV!Y976</f>
        <v>0</v>
      </c>
      <c r="S375" s="6">
        <f>NAV!Z976</f>
        <v>0</v>
      </c>
      <c r="T375" s="6">
        <f>NAV!AA976</f>
        <v>0</v>
      </c>
      <c r="U375" s="10">
        <f>NAV!AB976</f>
        <v>0</v>
      </c>
      <c r="V375" s="6" t="str">
        <f>NAV!AC976</f>
        <v>2년이상</v>
      </c>
    </row>
    <row r="376" spans="1:22">
      <c r="A376" s="7">
        <f t="shared" si="5"/>
        <v>375</v>
      </c>
      <c r="B376" s="7">
        <f>TYPE(종목정보tbl!$C376)</f>
        <v>1</v>
      </c>
      <c r="C376" s="6">
        <f>NAV!J977</f>
        <v>0</v>
      </c>
      <c r="D376" s="6">
        <f>NAV!K977</f>
        <v>0</v>
      </c>
      <c r="E376" s="6">
        <f>NAV!L977</f>
        <v>0</v>
      </c>
      <c r="F376" s="6">
        <f>NAV!M977</f>
        <v>0</v>
      </c>
      <c r="G376" s="6">
        <f>NAV!N977</f>
        <v>0</v>
      </c>
      <c r="H376" s="6">
        <f>NAV!O977</f>
        <v>0</v>
      </c>
      <c r="I376" s="6">
        <f>NAV!P977</f>
        <v>0</v>
      </c>
      <c r="J376" s="6">
        <f>NAV!Q977</f>
        <v>0</v>
      </c>
      <c r="K376" s="9">
        <f>NAV!R977</f>
        <v>0</v>
      </c>
      <c r="L376" s="6">
        <f>NAV!S977</f>
        <v>0</v>
      </c>
      <c r="M376" s="6">
        <f>NAV!T977</f>
        <v>0</v>
      </c>
      <c r="N376" s="6" t="str">
        <f>NAV!U977</f>
        <v>한국 원화(KRW)</v>
      </c>
      <c r="O376" s="6">
        <f>NAV!V977</f>
        <v>1</v>
      </c>
      <c r="P376" s="6">
        <f>NAV!W977</f>
        <v>0</v>
      </c>
      <c r="Q376" s="6">
        <f>NAV!X977</f>
        <v>0</v>
      </c>
      <c r="R376" s="6">
        <f>NAV!Y977</f>
        <v>0</v>
      </c>
      <c r="S376" s="6">
        <f>NAV!Z977</f>
        <v>0</v>
      </c>
      <c r="T376" s="6">
        <f>NAV!AA977</f>
        <v>0</v>
      </c>
      <c r="U376" s="10">
        <f>NAV!AB977</f>
        <v>0</v>
      </c>
      <c r="V376" s="6" t="str">
        <f>NAV!AC977</f>
        <v>2년이상</v>
      </c>
    </row>
    <row r="377" spans="1:22">
      <c r="A377" s="7">
        <f t="shared" si="5"/>
        <v>376</v>
      </c>
      <c r="B377" s="7">
        <f>TYPE(종목정보tbl!$C377)</f>
        <v>1</v>
      </c>
      <c r="C377" s="6">
        <f>NAV!J978</f>
        <v>0</v>
      </c>
      <c r="D377" s="6">
        <f>NAV!K978</f>
        <v>0</v>
      </c>
      <c r="E377" s="6">
        <f>NAV!L978</f>
        <v>0</v>
      </c>
      <c r="F377" s="6">
        <f>NAV!M978</f>
        <v>0</v>
      </c>
      <c r="G377" s="6">
        <f>NAV!N978</f>
        <v>0</v>
      </c>
      <c r="H377" s="6">
        <f>NAV!O978</f>
        <v>0</v>
      </c>
      <c r="I377" s="6">
        <f>NAV!P978</f>
        <v>0</v>
      </c>
      <c r="J377" s="6">
        <f>NAV!Q978</f>
        <v>0</v>
      </c>
      <c r="K377" s="9">
        <f>NAV!R978</f>
        <v>0</v>
      </c>
      <c r="L377" s="6">
        <f>NAV!S978</f>
        <v>0</v>
      </c>
      <c r="M377" s="6">
        <f>NAV!T978</f>
        <v>0</v>
      </c>
      <c r="N377" s="6" t="str">
        <f>NAV!U978</f>
        <v>한국 원화(KRW)</v>
      </c>
      <c r="O377" s="6">
        <f>NAV!V978</f>
        <v>1</v>
      </c>
      <c r="P377" s="6">
        <f>NAV!W978</f>
        <v>0</v>
      </c>
      <c r="Q377" s="6">
        <f>NAV!X978</f>
        <v>0</v>
      </c>
      <c r="R377" s="6">
        <f>NAV!Y978</f>
        <v>0</v>
      </c>
      <c r="S377" s="6">
        <f>NAV!Z978</f>
        <v>0</v>
      </c>
      <c r="T377" s="6">
        <f>NAV!AA978</f>
        <v>0</v>
      </c>
      <c r="U377" s="10">
        <f>NAV!AB978</f>
        <v>0</v>
      </c>
      <c r="V377" s="6" t="str">
        <f>NAV!AC978</f>
        <v>2년이상</v>
      </c>
    </row>
    <row r="378" spans="1:22">
      <c r="A378" s="7">
        <f t="shared" si="5"/>
        <v>377</v>
      </c>
      <c r="B378" s="7">
        <f>TYPE(종목정보tbl!$C378)</f>
        <v>1</v>
      </c>
      <c r="C378" s="6">
        <f>NAV!J979</f>
        <v>0</v>
      </c>
      <c r="D378" s="6">
        <f>NAV!K979</f>
        <v>0</v>
      </c>
      <c r="E378" s="6">
        <f>NAV!L979</f>
        <v>0</v>
      </c>
      <c r="F378" s="6">
        <f>NAV!M979</f>
        <v>0</v>
      </c>
      <c r="G378" s="6">
        <f>NAV!N979</f>
        <v>0</v>
      </c>
      <c r="H378" s="6">
        <f>NAV!O979</f>
        <v>0</v>
      </c>
      <c r="I378" s="6">
        <f>NAV!P979</f>
        <v>0</v>
      </c>
      <c r="J378" s="6">
        <f>NAV!Q979</f>
        <v>0</v>
      </c>
      <c r="K378" s="9">
        <f>NAV!R979</f>
        <v>0</v>
      </c>
      <c r="L378" s="6">
        <f>NAV!S979</f>
        <v>0</v>
      </c>
      <c r="M378" s="6">
        <f>NAV!T979</f>
        <v>0</v>
      </c>
      <c r="N378" s="6" t="str">
        <f>NAV!U979</f>
        <v>한국 원화(KRW)</v>
      </c>
      <c r="O378" s="6">
        <f>NAV!V979</f>
        <v>1</v>
      </c>
      <c r="P378" s="6">
        <f>NAV!W979</f>
        <v>0</v>
      </c>
      <c r="Q378" s="6">
        <f>NAV!X979</f>
        <v>0</v>
      </c>
      <c r="R378" s="6">
        <f>NAV!Y979</f>
        <v>0</v>
      </c>
      <c r="S378" s="6">
        <f>NAV!Z979</f>
        <v>0</v>
      </c>
      <c r="T378" s="6">
        <f>NAV!AA979</f>
        <v>0</v>
      </c>
      <c r="U378" s="10">
        <f>NAV!AB979</f>
        <v>0</v>
      </c>
      <c r="V378" s="6" t="str">
        <f>NAV!AC979</f>
        <v>2년이상</v>
      </c>
    </row>
    <row r="379" spans="1:22">
      <c r="A379" s="7">
        <f t="shared" si="5"/>
        <v>378</v>
      </c>
      <c r="B379" s="7">
        <f>TYPE(종목정보tbl!$C379)</f>
        <v>1</v>
      </c>
      <c r="C379" s="6">
        <f>NAV!J980</f>
        <v>0</v>
      </c>
      <c r="D379" s="6">
        <f>NAV!K980</f>
        <v>0</v>
      </c>
      <c r="E379" s="6">
        <f>NAV!L980</f>
        <v>0</v>
      </c>
      <c r="F379" s="6">
        <f>NAV!M980</f>
        <v>0</v>
      </c>
      <c r="G379" s="6">
        <f>NAV!N980</f>
        <v>0</v>
      </c>
      <c r="H379" s="6">
        <f>NAV!O980</f>
        <v>0</v>
      </c>
      <c r="I379" s="6">
        <f>NAV!P980</f>
        <v>0</v>
      </c>
      <c r="J379" s="6">
        <f>NAV!Q980</f>
        <v>0</v>
      </c>
      <c r="K379" s="9">
        <f>NAV!R980</f>
        <v>0</v>
      </c>
      <c r="L379" s="6">
        <f>NAV!S980</f>
        <v>0</v>
      </c>
      <c r="M379" s="6">
        <f>NAV!T980</f>
        <v>0</v>
      </c>
      <c r="N379" s="6" t="str">
        <f>NAV!U980</f>
        <v>한국 원화(KRW)</v>
      </c>
      <c r="O379" s="6">
        <f>NAV!V980</f>
        <v>1</v>
      </c>
      <c r="P379" s="6">
        <f>NAV!W980</f>
        <v>0</v>
      </c>
      <c r="Q379" s="6">
        <f>NAV!X980</f>
        <v>0</v>
      </c>
      <c r="R379" s="6">
        <f>NAV!Y980</f>
        <v>0</v>
      </c>
      <c r="S379" s="6">
        <f>NAV!Z980</f>
        <v>0</v>
      </c>
      <c r="T379" s="6">
        <f>NAV!AA980</f>
        <v>0</v>
      </c>
      <c r="U379" s="10">
        <f>NAV!AB980</f>
        <v>0</v>
      </c>
      <c r="V379" s="6" t="str">
        <f>NAV!AC980</f>
        <v>2년이상</v>
      </c>
    </row>
    <row r="380" spans="1:22">
      <c r="A380" s="7">
        <f t="shared" si="5"/>
        <v>379</v>
      </c>
      <c r="B380" s="7">
        <f>TYPE(종목정보tbl!$C380)</f>
        <v>1</v>
      </c>
      <c r="C380" s="6">
        <f>NAV!J981</f>
        <v>0</v>
      </c>
      <c r="D380" s="6">
        <f>NAV!K981</f>
        <v>0</v>
      </c>
      <c r="E380" s="6">
        <f>NAV!L981</f>
        <v>0</v>
      </c>
      <c r="F380" s="6">
        <f>NAV!M981</f>
        <v>0</v>
      </c>
      <c r="G380" s="6">
        <f>NAV!N981</f>
        <v>0</v>
      </c>
      <c r="H380" s="6">
        <f>NAV!O981</f>
        <v>0</v>
      </c>
      <c r="I380" s="6">
        <f>NAV!P981</f>
        <v>0</v>
      </c>
      <c r="J380" s="6">
        <f>NAV!Q981</f>
        <v>0</v>
      </c>
      <c r="K380" s="9">
        <f>NAV!R981</f>
        <v>0</v>
      </c>
      <c r="L380" s="6">
        <f>NAV!S981</f>
        <v>0</v>
      </c>
      <c r="M380" s="6">
        <f>NAV!T981</f>
        <v>0</v>
      </c>
      <c r="N380" s="6" t="str">
        <f>NAV!U981</f>
        <v>한국 원화(KRW)</v>
      </c>
      <c r="O380" s="6">
        <f>NAV!V981</f>
        <v>1</v>
      </c>
      <c r="P380" s="6">
        <f>NAV!W981</f>
        <v>0</v>
      </c>
      <c r="Q380" s="6">
        <f>NAV!X981</f>
        <v>0</v>
      </c>
      <c r="R380" s="6">
        <f>NAV!Y981</f>
        <v>0</v>
      </c>
      <c r="S380" s="6">
        <f>NAV!Z981</f>
        <v>0</v>
      </c>
      <c r="T380" s="6">
        <f>NAV!AA981</f>
        <v>0</v>
      </c>
      <c r="U380" s="10">
        <f>NAV!AB981</f>
        <v>0</v>
      </c>
      <c r="V380" s="6" t="str">
        <f>NAV!AC981</f>
        <v>2년이상</v>
      </c>
    </row>
    <row r="381" spans="1:22">
      <c r="A381" s="7">
        <f t="shared" si="5"/>
        <v>380</v>
      </c>
      <c r="B381" s="7">
        <f>TYPE(종목정보tbl!$C381)</f>
        <v>1</v>
      </c>
      <c r="C381" s="6">
        <f>NAV!J982</f>
        <v>0</v>
      </c>
      <c r="D381" s="6">
        <f>NAV!K982</f>
        <v>0</v>
      </c>
      <c r="E381" s="6">
        <f>NAV!L982</f>
        <v>0</v>
      </c>
      <c r="F381" s="6">
        <f>NAV!M982</f>
        <v>0</v>
      </c>
      <c r="G381" s="6">
        <f>NAV!N982</f>
        <v>0</v>
      </c>
      <c r="H381" s="6">
        <f>NAV!O982</f>
        <v>0</v>
      </c>
      <c r="I381" s="6">
        <f>NAV!P982</f>
        <v>0</v>
      </c>
      <c r="J381" s="6">
        <f>NAV!Q982</f>
        <v>0</v>
      </c>
      <c r="K381" s="9">
        <f>NAV!R982</f>
        <v>0</v>
      </c>
      <c r="L381" s="6">
        <f>NAV!S982</f>
        <v>0</v>
      </c>
      <c r="M381" s="6">
        <f>NAV!T982</f>
        <v>0</v>
      </c>
      <c r="N381" s="6" t="str">
        <f>NAV!U982</f>
        <v>한국 원화(KRW)</v>
      </c>
      <c r="O381" s="6">
        <f>NAV!V982</f>
        <v>1</v>
      </c>
      <c r="P381" s="6">
        <f>NAV!W982</f>
        <v>0</v>
      </c>
      <c r="Q381" s="6">
        <f>NAV!X982</f>
        <v>0</v>
      </c>
      <c r="R381" s="6">
        <f>NAV!Y982</f>
        <v>0</v>
      </c>
      <c r="S381" s="6">
        <f>NAV!Z982</f>
        <v>0</v>
      </c>
      <c r="T381" s="6">
        <f>NAV!AA982</f>
        <v>0</v>
      </c>
      <c r="U381" s="10">
        <f>NAV!AB982</f>
        <v>0</v>
      </c>
      <c r="V381" s="6" t="str">
        <f>NAV!AC982</f>
        <v>2년이상</v>
      </c>
    </row>
    <row r="382" spans="1:22">
      <c r="A382" s="7">
        <f t="shared" si="5"/>
        <v>381</v>
      </c>
      <c r="B382" s="7">
        <f>TYPE(종목정보tbl!$C382)</f>
        <v>1</v>
      </c>
      <c r="C382" s="6">
        <f>NAV!J983</f>
        <v>0</v>
      </c>
      <c r="D382" s="6">
        <f>NAV!K983</f>
        <v>0</v>
      </c>
      <c r="E382" s="6">
        <f>NAV!L983</f>
        <v>0</v>
      </c>
      <c r="F382" s="6">
        <f>NAV!M983</f>
        <v>0</v>
      </c>
      <c r="G382" s="6">
        <f>NAV!N983</f>
        <v>0</v>
      </c>
      <c r="H382" s="6">
        <f>NAV!O983</f>
        <v>0</v>
      </c>
      <c r="I382" s="6">
        <f>NAV!P983</f>
        <v>0</v>
      </c>
      <c r="J382" s="6">
        <f>NAV!Q983</f>
        <v>0</v>
      </c>
      <c r="K382" s="9">
        <f>NAV!R983</f>
        <v>0</v>
      </c>
      <c r="L382" s="6">
        <f>NAV!S983</f>
        <v>0</v>
      </c>
      <c r="M382" s="6">
        <f>NAV!T983</f>
        <v>0</v>
      </c>
      <c r="N382" s="6" t="str">
        <f>NAV!U983</f>
        <v>한국 원화(KRW)</v>
      </c>
      <c r="O382" s="6">
        <f>NAV!V983</f>
        <v>1</v>
      </c>
      <c r="P382" s="6">
        <f>NAV!W983</f>
        <v>0</v>
      </c>
      <c r="Q382" s="6">
        <f>NAV!X983</f>
        <v>0</v>
      </c>
      <c r="R382" s="6">
        <f>NAV!Y983</f>
        <v>0</v>
      </c>
      <c r="S382" s="6">
        <f>NAV!Z983</f>
        <v>0</v>
      </c>
      <c r="T382" s="6">
        <f>NAV!AA983</f>
        <v>0</v>
      </c>
      <c r="U382" s="10">
        <f>NAV!AB983</f>
        <v>0</v>
      </c>
      <c r="V382" s="6" t="str">
        <f>NAV!AC983</f>
        <v>2년이상</v>
      </c>
    </row>
    <row r="383" spans="1:22">
      <c r="A383" s="7">
        <f t="shared" si="5"/>
        <v>382</v>
      </c>
      <c r="B383" s="7">
        <f>TYPE(종목정보tbl!$C383)</f>
        <v>1</v>
      </c>
      <c r="C383" s="6">
        <f>NAV!J1011</f>
        <v>0</v>
      </c>
      <c r="D383" s="6">
        <f>NAV!K1011</f>
        <v>0</v>
      </c>
      <c r="E383" s="6">
        <f>NAV!L1011</f>
        <v>0</v>
      </c>
      <c r="F383" s="6">
        <f>NAV!M1011</f>
        <v>0</v>
      </c>
      <c r="G383" s="6">
        <f>NAV!N1011</f>
        <v>0</v>
      </c>
      <c r="H383" s="6">
        <f>NAV!O1011</f>
        <v>0</v>
      </c>
      <c r="I383" s="6">
        <f>NAV!P1011</f>
        <v>0</v>
      </c>
      <c r="J383" s="6">
        <f>NAV!Q1011</f>
        <v>0</v>
      </c>
      <c r="K383" s="9">
        <f>NAV!R1011</f>
        <v>0</v>
      </c>
      <c r="L383" s="6">
        <f>NAV!S1011</f>
        <v>0</v>
      </c>
      <c r="M383" s="6">
        <f>NAV!T1011</f>
        <v>0</v>
      </c>
      <c r="N383" s="6" t="str">
        <f>NAV!U1011</f>
        <v>한국 원화(KRW)</v>
      </c>
      <c r="O383" s="6">
        <f>NAV!V1011</f>
        <v>1</v>
      </c>
      <c r="P383" s="6">
        <f>NAV!W1011</f>
        <v>0</v>
      </c>
      <c r="Q383" s="6">
        <f>NAV!X1011</f>
        <v>0</v>
      </c>
      <c r="R383" s="6">
        <f>NAV!Y1011</f>
        <v>0</v>
      </c>
      <c r="S383" s="6">
        <f>NAV!Z1011</f>
        <v>0</v>
      </c>
      <c r="T383" s="6">
        <f>NAV!AA1011</f>
        <v>0</v>
      </c>
      <c r="U383" s="10">
        <f>NAV!AB1011</f>
        <v>0</v>
      </c>
      <c r="V383" s="6" t="str">
        <f>NAV!AC1011</f>
        <v>2년이상</v>
      </c>
    </row>
    <row r="384" spans="1:22">
      <c r="A384" s="7">
        <f t="shared" si="5"/>
        <v>383</v>
      </c>
      <c r="B384" s="7">
        <f>TYPE(종목정보tbl!$C384)</f>
        <v>1</v>
      </c>
      <c r="C384" s="6">
        <f>NAV!J1012</f>
        <v>0</v>
      </c>
      <c r="D384" s="6">
        <f>NAV!K1012</f>
        <v>0</v>
      </c>
      <c r="E384" s="6">
        <f>NAV!L1012</f>
        <v>0</v>
      </c>
      <c r="F384" s="6">
        <f>NAV!M1012</f>
        <v>0</v>
      </c>
      <c r="G384" s="6">
        <f>NAV!N1012</f>
        <v>0</v>
      </c>
      <c r="H384" s="6">
        <f>NAV!O1012</f>
        <v>0</v>
      </c>
      <c r="I384" s="6">
        <f>NAV!P1012</f>
        <v>0</v>
      </c>
      <c r="J384" s="6">
        <f>NAV!Q1012</f>
        <v>0</v>
      </c>
      <c r="K384" s="9">
        <f>NAV!R1012</f>
        <v>0</v>
      </c>
      <c r="L384" s="6">
        <f>NAV!S1012</f>
        <v>0</v>
      </c>
      <c r="M384" s="6">
        <f>NAV!T1012</f>
        <v>0</v>
      </c>
      <c r="N384" s="6" t="str">
        <f>NAV!U1012</f>
        <v>한국 원화(KRW)</v>
      </c>
      <c r="O384" s="6">
        <f>NAV!V1012</f>
        <v>1</v>
      </c>
      <c r="P384" s="6">
        <f>NAV!W1012</f>
        <v>0</v>
      </c>
      <c r="Q384" s="6">
        <f>NAV!X1012</f>
        <v>0</v>
      </c>
      <c r="R384" s="6">
        <f>NAV!Y1012</f>
        <v>0</v>
      </c>
      <c r="S384" s="6">
        <f>NAV!Z1012</f>
        <v>0</v>
      </c>
      <c r="T384" s="6">
        <f>NAV!AA1012</f>
        <v>0</v>
      </c>
      <c r="U384" s="10">
        <f>NAV!AB1012</f>
        <v>0</v>
      </c>
      <c r="V384" s="6" t="str">
        <f>NAV!AC1012</f>
        <v>2년이상</v>
      </c>
    </row>
    <row r="385" spans="1:22">
      <c r="A385" s="7">
        <f t="shared" si="5"/>
        <v>384</v>
      </c>
      <c r="B385" s="7">
        <f>TYPE(종목정보tbl!$C385)</f>
        <v>1</v>
      </c>
      <c r="C385" s="6">
        <f>NAV!J1013</f>
        <v>0</v>
      </c>
      <c r="D385" s="6">
        <f>NAV!K1013</f>
        <v>0</v>
      </c>
      <c r="E385" s="6">
        <f>NAV!L1013</f>
        <v>0</v>
      </c>
      <c r="F385" s="6">
        <f>NAV!M1013</f>
        <v>0</v>
      </c>
      <c r="G385" s="6">
        <f>NAV!N1013</f>
        <v>0</v>
      </c>
      <c r="H385" s="6">
        <f>NAV!O1013</f>
        <v>0</v>
      </c>
      <c r="I385" s="6">
        <f>NAV!P1013</f>
        <v>0</v>
      </c>
      <c r="J385" s="6">
        <f>NAV!Q1013</f>
        <v>0</v>
      </c>
      <c r="K385" s="9">
        <f>NAV!R1013</f>
        <v>0</v>
      </c>
      <c r="L385" s="6">
        <f>NAV!S1013</f>
        <v>0</v>
      </c>
      <c r="M385" s="6">
        <f>NAV!T1013</f>
        <v>0</v>
      </c>
      <c r="N385" s="6" t="str">
        <f>NAV!U1013</f>
        <v>한국 원화(KRW)</v>
      </c>
      <c r="O385" s="6">
        <f>NAV!V1013</f>
        <v>1</v>
      </c>
      <c r="P385" s="6">
        <f>NAV!W1013</f>
        <v>0</v>
      </c>
      <c r="Q385" s="6">
        <f>NAV!X1013</f>
        <v>0</v>
      </c>
      <c r="R385" s="6">
        <f>NAV!Y1013</f>
        <v>0</v>
      </c>
      <c r="S385" s="6">
        <f>NAV!Z1013</f>
        <v>0</v>
      </c>
      <c r="T385" s="6">
        <f>NAV!AA1013</f>
        <v>0</v>
      </c>
      <c r="U385" s="10">
        <f>NAV!AB1013</f>
        <v>0</v>
      </c>
      <c r="V385" s="6" t="str">
        <f>NAV!AC1013</f>
        <v>2년이상</v>
      </c>
    </row>
    <row r="386" spans="1:22">
      <c r="A386" s="7">
        <f t="shared" ref="A386:A449" si="6">ROW()-1</f>
        <v>385</v>
      </c>
      <c r="B386" s="7">
        <f>TYPE(종목정보tbl!$C386)</f>
        <v>1</v>
      </c>
      <c r="C386" s="6">
        <f>NAV!J1014</f>
        <v>0</v>
      </c>
      <c r="D386" s="6">
        <f>NAV!K1014</f>
        <v>0</v>
      </c>
      <c r="E386" s="6">
        <f>NAV!L1014</f>
        <v>0</v>
      </c>
      <c r="F386" s="6">
        <f>NAV!M1014</f>
        <v>0</v>
      </c>
      <c r="G386" s="6">
        <f>NAV!N1014</f>
        <v>0</v>
      </c>
      <c r="H386" s="6">
        <f>NAV!O1014</f>
        <v>0</v>
      </c>
      <c r="I386" s="6">
        <f>NAV!P1014</f>
        <v>0</v>
      </c>
      <c r="J386" s="6">
        <f>NAV!Q1014</f>
        <v>0</v>
      </c>
      <c r="K386" s="9">
        <f>NAV!R1014</f>
        <v>0</v>
      </c>
      <c r="L386" s="6">
        <f>NAV!S1014</f>
        <v>0</v>
      </c>
      <c r="M386" s="6">
        <f>NAV!T1014</f>
        <v>0</v>
      </c>
      <c r="N386" s="6" t="str">
        <f>NAV!U1014</f>
        <v>한국 원화(KRW)</v>
      </c>
      <c r="O386" s="6">
        <f>NAV!V1014</f>
        <v>1</v>
      </c>
      <c r="P386" s="6">
        <f>NAV!W1014</f>
        <v>0</v>
      </c>
      <c r="Q386" s="6">
        <f>NAV!X1014</f>
        <v>0</v>
      </c>
      <c r="R386" s="6">
        <f>NAV!Y1014</f>
        <v>0</v>
      </c>
      <c r="S386" s="6">
        <f>NAV!Z1014</f>
        <v>0</v>
      </c>
      <c r="T386" s="6">
        <f>NAV!AA1014</f>
        <v>0</v>
      </c>
      <c r="U386" s="10">
        <f>NAV!AB1014</f>
        <v>0</v>
      </c>
      <c r="V386" s="6" t="str">
        <f>NAV!AC1014</f>
        <v>2년이상</v>
      </c>
    </row>
    <row r="387" spans="1:22">
      <c r="A387" s="7">
        <f t="shared" si="6"/>
        <v>386</v>
      </c>
      <c r="B387" s="7">
        <f>TYPE(종목정보tbl!$C387)</f>
        <v>1</v>
      </c>
      <c r="C387" s="6">
        <f>NAV!J1015</f>
        <v>0</v>
      </c>
      <c r="D387" s="6">
        <f>NAV!K1015</f>
        <v>0</v>
      </c>
      <c r="E387" s="6">
        <f>NAV!L1015</f>
        <v>0</v>
      </c>
      <c r="F387" s="6">
        <f>NAV!M1015</f>
        <v>0</v>
      </c>
      <c r="G387" s="6">
        <f>NAV!N1015</f>
        <v>0</v>
      </c>
      <c r="H387" s="6">
        <f>NAV!O1015</f>
        <v>0</v>
      </c>
      <c r="I387" s="6">
        <f>NAV!P1015</f>
        <v>0</v>
      </c>
      <c r="J387" s="6">
        <f>NAV!Q1015</f>
        <v>0</v>
      </c>
      <c r="K387" s="9">
        <f>NAV!R1015</f>
        <v>0</v>
      </c>
      <c r="L387" s="6">
        <f>NAV!S1015</f>
        <v>0</v>
      </c>
      <c r="M387" s="6">
        <f>NAV!T1015</f>
        <v>0</v>
      </c>
      <c r="N387" s="6" t="str">
        <f>NAV!U1015</f>
        <v>한국 원화(KRW)</v>
      </c>
      <c r="O387" s="6">
        <f>NAV!V1015</f>
        <v>1</v>
      </c>
      <c r="P387" s="6">
        <f>NAV!W1015</f>
        <v>0</v>
      </c>
      <c r="Q387" s="6">
        <f>NAV!X1015</f>
        <v>0</v>
      </c>
      <c r="R387" s="6">
        <f>NAV!Y1015</f>
        <v>0</v>
      </c>
      <c r="S387" s="6">
        <f>NAV!Z1015</f>
        <v>0</v>
      </c>
      <c r="T387" s="6">
        <f>NAV!AA1015</f>
        <v>0</v>
      </c>
      <c r="U387" s="10">
        <f>NAV!AB1015</f>
        <v>0</v>
      </c>
      <c r="V387" s="6" t="str">
        <f>NAV!AC1015</f>
        <v>2년이상</v>
      </c>
    </row>
    <row r="388" spans="1:22">
      <c r="A388" s="7">
        <f t="shared" si="6"/>
        <v>387</v>
      </c>
      <c r="B388" s="7">
        <f>TYPE(종목정보tbl!$C388)</f>
        <v>1</v>
      </c>
      <c r="C388" s="6">
        <f>NAV!J1016</f>
        <v>0</v>
      </c>
      <c r="D388" s="6">
        <f>NAV!K1016</f>
        <v>0</v>
      </c>
      <c r="E388" s="6">
        <f>NAV!L1016</f>
        <v>0</v>
      </c>
      <c r="F388" s="6">
        <f>NAV!M1016</f>
        <v>0</v>
      </c>
      <c r="G388" s="6">
        <f>NAV!N1016</f>
        <v>0</v>
      </c>
      <c r="H388" s="6">
        <f>NAV!O1016</f>
        <v>0</v>
      </c>
      <c r="I388" s="6">
        <f>NAV!P1016</f>
        <v>0</v>
      </c>
      <c r="J388" s="6">
        <f>NAV!Q1016</f>
        <v>0</v>
      </c>
      <c r="K388" s="9">
        <f>NAV!R1016</f>
        <v>0</v>
      </c>
      <c r="L388" s="6">
        <f>NAV!S1016</f>
        <v>0</v>
      </c>
      <c r="M388" s="6">
        <f>NAV!T1016</f>
        <v>0</v>
      </c>
      <c r="N388" s="6" t="str">
        <f>NAV!U1016</f>
        <v>한국 원화(KRW)</v>
      </c>
      <c r="O388" s="6">
        <f>NAV!V1016</f>
        <v>1</v>
      </c>
      <c r="P388" s="6">
        <f>NAV!W1016</f>
        <v>0</v>
      </c>
      <c r="Q388" s="6">
        <f>NAV!X1016</f>
        <v>0</v>
      </c>
      <c r="R388" s="6">
        <f>NAV!Y1016</f>
        <v>0</v>
      </c>
      <c r="S388" s="6">
        <f>NAV!Z1016</f>
        <v>0</v>
      </c>
      <c r="T388" s="6">
        <f>NAV!AA1016</f>
        <v>0</v>
      </c>
      <c r="U388" s="10">
        <f>NAV!AB1016</f>
        <v>0</v>
      </c>
      <c r="V388" s="6" t="str">
        <f>NAV!AC1016</f>
        <v>2년이상</v>
      </c>
    </row>
    <row r="389" spans="1:22">
      <c r="A389" s="7">
        <f t="shared" si="6"/>
        <v>388</v>
      </c>
      <c r="B389" s="7">
        <f>TYPE(종목정보tbl!$C389)</f>
        <v>1</v>
      </c>
      <c r="C389" s="6">
        <f>NAV!J1017</f>
        <v>0</v>
      </c>
      <c r="D389" s="6">
        <f>NAV!K1017</f>
        <v>0</v>
      </c>
      <c r="E389" s="6">
        <f>NAV!L1017</f>
        <v>0</v>
      </c>
      <c r="F389" s="6">
        <f>NAV!M1017</f>
        <v>0</v>
      </c>
      <c r="G389" s="6">
        <f>NAV!N1017</f>
        <v>0</v>
      </c>
      <c r="H389" s="6">
        <f>NAV!O1017</f>
        <v>0</v>
      </c>
      <c r="I389" s="6">
        <f>NAV!P1017</f>
        <v>0</v>
      </c>
      <c r="J389" s="6">
        <f>NAV!Q1017</f>
        <v>0</v>
      </c>
      <c r="K389" s="9">
        <f>NAV!R1017</f>
        <v>0</v>
      </c>
      <c r="L389" s="6">
        <f>NAV!S1017</f>
        <v>0</v>
      </c>
      <c r="M389" s="6">
        <f>NAV!T1017</f>
        <v>0</v>
      </c>
      <c r="N389" s="6" t="str">
        <f>NAV!U1017</f>
        <v>한국 원화(KRW)</v>
      </c>
      <c r="O389" s="6">
        <f>NAV!V1017</f>
        <v>1</v>
      </c>
      <c r="P389" s="6">
        <f>NAV!W1017</f>
        <v>0</v>
      </c>
      <c r="Q389" s="6">
        <f>NAV!X1017</f>
        <v>0</v>
      </c>
      <c r="R389" s="6">
        <f>NAV!Y1017</f>
        <v>0</v>
      </c>
      <c r="S389" s="6">
        <f>NAV!Z1017</f>
        <v>0</v>
      </c>
      <c r="T389" s="6">
        <f>NAV!AA1017</f>
        <v>0</v>
      </c>
      <c r="U389" s="10">
        <f>NAV!AB1017</f>
        <v>0</v>
      </c>
      <c r="V389" s="6" t="str">
        <f>NAV!AC1017</f>
        <v>2년이상</v>
      </c>
    </row>
    <row r="390" spans="1:22">
      <c r="A390" s="7">
        <f t="shared" si="6"/>
        <v>389</v>
      </c>
      <c r="B390" s="7">
        <f>TYPE(종목정보tbl!$C390)</f>
        <v>1</v>
      </c>
      <c r="C390" s="6">
        <f>NAV!J1018</f>
        <v>0</v>
      </c>
      <c r="D390" s="6">
        <f>NAV!K1018</f>
        <v>0</v>
      </c>
      <c r="E390" s="6">
        <f>NAV!L1018</f>
        <v>0</v>
      </c>
      <c r="F390" s="6">
        <f>NAV!M1018</f>
        <v>0</v>
      </c>
      <c r="G390" s="6">
        <f>NAV!N1018</f>
        <v>0</v>
      </c>
      <c r="H390" s="6">
        <f>NAV!O1018</f>
        <v>0</v>
      </c>
      <c r="I390" s="6">
        <f>NAV!P1018</f>
        <v>0</v>
      </c>
      <c r="J390" s="6">
        <f>NAV!Q1018</f>
        <v>0</v>
      </c>
      <c r="K390" s="9">
        <f>NAV!R1018</f>
        <v>0</v>
      </c>
      <c r="L390" s="6">
        <f>NAV!S1018</f>
        <v>0</v>
      </c>
      <c r="M390" s="6">
        <f>NAV!T1018</f>
        <v>0</v>
      </c>
      <c r="N390" s="6" t="str">
        <f>NAV!U1018</f>
        <v>한국 원화(KRW)</v>
      </c>
      <c r="O390" s="6">
        <f>NAV!V1018</f>
        <v>1</v>
      </c>
      <c r="P390" s="6">
        <f>NAV!W1018</f>
        <v>0</v>
      </c>
      <c r="Q390" s="6">
        <f>NAV!X1018</f>
        <v>0</v>
      </c>
      <c r="R390" s="6">
        <f>NAV!Y1018</f>
        <v>0</v>
      </c>
      <c r="S390" s="6">
        <f>NAV!Z1018</f>
        <v>0</v>
      </c>
      <c r="T390" s="6">
        <f>NAV!AA1018</f>
        <v>0</v>
      </c>
      <c r="U390" s="10">
        <f>NAV!AB1018</f>
        <v>0</v>
      </c>
      <c r="V390" s="6" t="str">
        <f>NAV!AC1018</f>
        <v>2년이상</v>
      </c>
    </row>
    <row r="391" spans="1:22">
      <c r="A391" s="7">
        <f t="shared" si="6"/>
        <v>390</v>
      </c>
      <c r="B391" s="7">
        <f>TYPE(종목정보tbl!$C391)</f>
        <v>1</v>
      </c>
      <c r="C391" s="6">
        <f>NAV!J1019</f>
        <v>0</v>
      </c>
      <c r="D391" s="6">
        <f>NAV!K1019</f>
        <v>0</v>
      </c>
      <c r="E391" s="6">
        <f>NAV!L1019</f>
        <v>0</v>
      </c>
      <c r="F391" s="6">
        <f>NAV!M1019</f>
        <v>0</v>
      </c>
      <c r="G391" s="6">
        <f>NAV!N1019</f>
        <v>0</v>
      </c>
      <c r="H391" s="6">
        <f>NAV!O1019</f>
        <v>0</v>
      </c>
      <c r="I391" s="6">
        <f>NAV!P1019</f>
        <v>0</v>
      </c>
      <c r="J391" s="6">
        <f>NAV!Q1019</f>
        <v>0</v>
      </c>
      <c r="K391" s="9">
        <f>NAV!R1019</f>
        <v>0</v>
      </c>
      <c r="L391" s="6">
        <f>NAV!S1019</f>
        <v>0</v>
      </c>
      <c r="M391" s="6">
        <f>NAV!T1019</f>
        <v>0</v>
      </c>
      <c r="N391" s="6" t="str">
        <f>NAV!U1019</f>
        <v>한국 원화(KRW)</v>
      </c>
      <c r="O391" s="6">
        <f>NAV!V1019</f>
        <v>1</v>
      </c>
      <c r="P391" s="6">
        <f>NAV!W1019</f>
        <v>0</v>
      </c>
      <c r="Q391" s="6">
        <f>NAV!X1019</f>
        <v>0</v>
      </c>
      <c r="R391" s="6">
        <f>NAV!Y1019</f>
        <v>0</v>
      </c>
      <c r="S391" s="6">
        <f>NAV!Z1019</f>
        <v>0</v>
      </c>
      <c r="T391" s="6">
        <f>NAV!AA1019</f>
        <v>0</v>
      </c>
      <c r="U391" s="10">
        <f>NAV!AB1019</f>
        <v>0</v>
      </c>
      <c r="V391" s="6" t="str">
        <f>NAV!AC1019</f>
        <v>2년이상</v>
      </c>
    </row>
    <row r="392" spans="1:22">
      <c r="A392" s="7">
        <f t="shared" si="6"/>
        <v>391</v>
      </c>
      <c r="B392" s="7">
        <f>TYPE(종목정보tbl!$C392)</f>
        <v>1</v>
      </c>
      <c r="C392" s="6">
        <f>NAV!J1020</f>
        <v>0</v>
      </c>
      <c r="D392" s="6">
        <f>NAV!K1020</f>
        <v>0</v>
      </c>
      <c r="E392" s="6">
        <f>NAV!L1020</f>
        <v>0</v>
      </c>
      <c r="F392" s="6">
        <f>NAV!M1020</f>
        <v>0</v>
      </c>
      <c r="G392" s="6">
        <f>NAV!N1020</f>
        <v>0</v>
      </c>
      <c r="H392" s="6">
        <f>NAV!O1020</f>
        <v>0</v>
      </c>
      <c r="I392" s="6">
        <f>NAV!P1020</f>
        <v>0</v>
      </c>
      <c r="J392" s="6">
        <f>NAV!Q1020</f>
        <v>0</v>
      </c>
      <c r="K392" s="9">
        <f>NAV!R1020</f>
        <v>0</v>
      </c>
      <c r="L392" s="6">
        <f>NAV!S1020</f>
        <v>0</v>
      </c>
      <c r="M392" s="6">
        <f>NAV!T1020</f>
        <v>0</v>
      </c>
      <c r="N392" s="6" t="str">
        <f>NAV!U1020</f>
        <v>한국 원화(KRW)</v>
      </c>
      <c r="O392" s="6">
        <f>NAV!V1020</f>
        <v>1</v>
      </c>
      <c r="P392" s="6">
        <f>NAV!W1020</f>
        <v>0</v>
      </c>
      <c r="Q392" s="6">
        <f>NAV!X1020</f>
        <v>0</v>
      </c>
      <c r="R392" s="6">
        <f>NAV!Y1020</f>
        <v>0</v>
      </c>
      <c r="S392" s="6">
        <f>NAV!Z1020</f>
        <v>0</v>
      </c>
      <c r="T392" s="6">
        <f>NAV!AA1020</f>
        <v>0</v>
      </c>
      <c r="U392" s="10">
        <f>NAV!AB1020</f>
        <v>0</v>
      </c>
      <c r="V392" s="6" t="str">
        <f>NAV!AC1020</f>
        <v>2년이상</v>
      </c>
    </row>
    <row r="393" spans="1:22">
      <c r="A393" s="7">
        <f t="shared" si="6"/>
        <v>392</v>
      </c>
      <c r="B393" s="7">
        <f>TYPE(종목정보tbl!$C393)</f>
        <v>1</v>
      </c>
      <c r="C393" s="6">
        <f>NAV!J1021</f>
        <v>0</v>
      </c>
      <c r="D393" s="6">
        <f>NAV!K1021</f>
        <v>0</v>
      </c>
      <c r="E393" s="6">
        <f>NAV!L1021</f>
        <v>0</v>
      </c>
      <c r="F393" s="6">
        <f>NAV!M1021</f>
        <v>0</v>
      </c>
      <c r="G393" s="6">
        <f>NAV!N1021</f>
        <v>0</v>
      </c>
      <c r="H393" s="6">
        <f>NAV!O1021</f>
        <v>0</v>
      </c>
      <c r="I393" s="6">
        <f>NAV!P1021</f>
        <v>0</v>
      </c>
      <c r="J393" s="6">
        <f>NAV!Q1021</f>
        <v>0</v>
      </c>
      <c r="K393" s="9">
        <f>NAV!R1021</f>
        <v>0</v>
      </c>
      <c r="L393" s="6">
        <f>NAV!S1021</f>
        <v>0</v>
      </c>
      <c r="M393" s="6">
        <f>NAV!T1021</f>
        <v>0</v>
      </c>
      <c r="N393" s="6" t="str">
        <f>NAV!U1021</f>
        <v>한국 원화(KRW)</v>
      </c>
      <c r="O393" s="6">
        <f>NAV!V1021</f>
        <v>1</v>
      </c>
      <c r="P393" s="6">
        <f>NAV!W1021</f>
        <v>0</v>
      </c>
      <c r="Q393" s="6">
        <f>NAV!X1021</f>
        <v>0</v>
      </c>
      <c r="R393" s="6">
        <f>NAV!Y1021</f>
        <v>0</v>
      </c>
      <c r="S393" s="6">
        <f>NAV!Z1021</f>
        <v>0</v>
      </c>
      <c r="T393" s="6">
        <f>NAV!AA1021</f>
        <v>0</v>
      </c>
      <c r="U393" s="10">
        <f>NAV!AB1021</f>
        <v>0</v>
      </c>
      <c r="V393" s="6" t="str">
        <f>NAV!AC1021</f>
        <v>2년이상</v>
      </c>
    </row>
    <row r="394" spans="1:22">
      <c r="A394" s="7">
        <f t="shared" si="6"/>
        <v>393</v>
      </c>
      <c r="B394" s="7">
        <f>TYPE(종목정보tbl!$C394)</f>
        <v>1</v>
      </c>
      <c r="C394" s="6">
        <f>NAV!J1049</f>
        <v>0</v>
      </c>
      <c r="D394" s="6">
        <f>NAV!K1049</f>
        <v>0</v>
      </c>
      <c r="E394" s="6">
        <f>NAV!L1049</f>
        <v>0</v>
      </c>
      <c r="F394" s="6">
        <f>NAV!M1049</f>
        <v>0</v>
      </c>
      <c r="G394" s="6">
        <f>NAV!N1049</f>
        <v>0</v>
      </c>
      <c r="H394" s="6">
        <f>NAV!O1049</f>
        <v>0</v>
      </c>
      <c r="I394" s="6">
        <f>NAV!P1049</f>
        <v>0</v>
      </c>
      <c r="J394" s="6">
        <f>NAV!Q1049</f>
        <v>0</v>
      </c>
      <c r="K394" s="9">
        <f>NAV!R1049</f>
        <v>0</v>
      </c>
      <c r="L394" s="6">
        <f>NAV!S1049</f>
        <v>0</v>
      </c>
      <c r="M394" s="6">
        <f>NAV!T1049</f>
        <v>0</v>
      </c>
      <c r="N394" s="6" t="str">
        <f>NAV!U1049</f>
        <v>한국 원화(KRW)</v>
      </c>
      <c r="O394" s="6">
        <f>NAV!V1049</f>
        <v>1</v>
      </c>
      <c r="P394" s="6">
        <f>NAV!W1049</f>
        <v>0</v>
      </c>
      <c r="Q394" s="6">
        <f>NAV!X1049</f>
        <v>0</v>
      </c>
      <c r="R394" s="6">
        <f>NAV!Y1049</f>
        <v>0</v>
      </c>
      <c r="S394" s="6">
        <f>NAV!Z1049</f>
        <v>0</v>
      </c>
      <c r="T394" s="6">
        <f>NAV!AA1049</f>
        <v>0</v>
      </c>
      <c r="U394" s="10">
        <f>NAV!AB1049</f>
        <v>0</v>
      </c>
      <c r="V394" s="6" t="str">
        <f>NAV!AC1049</f>
        <v>2년이상</v>
      </c>
    </row>
    <row r="395" spans="1:22">
      <c r="A395" s="7">
        <f t="shared" si="6"/>
        <v>394</v>
      </c>
      <c r="B395" s="7">
        <f>TYPE(종목정보tbl!$C395)</f>
        <v>1</v>
      </c>
      <c r="C395" s="6">
        <f>NAV!J1050</f>
        <v>0</v>
      </c>
      <c r="D395" s="6">
        <f>NAV!K1050</f>
        <v>0</v>
      </c>
      <c r="E395" s="6">
        <f>NAV!L1050</f>
        <v>0</v>
      </c>
      <c r="F395" s="6">
        <f>NAV!M1050</f>
        <v>0</v>
      </c>
      <c r="G395" s="6">
        <f>NAV!N1050</f>
        <v>0</v>
      </c>
      <c r="H395" s="6">
        <f>NAV!O1050</f>
        <v>0</v>
      </c>
      <c r="I395" s="6">
        <f>NAV!P1050</f>
        <v>0</v>
      </c>
      <c r="J395" s="6">
        <f>NAV!Q1050</f>
        <v>0</v>
      </c>
      <c r="K395" s="9">
        <f>NAV!R1050</f>
        <v>0</v>
      </c>
      <c r="L395" s="6">
        <f>NAV!S1050</f>
        <v>0</v>
      </c>
      <c r="M395" s="6">
        <f>NAV!T1050</f>
        <v>0</v>
      </c>
      <c r="N395" s="6" t="str">
        <f>NAV!U1050</f>
        <v>한국 원화(KRW)</v>
      </c>
      <c r="O395" s="6">
        <f>NAV!V1050</f>
        <v>1</v>
      </c>
      <c r="P395" s="6">
        <f>NAV!W1050</f>
        <v>0</v>
      </c>
      <c r="Q395" s="6">
        <f>NAV!X1050</f>
        <v>0</v>
      </c>
      <c r="R395" s="6">
        <f>NAV!Y1050</f>
        <v>0</v>
      </c>
      <c r="S395" s="6">
        <f>NAV!Z1050</f>
        <v>0</v>
      </c>
      <c r="T395" s="6">
        <f>NAV!AA1050</f>
        <v>0</v>
      </c>
      <c r="U395" s="10">
        <f>NAV!AB1050</f>
        <v>0</v>
      </c>
      <c r="V395" s="6" t="str">
        <f>NAV!AC1050</f>
        <v>2년이상</v>
      </c>
    </row>
    <row r="396" spans="1:22">
      <c r="A396" s="7">
        <f t="shared" si="6"/>
        <v>395</v>
      </c>
      <c r="B396" s="7">
        <f>TYPE(종목정보tbl!$C396)</f>
        <v>1</v>
      </c>
      <c r="C396" s="6">
        <f>NAV!J1051</f>
        <v>0</v>
      </c>
      <c r="D396" s="6">
        <f>NAV!K1051</f>
        <v>0</v>
      </c>
      <c r="E396" s="6">
        <f>NAV!L1051</f>
        <v>0</v>
      </c>
      <c r="F396" s="6">
        <f>NAV!M1051</f>
        <v>0</v>
      </c>
      <c r="G396" s="6">
        <f>NAV!N1051</f>
        <v>0</v>
      </c>
      <c r="H396" s="6">
        <f>NAV!O1051</f>
        <v>0</v>
      </c>
      <c r="I396" s="6">
        <f>NAV!P1051</f>
        <v>0</v>
      </c>
      <c r="J396" s="6">
        <f>NAV!Q1051</f>
        <v>0</v>
      </c>
      <c r="K396" s="9">
        <f>NAV!R1051</f>
        <v>0</v>
      </c>
      <c r="L396" s="6">
        <f>NAV!S1051</f>
        <v>0</v>
      </c>
      <c r="M396" s="6">
        <f>NAV!T1051</f>
        <v>0</v>
      </c>
      <c r="N396" s="6" t="str">
        <f>NAV!U1051</f>
        <v>한국 원화(KRW)</v>
      </c>
      <c r="O396" s="6">
        <f>NAV!V1051</f>
        <v>1</v>
      </c>
      <c r="P396" s="6">
        <f>NAV!W1051</f>
        <v>0</v>
      </c>
      <c r="Q396" s="6">
        <f>NAV!X1051</f>
        <v>0</v>
      </c>
      <c r="R396" s="6">
        <f>NAV!Y1051</f>
        <v>0</v>
      </c>
      <c r="S396" s="6">
        <f>NAV!Z1051</f>
        <v>0</v>
      </c>
      <c r="T396" s="6">
        <f>NAV!AA1051</f>
        <v>0</v>
      </c>
      <c r="U396" s="10">
        <f>NAV!AB1051</f>
        <v>0</v>
      </c>
      <c r="V396" s="6" t="str">
        <f>NAV!AC1051</f>
        <v>2년이상</v>
      </c>
    </row>
    <row r="397" spans="1:22">
      <c r="A397" s="7">
        <f t="shared" si="6"/>
        <v>396</v>
      </c>
      <c r="B397" s="7">
        <f>TYPE(종목정보tbl!$C397)</f>
        <v>1</v>
      </c>
      <c r="C397" s="6">
        <f>NAV!J1052</f>
        <v>0</v>
      </c>
      <c r="D397" s="6">
        <f>NAV!K1052</f>
        <v>0</v>
      </c>
      <c r="E397" s="6">
        <f>NAV!L1052</f>
        <v>0</v>
      </c>
      <c r="F397" s="6">
        <f>NAV!M1052</f>
        <v>0</v>
      </c>
      <c r="G397" s="6">
        <f>NAV!N1052</f>
        <v>0</v>
      </c>
      <c r="H397" s="6">
        <f>NAV!O1052</f>
        <v>0</v>
      </c>
      <c r="I397" s="6">
        <f>NAV!P1052</f>
        <v>0</v>
      </c>
      <c r="J397" s="6">
        <f>NAV!Q1052</f>
        <v>0</v>
      </c>
      <c r="K397" s="9">
        <f>NAV!R1052</f>
        <v>0</v>
      </c>
      <c r="L397" s="6">
        <f>NAV!S1052</f>
        <v>0</v>
      </c>
      <c r="M397" s="6">
        <f>NAV!T1052</f>
        <v>0</v>
      </c>
      <c r="N397" s="6" t="str">
        <f>NAV!U1052</f>
        <v>한국 원화(KRW)</v>
      </c>
      <c r="O397" s="6">
        <f>NAV!V1052</f>
        <v>1</v>
      </c>
      <c r="P397" s="6">
        <f>NAV!W1052</f>
        <v>0</v>
      </c>
      <c r="Q397" s="6">
        <f>NAV!X1052</f>
        <v>0</v>
      </c>
      <c r="R397" s="6">
        <f>NAV!Y1052</f>
        <v>0</v>
      </c>
      <c r="S397" s="6">
        <f>NAV!Z1052</f>
        <v>0</v>
      </c>
      <c r="T397" s="6">
        <f>NAV!AA1052</f>
        <v>0</v>
      </c>
      <c r="U397" s="10">
        <f>NAV!AB1052</f>
        <v>0</v>
      </c>
      <c r="V397" s="6" t="str">
        <f>NAV!AC1052</f>
        <v>2년이상</v>
      </c>
    </row>
    <row r="398" spans="1:22">
      <c r="A398" s="7">
        <f t="shared" si="6"/>
        <v>397</v>
      </c>
      <c r="B398" s="7">
        <f>TYPE(종목정보tbl!$C398)</f>
        <v>1</v>
      </c>
      <c r="C398" s="6">
        <f>NAV!J1053</f>
        <v>0</v>
      </c>
      <c r="D398" s="6">
        <f>NAV!K1053</f>
        <v>0</v>
      </c>
      <c r="E398" s="6">
        <f>NAV!L1053</f>
        <v>0</v>
      </c>
      <c r="F398" s="6">
        <f>NAV!M1053</f>
        <v>0</v>
      </c>
      <c r="G398" s="6">
        <f>NAV!N1053</f>
        <v>0</v>
      </c>
      <c r="H398" s="6">
        <f>NAV!O1053</f>
        <v>0</v>
      </c>
      <c r="I398" s="6">
        <f>NAV!P1053</f>
        <v>0</v>
      </c>
      <c r="J398" s="6">
        <f>NAV!Q1053</f>
        <v>0</v>
      </c>
      <c r="K398" s="9">
        <f>NAV!R1053</f>
        <v>0</v>
      </c>
      <c r="L398" s="6">
        <f>NAV!S1053</f>
        <v>0</v>
      </c>
      <c r="M398" s="6">
        <f>NAV!T1053</f>
        <v>0</v>
      </c>
      <c r="N398" s="6" t="str">
        <f>NAV!U1053</f>
        <v>한국 원화(KRW)</v>
      </c>
      <c r="O398" s="6">
        <f>NAV!V1053</f>
        <v>1</v>
      </c>
      <c r="P398" s="6">
        <f>NAV!W1053</f>
        <v>0</v>
      </c>
      <c r="Q398" s="6">
        <f>NAV!X1053</f>
        <v>0</v>
      </c>
      <c r="R398" s="6">
        <f>NAV!Y1053</f>
        <v>0</v>
      </c>
      <c r="S398" s="6">
        <f>NAV!Z1053</f>
        <v>0</v>
      </c>
      <c r="T398" s="6">
        <f>NAV!AA1053</f>
        <v>0</v>
      </c>
      <c r="U398" s="10">
        <f>NAV!AB1053</f>
        <v>0</v>
      </c>
      <c r="V398" s="6" t="str">
        <f>NAV!AC1053</f>
        <v>2년이상</v>
      </c>
    </row>
    <row r="399" spans="1:22">
      <c r="A399" s="7">
        <f t="shared" si="6"/>
        <v>398</v>
      </c>
      <c r="B399" s="7">
        <f>TYPE(종목정보tbl!$C399)</f>
        <v>1</v>
      </c>
      <c r="C399" s="6">
        <f>NAV!J1054</f>
        <v>0</v>
      </c>
      <c r="D399" s="6">
        <f>NAV!K1054</f>
        <v>0</v>
      </c>
      <c r="E399" s="6">
        <f>NAV!L1054</f>
        <v>0</v>
      </c>
      <c r="F399" s="6">
        <f>NAV!M1054</f>
        <v>0</v>
      </c>
      <c r="G399" s="6">
        <f>NAV!N1054</f>
        <v>0</v>
      </c>
      <c r="H399" s="6">
        <f>NAV!O1054</f>
        <v>0</v>
      </c>
      <c r="I399" s="6">
        <f>NAV!P1054</f>
        <v>0</v>
      </c>
      <c r="J399" s="6">
        <f>NAV!Q1054</f>
        <v>0</v>
      </c>
      <c r="K399" s="9">
        <f>NAV!R1054</f>
        <v>0</v>
      </c>
      <c r="L399" s="6">
        <f>NAV!S1054</f>
        <v>0</v>
      </c>
      <c r="M399" s="6">
        <f>NAV!T1054</f>
        <v>0</v>
      </c>
      <c r="N399" s="6" t="str">
        <f>NAV!U1054</f>
        <v>한국 원화(KRW)</v>
      </c>
      <c r="O399" s="6">
        <f>NAV!V1054</f>
        <v>1</v>
      </c>
      <c r="P399" s="6">
        <f>NAV!W1054</f>
        <v>0</v>
      </c>
      <c r="Q399" s="6">
        <f>NAV!X1054</f>
        <v>0</v>
      </c>
      <c r="R399" s="6">
        <f>NAV!Y1054</f>
        <v>0</v>
      </c>
      <c r="S399" s="6">
        <f>NAV!Z1054</f>
        <v>0</v>
      </c>
      <c r="T399" s="6">
        <f>NAV!AA1054</f>
        <v>0</v>
      </c>
      <c r="U399" s="10">
        <f>NAV!AB1054</f>
        <v>0</v>
      </c>
      <c r="V399" s="6" t="str">
        <f>NAV!AC1054</f>
        <v>2년이상</v>
      </c>
    </row>
    <row r="400" spans="1:22">
      <c r="A400" s="7">
        <f t="shared" si="6"/>
        <v>399</v>
      </c>
      <c r="B400" s="7">
        <f>TYPE(종목정보tbl!$C400)</f>
        <v>1</v>
      </c>
      <c r="C400" s="6">
        <f>NAV!J1055</f>
        <v>0</v>
      </c>
      <c r="D400" s="6">
        <f>NAV!K1055</f>
        <v>0</v>
      </c>
      <c r="E400" s="6">
        <f>NAV!L1055</f>
        <v>0</v>
      </c>
      <c r="F400" s="6">
        <f>NAV!M1055</f>
        <v>0</v>
      </c>
      <c r="G400" s="6">
        <f>NAV!N1055</f>
        <v>0</v>
      </c>
      <c r="H400" s="6">
        <f>NAV!O1055</f>
        <v>0</v>
      </c>
      <c r="I400" s="6">
        <f>NAV!P1055</f>
        <v>0</v>
      </c>
      <c r="J400" s="6">
        <f>NAV!Q1055</f>
        <v>0</v>
      </c>
      <c r="K400" s="9">
        <f>NAV!R1055</f>
        <v>0</v>
      </c>
      <c r="L400" s="6">
        <f>NAV!S1055</f>
        <v>0</v>
      </c>
      <c r="M400" s="6">
        <f>NAV!T1055</f>
        <v>0</v>
      </c>
      <c r="N400" s="6" t="str">
        <f>NAV!U1055</f>
        <v>한국 원화(KRW)</v>
      </c>
      <c r="O400" s="6">
        <f>NAV!V1055</f>
        <v>1</v>
      </c>
      <c r="P400" s="6">
        <f>NAV!W1055</f>
        <v>0</v>
      </c>
      <c r="Q400" s="6">
        <f>NAV!X1055</f>
        <v>0</v>
      </c>
      <c r="R400" s="6">
        <f>NAV!Y1055</f>
        <v>0</v>
      </c>
      <c r="S400" s="6">
        <f>NAV!Z1055</f>
        <v>0</v>
      </c>
      <c r="T400" s="6">
        <f>NAV!AA1055</f>
        <v>0</v>
      </c>
      <c r="U400" s="10">
        <f>NAV!AB1055</f>
        <v>0</v>
      </c>
      <c r="V400" s="6" t="str">
        <f>NAV!AC1055</f>
        <v>2년이상</v>
      </c>
    </row>
    <row r="401" spans="1:22">
      <c r="A401" s="7">
        <f t="shared" si="6"/>
        <v>400</v>
      </c>
      <c r="B401" s="7">
        <f>TYPE(종목정보tbl!$C401)</f>
        <v>1</v>
      </c>
      <c r="C401" s="6">
        <f>NAV!J1056</f>
        <v>0</v>
      </c>
      <c r="D401" s="6">
        <f>NAV!K1056</f>
        <v>0</v>
      </c>
      <c r="E401" s="6">
        <f>NAV!L1056</f>
        <v>0</v>
      </c>
      <c r="F401" s="6">
        <f>NAV!M1056</f>
        <v>0</v>
      </c>
      <c r="G401" s="6">
        <f>NAV!N1056</f>
        <v>0</v>
      </c>
      <c r="H401" s="6">
        <f>NAV!O1056</f>
        <v>0</v>
      </c>
      <c r="I401" s="6">
        <f>NAV!P1056</f>
        <v>0</v>
      </c>
      <c r="J401" s="6">
        <f>NAV!Q1056</f>
        <v>0</v>
      </c>
      <c r="K401" s="9">
        <f>NAV!R1056</f>
        <v>0</v>
      </c>
      <c r="L401" s="6">
        <f>NAV!S1056</f>
        <v>0</v>
      </c>
      <c r="M401" s="6">
        <f>NAV!T1056</f>
        <v>0</v>
      </c>
      <c r="N401" s="6" t="str">
        <f>NAV!U1056</f>
        <v>한국 원화(KRW)</v>
      </c>
      <c r="O401" s="6">
        <f>NAV!V1056</f>
        <v>1</v>
      </c>
      <c r="P401" s="6">
        <f>NAV!W1056</f>
        <v>0</v>
      </c>
      <c r="Q401" s="6">
        <f>NAV!X1056</f>
        <v>0</v>
      </c>
      <c r="R401" s="6">
        <f>NAV!Y1056</f>
        <v>0</v>
      </c>
      <c r="S401" s="6">
        <f>NAV!Z1056</f>
        <v>0</v>
      </c>
      <c r="T401" s="6">
        <f>NAV!AA1056</f>
        <v>0</v>
      </c>
      <c r="U401" s="10">
        <f>NAV!AB1056</f>
        <v>0</v>
      </c>
      <c r="V401" s="6" t="str">
        <f>NAV!AC1056</f>
        <v>2년이상</v>
      </c>
    </row>
    <row r="402" spans="1:22">
      <c r="A402" s="7">
        <f t="shared" si="6"/>
        <v>401</v>
      </c>
      <c r="B402" s="7">
        <f>TYPE(종목정보tbl!$C402)</f>
        <v>1</v>
      </c>
      <c r="C402" s="6">
        <f>NAV!J1057</f>
        <v>0</v>
      </c>
      <c r="D402" s="6">
        <f>NAV!K1057</f>
        <v>0</v>
      </c>
      <c r="E402" s="6">
        <f>NAV!L1057</f>
        <v>0</v>
      </c>
      <c r="F402" s="6">
        <f>NAV!M1057</f>
        <v>0</v>
      </c>
      <c r="G402" s="6">
        <f>NAV!N1057</f>
        <v>0</v>
      </c>
      <c r="H402" s="6">
        <f>NAV!O1057</f>
        <v>0</v>
      </c>
      <c r="I402" s="6">
        <f>NAV!P1057</f>
        <v>0</v>
      </c>
      <c r="J402" s="6">
        <f>NAV!Q1057</f>
        <v>0</v>
      </c>
      <c r="K402" s="9">
        <f>NAV!R1057</f>
        <v>0</v>
      </c>
      <c r="L402" s="6">
        <f>NAV!S1057</f>
        <v>0</v>
      </c>
      <c r="M402" s="6">
        <f>NAV!T1057</f>
        <v>0</v>
      </c>
      <c r="N402" s="6" t="str">
        <f>NAV!U1057</f>
        <v>한국 원화(KRW)</v>
      </c>
      <c r="O402" s="6">
        <f>NAV!V1057</f>
        <v>1</v>
      </c>
      <c r="P402" s="6">
        <f>NAV!W1057</f>
        <v>0</v>
      </c>
      <c r="Q402" s="6">
        <f>NAV!X1057</f>
        <v>0</v>
      </c>
      <c r="R402" s="6">
        <f>NAV!Y1057</f>
        <v>0</v>
      </c>
      <c r="S402" s="6">
        <f>NAV!Z1057</f>
        <v>0</v>
      </c>
      <c r="T402" s="6">
        <f>NAV!AA1057</f>
        <v>0</v>
      </c>
      <c r="U402" s="10">
        <f>NAV!AB1057</f>
        <v>0</v>
      </c>
      <c r="V402" s="6" t="str">
        <f>NAV!AC1057</f>
        <v>2년이상</v>
      </c>
    </row>
    <row r="403" spans="1:22">
      <c r="A403" s="7">
        <f t="shared" si="6"/>
        <v>402</v>
      </c>
      <c r="B403" s="7">
        <f>TYPE(종목정보tbl!$C403)</f>
        <v>1</v>
      </c>
      <c r="C403" s="6">
        <f>NAV!J1058</f>
        <v>0</v>
      </c>
      <c r="D403" s="6">
        <f>NAV!K1058</f>
        <v>0</v>
      </c>
      <c r="E403" s="6">
        <f>NAV!L1058</f>
        <v>0</v>
      </c>
      <c r="F403" s="6">
        <f>NAV!M1058</f>
        <v>0</v>
      </c>
      <c r="G403" s="6">
        <f>NAV!N1058</f>
        <v>0</v>
      </c>
      <c r="H403" s="6">
        <f>NAV!O1058</f>
        <v>0</v>
      </c>
      <c r="I403" s="6">
        <f>NAV!P1058</f>
        <v>0</v>
      </c>
      <c r="J403" s="6">
        <f>NAV!Q1058</f>
        <v>0</v>
      </c>
      <c r="K403" s="9">
        <f>NAV!R1058</f>
        <v>0</v>
      </c>
      <c r="L403" s="6">
        <f>NAV!S1058</f>
        <v>0</v>
      </c>
      <c r="M403" s="6">
        <f>NAV!T1058</f>
        <v>0</v>
      </c>
      <c r="N403" s="6" t="str">
        <f>NAV!U1058</f>
        <v>한국 원화(KRW)</v>
      </c>
      <c r="O403" s="6">
        <f>NAV!V1058</f>
        <v>1</v>
      </c>
      <c r="P403" s="6">
        <f>NAV!W1058</f>
        <v>0</v>
      </c>
      <c r="Q403" s="6">
        <f>NAV!X1058</f>
        <v>0</v>
      </c>
      <c r="R403" s="6">
        <f>NAV!Y1058</f>
        <v>0</v>
      </c>
      <c r="S403" s="6">
        <f>NAV!Z1058</f>
        <v>0</v>
      </c>
      <c r="T403" s="6">
        <f>NAV!AA1058</f>
        <v>0</v>
      </c>
      <c r="U403" s="10">
        <f>NAV!AB1058</f>
        <v>0</v>
      </c>
      <c r="V403" s="6" t="str">
        <f>NAV!AC1058</f>
        <v>2년이상</v>
      </c>
    </row>
    <row r="404" spans="1:22">
      <c r="A404" s="7">
        <f t="shared" si="6"/>
        <v>403</v>
      </c>
      <c r="B404" s="7">
        <f>TYPE(종목정보tbl!$C404)</f>
        <v>1</v>
      </c>
      <c r="C404" s="6">
        <f>NAV!J1059</f>
        <v>0</v>
      </c>
      <c r="D404" s="6">
        <f>NAV!K1059</f>
        <v>0</v>
      </c>
      <c r="E404" s="6">
        <f>NAV!L1059</f>
        <v>0</v>
      </c>
      <c r="F404" s="6">
        <f>NAV!M1059</f>
        <v>0</v>
      </c>
      <c r="G404" s="6">
        <f>NAV!N1059</f>
        <v>0</v>
      </c>
      <c r="H404" s="6">
        <f>NAV!O1059</f>
        <v>0</v>
      </c>
      <c r="I404" s="6">
        <f>NAV!P1059</f>
        <v>0</v>
      </c>
      <c r="J404" s="6">
        <f>NAV!Q1059</f>
        <v>0</v>
      </c>
      <c r="K404" s="9">
        <f>NAV!R1059</f>
        <v>0</v>
      </c>
      <c r="L404" s="6">
        <f>NAV!S1059</f>
        <v>0</v>
      </c>
      <c r="M404" s="6">
        <f>NAV!T1059</f>
        <v>0</v>
      </c>
      <c r="N404" s="6" t="str">
        <f>NAV!U1059</f>
        <v>한국 원화(KRW)</v>
      </c>
      <c r="O404" s="6">
        <f>NAV!V1059</f>
        <v>1</v>
      </c>
      <c r="P404" s="6">
        <f>NAV!W1059</f>
        <v>0</v>
      </c>
      <c r="Q404" s="6">
        <f>NAV!X1059</f>
        <v>0</v>
      </c>
      <c r="R404" s="6">
        <f>NAV!Y1059</f>
        <v>0</v>
      </c>
      <c r="S404" s="6">
        <f>NAV!Z1059</f>
        <v>0</v>
      </c>
      <c r="T404" s="6">
        <f>NAV!AA1059</f>
        <v>0</v>
      </c>
      <c r="U404" s="10">
        <f>NAV!AB1059</f>
        <v>0</v>
      </c>
      <c r="V404" s="6" t="str">
        <f>NAV!AC1059</f>
        <v>2년이상</v>
      </c>
    </row>
    <row r="405" spans="1:22">
      <c r="A405" s="7">
        <f t="shared" si="6"/>
        <v>404</v>
      </c>
      <c r="B405" s="7">
        <f>TYPE(종목정보tbl!$C405)</f>
        <v>1</v>
      </c>
      <c r="C405" s="6">
        <f>NAV!J1087</f>
        <v>0</v>
      </c>
      <c r="D405" s="6">
        <f>NAV!K1087</f>
        <v>0</v>
      </c>
      <c r="E405" s="6">
        <f>NAV!L1087</f>
        <v>0</v>
      </c>
      <c r="F405" s="6">
        <f>NAV!M1087</f>
        <v>0</v>
      </c>
      <c r="G405" s="6">
        <f>NAV!N1087</f>
        <v>0</v>
      </c>
      <c r="H405" s="6">
        <f>NAV!O1087</f>
        <v>0</v>
      </c>
      <c r="I405" s="6">
        <f>NAV!P1087</f>
        <v>0</v>
      </c>
      <c r="J405" s="6">
        <f>NAV!Q1087</f>
        <v>0</v>
      </c>
      <c r="K405" s="9">
        <f>NAV!R1087</f>
        <v>0</v>
      </c>
      <c r="L405" s="6">
        <f>NAV!S1087</f>
        <v>0</v>
      </c>
      <c r="M405" s="6">
        <f>NAV!T1087</f>
        <v>0</v>
      </c>
      <c r="N405" s="6" t="str">
        <f>NAV!U1087</f>
        <v>한국 원화(KRW)</v>
      </c>
      <c r="O405" s="6">
        <f>NAV!V1087</f>
        <v>1</v>
      </c>
      <c r="P405" s="6">
        <f>NAV!W1087</f>
        <v>0</v>
      </c>
      <c r="Q405" s="6">
        <f>NAV!X1087</f>
        <v>0</v>
      </c>
      <c r="R405" s="6">
        <f>NAV!Y1087</f>
        <v>0</v>
      </c>
      <c r="S405" s="6">
        <f>NAV!Z1087</f>
        <v>0</v>
      </c>
      <c r="T405" s="6">
        <f>NAV!AA1087</f>
        <v>0</v>
      </c>
      <c r="U405" s="10">
        <f>NAV!AB1087</f>
        <v>0</v>
      </c>
      <c r="V405" s="6" t="str">
        <f>NAV!AC1087</f>
        <v>2년이상</v>
      </c>
    </row>
    <row r="406" spans="1:22">
      <c r="A406" s="7">
        <f t="shared" si="6"/>
        <v>405</v>
      </c>
      <c r="B406" s="7">
        <f>TYPE(종목정보tbl!$C406)</f>
        <v>1</v>
      </c>
      <c r="C406" s="6">
        <f>NAV!J1088</f>
        <v>0</v>
      </c>
      <c r="D406" s="6">
        <f>NAV!K1088</f>
        <v>0</v>
      </c>
      <c r="E406" s="6">
        <f>NAV!L1088</f>
        <v>0</v>
      </c>
      <c r="F406" s="6">
        <f>NAV!M1088</f>
        <v>0</v>
      </c>
      <c r="G406" s="6">
        <f>NAV!N1088</f>
        <v>0</v>
      </c>
      <c r="H406" s="6">
        <f>NAV!O1088</f>
        <v>0</v>
      </c>
      <c r="I406" s="6">
        <f>NAV!P1088</f>
        <v>0</v>
      </c>
      <c r="J406" s="6">
        <f>NAV!Q1088</f>
        <v>0</v>
      </c>
      <c r="K406" s="9">
        <f>NAV!R1088</f>
        <v>0</v>
      </c>
      <c r="L406" s="6">
        <f>NAV!S1088</f>
        <v>0</v>
      </c>
      <c r="M406" s="6">
        <f>NAV!T1088</f>
        <v>0</v>
      </c>
      <c r="N406" s="6" t="str">
        <f>NAV!U1088</f>
        <v>한국 원화(KRW)</v>
      </c>
      <c r="O406" s="6">
        <f>NAV!V1088</f>
        <v>1</v>
      </c>
      <c r="P406" s="6">
        <f>NAV!W1088</f>
        <v>0</v>
      </c>
      <c r="Q406" s="6">
        <f>NAV!X1088</f>
        <v>0</v>
      </c>
      <c r="R406" s="6">
        <f>NAV!Y1088</f>
        <v>0</v>
      </c>
      <c r="S406" s="6">
        <f>NAV!Z1088</f>
        <v>0</v>
      </c>
      <c r="T406" s="6">
        <f>NAV!AA1088</f>
        <v>0</v>
      </c>
      <c r="U406" s="10">
        <f>NAV!AB1088</f>
        <v>0</v>
      </c>
      <c r="V406" s="6" t="str">
        <f>NAV!AC1088</f>
        <v>2년이상</v>
      </c>
    </row>
    <row r="407" spans="1:22">
      <c r="A407" s="7">
        <f t="shared" si="6"/>
        <v>406</v>
      </c>
      <c r="B407" s="7">
        <f>TYPE(종목정보tbl!$C407)</f>
        <v>1</v>
      </c>
      <c r="C407" s="6">
        <f>NAV!J1089</f>
        <v>0</v>
      </c>
      <c r="D407" s="6">
        <f>NAV!K1089</f>
        <v>0</v>
      </c>
      <c r="E407" s="6">
        <f>NAV!L1089</f>
        <v>0</v>
      </c>
      <c r="F407" s="6">
        <f>NAV!M1089</f>
        <v>0</v>
      </c>
      <c r="G407" s="6">
        <f>NAV!N1089</f>
        <v>0</v>
      </c>
      <c r="H407" s="6">
        <f>NAV!O1089</f>
        <v>0</v>
      </c>
      <c r="I407" s="6">
        <f>NAV!P1089</f>
        <v>0</v>
      </c>
      <c r="J407" s="6">
        <f>NAV!Q1089</f>
        <v>0</v>
      </c>
      <c r="K407" s="9">
        <f>NAV!R1089</f>
        <v>0</v>
      </c>
      <c r="L407" s="6">
        <f>NAV!S1089</f>
        <v>0</v>
      </c>
      <c r="M407" s="6">
        <f>NAV!T1089</f>
        <v>0</v>
      </c>
      <c r="N407" s="6" t="str">
        <f>NAV!U1089</f>
        <v>한국 원화(KRW)</v>
      </c>
      <c r="O407" s="6">
        <f>NAV!V1089</f>
        <v>1</v>
      </c>
      <c r="P407" s="6">
        <f>NAV!W1089</f>
        <v>0</v>
      </c>
      <c r="Q407" s="6">
        <f>NAV!X1089</f>
        <v>0</v>
      </c>
      <c r="R407" s="6">
        <f>NAV!Y1089</f>
        <v>0</v>
      </c>
      <c r="S407" s="6">
        <f>NAV!Z1089</f>
        <v>0</v>
      </c>
      <c r="T407" s="6">
        <f>NAV!AA1089</f>
        <v>0</v>
      </c>
      <c r="U407" s="10">
        <f>NAV!AB1089</f>
        <v>0</v>
      </c>
      <c r="V407" s="6" t="str">
        <f>NAV!AC1089</f>
        <v>2년이상</v>
      </c>
    </row>
    <row r="408" spans="1:22">
      <c r="A408" s="7">
        <f t="shared" si="6"/>
        <v>407</v>
      </c>
      <c r="B408" s="7">
        <f>TYPE(종목정보tbl!$C408)</f>
        <v>1</v>
      </c>
      <c r="C408" s="6">
        <f>NAV!J1090</f>
        <v>0</v>
      </c>
      <c r="D408" s="6">
        <f>NAV!K1090</f>
        <v>0</v>
      </c>
      <c r="E408" s="6">
        <f>NAV!L1090</f>
        <v>0</v>
      </c>
      <c r="F408" s="6">
        <f>NAV!M1090</f>
        <v>0</v>
      </c>
      <c r="G408" s="6">
        <f>NAV!N1090</f>
        <v>0</v>
      </c>
      <c r="H408" s="6">
        <f>NAV!O1090</f>
        <v>0</v>
      </c>
      <c r="I408" s="6">
        <f>NAV!P1090</f>
        <v>0</v>
      </c>
      <c r="J408" s="6">
        <f>NAV!Q1090</f>
        <v>0</v>
      </c>
      <c r="K408" s="9">
        <f>NAV!R1090</f>
        <v>0</v>
      </c>
      <c r="L408" s="6">
        <f>NAV!S1090</f>
        <v>0</v>
      </c>
      <c r="M408" s="6">
        <f>NAV!T1090</f>
        <v>0</v>
      </c>
      <c r="N408" s="6" t="str">
        <f>NAV!U1090</f>
        <v>한국 원화(KRW)</v>
      </c>
      <c r="O408" s="6">
        <f>NAV!V1090</f>
        <v>1</v>
      </c>
      <c r="P408" s="6">
        <f>NAV!W1090</f>
        <v>0</v>
      </c>
      <c r="Q408" s="6">
        <f>NAV!X1090</f>
        <v>0</v>
      </c>
      <c r="R408" s="6">
        <f>NAV!Y1090</f>
        <v>0</v>
      </c>
      <c r="S408" s="6">
        <f>NAV!Z1090</f>
        <v>0</v>
      </c>
      <c r="T408" s="6">
        <f>NAV!AA1090</f>
        <v>0</v>
      </c>
      <c r="U408" s="10">
        <f>NAV!AB1090</f>
        <v>0</v>
      </c>
      <c r="V408" s="6" t="str">
        <f>NAV!AC1090</f>
        <v>2년이상</v>
      </c>
    </row>
    <row r="409" spans="1:22">
      <c r="A409" s="7">
        <f t="shared" si="6"/>
        <v>408</v>
      </c>
      <c r="B409" s="7">
        <f>TYPE(종목정보tbl!$C409)</f>
        <v>1</v>
      </c>
      <c r="C409" s="6">
        <f>NAV!J1091</f>
        <v>0</v>
      </c>
      <c r="D409" s="6">
        <f>NAV!K1091</f>
        <v>0</v>
      </c>
      <c r="E409" s="6">
        <f>NAV!L1091</f>
        <v>0</v>
      </c>
      <c r="F409" s="6">
        <f>NAV!M1091</f>
        <v>0</v>
      </c>
      <c r="G409" s="6">
        <f>NAV!N1091</f>
        <v>0</v>
      </c>
      <c r="H409" s="6">
        <f>NAV!O1091</f>
        <v>0</v>
      </c>
      <c r="I409" s="6">
        <f>NAV!P1091</f>
        <v>0</v>
      </c>
      <c r="J409" s="6">
        <f>NAV!Q1091</f>
        <v>0</v>
      </c>
      <c r="K409" s="9">
        <f>NAV!R1091</f>
        <v>0</v>
      </c>
      <c r="L409" s="6">
        <f>NAV!S1091</f>
        <v>0</v>
      </c>
      <c r="M409" s="6">
        <f>NAV!T1091</f>
        <v>0</v>
      </c>
      <c r="N409" s="6" t="str">
        <f>NAV!U1091</f>
        <v>한국 원화(KRW)</v>
      </c>
      <c r="O409" s="6">
        <f>NAV!V1091</f>
        <v>1</v>
      </c>
      <c r="P409" s="6">
        <f>NAV!W1091</f>
        <v>0</v>
      </c>
      <c r="Q409" s="6">
        <f>NAV!X1091</f>
        <v>0</v>
      </c>
      <c r="R409" s="6">
        <f>NAV!Y1091</f>
        <v>0</v>
      </c>
      <c r="S409" s="6">
        <f>NAV!Z1091</f>
        <v>0</v>
      </c>
      <c r="T409" s="6">
        <f>NAV!AA1091</f>
        <v>0</v>
      </c>
      <c r="U409" s="10">
        <f>NAV!AB1091</f>
        <v>0</v>
      </c>
      <c r="V409" s="6" t="str">
        <f>NAV!AC1091</f>
        <v>2년이상</v>
      </c>
    </row>
    <row r="410" spans="1:22">
      <c r="A410" s="7">
        <f t="shared" si="6"/>
        <v>409</v>
      </c>
      <c r="B410" s="7">
        <f>TYPE(종목정보tbl!$C410)</f>
        <v>1</v>
      </c>
      <c r="C410" s="6">
        <f>NAV!J1092</f>
        <v>0</v>
      </c>
      <c r="D410" s="6">
        <f>NAV!K1092</f>
        <v>0</v>
      </c>
      <c r="E410" s="6">
        <f>NAV!L1092</f>
        <v>0</v>
      </c>
      <c r="F410" s="6">
        <f>NAV!M1092</f>
        <v>0</v>
      </c>
      <c r="G410" s="6">
        <f>NAV!N1092</f>
        <v>0</v>
      </c>
      <c r="H410" s="6">
        <f>NAV!O1092</f>
        <v>0</v>
      </c>
      <c r="I410" s="6">
        <f>NAV!P1092</f>
        <v>0</v>
      </c>
      <c r="J410" s="6">
        <f>NAV!Q1092</f>
        <v>0</v>
      </c>
      <c r="K410" s="9">
        <f>NAV!R1092</f>
        <v>0</v>
      </c>
      <c r="L410" s="6">
        <f>NAV!S1092</f>
        <v>0</v>
      </c>
      <c r="M410" s="6">
        <f>NAV!T1092</f>
        <v>0</v>
      </c>
      <c r="N410" s="6" t="str">
        <f>NAV!U1092</f>
        <v>한국 원화(KRW)</v>
      </c>
      <c r="O410" s="6">
        <f>NAV!V1092</f>
        <v>1</v>
      </c>
      <c r="P410" s="6">
        <f>NAV!W1092</f>
        <v>0</v>
      </c>
      <c r="Q410" s="6">
        <f>NAV!X1092</f>
        <v>0</v>
      </c>
      <c r="R410" s="6">
        <f>NAV!Y1092</f>
        <v>0</v>
      </c>
      <c r="S410" s="6">
        <f>NAV!Z1092</f>
        <v>0</v>
      </c>
      <c r="T410" s="6">
        <f>NAV!AA1092</f>
        <v>0</v>
      </c>
      <c r="U410" s="10">
        <f>NAV!AB1092</f>
        <v>0</v>
      </c>
      <c r="V410" s="6" t="str">
        <f>NAV!AC1092</f>
        <v>2년이상</v>
      </c>
    </row>
    <row r="411" spans="1:22">
      <c r="A411" s="7">
        <f t="shared" si="6"/>
        <v>410</v>
      </c>
      <c r="B411" s="7">
        <f>TYPE(종목정보tbl!$C411)</f>
        <v>1</v>
      </c>
      <c r="C411" s="6">
        <f>NAV!J1093</f>
        <v>0</v>
      </c>
      <c r="D411" s="6">
        <f>NAV!K1093</f>
        <v>0</v>
      </c>
      <c r="E411" s="6">
        <f>NAV!L1093</f>
        <v>0</v>
      </c>
      <c r="F411" s="6">
        <f>NAV!M1093</f>
        <v>0</v>
      </c>
      <c r="G411" s="6">
        <f>NAV!N1093</f>
        <v>0</v>
      </c>
      <c r="H411" s="6">
        <f>NAV!O1093</f>
        <v>0</v>
      </c>
      <c r="I411" s="6">
        <f>NAV!P1093</f>
        <v>0</v>
      </c>
      <c r="J411" s="6">
        <f>NAV!Q1093</f>
        <v>0</v>
      </c>
      <c r="K411" s="9">
        <f>NAV!R1093</f>
        <v>0</v>
      </c>
      <c r="L411" s="6">
        <f>NAV!S1093</f>
        <v>0</v>
      </c>
      <c r="M411" s="6">
        <f>NAV!T1093</f>
        <v>0</v>
      </c>
      <c r="N411" s="6" t="str">
        <f>NAV!U1093</f>
        <v>한국 원화(KRW)</v>
      </c>
      <c r="O411" s="6">
        <f>NAV!V1093</f>
        <v>1</v>
      </c>
      <c r="P411" s="6">
        <f>NAV!W1093</f>
        <v>0</v>
      </c>
      <c r="Q411" s="6">
        <f>NAV!X1093</f>
        <v>0</v>
      </c>
      <c r="R411" s="6">
        <f>NAV!Y1093</f>
        <v>0</v>
      </c>
      <c r="S411" s="6">
        <f>NAV!Z1093</f>
        <v>0</v>
      </c>
      <c r="T411" s="6">
        <f>NAV!AA1093</f>
        <v>0</v>
      </c>
      <c r="U411" s="10">
        <f>NAV!AB1093</f>
        <v>0</v>
      </c>
      <c r="V411" s="6" t="str">
        <f>NAV!AC1093</f>
        <v>2년이상</v>
      </c>
    </row>
    <row r="412" spans="1:22">
      <c r="A412" s="7">
        <f t="shared" si="6"/>
        <v>411</v>
      </c>
      <c r="B412" s="7">
        <f>TYPE(종목정보tbl!$C412)</f>
        <v>1</v>
      </c>
      <c r="C412" s="6">
        <f>NAV!J1094</f>
        <v>0</v>
      </c>
      <c r="D412" s="6">
        <f>NAV!K1094</f>
        <v>0</v>
      </c>
      <c r="E412" s="6">
        <f>NAV!L1094</f>
        <v>0</v>
      </c>
      <c r="F412" s="6">
        <f>NAV!M1094</f>
        <v>0</v>
      </c>
      <c r="G412" s="6">
        <f>NAV!N1094</f>
        <v>0</v>
      </c>
      <c r="H412" s="6">
        <f>NAV!O1094</f>
        <v>0</v>
      </c>
      <c r="I412" s="6">
        <f>NAV!P1094</f>
        <v>0</v>
      </c>
      <c r="J412" s="6">
        <f>NAV!Q1094</f>
        <v>0</v>
      </c>
      <c r="K412" s="9">
        <f>NAV!R1094</f>
        <v>0</v>
      </c>
      <c r="L412" s="6">
        <f>NAV!S1094</f>
        <v>0</v>
      </c>
      <c r="M412" s="6">
        <f>NAV!T1094</f>
        <v>0</v>
      </c>
      <c r="N412" s="6" t="str">
        <f>NAV!U1094</f>
        <v>한국 원화(KRW)</v>
      </c>
      <c r="O412" s="6">
        <f>NAV!V1094</f>
        <v>1</v>
      </c>
      <c r="P412" s="6">
        <f>NAV!W1094</f>
        <v>0</v>
      </c>
      <c r="Q412" s="6">
        <f>NAV!X1094</f>
        <v>0</v>
      </c>
      <c r="R412" s="6">
        <f>NAV!Y1094</f>
        <v>0</v>
      </c>
      <c r="S412" s="6">
        <f>NAV!Z1094</f>
        <v>0</v>
      </c>
      <c r="T412" s="6">
        <f>NAV!AA1094</f>
        <v>0</v>
      </c>
      <c r="U412" s="10">
        <f>NAV!AB1094</f>
        <v>0</v>
      </c>
      <c r="V412" s="6" t="str">
        <f>NAV!AC1094</f>
        <v>2년이상</v>
      </c>
    </row>
    <row r="413" spans="1:22">
      <c r="A413" s="7">
        <f t="shared" si="6"/>
        <v>412</v>
      </c>
      <c r="B413" s="7">
        <f>TYPE(종목정보tbl!$C413)</f>
        <v>1</v>
      </c>
      <c r="C413" s="6">
        <f>NAV!J1095</f>
        <v>0</v>
      </c>
      <c r="D413" s="6">
        <f>NAV!K1095</f>
        <v>0</v>
      </c>
      <c r="E413" s="6">
        <f>NAV!L1095</f>
        <v>0</v>
      </c>
      <c r="F413" s="6">
        <f>NAV!M1095</f>
        <v>0</v>
      </c>
      <c r="G413" s="6">
        <f>NAV!N1095</f>
        <v>0</v>
      </c>
      <c r="H413" s="6">
        <f>NAV!O1095</f>
        <v>0</v>
      </c>
      <c r="I413" s="6">
        <f>NAV!P1095</f>
        <v>0</v>
      </c>
      <c r="J413" s="6">
        <f>NAV!Q1095</f>
        <v>0</v>
      </c>
      <c r="K413" s="9">
        <f>NAV!R1095</f>
        <v>0</v>
      </c>
      <c r="L413" s="6">
        <f>NAV!S1095</f>
        <v>0</v>
      </c>
      <c r="M413" s="6">
        <f>NAV!T1095</f>
        <v>0</v>
      </c>
      <c r="N413" s="6" t="str">
        <f>NAV!U1095</f>
        <v>한국 원화(KRW)</v>
      </c>
      <c r="O413" s="6">
        <f>NAV!V1095</f>
        <v>1</v>
      </c>
      <c r="P413" s="6">
        <f>NAV!W1095</f>
        <v>0</v>
      </c>
      <c r="Q413" s="6">
        <f>NAV!X1095</f>
        <v>0</v>
      </c>
      <c r="R413" s="6">
        <f>NAV!Y1095</f>
        <v>0</v>
      </c>
      <c r="S413" s="6">
        <f>NAV!Z1095</f>
        <v>0</v>
      </c>
      <c r="T413" s="6">
        <f>NAV!AA1095</f>
        <v>0</v>
      </c>
      <c r="U413" s="10">
        <f>NAV!AB1095</f>
        <v>0</v>
      </c>
      <c r="V413" s="6" t="str">
        <f>NAV!AC1095</f>
        <v>2년이상</v>
      </c>
    </row>
    <row r="414" spans="1:22">
      <c r="A414" s="7">
        <f t="shared" si="6"/>
        <v>413</v>
      </c>
      <c r="B414" s="7">
        <f>TYPE(종목정보tbl!$C414)</f>
        <v>1</v>
      </c>
      <c r="C414" s="6">
        <f>NAV!J1096</f>
        <v>0</v>
      </c>
      <c r="D414" s="6">
        <f>NAV!K1096</f>
        <v>0</v>
      </c>
      <c r="E414" s="6">
        <f>NAV!L1096</f>
        <v>0</v>
      </c>
      <c r="F414" s="6">
        <f>NAV!M1096</f>
        <v>0</v>
      </c>
      <c r="G414" s="6">
        <f>NAV!N1096</f>
        <v>0</v>
      </c>
      <c r="H414" s="6">
        <f>NAV!O1096</f>
        <v>0</v>
      </c>
      <c r="I414" s="6">
        <f>NAV!P1096</f>
        <v>0</v>
      </c>
      <c r="J414" s="6">
        <f>NAV!Q1096</f>
        <v>0</v>
      </c>
      <c r="K414" s="9">
        <f>NAV!R1096</f>
        <v>0</v>
      </c>
      <c r="L414" s="6">
        <f>NAV!S1096</f>
        <v>0</v>
      </c>
      <c r="M414" s="6">
        <f>NAV!T1096</f>
        <v>0</v>
      </c>
      <c r="N414" s="6" t="str">
        <f>NAV!U1096</f>
        <v>한국 원화(KRW)</v>
      </c>
      <c r="O414" s="6">
        <f>NAV!V1096</f>
        <v>1</v>
      </c>
      <c r="P414" s="6">
        <f>NAV!W1096</f>
        <v>0</v>
      </c>
      <c r="Q414" s="6">
        <f>NAV!X1096</f>
        <v>0</v>
      </c>
      <c r="R414" s="6">
        <f>NAV!Y1096</f>
        <v>0</v>
      </c>
      <c r="S414" s="6">
        <f>NAV!Z1096</f>
        <v>0</v>
      </c>
      <c r="T414" s="6">
        <f>NAV!AA1096</f>
        <v>0</v>
      </c>
      <c r="U414" s="10">
        <f>NAV!AB1096</f>
        <v>0</v>
      </c>
      <c r="V414" s="6" t="str">
        <f>NAV!AC1096</f>
        <v>2년이상</v>
      </c>
    </row>
    <row r="415" spans="1:22">
      <c r="A415" s="7">
        <f t="shared" si="6"/>
        <v>414</v>
      </c>
      <c r="B415" s="7">
        <f>TYPE(종목정보tbl!$C415)</f>
        <v>1</v>
      </c>
      <c r="C415" s="6">
        <f>NAV!J1097</f>
        <v>0</v>
      </c>
      <c r="D415" s="6">
        <f>NAV!K1097</f>
        <v>0</v>
      </c>
      <c r="E415" s="6">
        <f>NAV!L1097</f>
        <v>0</v>
      </c>
      <c r="F415" s="6">
        <f>NAV!M1097</f>
        <v>0</v>
      </c>
      <c r="G415" s="6">
        <f>NAV!N1097</f>
        <v>0</v>
      </c>
      <c r="H415" s="6">
        <f>NAV!O1097</f>
        <v>0</v>
      </c>
      <c r="I415" s="6">
        <f>NAV!P1097</f>
        <v>0</v>
      </c>
      <c r="J415" s="6">
        <f>NAV!Q1097</f>
        <v>0</v>
      </c>
      <c r="K415" s="9">
        <f>NAV!R1097</f>
        <v>0</v>
      </c>
      <c r="L415" s="6">
        <f>NAV!S1097</f>
        <v>0</v>
      </c>
      <c r="M415" s="6">
        <f>NAV!T1097</f>
        <v>0</v>
      </c>
      <c r="N415" s="6" t="str">
        <f>NAV!U1097</f>
        <v>한국 원화(KRW)</v>
      </c>
      <c r="O415" s="6">
        <f>NAV!V1097</f>
        <v>1</v>
      </c>
      <c r="P415" s="6">
        <f>NAV!W1097</f>
        <v>0</v>
      </c>
      <c r="Q415" s="6">
        <f>NAV!X1097</f>
        <v>0</v>
      </c>
      <c r="R415" s="6">
        <f>NAV!Y1097</f>
        <v>0</v>
      </c>
      <c r="S415" s="6">
        <f>NAV!Z1097</f>
        <v>0</v>
      </c>
      <c r="T415" s="6">
        <f>NAV!AA1097</f>
        <v>0</v>
      </c>
      <c r="U415" s="10">
        <f>NAV!AB1097</f>
        <v>0</v>
      </c>
      <c r="V415" s="6" t="str">
        <f>NAV!AC1097</f>
        <v>2년이상</v>
      </c>
    </row>
    <row r="416" spans="1:22">
      <c r="A416" s="7">
        <f t="shared" si="6"/>
        <v>415</v>
      </c>
      <c r="B416" s="7">
        <f>TYPE(종목정보tbl!$C416)</f>
        <v>1</v>
      </c>
      <c r="C416" s="6">
        <f>NAV!J1125</f>
        <v>0</v>
      </c>
      <c r="D416" s="6">
        <f>NAV!K1125</f>
        <v>0</v>
      </c>
      <c r="E416" s="6">
        <f>NAV!L1125</f>
        <v>0</v>
      </c>
      <c r="F416" s="6">
        <f>NAV!M1125</f>
        <v>0</v>
      </c>
      <c r="G416" s="6">
        <f>NAV!N1125</f>
        <v>0</v>
      </c>
      <c r="H416" s="6">
        <f>NAV!O1125</f>
        <v>0</v>
      </c>
      <c r="I416" s="6">
        <f>NAV!P1125</f>
        <v>0</v>
      </c>
      <c r="J416" s="6">
        <f>NAV!Q1125</f>
        <v>0</v>
      </c>
      <c r="K416" s="9">
        <f>NAV!R1125</f>
        <v>0</v>
      </c>
      <c r="L416" s="6">
        <f>NAV!S1125</f>
        <v>0</v>
      </c>
      <c r="M416" s="6">
        <f>NAV!T1125</f>
        <v>0</v>
      </c>
      <c r="N416" s="6" t="str">
        <f>NAV!U1125</f>
        <v>한국 원화(KRW)</v>
      </c>
      <c r="O416" s="6">
        <f>NAV!V1125</f>
        <v>1</v>
      </c>
      <c r="P416" s="6">
        <f>NAV!W1125</f>
        <v>0</v>
      </c>
      <c r="Q416" s="6">
        <f>NAV!X1125</f>
        <v>0</v>
      </c>
      <c r="R416" s="6">
        <f>NAV!Y1125</f>
        <v>0</v>
      </c>
      <c r="S416" s="6">
        <f>NAV!Z1125</f>
        <v>0</v>
      </c>
      <c r="T416" s="6">
        <f>NAV!AA1125</f>
        <v>0</v>
      </c>
      <c r="U416" s="10">
        <f>NAV!AB1125</f>
        <v>0</v>
      </c>
      <c r="V416" s="6" t="str">
        <f>NAV!AC1125</f>
        <v>2년이상</v>
      </c>
    </row>
    <row r="417" spans="1:22">
      <c r="A417" s="7">
        <f t="shared" si="6"/>
        <v>416</v>
      </c>
      <c r="B417" s="7">
        <f>TYPE(종목정보tbl!$C417)</f>
        <v>1</v>
      </c>
      <c r="C417" s="6">
        <f>NAV!J1126</f>
        <v>0</v>
      </c>
      <c r="D417" s="6">
        <f>NAV!K1126</f>
        <v>0</v>
      </c>
      <c r="E417" s="6">
        <f>NAV!L1126</f>
        <v>0</v>
      </c>
      <c r="F417" s="6">
        <f>NAV!M1126</f>
        <v>0</v>
      </c>
      <c r="G417" s="6">
        <f>NAV!N1126</f>
        <v>0</v>
      </c>
      <c r="H417" s="6">
        <f>NAV!O1126</f>
        <v>0</v>
      </c>
      <c r="I417" s="6">
        <f>NAV!P1126</f>
        <v>0</v>
      </c>
      <c r="J417" s="6">
        <f>NAV!Q1126</f>
        <v>0</v>
      </c>
      <c r="K417" s="9">
        <f>NAV!R1126</f>
        <v>0</v>
      </c>
      <c r="L417" s="6">
        <f>NAV!S1126</f>
        <v>0</v>
      </c>
      <c r="M417" s="6">
        <f>NAV!T1126</f>
        <v>0</v>
      </c>
      <c r="N417" s="6" t="str">
        <f>NAV!U1126</f>
        <v>한국 원화(KRW)</v>
      </c>
      <c r="O417" s="6">
        <f>NAV!V1126</f>
        <v>1</v>
      </c>
      <c r="P417" s="6">
        <f>NAV!W1126</f>
        <v>0</v>
      </c>
      <c r="Q417" s="6">
        <f>NAV!X1126</f>
        <v>0</v>
      </c>
      <c r="R417" s="6">
        <f>NAV!Y1126</f>
        <v>0</v>
      </c>
      <c r="S417" s="6">
        <f>NAV!Z1126</f>
        <v>0</v>
      </c>
      <c r="T417" s="6">
        <f>NAV!AA1126</f>
        <v>0</v>
      </c>
      <c r="U417" s="10">
        <f>NAV!AB1126</f>
        <v>0</v>
      </c>
      <c r="V417" s="6" t="str">
        <f>NAV!AC1126</f>
        <v>2년이상</v>
      </c>
    </row>
    <row r="418" spans="1:22">
      <c r="A418" s="7">
        <f t="shared" si="6"/>
        <v>417</v>
      </c>
      <c r="B418" s="7">
        <f>TYPE(종목정보tbl!$C418)</f>
        <v>1</v>
      </c>
      <c r="C418" s="6">
        <f>NAV!J1127</f>
        <v>0</v>
      </c>
      <c r="D418" s="6">
        <f>NAV!K1127</f>
        <v>0</v>
      </c>
      <c r="E418" s="6">
        <f>NAV!L1127</f>
        <v>0</v>
      </c>
      <c r="F418" s="6">
        <f>NAV!M1127</f>
        <v>0</v>
      </c>
      <c r="G418" s="6">
        <f>NAV!N1127</f>
        <v>0</v>
      </c>
      <c r="H418" s="6">
        <f>NAV!O1127</f>
        <v>0</v>
      </c>
      <c r="I418" s="6">
        <f>NAV!P1127</f>
        <v>0</v>
      </c>
      <c r="J418" s="6">
        <f>NAV!Q1127</f>
        <v>0</v>
      </c>
      <c r="K418" s="9">
        <f>NAV!R1127</f>
        <v>0</v>
      </c>
      <c r="L418" s="6">
        <f>NAV!S1127</f>
        <v>0</v>
      </c>
      <c r="M418" s="6">
        <f>NAV!T1127</f>
        <v>0</v>
      </c>
      <c r="N418" s="6" t="str">
        <f>NAV!U1127</f>
        <v>한국 원화(KRW)</v>
      </c>
      <c r="O418" s="6">
        <f>NAV!V1127</f>
        <v>1</v>
      </c>
      <c r="P418" s="6">
        <f>NAV!W1127</f>
        <v>0</v>
      </c>
      <c r="Q418" s="6">
        <f>NAV!X1127</f>
        <v>0</v>
      </c>
      <c r="R418" s="6">
        <f>NAV!Y1127</f>
        <v>0</v>
      </c>
      <c r="S418" s="6">
        <f>NAV!Z1127</f>
        <v>0</v>
      </c>
      <c r="T418" s="6">
        <f>NAV!AA1127</f>
        <v>0</v>
      </c>
      <c r="U418" s="10">
        <f>NAV!AB1127</f>
        <v>0</v>
      </c>
      <c r="V418" s="6" t="str">
        <f>NAV!AC1127</f>
        <v>2년이상</v>
      </c>
    </row>
    <row r="419" spans="1:22">
      <c r="A419" s="7">
        <f t="shared" si="6"/>
        <v>418</v>
      </c>
      <c r="B419" s="7">
        <f>TYPE(종목정보tbl!$C419)</f>
        <v>1</v>
      </c>
      <c r="C419" s="6">
        <f>NAV!J1128</f>
        <v>0</v>
      </c>
      <c r="D419" s="6">
        <f>NAV!K1128</f>
        <v>0</v>
      </c>
      <c r="E419" s="6">
        <f>NAV!L1128</f>
        <v>0</v>
      </c>
      <c r="F419" s="6">
        <f>NAV!M1128</f>
        <v>0</v>
      </c>
      <c r="G419" s="6">
        <f>NAV!N1128</f>
        <v>0</v>
      </c>
      <c r="H419" s="6">
        <f>NAV!O1128</f>
        <v>0</v>
      </c>
      <c r="I419" s="6">
        <f>NAV!P1128</f>
        <v>0</v>
      </c>
      <c r="J419" s="6">
        <f>NAV!Q1128</f>
        <v>0</v>
      </c>
      <c r="K419" s="9">
        <f>NAV!R1128</f>
        <v>0</v>
      </c>
      <c r="L419" s="6">
        <f>NAV!S1128</f>
        <v>0</v>
      </c>
      <c r="M419" s="6">
        <f>NAV!T1128</f>
        <v>0</v>
      </c>
      <c r="N419" s="6" t="str">
        <f>NAV!U1128</f>
        <v>한국 원화(KRW)</v>
      </c>
      <c r="O419" s="6">
        <f>NAV!V1128</f>
        <v>1</v>
      </c>
      <c r="P419" s="6">
        <f>NAV!W1128</f>
        <v>0</v>
      </c>
      <c r="Q419" s="6">
        <f>NAV!X1128</f>
        <v>0</v>
      </c>
      <c r="R419" s="6">
        <f>NAV!Y1128</f>
        <v>0</v>
      </c>
      <c r="S419" s="6">
        <f>NAV!Z1128</f>
        <v>0</v>
      </c>
      <c r="T419" s="6">
        <f>NAV!AA1128</f>
        <v>0</v>
      </c>
      <c r="U419" s="10">
        <f>NAV!AB1128</f>
        <v>0</v>
      </c>
      <c r="V419" s="6" t="str">
        <f>NAV!AC1128</f>
        <v>2년이상</v>
      </c>
    </row>
    <row r="420" spans="1:22">
      <c r="A420" s="7">
        <f t="shared" si="6"/>
        <v>419</v>
      </c>
      <c r="B420" s="7">
        <f>TYPE(종목정보tbl!$C420)</f>
        <v>1</v>
      </c>
      <c r="C420" s="6">
        <f>NAV!J1129</f>
        <v>0</v>
      </c>
      <c r="D420" s="6">
        <f>NAV!K1129</f>
        <v>0</v>
      </c>
      <c r="E420" s="6">
        <f>NAV!L1129</f>
        <v>0</v>
      </c>
      <c r="F420" s="6">
        <f>NAV!M1129</f>
        <v>0</v>
      </c>
      <c r="G420" s="6">
        <f>NAV!N1129</f>
        <v>0</v>
      </c>
      <c r="H420" s="6">
        <f>NAV!O1129</f>
        <v>0</v>
      </c>
      <c r="I420" s="6">
        <f>NAV!P1129</f>
        <v>0</v>
      </c>
      <c r="J420" s="6">
        <f>NAV!Q1129</f>
        <v>0</v>
      </c>
      <c r="K420" s="9">
        <f>NAV!R1129</f>
        <v>0</v>
      </c>
      <c r="L420" s="6">
        <f>NAV!S1129</f>
        <v>0</v>
      </c>
      <c r="M420" s="6">
        <f>NAV!T1129</f>
        <v>0</v>
      </c>
      <c r="N420" s="6" t="str">
        <f>NAV!U1129</f>
        <v>한국 원화(KRW)</v>
      </c>
      <c r="O420" s="6">
        <f>NAV!V1129</f>
        <v>1</v>
      </c>
      <c r="P420" s="6">
        <f>NAV!W1129</f>
        <v>0</v>
      </c>
      <c r="Q420" s="6">
        <f>NAV!X1129</f>
        <v>0</v>
      </c>
      <c r="R420" s="6">
        <f>NAV!Y1129</f>
        <v>0</v>
      </c>
      <c r="S420" s="6">
        <f>NAV!Z1129</f>
        <v>0</v>
      </c>
      <c r="T420" s="6">
        <f>NAV!AA1129</f>
        <v>0</v>
      </c>
      <c r="U420" s="10">
        <f>NAV!AB1129</f>
        <v>0</v>
      </c>
      <c r="V420" s="6" t="str">
        <f>NAV!AC1129</f>
        <v>2년이상</v>
      </c>
    </row>
    <row r="421" spans="1:22">
      <c r="A421" s="7">
        <f t="shared" si="6"/>
        <v>420</v>
      </c>
      <c r="B421" s="7">
        <f>TYPE(종목정보tbl!$C421)</f>
        <v>1</v>
      </c>
      <c r="C421" s="6">
        <f>NAV!J1130</f>
        <v>0</v>
      </c>
      <c r="D421" s="6">
        <f>NAV!K1130</f>
        <v>0</v>
      </c>
      <c r="E421" s="6">
        <f>NAV!L1130</f>
        <v>0</v>
      </c>
      <c r="F421" s="6">
        <f>NAV!M1130</f>
        <v>0</v>
      </c>
      <c r="G421" s="6">
        <f>NAV!N1130</f>
        <v>0</v>
      </c>
      <c r="H421" s="6">
        <f>NAV!O1130</f>
        <v>0</v>
      </c>
      <c r="I421" s="6">
        <f>NAV!P1130</f>
        <v>0</v>
      </c>
      <c r="J421" s="6">
        <f>NAV!Q1130</f>
        <v>0</v>
      </c>
      <c r="K421" s="9">
        <f>NAV!R1130</f>
        <v>0</v>
      </c>
      <c r="L421" s="6">
        <f>NAV!S1130</f>
        <v>0</v>
      </c>
      <c r="M421" s="6">
        <f>NAV!T1130</f>
        <v>0</v>
      </c>
      <c r="N421" s="6" t="str">
        <f>NAV!U1130</f>
        <v>한국 원화(KRW)</v>
      </c>
      <c r="O421" s="6">
        <f>NAV!V1130</f>
        <v>1</v>
      </c>
      <c r="P421" s="6">
        <f>NAV!W1130</f>
        <v>0</v>
      </c>
      <c r="Q421" s="6">
        <f>NAV!X1130</f>
        <v>0</v>
      </c>
      <c r="R421" s="6">
        <f>NAV!Y1130</f>
        <v>0</v>
      </c>
      <c r="S421" s="6">
        <f>NAV!Z1130</f>
        <v>0</v>
      </c>
      <c r="T421" s="6">
        <f>NAV!AA1130</f>
        <v>0</v>
      </c>
      <c r="U421" s="10">
        <f>NAV!AB1130</f>
        <v>0</v>
      </c>
      <c r="V421" s="6" t="str">
        <f>NAV!AC1130</f>
        <v>2년이상</v>
      </c>
    </row>
    <row r="422" spans="1:22">
      <c r="A422" s="7">
        <f t="shared" si="6"/>
        <v>421</v>
      </c>
      <c r="B422" s="7">
        <f>TYPE(종목정보tbl!$C422)</f>
        <v>1</v>
      </c>
      <c r="C422" s="6">
        <f>NAV!J1131</f>
        <v>0</v>
      </c>
      <c r="D422" s="6">
        <f>NAV!K1131</f>
        <v>0</v>
      </c>
      <c r="E422" s="6">
        <f>NAV!L1131</f>
        <v>0</v>
      </c>
      <c r="F422" s="6">
        <f>NAV!M1131</f>
        <v>0</v>
      </c>
      <c r="G422" s="6">
        <f>NAV!N1131</f>
        <v>0</v>
      </c>
      <c r="H422" s="6">
        <f>NAV!O1131</f>
        <v>0</v>
      </c>
      <c r="I422" s="6">
        <f>NAV!P1131</f>
        <v>0</v>
      </c>
      <c r="J422" s="6">
        <f>NAV!Q1131</f>
        <v>0</v>
      </c>
      <c r="K422" s="9">
        <f>NAV!R1131</f>
        <v>0</v>
      </c>
      <c r="L422" s="6">
        <f>NAV!S1131</f>
        <v>0</v>
      </c>
      <c r="M422" s="6">
        <f>NAV!T1131</f>
        <v>0</v>
      </c>
      <c r="N422" s="6" t="str">
        <f>NAV!U1131</f>
        <v>한국 원화(KRW)</v>
      </c>
      <c r="O422" s="6">
        <f>NAV!V1131</f>
        <v>1</v>
      </c>
      <c r="P422" s="6">
        <f>NAV!W1131</f>
        <v>0</v>
      </c>
      <c r="Q422" s="6">
        <f>NAV!X1131</f>
        <v>0</v>
      </c>
      <c r="R422" s="6">
        <f>NAV!Y1131</f>
        <v>0</v>
      </c>
      <c r="S422" s="6">
        <f>NAV!Z1131</f>
        <v>0</v>
      </c>
      <c r="T422" s="6">
        <f>NAV!AA1131</f>
        <v>0</v>
      </c>
      <c r="U422" s="10">
        <f>NAV!AB1131</f>
        <v>0</v>
      </c>
      <c r="V422" s="6" t="str">
        <f>NAV!AC1131</f>
        <v>2년이상</v>
      </c>
    </row>
    <row r="423" spans="1:22">
      <c r="A423" s="7">
        <f t="shared" si="6"/>
        <v>422</v>
      </c>
      <c r="B423" s="7">
        <f>TYPE(종목정보tbl!$C423)</f>
        <v>1</v>
      </c>
      <c r="C423" s="6">
        <f>NAV!J1132</f>
        <v>0</v>
      </c>
      <c r="D423" s="6">
        <f>NAV!K1132</f>
        <v>0</v>
      </c>
      <c r="E423" s="6">
        <f>NAV!L1132</f>
        <v>0</v>
      </c>
      <c r="F423" s="6">
        <f>NAV!M1132</f>
        <v>0</v>
      </c>
      <c r="G423" s="6">
        <f>NAV!N1132</f>
        <v>0</v>
      </c>
      <c r="H423" s="6">
        <f>NAV!O1132</f>
        <v>0</v>
      </c>
      <c r="I423" s="6">
        <f>NAV!P1132</f>
        <v>0</v>
      </c>
      <c r="J423" s="6">
        <f>NAV!Q1132</f>
        <v>0</v>
      </c>
      <c r="K423" s="9">
        <f>NAV!R1132</f>
        <v>0</v>
      </c>
      <c r="L423" s="6">
        <f>NAV!S1132</f>
        <v>0</v>
      </c>
      <c r="M423" s="6">
        <f>NAV!T1132</f>
        <v>0</v>
      </c>
      <c r="N423" s="6" t="str">
        <f>NAV!U1132</f>
        <v>한국 원화(KRW)</v>
      </c>
      <c r="O423" s="6">
        <f>NAV!V1132</f>
        <v>1</v>
      </c>
      <c r="P423" s="6">
        <f>NAV!W1132</f>
        <v>0</v>
      </c>
      <c r="Q423" s="6">
        <f>NAV!X1132</f>
        <v>0</v>
      </c>
      <c r="R423" s="6">
        <f>NAV!Y1132</f>
        <v>0</v>
      </c>
      <c r="S423" s="6">
        <f>NAV!Z1132</f>
        <v>0</v>
      </c>
      <c r="T423" s="6">
        <f>NAV!AA1132</f>
        <v>0</v>
      </c>
      <c r="U423" s="10">
        <f>NAV!AB1132</f>
        <v>0</v>
      </c>
      <c r="V423" s="6" t="str">
        <f>NAV!AC1132</f>
        <v>2년이상</v>
      </c>
    </row>
    <row r="424" spans="1:22">
      <c r="A424" s="7">
        <f t="shared" si="6"/>
        <v>423</v>
      </c>
      <c r="B424" s="7">
        <f>TYPE(종목정보tbl!$C424)</f>
        <v>1</v>
      </c>
      <c r="C424" s="6">
        <f>NAV!J1133</f>
        <v>0</v>
      </c>
      <c r="D424" s="6">
        <f>NAV!K1133</f>
        <v>0</v>
      </c>
      <c r="E424" s="6">
        <f>NAV!L1133</f>
        <v>0</v>
      </c>
      <c r="F424" s="6">
        <f>NAV!M1133</f>
        <v>0</v>
      </c>
      <c r="G424" s="6">
        <f>NAV!N1133</f>
        <v>0</v>
      </c>
      <c r="H424" s="6">
        <f>NAV!O1133</f>
        <v>0</v>
      </c>
      <c r="I424" s="6">
        <f>NAV!P1133</f>
        <v>0</v>
      </c>
      <c r="J424" s="6">
        <f>NAV!Q1133</f>
        <v>0</v>
      </c>
      <c r="K424" s="9">
        <f>NAV!R1133</f>
        <v>0</v>
      </c>
      <c r="L424" s="6">
        <f>NAV!S1133</f>
        <v>0</v>
      </c>
      <c r="M424" s="6">
        <f>NAV!T1133</f>
        <v>0</v>
      </c>
      <c r="N424" s="6" t="str">
        <f>NAV!U1133</f>
        <v>한국 원화(KRW)</v>
      </c>
      <c r="O424" s="6">
        <f>NAV!V1133</f>
        <v>1</v>
      </c>
      <c r="P424" s="6">
        <f>NAV!W1133</f>
        <v>0</v>
      </c>
      <c r="Q424" s="6">
        <f>NAV!X1133</f>
        <v>0</v>
      </c>
      <c r="R424" s="6">
        <f>NAV!Y1133</f>
        <v>0</v>
      </c>
      <c r="S424" s="6">
        <f>NAV!Z1133</f>
        <v>0</v>
      </c>
      <c r="T424" s="6">
        <f>NAV!AA1133</f>
        <v>0</v>
      </c>
      <c r="U424" s="10">
        <f>NAV!AB1133</f>
        <v>0</v>
      </c>
      <c r="V424" s="6" t="str">
        <f>NAV!AC1133</f>
        <v>2년이상</v>
      </c>
    </row>
    <row r="425" spans="1:22">
      <c r="A425" s="7">
        <f t="shared" si="6"/>
        <v>424</v>
      </c>
      <c r="B425" s="7">
        <f>TYPE(종목정보tbl!$C425)</f>
        <v>1</v>
      </c>
      <c r="C425" s="6">
        <f>NAV!J1134</f>
        <v>0</v>
      </c>
      <c r="D425" s="6">
        <f>NAV!K1134</f>
        <v>0</v>
      </c>
      <c r="E425" s="6">
        <f>NAV!L1134</f>
        <v>0</v>
      </c>
      <c r="F425" s="6">
        <f>NAV!M1134</f>
        <v>0</v>
      </c>
      <c r="G425" s="6">
        <f>NAV!N1134</f>
        <v>0</v>
      </c>
      <c r="H425" s="6">
        <f>NAV!O1134</f>
        <v>0</v>
      </c>
      <c r="I425" s="6">
        <f>NAV!P1134</f>
        <v>0</v>
      </c>
      <c r="J425" s="6">
        <f>NAV!Q1134</f>
        <v>0</v>
      </c>
      <c r="K425" s="9">
        <f>NAV!R1134</f>
        <v>0</v>
      </c>
      <c r="L425" s="6">
        <f>NAV!S1134</f>
        <v>0</v>
      </c>
      <c r="M425" s="6">
        <f>NAV!T1134</f>
        <v>0</v>
      </c>
      <c r="N425" s="6" t="str">
        <f>NAV!U1134</f>
        <v>한국 원화(KRW)</v>
      </c>
      <c r="O425" s="6">
        <f>NAV!V1134</f>
        <v>1</v>
      </c>
      <c r="P425" s="6">
        <f>NAV!W1134</f>
        <v>0</v>
      </c>
      <c r="Q425" s="6">
        <f>NAV!X1134</f>
        <v>0</v>
      </c>
      <c r="R425" s="6">
        <f>NAV!Y1134</f>
        <v>0</v>
      </c>
      <c r="S425" s="6">
        <f>NAV!Z1134</f>
        <v>0</v>
      </c>
      <c r="T425" s="6">
        <f>NAV!AA1134</f>
        <v>0</v>
      </c>
      <c r="U425" s="10">
        <f>NAV!AB1134</f>
        <v>0</v>
      </c>
      <c r="V425" s="6" t="str">
        <f>NAV!AC1134</f>
        <v>2년이상</v>
      </c>
    </row>
    <row r="426" spans="1:22">
      <c r="A426" s="7">
        <f t="shared" si="6"/>
        <v>425</v>
      </c>
      <c r="B426" s="7">
        <f>TYPE(종목정보tbl!$C426)</f>
        <v>1</v>
      </c>
      <c r="C426" s="6">
        <f>NAV!J1135</f>
        <v>0</v>
      </c>
      <c r="D426" s="6">
        <f>NAV!K1135</f>
        <v>0</v>
      </c>
      <c r="E426" s="6">
        <f>NAV!L1135</f>
        <v>0</v>
      </c>
      <c r="F426" s="6">
        <f>NAV!M1135</f>
        <v>0</v>
      </c>
      <c r="G426" s="6">
        <f>NAV!N1135</f>
        <v>0</v>
      </c>
      <c r="H426" s="6">
        <f>NAV!O1135</f>
        <v>0</v>
      </c>
      <c r="I426" s="6">
        <f>NAV!P1135</f>
        <v>0</v>
      </c>
      <c r="J426" s="6">
        <f>NAV!Q1135</f>
        <v>0</v>
      </c>
      <c r="K426" s="9">
        <f>NAV!R1135</f>
        <v>0</v>
      </c>
      <c r="L426" s="6">
        <f>NAV!S1135</f>
        <v>0</v>
      </c>
      <c r="M426" s="6">
        <f>NAV!T1135</f>
        <v>0</v>
      </c>
      <c r="N426" s="6" t="str">
        <f>NAV!U1135</f>
        <v>한국 원화(KRW)</v>
      </c>
      <c r="O426" s="6">
        <f>NAV!V1135</f>
        <v>1</v>
      </c>
      <c r="P426" s="6">
        <f>NAV!W1135</f>
        <v>0</v>
      </c>
      <c r="Q426" s="6">
        <f>NAV!X1135</f>
        <v>0</v>
      </c>
      <c r="R426" s="6">
        <f>NAV!Y1135</f>
        <v>0</v>
      </c>
      <c r="S426" s="6">
        <f>NAV!Z1135</f>
        <v>0</v>
      </c>
      <c r="T426" s="6">
        <f>NAV!AA1135</f>
        <v>0</v>
      </c>
      <c r="U426" s="10">
        <f>NAV!AB1135</f>
        <v>0</v>
      </c>
      <c r="V426" s="6" t="str">
        <f>NAV!AC1135</f>
        <v>2년이상</v>
      </c>
    </row>
    <row r="427" spans="1:22">
      <c r="A427" s="7">
        <f t="shared" si="6"/>
        <v>426</v>
      </c>
      <c r="B427" s="7">
        <f>TYPE(종목정보tbl!$C427)</f>
        <v>1</v>
      </c>
      <c r="C427" s="6">
        <f>NAV!J1163</f>
        <v>0</v>
      </c>
      <c r="D427" s="6">
        <f>NAV!K1163</f>
        <v>0</v>
      </c>
      <c r="E427" s="6">
        <f>NAV!L1163</f>
        <v>0</v>
      </c>
      <c r="F427" s="6">
        <f>NAV!M1163</f>
        <v>0</v>
      </c>
      <c r="G427" s="6">
        <f>NAV!N1163</f>
        <v>0</v>
      </c>
      <c r="H427" s="6">
        <f>NAV!O1163</f>
        <v>0</v>
      </c>
      <c r="I427" s="6">
        <f>NAV!P1163</f>
        <v>0</v>
      </c>
      <c r="J427" s="6">
        <f>NAV!Q1163</f>
        <v>0</v>
      </c>
      <c r="K427" s="9">
        <f>NAV!R1163</f>
        <v>0</v>
      </c>
      <c r="L427" s="6">
        <f>NAV!S1163</f>
        <v>0</v>
      </c>
      <c r="M427" s="6">
        <f>NAV!T1163</f>
        <v>0</v>
      </c>
      <c r="N427" s="6" t="str">
        <f>NAV!U1163</f>
        <v>한국 원화(KRW)</v>
      </c>
      <c r="O427" s="6">
        <f>NAV!V1163</f>
        <v>1</v>
      </c>
      <c r="P427" s="6">
        <f>NAV!W1163</f>
        <v>0</v>
      </c>
      <c r="Q427" s="6">
        <f>NAV!X1163</f>
        <v>0</v>
      </c>
      <c r="R427" s="6">
        <f>NAV!Y1163</f>
        <v>0</v>
      </c>
      <c r="S427" s="6">
        <f>NAV!Z1163</f>
        <v>0</v>
      </c>
      <c r="T427" s="6">
        <f>NAV!AA1163</f>
        <v>0</v>
      </c>
      <c r="U427" s="10">
        <f>NAV!AB1163</f>
        <v>0</v>
      </c>
      <c r="V427" s="6" t="str">
        <f>NAV!AC1163</f>
        <v>2년이상</v>
      </c>
    </row>
    <row r="428" spans="1:22">
      <c r="A428" s="7">
        <f t="shared" si="6"/>
        <v>427</v>
      </c>
      <c r="B428" s="7">
        <f>TYPE(종목정보tbl!$C428)</f>
        <v>1</v>
      </c>
      <c r="C428" s="6">
        <f>NAV!J1164</f>
        <v>0</v>
      </c>
      <c r="D428" s="6">
        <f>NAV!K1164</f>
        <v>0</v>
      </c>
      <c r="E428" s="6">
        <f>NAV!L1164</f>
        <v>0</v>
      </c>
      <c r="F428" s="6">
        <f>NAV!M1164</f>
        <v>0</v>
      </c>
      <c r="G428" s="6">
        <f>NAV!N1164</f>
        <v>0</v>
      </c>
      <c r="H428" s="6">
        <f>NAV!O1164</f>
        <v>0</v>
      </c>
      <c r="I428" s="6">
        <f>NAV!P1164</f>
        <v>0</v>
      </c>
      <c r="J428" s="6">
        <f>NAV!Q1164</f>
        <v>0</v>
      </c>
      <c r="K428" s="9">
        <f>NAV!R1164</f>
        <v>0</v>
      </c>
      <c r="L428" s="6">
        <f>NAV!S1164</f>
        <v>0</v>
      </c>
      <c r="M428" s="6">
        <f>NAV!T1164</f>
        <v>0</v>
      </c>
      <c r="N428" s="6" t="str">
        <f>NAV!U1164</f>
        <v>한국 원화(KRW)</v>
      </c>
      <c r="O428" s="6">
        <f>NAV!V1164</f>
        <v>1</v>
      </c>
      <c r="P428" s="6">
        <f>NAV!W1164</f>
        <v>0</v>
      </c>
      <c r="Q428" s="6">
        <f>NAV!X1164</f>
        <v>0</v>
      </c>
      <c r="R428" s="6">
        <f>NAV!Y1164</f>
        <v>0</v>
      </c>
      <c r="S428" s="6">
        <f>NAV!Z1164</f>
        <v>0</v>
      </c>
      <c r="T428" s="6">
        <f>NAV!AA1164</f>
        <v>0</v>
      </c>
      <c r="U428" s="10">
        <f>NAV!AB1164</f>
        <v>0</v>
      </c>
      <c r="V428" s="6" t="str">
        <f>NAV!AC1164</f>
        <v>2년이상</v>
      </c>
    </row>
    <row r="429" spans="1:22">
      <c r="A429" s="7">
        <f t="shared" si="6"/>
        <v>428</v>
      </c>
      <c r="B429" s="7">
        <f>TYPE(종목정보tbl!$C429)</f>
        <v>1</v>
      </c>
      <c r="C429" s="6">
        <f>NAV!J1165</f>
        <v>0</v>
      </c>
      <c r="D429" s="6">
        <f>NAV!K1165</f>
        <v>0</v>
      </c>
      <c r="E429" s="6">
        <f>NAV!L1165</f>
        <v>0</v>
      </c>
      <c r="F429" s="6">
        <f>NAV!M1165</f>
        <v>0</v>
      </c>
      <c r="G429" s="6">
        <f>NAV!N1165</f>
        <v>0</v>
      </c>
      <c r="H429" s="6">
        <f>NAV!O1165</f>
        <v>0</v>
      </c>
      <c r="I429" s="6">
        <f>NAV!P1165</f>
        <v>0</v>
      </c>
      <c r="J429" s="6">
        <f>NAV!Q1165</f>
        <v>0</v>
      </c>
      <c r="K429" s="9">
        <f>NAV!R1165</f>
        <v>0</v>
      </c>
      <c r="L429" s="6">
        <f>NAV!S1165</f>
        <v>0</v>
      </c>
      <c r="M429" s="6">
        <f>NAV!T1165</f>
        <v>0</v>
      </c>
      <c r="N429" s="6" t="str">
        <f>NAV!U1165</f>
        <v>한국 원화(KRW)</v>
      </c>
      <c r="O429" s="6">
        <f>NAV!V1165</f>
        <v>1</v>
      </c>
      <c r="P429" s="6">
        <f>NAV!W1165</f>
        <v>0</v>
      </c>
      <c r="Q429" s="6">
        <f>NAV!X1165</f>
        <v>0</v>
      </c>
      <c r="R429" s="6">
        <f>NAV!Y1165</f>
        <v>0</v>
      </c>
      <c r="S429" s="6">
        <f>NAV!Z1165</f>
        <v>0</v>
      </c>
      <c r="T429" s="6">
        <f>NAV!AA1165</f>
        <v>0</v>
      </c>
      <c r="U429" s="10">
        <f>NAV!AB1165</f>
        <v>0</v>
      </c>
      <c r="V429" s="6" t="str">
        <f>NAV!AC1165</f>
        <v>2년이상</v>
      </c>
    </row>
    <row r="430" spans="1:22">
      <c r="A430" s="7">
        <f t="shared" si="6"/>
        <v>429</v>
      </c>
      <c r="B430" s="7">
        <f>TYPE(종목정보tbl!$C430)</f>
        <v>1</v>
      </c>
      <c r="C430" s="6">
        <f>NAV!J1166</f>
        <v>0</v>
      </c>
      <c r="D430" s="6">
        <f>NAV!K1166</f>
        <v>0</v>
      </c>
      <c r="E430" s="6">
        <f>NAV!L1166</f>
        <v>0</v>
      </c>
      <c r="F430" s="6">
        <f>NAV!M1166</f>
        <v>0</v>
      </c>
      <c r="G430" s="6">
        <f>NAV!N1166</f>
        <v>0</v>
      </c>
      <c r="H430" s="6">
        <f>NAV!O1166</f>
        <v>0</v>
      </c>
      <c r="I430" s="6">
        <f>NAV!P1166</f>
        <v>0</v>
      </c>
      <c r="J430" s="6">
        <f>NAV!Q1166</f>
        <v>0</v>
      </c>
      <c r="K430" s="9">
        <f>NAV!R1166</f>
        <v>0</v>
      </c>
      <c r="L430" s="6">
        <f>NAV!S1166</f>
        <v>0</v>
      </c>
      <c r="M430" s="6">
        <f>NAV!T1166</f>
        <v>0</v>
      </c>
      <c r="N430" s="6" t="str">
        <f>NAV!U1166</f>
        <v>한국 원화(KRW)</v>
      </c>
      <c r="O430" s="6">
        <f>NAV!V1166</f>
        <v>1</v>
      </c>
      <c r="P430" s="6">
        <f>NAV!W1166</f>
        <v>0</v>
      </c>
      <c r="Q430" s="6">
        <f>NAV!X1166</f>
        <v>0</v>
      </c>
      <c r="R430" s="6">
        <f>NAV!Y1166</f>
        <v>0</v>
      </c>
      <c r="S430" s="6">
        <f>NAV!Z1166</f>
        <v>0</v>
      </c>
      <c r="T430" s="6">
        <f>NAV!AA1166</f>
        <v>0</v>
      </c>
      <c r="U430" s="10">
        <f>NAV!AB1166</f>
        <v>0</v>
      </c>
      <c r="V430" s="6" t="str">
        <f>NAV!AC1166</f>
        <v>2년이상</v>
      </c>
    </row>
    <row r="431" spans="1:22">
      <c r="A431" s="7">
        <f t="shared" si="6"/>
        <v>430</v>
      </c>
      <c r="B431" s="7">
        <f>TYPE(종목정보tbl!$C431)</f>
        <v>1</v>
      </c>
      <c r="C431" s="6">
        <f>NAV!J1167</f>
        <v>0</v>
      </c>
      <c r="D431" s="6">
        <f>NAV!K1167</f>
        <v>0</v>
      </c>
      <c r="E431" s="6">
        <f>NAV!L1167</f>
        <v>0</v>
      </c>
      <c r="F431" s="6">
        <f>NAV!M1167</f>
        <v>0</v>
      </c>
      <c r="G431" s="6">
        <f>NAV!N1167</f>
        <v>0</v>
      </c>
      <c r="H431" s="6">
        <f>NAV!O1167</f>
        <v>0</v>
      </c>
      <c r="I431" s="6">
        <f>NAV!P1167</f>
        <v>0</v>
      </c>
      <c r="J431" s="6">
        <f>NAV!Q1167</f>
        <v>0</v>
      </c>
      <c r="K431" s="9">
        <f>NAV!R1167</f>
        <v>0</v>
      </c>
      <c r="L431" s="6">
        <f>NAV!S1167</f>
        <v>0</v>
      </c>
      <c r="M431" s="6">
        <f>NAV!T1167</f>
        <v>0</v>
      </c>
      <c r="N431" s="6" t="str">
        <f>NAV!U1167</f>
        <v>한국 원화(KRW)</v>
      </c>
      <c r="O431" s="6">
        <f>NAV!V1167</f>
        <v>1</v>
      </c>
      <c r="P431" s="6">
        <f>NAV!W1167</f>
        <v>0</v>
      </c>
      <c r="Q431" s="6">
        <f>NAV!X1167</f>
        <v>0</v>
      </c>
      <c r="R431" s="6">
        <f>NAV!Y1167</f>
        <v>0</v>
      </c>
      <c r="S431" s="6">
        <f>NAV!Z1167</f>
        <v>0</v>
      </c>
      <c r="T431" s="6">
        <f>NAV!AA1167</f>
        <v>0</v>
      </c>
      <c r="U431" s="10">
        <f>NAV!AB1167</f>
        <v>0</v>
      </c>
      <c r="V431" s="6" t="str">
        <f>NAV!AC1167</f>
        <v>2년이상</v>
      </c>
    </row>
    <row r="432" spans="1:22">
      <c r="A432" s="7">
        <f t="shared" si="6"/>
        <v>431</v>
      </c>
      <c r="B432" s="7">
        <f>TYPE(종목정보tbl!$C432)</f>
        <v>1</v>
      </c>
      <c r="C432" s="6">
        <f>NAV!J1168</f>
        <v>0</v>
      </c>
      <c r="D432" s="6">
        <f>NAV!K1168</f>
        <v>0</v>
      </c>
      <c r="E432" s="6">
        <f>NAV!L1168</f>
        <v>0</v>
      </c>
      <c r="F432" s="6">
        <f>NAV!M1168</f>
        <v>0</v>
      </c>
      <c r="G432" s="6">
        <f>NAV!N1168</f>
        <v>0</v>
      </c>
      <c r="H432" s="6">
        <f>NAV!O1168</f>
        <v>0</v>
      </c>
      <c r="I432" s="6">
        <f>NAV!P1168</f>
        <v>0</v>
      </c>
      <c r="J432" s="6">
        <f>NAV!Q1168</f>
        <v>0</v>
      </c>
      <c r="K432" s="9">
        <f>NAV!R1168</f>
        <v>0</v>
      </c>
      <c r="L432" s="6">
        <f>NAV!S1168</f>
        <v>0</v>
      </c>
      <c r="M432" s="6">
        <f>NAV!T1168</f>
        <v>0</v>
      </c>
      <c r="N432" s="6" t="str">
        <f>NAV!U1168</f>
        <v>한국 원화(KRW)</v>
      </c>
      <c r="O432" s="6">
        <f>NAV!V1168</f>
        <v>1</v>
      </c>
      <c r="P432" s="6">
        <f>NAV!W1168</f>
        <v>0</v>
      </c>
      <c r="Q432" s="6">
        <f>NAV!X1168</f>
        <v>0</v>
      </c>
      <c r="R432" s="6">
        <f>NAV!Y1168</f>
        <v>0</v>
      </c>
      <c r="S432" s="6">
        <f>NAV!Z1168</f>
        <v>0</v>
      </c>
      <c r="T432" s="6">
        <f>NAV!AA1168</f>
        <v>0</v>
      </c>
      <c r="U432" s="10">
        <f>NAV!AB1168</f>
        <v>0</v>
      </c>
      <c r="V432" s="6" t="str">
        <f>NAV!AC1168</f>
        <v>2년이상</v>
      </c>
    </row>
    <row r="433" spans="1:22">
      <c r="A433" s="7">
        <f t="shared" si="6"/>
        <v>432</v>
      </c>
      <c r="B433" s="7">
        <f>TYPE(종목정보tbl!$C433)</f>
        <v>1</v>
      </c>
      <c r="C433" s="6">
        <f>NAV!J1169</f>
        <v>0</v>
      </c>
      <c r="D433" s="6">
        <f>NAV!K1169</f>
        <v>0</v>
      </c>
      <c r="E433" s="6">
        <f>NAV!L1169</f>
        <v>0</v>
      </c>
      <c r="F433" s="6">
        <f>NAV!M1169</f>
        <v>0</v>
      </c>
      <c r="G433" s="6">
        <f>NAV!N1169</f>
        <v>0</v>
      </c>
      <c r="H433" s="6">
        <f>NAV!O1169</f>
        <v>0</v>
      </c>
      <c r="I433" s="6">
        <f>NAV!P1169</f>
        <v>0</v>
      </c>
      <c r="J433" s="6">
        <f>NAV!Q1169</f>
        <v>0</v>
      </c>
      <c r="K433" s="9">
        <f>NAV!R1169</f>
        <v>0</v>
      </c>
      <c r="L433" s="6">
        <f>NAV!S1169</f>
        <v>0</v>
      </c>
      <c r="M433" s="6">
        <f>NAV!T1169</f>
        <v>0</v>
      </c>
      <c r="N433" s="6" t="str">
        <f>NAV!U1169</f>
        <v>한국 원화(KRW)</v>
      </c>
      <c r="O433" s="6">
        <f>NAV!V1169</f>
        <v>1</v>
      </c>
      <c r="P433" s="6">
        <f>NAV!W1169</f>
        <v>0</v>
      </c>
      <c r="Q433" s="6">
        <f>NAV!X1169</f>
        <v>0</v>
      </c>
      <c r="R433" s="6">
        <f>NAV!Y1169</f>
        <v>0</v>
      </c>
      <c r="S433" s="6">
        <f>NAV!Z1169</f>
        <v>0</v>
      </c>
      <c r="T433" s="6">
        <f>NAV!AA1169</f>
        <v>0</v>
      </c>
      <c r="U433" s="10">
        <f>NAV!AB1169</f>
        <v>0</v>
      </c>
      <c r="V433" s="6" t="str">
        <f>NAV!AC1169</f>
        <v>2년이상</v>
      </c>
    </row>
    <row r="434" spans="1:22">
      <c r="A434" s="7">
        <f t="shared" si="6"/>
        <v>433</v>
      </c>
      <c r="B434" s="7">
        <f>TYPE(종목정보tbl!$C434)</f>
        <v>1</v>
      </c>
      <c r="C434" s="6">
        <f>NAV!J1170</f>
        <v>0</v>
      </c>
      <c r="D434" s="6">
        <f>NAV!K1170</f>
        <v>0</v>
      </c>
      <c r="E434" s="6">
        <f>NAV!L1170</f>
        <v>0</v>
      </c>
      <c r="F434" s="6">
        <f>NAV!M1170</f>
        <v>0</v>
      </c>
      <c r="G434" s="6">
        <f>NAV!N1170</f>
        <v>0</v>
      </c>
      <c r="H434" s="6">
        <f>NAV!O1170</f>
        <v>0</v>
      </c>
      <c r="I434" s="6">
        <f>NAV!P1170</f>
        <v>0</v>
      </c>
      <c r="J434" s="6">
        <f>NAV!Q1170</f>
        <v>0</v>
      </c>
      <c r="K434" s="9">
        <f>NAV!R1170</f>
        <v>0</v>
      </c>
      <c r="L434" s="6">
        <f>NAV!S1170</f>
        <v>0</v>
      </c>
      <c r="M434" s="6">
        <f>NAV!T1170</f>
        <v>0</v>
      </c>
      <c r="N434" s="6" t="str">
        <f>NAV!U1170</f>
        <v>한국 원화(KRW)</v>
      </c>
      <c r="O434" s="6">
        <f>NAV!V1170</f>
        <v>1</v>
      </c>
      <c r="P434" s="6">
        <f>NAV!W1170</f>
        <v>0</v>
      </c>
      <c r="Q434" s="6">
        <f>NAV!X1170</f>
        <v>0</v>
      </c>
      <c r="R434" s="6">
        <f>NAV!Y1170</f>
        <v>0</v>
      </c>
      <c r="S434" s="6">
        <f>NAV!Z1170</f>
        <v>0</v>
      </c>
      <c r="T434" s="6">
        <f>NAV!AA1170</f>
        <v>0</v>
      </c>
      <c r="U434" s="10">
        <f>NAV!AB1170</f>
        <v>0</v>
      </c>
      <c r="V434" s="6" t="str">
        <f>NAV!AC1170</f>
        <v>2년이상</v>
      </c>
    </row>
    <row r="435" spans="1:22">
      <c r="A435" s="7">
        <f t="shared" si="6"/>
        <v>434</v>
      </c>
      <c r="B435" s="7">
        <f>TYPE(종목정보tbl!$C435)</f>
        <v>1</v>
      </c>
      <c r="C435" s="6">
        <f>NAV!J1171</f>
        <v>0</v>
      </c>
      <c r="D435" s="6">
        <f>NAV!K1171</f>
        <v>0</v>
      </c>
      <c r="E435" s="6">
        <f>NAV!L1171</f>
        <v>0</v>
      </c>
      <c r="F435" s="6">
        <f>NAV!M1171</f>
        <v>0</v>
      </c>
      <c r="G435" s="6">
        <f>NAV!N1171</f>
        <v>0</v>
      </c>
      <c r="H435" s="6">
        <f>NAV!O1171</f>
        <v>0</v>
      </c>
      <c r="I435" s="6">
        <f>NAV!P1171</f>
        <v>0</v>
      </c>
      <c r="J435" s="6">
        <f>NAV!Q1171</f>
        <v>0</v>
      </c>
      <c r="K435" s="9">
        <f>NAV!R1171</f>
        <v>0</v>
      </c>
      <c r="L435" s="6">
        <f>NAV!S1171</f>
        <v>0</v>
      </c>
      <c r="M435" s="6">
        <f>NAV!T1171</f>
        <v>0</v>
      </c>
      <c r="N435" s="6" t="str">
        <f>NAV!U1171</f>
        <v>한국 원화(KRW)</v>
      </c>
      <c r="O435" s="6">
        <f>NAV!V1171</f>
        <v>1</v>
      </c>
      <c r="P435" s="6">
        <f>NAV!W1171</f>
        <v>0</v>
      </c>
      <c r="Q435" s="6">
        <f>NAV!X1171</f>
        <v>0</v>
      </c>
      <c r="R435" s="6">
        <f>NAV!Y1171</f>
        <v>0</v>
      </c>
      <c r="S435" s="6">
        <f>NAV!Z1171</f>
        <v>0</v>
      </c>
      <c r="T435" s="6">
        <f>NAV!AA1171</f>
        <v>0</v>
      </c>
      <c r="U435" s="10">
        <f>NAV!AB1171</f>
        <v>0</v>
      </c>
      <c r="V435" s="6" t="str">
        <f>NAV!AC1171</f>
        <v>2년이상</v>
      </c>
    </row>
    <row r="436" spans="1:22">
      <c r="A436" s="7">
        <f t="shared" si="6"/>
        <v>435</v>
      </c>
      <c r="B436" s="7">
        <f>TYPE(종목정보tbl!$C436)</f>
        <v>1</v>
      </c>
      <c r="C436" s="6">
        <f>NAV!J1172</f>
        <v>0</v>
      </c>
      <c r="D436" s="6">
        <f>NAV!K1172</f>
        <v>0</v>
      </c>
      <c r="E436" s="6">
        <f>NAV!L1172</f>
        <v>0</v>
      </c>
      <c r="F436" s="6">
        <f>NAV!M1172</f>
        <v>0</v>
      </c>
      <c r="G436" s="6">
        <f>NAV!N1172</f>
        <v>0</v>
      </c>
      <c r="H436" s="6">
        <f>NAV!O1172</f>
        <v>0</v>
      </c>
      <c r="I436" s="6">
        <f>NAV!P1172</f>
        <v>0</v>
      </c>
      <c r="J436" s="6">
        <f>NAV!Q1172</f>
        <v>0</v>
      </c>
      <c r="K436" s="9">
        <f>NAV!R1172</f>
        <v>0</v>
      </c>
      <c r="L436" s="6">
        <f>NAV!S1172</f>
        <v>0</v>
      </c>
      <c r="M436" s="6">
        <f>NAV!T1172</f>
        <v>0</v>
      </c>
      <c r="N436" s="6" t="str">
        <f>NAV!U1172</f>
        <v>한국 원화(KRW)</v>
      </c>
      <c r="O436" s="6">
        <f>NAV!V1172</f>
        <v>1</v>
      </c>
      <c r="P436" s="6">
        <f>NAV!W1172</f>
        <v>0</v>
      </c>
      <c r="Q436" s="6">
        <f>NAV!X1172</f>
        <v>0</v>
      </c>
      <c r="R436" s="6">
        <f>NAV!Y1172</f>
        <v>0</v>
      </c>
      <c r="S436" s="6">
        <f>NAV!Z1172</f>
        <v>0</v>
      </c>
      <c r="T436" s="6">
        <f>NAV!AA1172</f>
        <v>0</v>
      </c>
      <c r="U436" s="10">
        <f>NAV!AB1172</f>
        <v>0</v>
      </c>
      <c r="V436" s="6" t="str">
        <f>NAV!AC1172</f>
        <v>2년이상</v>
      </c>
    </row>
    <row r="437" spans="1:22">
      <c r="A437" s="7">
        <f t="shared" si="6"/>
        <v>436</v>
      </c>
      <c r="B437" s="7">
        <f>TYPE(종목정보tbl!$C437)</f>
        <v>1</v>
      </c>
      <c r="C437" s="6">
        <f>NAV!J1173</f>
        <v>0</v>
      </c>
      <c r="D437" s="6">
        <f>NAV!K1173</f>
        <v>0</v>
      </c>
      <c r="E437" s="6">
        <f>NAV!L1173</f>
        <v>0</v>
      </c>
      <c r="F437" s="6">
        <f>NAV!M1173</f>
        <v>0</v>
      </c>
      <c r="G437" s="6">
        <f>NAV!N1173</f>
        <v>0</v>
      </c>
      <c r="H437" s="6">
        <f>NAV!O1173</f>
        <v>0</v>
      </c>
      <c r="I437" s="6">
        <f>NAV!P1173</f>
        <v>0</v>
      </c>
      <c r="J437" s="6">
        <f>NAV!Q1173</f>
        <v>0</v>
      </c>
      <c r="K437" s="9">
        <f>NAV!R1173</f>
        <v>0</v>
      </c>
      <c r="L437" s="6">
        <f>NAV!S1173</f>
        <v>0</v>
      </c>
      <c r="M437" s="6">
        <f>NAV!T1173</f>
        <v>0</v>
      </c>
      <c r="N437" s="6" t="str">
        <f>NAV!U1173</f>
        <v>한국 원화(KRW)</v>
      </c>
      <c r="O437" s="6">
        <f>NAV!V1173</f>
        <v>1</v>
      </c>
      <c r="P437" s="6">
        <f>NAV!W1173</f>
        <v>0</v>
      </c>
      <c r="Q437" s="6">
        <f>NAV!X1173</f>
        <v>0</v>
      </c>
      <c r="R437" s="6">
        <f>NAV!Y1173</f>
        <v>0</v>
      </c>
      <c r="S437" s="6">
        <f>NAV!Z1173</f>
        <v>0</v>
      </c>
      <c r="T437" s="6">
        <f>NAV!AA1173</f>
        <v>0</v>
      </c>
      <c r="U437" s="10">
        <f>NAV!AB1173</f>
        <v>0</v>
      </c>
      <c r="V437" s="6" t="str">
        <f>NAV!AC1173</f>
        <v>2년이상</v>
      </c>
    </row>
    <row r="438" spans="1:22">
      <c r="A438" s="7">
        <f t="shared" si="6"/>
        <v>437</v>
      </c>
      <c r="B438" s="7">
        <f>TYPE(종목정보tbl!$C438)</f>
        <v>1</v>
      </c>
      <c r="C438" s="6">
        <f>NAV!J1201</f>
        <v>0</v>
      </c>
      <c r="D438" s="6">
        <f>NAV!K1201</f>
        <v>0</v>
      </c>
      <c r="E438" s="6">
        <f>NAV!L1201</f>
        <v>0</v>
      </c>
      <c r="F438" s="6">
        <f>NAV!M1201</f>
        <v>0</v>
      </c>
      <c r="G438" s="6">
        <f>NAV!N1201</f>
        <v>0</v>
      </c>
      <c r="H438" s="6">
        <f>NAV!O1201</f>
        <v>0</v>
      </c>
      <c r="I438" s="6">
        <f>NAV!P1201</f>
        <v>0</v>
      </c>
      <c r="J438" s="6">
        <f>NAV!Q1201</f>
        <v>0</v>
      </c>
      <c r="K438" s="9">
        <f>NAV!R1201</f>
        <v>0</v>
      </c>
      <c r="L438" s="6">
        <f>NAV!S1201</f>
        <v>0</v>
      </c>
      <c r="M438" s="6">
        <f>NAV!T1201</f>
        <v>0</v>
      </c>
      <c r="N438" s="6" t="str">
        <f>NAV!U1201</f>
        <v>한국 원화(KRW)</v>
      </c>
      <c r="O438" s="6">
        <f>NAV!V1201</f>
        <v>1</v>
      </c>
      <c r="P438" s="6">
        <f>NAV!W1201</f>
        <v>0</v>
      </c>
      <c r="Q438" s="6">
        <f>NAV!X1201</f>
        <v>0</v>
      </c>
      <c r="R438" s="6">
        <f>NAV!Y1201</f>
        <v>0</v>
      </c>
      <c r="S438" s="6">
        <f>NAV!Z1201</f>
        <v>0</v>
      </c>
      <c r="T438" s="6">
        <f>NAV!AA1201</f>
        <v>0</v>
      </c>
      <c r="U438" s="10">
        <f>NAV!AB1201</f>
        <v>0</v>
      </c>
      <c r="V438" s="6" t="str">
        <f>NAV!AC1201</f>
        <v>2년이상</v>
      </c>
    </row>
    <row r="439" spans="1:22">
      <c r="A439" s="7">
        <f t="shared" si="6"/>
        <v>438</v>
      </c>
      <c r="B439" s="7">
        <f>TYPE(종목정보tbl!$C439)</f>
        <v>1</v>
      </c>
      <c r="C439" s="6">
        <f>NAV!J1202</f>
        <v>0</v>
      </c>
      <c r="D439" s="6">
        <f>NAV!K1202</f>
        <v>0</v>
      </c>
      <c r="E439" s="6">
        <f>NAV!L1202</f>
        <v>0</v>
      </c>
      <c r="F439" s="6">
        <f>NAV!M1202</f>
        <v>0</v>
      </c>
      <c r="G439" s="6">
        <f>NAV!N1202</f>
        <v>0</v>
      </c>
      <c r="H439" s="6">
        <f>NAV!O1202</f>
        <v>0</v>
      </c>
      <c r="I439" s="6">
        <f>NAV!P1202</f>
        <v>0</v>
      </c>
      <c r="J439" s="6">
        <f>NAV!Q1202</f>
        <v>0</v>
      </c>
      <c r="K439" s="9">
        <f>NAV!R1202</f>
        <v>0</v>
      </c>
      <c r="L439" s="6">
        <f>NAV!S1202</f>
        <v>0</v>
      </c>
      <c r="M439" s="6">
        <f>NAV!T1202</f>
        <v>0</v>
      </c>
      <c r="N439" s="6" t="str">
        <f>NAV!U1202</f>
        <v>한국 원화(KRW)</v>
      </c>
      <c r="O439" s="6">
        <f>NAV!V1202</f>
        <v>1</v>
      </c>
      <c r="P439" s="6">
        <f>NAV!W1202</f>
        <v>0</v>
      </c>
      <c r="Q439" s="6">
        <f>NAV!X1202</f>
        <v>0</v>
      </c>
      <c r="R439" s="6">
        <f>NAV!Y1202</f>
        <v>0</v>
      </c>
      <c r="S439" s="6">
        <f>NAV!Z1202</f>
        <v>0</v>
      </c>
      <c r="T439" s="6">
        <f>NAV!AA1202</f>
        <v>0</v>
      </c>
      <c r="U439" s="10">
        <f>NAV!AB1202</f>
        <v>0</v>
      </c>
      <c r="V439" s="6" t="str">
        <f>NAV!AC1202</f>
        <v>2년이상</v>
      </c>
    </row>
    <row r="440" spans="1:22">
      <c r="A440" s="7">
        <f t="shared" si="6"/>
        <v>439</v>
      </c>
      <c r="B440" s="7">
        <f>TYPE(종목정보tbl!$C440)</f>
        <v>1</v>
      </c>
      <c r="C440" s="6">
        <f>NAV!J1203</f>
        <v>0</v>
      </c>
      <c r="D440" s="6">
        <f>NAV!K1203</f>
        <v>0</v>
      </c>
      <c r="E440" s="6">
        <f>NAV!L1203</f>
        <v>0</v>
      </c>
      <c r="F440" s="6">
        <f>NAV!M1203</f>
        <v>0</v>
      </c>
      <c r="G440" s="6">
        <f>NAV!N1203</f>
        <v>0</v>
      </c>
      <c r="H440" s="6">
        <f>NAV!O1203</f>
        <v>0</v>
      </c>
      <c r="I440" s="6">
        <f>NAV!P1203</f>
        <v>0</v>
      </c>
      <c r="J440" s="6">
        <f>NAV!Q1203</f>
        <v>0</v>
      </c>
      <c r="K440" s="9">
        <f>NAV!R1203</f>
        <v>0</v>
      </c>
      <c r="L440" s="6">
        <f>NAV!S1203</f>
        <v>0</v>
      </c>
      <c r="M440" s="6">
        <f>NAV!T1203</f>
        <v>0</v>
      </c>
      <c r="N440" s="6" t="str">
        <f>NAV!U1203</f>
        <v>한국 원화(KRW)</v>
      </c>
      <c r="O440" s="6">
        <f>NAV!V1203</f>
        <v>1</v>
      </c>
      <c r="P440" s="6">
        <f>NAV!W1203</f>
        <v>0</v>
      </c>
      <c r="Q440" s="6">
        <f>NAV!X1203</f>
        <v>0</v>
      </c>
      <c r="R440" s="6">
        <f>NAV!Y1203</f>
        <v>0</v>
      </c>
      <c r="S440" s="6">
        <f>NAV!Z1203</f>
        <v>0</v>
      </c>
      <c r="T440" s="6">
        <f>NAV!AA1203</f>
        <v>0</v>
      </c>
      <c r="U440" s="10">
        <f>NAV!AB1203</f>
        <v>0</v>
      </c>
      <c r="V440" s="6" t="str">
        <f>NAV!AC1203</f>
        <v>2년이상</v>
      </c>
    </row>
    <row r="441" spans="1:22">
      <c r="A441" s="7">
        <f t="shared" si="6"/>
        <v>440</v>
      </c>
      <c r="B441" s="7">
        <f>TYPE(종목정보tbl!$C441)</f>
        <v>1</v>
      </c>
      <c r="C441" s="6">
        <f>NAV!J1204</f>
        <v>0</v>
      </c>
      <c r="D441" s="6">
        <f>NAV!K1204</f>
        <v>0</v>
      </c>
      <c r="E441" s="6">
        <f>NAV!L1204</f>
        <v>0</v>
      </c>
      <c r="F441" s="6">
        <f>NAV!M1204</f>
        <v>0</v>
      </c>
      <c r="G441" s="6">
        <f>NAV!N1204</f>
        <v>0</v>
      </c>
      <c r="H441" s="6">
        <f>NAV!O1204</f>
        <v>0</v>
      </c>
      <c r="I441" s="6">
        <f>NAV!P1204</f>
        <v>0</v>
      </c>
      <c r="J441" s="6">
        <f>NAV!Q1204</f>
        <v>0</v>
      </c>
      <c r="K441" s="9">
        <f>NAV!R1204</f>
        <v>0</v>
      </c>
      <c r="L441" s="6">
        <f>NAV!S1204</f>
        <v>0</v>
      </c>
      <c r="M441" s="6">
        <f>NAV!T1204</f>
        <v>0</v>
      </c>
      <c r="N441" s="6" t="str">
        <f>NAV!U1204</f>
        <v>한국 원화(KRW)</v>
      </c>
      <c r="O441" s="6">
        <f>NAV!V1204</f>
        <v>1</v>
      </c>
      <c r="P441" s="6">
        <f>NAV!W1204</f>
        <v>0</v>
      </c>
      <c r="Q441" s="6">
        <f>NAV!X1204</f>
        <v>0</v>
      </c>
      <c r="R441" s="6">
        <f>NAV!Y1204</f>
        <v>0</v>
      </c>
      <c r="S441" s="6">
        <f>NAV!Z1204</f>
        <v>0</v>
      </c>
      <c r="T441" s="6">
        <f>NAV!AA1204</f>
        <v>0</v>
      </c>
      <c r="U441" s="10">
        <f>NAV!AB1204</f>
        <v>0</v>
      </c>
      <c r="V441" s="6" t="str">
        <f>NAV!AC1204</f>
        <v>2년이상</v>
      </c>
    </row>
    <row r="442" spans="1:22">
      <c r="A442" s="7">
        <f t="shared" si="6"/>
        <v>441</v>
      </c>
      <c r="B442" s="7">
        <f>TYPE(종목정보tbl!$C442)</f>
        <v>1</v>
      </c>
      <c r="C442" s="6">
        <f>NAV!J1205</f>
        <v>0</v>
      </c>
      <c r="D442" s="6">
        <f>NAV!K1205</f>
        <v>0</v>
      </c>
      <c r="E442" s="6">
        <f>NAV!L1205</f>
        <v>0</v>
      </c>
      <c r="F442" s="6">
        <f>NAV!M1205</f>
        <v>0</v>
      </c>
      <c r="G442" s="6">
        <f>NAV!N1205</f>
        <v>0</v>
      </c>
      <c r="H442" s="6">
        <f>NAV!O1205</f>
        <v>0</v>
      </c>
      <c r="I442" s="6">
        <f>NAV!P1205</f>
        <v>0</v>
      </c>
      <c r="J442" s="6">
        <f>NAV!Q1205</f>
        <v>0</v>
      </c>
      <c r="K442" s="9">
        <f>NAV!R1205</f>
        <v>0</v>
      </c>
      <c r="L442" s="6">
        <f>NAV!S1205</f>
        <v>0</v>
      </c>
      <c r="M442" s="6">
        <f>NAV!T1205</f>
        <v>0</v>
      </c>
      <c r="N442" s="6" t="str">
        <f>NAV!U1205</f>
        <v>한국 원화(KRW)</v>
      </c>
      <c r="O442" s="6">
        <f>NAV!V1205</f>
        <v>1</v>
      </c>
      <c r="P442" s="6">
        <f>NAV!W1205</f>
        <v>0</v>
      </c>
      <c r="Q442" s="6">
        <f>NAV!X1205</f>
        <v>0</v>
      </c>
      <c r="R442" s="6">
        <f>NAV!Y1205</f>
        <v>0</v>
      </c>
      <c r="S442" s="6">
        <f>NAV!Z1205</f>
        <v>0</v>
      </c>
      <c r="T442" s="6">
        <f>NAV!AA1205</f>
        <v>0</v>
      </c>
      <c r="U442" s="10">
        <f>NAV!AB1205</f>
        <v>0</v>
      </c>
      <c r="V442" s="6" t="str">
        <f>NAV!AC1205</f>
        <v>2년이상</v>
      </c>
    </row>
    <row r="443" spans="1:22">
      <c r="A443" s="7">
        <f t="shared" si="6"/>
        <v>442</v>
      </c>
      <c r="B443" s="7">
        <f>TYPE(종목정보tbl!$C443)</f>
        <v>1</v>
      </c>
      <c r="C443" s="6">
        <f>NAV!J1206</f>
        <v>0</v>
      </c>
      <c r="D443" s="6">
        <f>NAV!K1206</f>
        <v>0</v>
      </c>
      <c r="E443" s="6">
        <f>NAV!L1206</f>
        <v>0</v>
      </c>
      <c r="F443" s="6">
        <f>NAV!M1206</f>
        <v>0</v>
      </c>
      <c r="G443" s="6">
        <f>NAV!N1206</f>
        <v>0</v>
      </c>
      <c r="H443" s="6">
        <f>NAV!O1206</f>
        <v>0</v>
      </c>
      <c r="I443" s="6">
        <f>NAV!P1206</f>
        <v>0</v>
      </c>
      <c r="J443" s="6">
        <f>NAV!Q1206</f>
        <v>0</v>
      </c>
      <c r="K443" s="9">
        <f>NAV!R1206</f>
        <v>0</v>
      </c>
      <c r="L443" s="6">
        <f>NAV!S1206</f>
        <v>0</v>
      </c>
      <c r="M443" s="6">
        <f>NAV!T1206</f>
        <v>0</v>
      </c>
      <c r="N443" s="6" t="str">
        <f>NAV!U1206</f>
        <v>한국 원화(KRW)</v>
      </c>
      <c r="O443" s="6">
        <f>NAV!V1206</f>
        <v>1</v>
      </c>
      <c r="P443" s="6">
        <f>NAV!W1206</f>
        <v>0</v>
      </c>
      <c r="Q443" s="6">
        <f>NAV!X1206</f>
        <v>0</v>
      </c>
      <c r="R443" s="6">
        <f>NAV!Y1206</f>
        <v>0</v>
      </c>
      <c r="S443" s="6">
        <f>NAV!Z1206</f>
        <v>0</v>
      </c>
      <c r="T443" s="6">
        <f>NAV!AA1206</f>
        <v>0</v>
      </c>
      <c r="U443" s="10">
        <f>NAV!AB1206</f>
        <v>0</v>
      </c>
      <c r="V443" s="6" t="str">
        <f>NAV!AC1206</f>
        <v>2년이상</v>
      </c>
    </row>
    <row r="444" spans="1:22">
      <c r="A444" s="7">
        <f t="shared" si="6"/>
        <v>443</v>
      </c>
      <c r="B444" s="7">
        <f>TYPE(종목정보tbl!$C444)</f>
        <v>1</v>
      </c>
      <c r="C444" s="6">
        <f>NAV!J1207</f>
        <v>0</v>
      </c>
      <c r="D444" s="6">
        <f>NAV!K1207</f>
        <v>0</v>
      </c>
      <c r="E444" s="6">
        <f>NAV!L1207</f>
        <v>0</v>
      </c>
      <c r="F444" s="6">
        <f>NAV!M1207</f>
        <v>0</v>
      </c>
      <c r="G444" s="6">
        <f>NAV!N1207</f>
        <v>0</v>
      </c>
      <c r="H444" s="6">
        <f>NAV!O1207</f>
        <v>0</v>
      </c>
      <c r="I444" s="6">
        <f>NAV!P1207</f>
        <v>0</v>
      </c>
      <c r="J444" s="6">
        <f>NAV!Q1207</f>
        <v>0</v>
      </c>
      <c r="K444" s="9">
        <f>NAV!R1207</f>
        <v>0</v>
      </c>
      <c r="L444" s="6">
        <f>NAV!S1207</f>
        <v>0</v>
      </c>
      <c r="M444" s="6">
        <f>NAV!T1207</f>
        <v>0</v>
      </c>
      <c r="N444" s="6" t="str">
        <f>NAV!U1207</f>
        <v>한국 원화(KRW)</v>
      </c>
      <c r="O444" s="6">
        <f>NAV!V1207</f>
        <v>1</v>
      </c>
      <c r="P444" s="6">
        <f>NAV!W1207</f>
        <v>0</v>
      </c>
      <c r="Q444" s="6">
        <f>NAV!X1207</f>
        <v>0</v>
      </c>
      <c r="R444" s="6">
        <f>NAV!Y1207</f>
        <v>0</v>
      </c>
      <c r="S444" s="6">
        <f>NAV!Z1207</f>
        <v>0</v>
      </c>
      <c r="T444" s="6">
        <f>NAV!AA1207</f>
        <v>0</v>
      </c>
      <c r="U444" s="10">
        <f>NAV!AB1207</f>
        <v>0</v>
      </c>
      <c r="V444" s="6" t="str">
        <f>NAV!AC1207</f>
        <v>2년이상</v>
      </c>
    </row>
    <row r="445" spans="1:22">
      <c r="A445" s="7">
        <f t="shared" si="6"/>
        <v>444</v>
      </c>
      <c r="B445" s="7">
        <f>TYPE(종목정보tbl!$C445)</f>
        <v>1</v>
      </c>
      <c r="C445" s="6">
        <f>NAV!J1208</f>
        <v>0</v>
      </c>
      <c r="D445" s="6">
        <f>NAV!K1208</f>
        <v>0</v>
      </c>
      <c r="E445" s="6">
        <f>NAV!L1208</f>
        <v>0</v>
      </c>
      <c r="F445" s="6">
        <f>NAV!M1208</f>
        <v>0</v>
      </c>
      <c r="G445" s="6">
        <f>NAV!N1208</f>
        <v>0</v>
      </c>
      <c r="H445" s="6">
        <f>NAV!O1208</f>
        <v>0</v>
      </c>
      <c r="I445" s="6">
        <f>NAV!P1208</f>
        <v>0</v>
      </c>
      <c r="J445" s="6">
        <f>NAV!Q1208</f>
        <v>0</v>
      </c>
      <c r="K445" s="9">
        <f>NAV!R1208</f>
        <v>0</v>
      </c>
      <c r="L445" s="6">
        <f>NAV!S1208</f>
        <v>0</v>
      </c>
      <c r="M445" s="6">
        <f>NAV!T1208</f>
        <v>0</v>
      </c>
      <c r="N445" s="6" t="str">
        <f>NAV!U1208</f>
        <v>한국 원화(KRW)</v>
      </c>
      <c r="O445" s="6">
        <f>NAV!V1208</f>
        <v>1</v>
      </c>
      <c r="P445" s="6">
        <f>NAV!W1208</f>
        <v>0</v>
      </c>
      <c r="Q445" s="6">
        <f>NAV!X1208</f>
        <v>0</v>
      </c>
      <c r="R445" s="6">
        <f>NAV!Y1208</f>
        <v>0</v>
      </c>
      <c r="S445" s="6">
        <f>NAV!Z1208</f>
        <v>0</v>
      </c>
      <c r="T445" s="6">
        <f>NAV!AA1208</f>
        <v>0</v>
      </c>
      <c r="U445" s="10">
        <f>NAV!AB1208</f>
        <v>0</v>
      </c>
      <c r="V445" s="6" t="str">
        <f>NAV!AC1208</f>
        <v>2년이상</v>
      </c>
    </row>
    <row r="446" spans="1:22">
      <c r="A446" s="7">
        <f t="shared" si="6"/>
        <v>445</v>
      </c>
      <c r="B446" s="7">
        <f>TYPE(종목정보tbl!$C446)</f>
        <v>1</v>
      </c>
      <c r="C446" s="6">
        <f>NAV!J1209</f>
        <v>0</v>
      </c>
      <c r="D446" s="6">
        <f>NAV!K1209</f>
        <v>0</v>
      </c>
      <c r="E446" s="6">
        <f>NAV!L1209</f>
        <v>0</v>
      </c>
      <c r="F446" s="6">
        <f>NAV!M1209</f>
        <v>0</v>
      </c>
      <c r="G446" s="6">
        <f>NAV!N1209</f>
        <v>0</v>
      </c>
      <c r="H446" s="6">
        <f>NAV!O1209</f>
        <v>0</v>
      </c>
      <c r="I446" s="6">
        <f>NAV!P1209</f>
        <v>0</v>
      </c>
      <c r="J446" s="6">
        <f>NAV!Q1209</f>
        <v>0</v>
      </c>
      <c r="K446" s="9">
        <f>NAV!R1209</f>
        <v>0</v>
      </c>
      <c r="L446" s="6">
        <f>NAV!S1209</f>
        <v>0</v>
      </c>
      <c r="M446" s="6">
        <f>NAV!T1209</f>
        <v>0</v>
      </c>
      <c r="N446" s="6" t="str">
        <f>NAV!U1209</f>
        <v>한국 원화(KRW)</v>
      </c>
      <c r="O446" s="6">
        <f>NAV!V1209</f>
        <v>1</v>
      </c>
      <c r="P446" s="6">
        <f>NAV!W1209</f>
        <v>0</v>
      </c>
      <c r="Q446" s="6">
        <f>NAV!X1209</f>
        <v>0</v>
      </c>
      <c r="R446" s="6">
        <f>NAV!Y1209</f>
        <v>0</v>
      </c>
      <c r="S446" s="6">
        <f>NAV!Z1209</f>
        <v>0</v>
      </c>
      <c r="T446" s="6">
        <f>NAV!AA1209</f>
        <v>0</v>
      </c>
      <c r="U446" s="10">
        <f>NAV!AB1209</f>
        <v>0</v>
      </c>
      <c r="V446" s="6" t="str">
        <f>NAV!AC1209</f>
        <v>2년이상</v>
      </c>
    </row>
    <row r="447" spans="1:22">
      <c r="A447" s="7">
        <f t="shared" si="6"/>
        <v>446</v>
      </c>
      <c r="B447" s="7">
        <f>TYPE(종목정보tbl!$C447)</f>
        <v>1</v>
      </c>
      <c r="C447" s="6">
        <f>NAV!J1210</f>
        <v>0</v>
      </c>
      <c r="D447" s="6">
        <f>NAV!K1210</f>
        <v>0</v>
      </c>
      <c r="E447" s="6">
        <f>NAV!L1210</f>
        <v>0</v>
      </c>
      <c r="F447" s="6">
        <f>NAV!M1210</f>
        <v>0</v>
      </c>
      <c r="G447" s="6">
        <f>NAV!N1210</f>
        <v>0</v>
      </c>
      <c r="H447" s="6">
        <f>NAV!O1210</f>
        <v>0</v>
      </c>
      <c r="I447" s="6">
        <f>NAV!P1210</f>
        <v>0</v>
      </c>
      <c r="J447" s="6">
        <f>NAV!Q1210</f>
        <v>0</v>
      </c>
      <c r="K447" s="9">
        <f>NAV!R1210</f>
        <v>0</v>
      </c>
      <c r="L447" s="6">
        <f>NAV!S1210</f>
        <v>0</v>
      </c>
      <c r="M447" s="6">
        <f>NAV!T1210</f>
        <v>0</v>
      </c>
      <c r="N447" s="6" t="str">
        <f>NAV!U1210</f>
        <v>한국 원화(KRW)</v>
      </c>
      <c r="O447" s="6">
        <f>NAV!V1210</f>
        <v>1</v>
      </c>
      <c r="P447" s="6">
        <f>NAV!W1210</f>
        <v>0</v>
      </c>
      <c r="Q447" s="6">
        <f>NAV!X1210</f>
        <v>0</v>
      </c>
      <c r="R447" s="6">
        <f>NAV!Y1210</f>
        <v>0</v>
      </c>
      <c r="S447" s="6">
        <f>NAV!Z1210</f>
        <v>0</v>
      </c>
      <c r="T447" s="6">
        <f>NAV!AA1210</f>
        <v>0</v>
      </c>
      <c r="U447" s="10">
        <f>NAV!AB1210</f>
        <v>0</v>
      </c>
      <c r="V447" s="6" t="str">
        <f>NAV!AC1210</f>
        <v>2년이상</v>
      </c>
    </row>
    <row r="448" spans="1:22">
      <c r="A448" s="7">
        <f t="shared" si="6"/>
        <v>447</v>
      </c>
      <c r="B448" s="7">
        <f>TYPE(종목정보tbl!$C448)</f>
        <v>1</v>
      </c>
      <c r="C448" s="6">
        <f>NAV!J1211</f>
        <v>0</v>
      </c>
      <c r="D448" s="6">
        <f>NAV!K1211</f>
        <v>0</v>
      </c>
      <c r="E448" s="6">
        <f>NAV!L1211</f>
        <v>0</v>
      </c>
      <c r="F448" s="6">
        <f>NAV!M1211</f>
        <v>0</v>
      </c>
      <c r="G448" s="6">
        <f>NAV!N1211</f>
        <v>0</v>
      </c>
      <c r="H448" s="6">
        <f>NAV!O1211</f>
        <v>0</v>
      </c>
      <c r="I448" s="6">
        <f>NAV!P1211</f>
        <v>0</v>
      </c>
      <c r="J448" s="6">
        <f>NAV!Q1211</f>
        <v>0</v>
      </c>
      <c r="K448" s="9">
        <f>NAV!R1211</f>
        <v>0</v>
      </c>
      <c r="L448" s="6">
        <f>NAV!S1211</f>
        <v>0</v>
      </c>
      <c r="M448" s="6">
        <f>NAV!T1211</f>
        <v>0</v>
      </c>
      <c r="N448" s="6" t="str">
        <f>NAV!U1211</f>
        <v>한국 원화(KRW)</v>
      </c>
      <c r="O448" s="6">
        <f>NAV!V1211</f>
        <v>1</v>
      </c>
      <c r="P448" s="6">
        <f>NAV!W1211</f>
        <v>0</v>
      </c>
      <c r="Q448" s="6">
        <f>NAV!X1211</f>
        <v>0</v>
      </c>
      <c r="R448" s="6">
        <f>NAV!Y1211</f>
        <v>0</v>
      </c>
      <c r="S448" s="6">
        <f>NAV!Z1211</f>
        <v>0</v>
      </c>
      <c r="T448" s="6">
        <f>NAV!AA1211</f>
        <v>0</v>
      </c>
      <c r="U448" s="10">
        <f>NAV!AB1211</f>
        <v>0</v>
      </c>
      <c r="V448" s="6" t="str">
        <f>NAV!AC1211</f>
        <v>2년이상</v>
      </c>
    </row>
    <row r="449" spans="1:22">
      <c r="A449" s="7">
        <f t="shared" si="6"/>
        <v>448</v>
      </c>
      <c r="B449" s="7">
        <f>TYPE(종목정보tbl!$C449)</f>
        <v>1</v>
      </c>
      <c r="C449" s="6">
        <f>NAV!J1239</f>
        <v>0</v>
      </c>
      <c r="D449" s="6">
        <f>NAV!K1239</f>
        <v>0</v>
      </c>
      <c r="E449" s="6">
        <f>NAV!L1239</f>
        <v>0</v>
      </c>
      <c r="F449" s="6">
        <f>NAV!M1239</f>
        <v>0</v>
      </c>
      <c r="G449" s="6">
        <f>NAV!N1239</f>
        <v>0</v>
      </c>
      <c r="H449" s="6">
        <f>NAV!O1239</f>
        <v>0</v>
      </c>
      <c r="I449" s="6">
        <f>NAV!P1239</f>
        <v>0</v>
      </c>
      <c r="J449" s="6">
        <f>NAV!Q1239</f>
        <v>0</v>
      </c>
      <c r="K449" s="9">
        <f>NAV!R1239</f>
        <v>0</v>
      </c>
      <c r="L449" s="6">
        <f>NAV!S1239</f>
        <v>0</v>
      </c>
      <c r="M449" s="6">
        <f>NAV!T1239</f>
        <v>0</v>
      </c>
      <c r="N449" s="6" t="str">
        <f>NAV!U1239</f>
        <v>한국 원화(KRW)</v>
      </c>
      <c r="O449" s="6">
        <f>NAV!V1239</f>
        <v>1</v>
      </c>
      <c r="P449" s="6">
        <f>NAV!W1239</f>
        <v>0</v>
      </c>
      <c r="Q449" s="6">
        <f>NAV!X1239</f>
        <v>0</v>
      </c>
      <c r="R449" s="6">
        <f>NAV!Y1239</f>
        <v>0</v>
      </c>
      <c r="S449" s="6">
        <f>NAV!Z1239</f>
        <v>0</v>
      </c>
      <c r="T449" s="6">
        <f>NAV!AA1239</f>
        <v>0</v>
      </c>
      <c r="U449" s="10">
        <f>NAV!AB1239</f>
        <v>0</v>
      </c>
      <c r="V449" s="6" t="str">
        <f>NAV!AC1239</f>
        <v>2년이상</v>
      </c>
    </row>
    <row r="450" spans="1:22">
      <c r="A450" s="7">
        <f t="shared" ref="A450:A470" si="7">ROW()-1</f>
        <v>449</v>
      </c>
      <c r="B450" s="7">
        <f>TYPE(종목정보tbl!$C450)</f>
        <v>1</v>
      </c>
      <c r="C450" s="6">
        <f>NAV!J1240</f>
        <v>0</v>
      </c>
      <c r="D450" s="6">
        <f>NAV!K1240</f>
        <v>0</v>
      </c>
      <c r="E450" s="6">
        <f>NAV!L1240</f>
        <v>0</v>
      </c>
      <c r="F450" s="6">
        <f>NAV!M1240</f>
        <v>0</v>
      </c>
      <c r="G450" s="6">
        <f>NAV!N1240</f>
        <v>0</v>
      </c>
      <c r="H450" s="6">
        <f>NAV!O1240</f>
        <v>0</v>
      </c>
      <c r="I450" s="6">
        <f>NAV!P1240</f>
        <v>0</v>
      </c>
      <c r="J450" s="6">
        <f>NAV!Q1240</f>
        <v>0</v>
      </c>
      <c r="K450" s="9">
        <f>NAV!R1240</f>
        <v>0</v>
      </c>
      <c r="L450" s="6">
        <f>NAV!S1240</f>
        <v>0</v>
      </c>
      <c r="M450" s="6">
        <f>NAV!T1240</f>
        <v>0</v>
      </c>
      <c r="N450" s="6" t="str">
        <f>NAV!U1240</f>
        <v>한국 원화(KRW)</v>
      </c>
      <c r="O450" s="6">
        <f>NAV!V1240</f>
        <v>1</v>
      </c>
      <c r="P450" s="6">
        <f>NAV!W1240</f>
        <v>0</v>
      </c>
      <c r="Q450" s="6">
        <f>NAV!X1240</f>
        <v>0</v>
      </c>
      <c r="R450" s="6">
        <f>NAV!Y1240</f>
        <v>0</v>
      </c>
      <c r="S450" s="6">
        <f>NAV!Z1240</f>
        <v>0</v>
      </c>
      <c r="T450" s="6">
        <f>NAV!AA1240</f>
        <v>0</v>
      </c>
      <c r="U450" s="10">
        <f>NAV!AB1240</f>
        <v>0</v>
      </c>
      <c r="V450" s="6" t="str">
        <f>NAV!AC1240</f>
        <v>2년이상</v>
      </c>
    </row>
    <row r="451" spans="1:22">
      <c r="A451" s="7">
        <f t="shared" si="7"/>
        <v>450</v>
      </c>
      <c r="B451" s="7">
        <f>TYPE(종목정보tbl!$C451)</f>
        <v>1</v>
      </c>
      <c r="C451" s="6">
        <f>NAV!J1241</f>
        <v>0</v>
      </c>
      <c r="D451" s="6">
        <f>NAV!K1241</f>
        <v>0</v>
      </c>
      <c r="E451" s="6">
        <f>NAV!L1241</f>
        <v>0</v>
      </c>
      <c r="F451" s="6">
        <f>NAV!M1241</f>
        <v>0</v>
      </c>
      <c r="G451" s="6">
        <f>NAV!N1241</f>
        <v>0</v>
      </c>
      <c r="H451" s="6">
        <f>NAV!O1241</f>
        <v>0</v>
      </c>
      <c r="I451" s="6">
        <f>NAV!P1241</f>
        <v>0</v>
      </c>
      <c r="J451" s="6">
        <f>NAV!Q1241</f>
        <v>0</v>
      </c>
      <c r="K451" s="9">
        <f>NAV!R1241</f>
        <v>0</v>
      </c>
      <c r="L451" s="6">
        <f>NAV!S1241</f>
        <v>0</v>
      </c>
      <c r="M451" s="6">
        <f>NAV!T1241</f>
        <v>0</v>
      </c>
      <c r="N451" s="6" t="str">
        <f>NAV!U1241</f>
        <v>한국 원화(KRW)</v>
      </c>
      <c r="O451" s="6">
        <f>NAV!V1241</f>
        <v>1</v>
      </c>
      <c r="P451" s="6">
        <f>NAV!W1241</f>
        <v>0</v>
      </c>
      <c r="Q451" s="6">
        <f>NAV!X1241</f>
        <v>0</v>
      </c>
      <c r="R451" s="6">
        <f>NAV!Y1241</f>
        <v>0</v>
      </c>
      <c r="S451" s="6">
        <f>NAV!Z1241</f>
        <v>0</v>
      </c>
      <c r="T451" s="6">
        <f>NAV!AA1241</f>
        <v>0</v>
      </c>
      <c r="U451" s="10">
        <f>NAV!AB1241</f>
        <v>0</v>
      </c>
      <c r="V451" s="6" t="str">
        <f>NAV!AC1241</f>
        <v>2년이상</v>
      </c>
    </row>
    <row r="452" spans="1:22">
      <c r="A452" s="7">
        <f t="shared" si="7"/>
        <v>451</v>
      </c>
      <c r="B452" s="7">
        <f>TYPE(종목정보tbl!$C452)</f>
        <v>1</v>
      </c>
      <c r="C452" s="6">
        <f>NAV!J1242</f>
        <v>0</v>
      </c>
      <c r="D452" s="6">
        <f>NAV!K1242</f>
        <v>0</v>
      </c>
      <c r="E452" s="6">
        <f>NAV!L1242</f>
        <v>0</v>
      </c>
      <c r="F452" s="6">
        <f>NAV!M1242</f>
        <v>0</v>
      </c>
      <c r="G452" s="6">
        <f>NAV!N1242</f>
        <v>0</v>
      </c>
      <c r="H452" s="6">
        <f>NAV!O1242</f>
        <v>0</v>
      </c>
      <c r="I452" s="6">
        <f>NAV!P1242</f>
        <v>0</v>
      </c>
      <c r="J452" s="6">
        <f>NAV!Q1242</f>
        <v>0</v>
      </c>
      <c r="K452" s="9">
        <f>NAV!R1242</f>
        <v>0</v>
      </c>
      <c r="L452" s="6">
        <f>NAV!S1242</f>
        <v>0</v>
      </c>
      <c r="M452" s="6">
        <f>NAV!T1242</f>
        <v>0</v>
      </c>
      <c r="N452" s="6" t="str">
        <f>NAV!U1242</f>
        <v>한국 원화(KRW)</v>
      </c>
      <c r="O452" s="6">
        <f>NAV!V1242</f>
        <v>1</v>
      </c>
      <c r="P452" s="6">
        <f>NAV!W1242</f>
        <v>0</v>
      </c>
      <c r="Q452" s="6">
        <f>NAV!X1242</f>
        <v>0</v>
      </c>
      <c r="R452" s="6">
        <f>NAV!Y1242</f>
        <v>0</v>
      </c>
      <c r="S452" s="6">
        <f>NAV!Z1242</f>
        <v>0</v>
      </c>
      <c r="T452" s="6">
        <f>NAV!AA1242</f>
        <v>0</v>
      </c>
      <c r="U452" s="10">
        <f>NAV!AB1242</f>
        <v>0</v>
      </c>
      <c r="V452" s="6" t="str">
        <f>NAV!AC1242</f>
        <v>2년이상</v>
      </c>
    </row>
    <row r="453" spans="1:22">
      <c r="A453" s="7">
        <f t="shared" si="7"/>
        <v>452</v>
      </c>
      <c r="B453" s="7">
        <f>TYPE(종목정보tbl!$C453)</f>
        <v>1</v>
      </c>
      <c r="C453" s="6">
        <f>NAV!J1243</f>
        <v>0</v>
      </c>
      <c r="D453" s="6">
        <f>NAV!K1243</f>
        <v>0</v>
      </c>
      <c r="E453" s="6">
        <f>NAV!L1243</f>
        <v>0</v>
      </c>
      <c r="F453" s="6">
        <f>NAV!M1243</f>
        <v>0</v>
      </c>
      <c r="G453" s="6">
        <f>NAV!N1243</f>
        <v>0</v>
      </c>
      <c r="H453" s="6">
        <f>NAV!O1243</f>
        <v>0</v>
      </c>
      <c r="I453" s="6">
        <f>NAV!P1243</f>
        <v>0</v>
      </c>
      <c r="J453" s="6">
        <f>NAV!Q1243</f>
        <v>0</v>
      </c>
      <c r="K453" s="9">
        <f>NAV!R1243</f>
        <v>0</v>
      </c>
      <c r="L453" s="6">
        <f>NAV!S1243</f>
        <v>0</v>
      </c>
      <c r="M453" s="6">
        <f>NAV!T1243</f>
        <v>0</v>
      </c>
      <c r="N453" s="6" t="str">
        <f>NAV!U1243</f>
        <v>한국 원화(KRW)</v>
      </c>
      <c r="O453" s="6">
        <f>NAV!V1243</f>
        <v>1</v>
      </c>
      <c r="P453" s="6">
        <f>NAV!W1243</f>
        <v>0</v>
      </c>
      <c r="Q453" s="6">
        <f>NAV!X1243</f>
        <v>0</v>
      </c>
      <c r="R453" s="6">
        <f>NAV!Y1243</f>
        <v>0</v>
      </c>
      <c r="S453" s="6">
        <f>NAV!Z1243</f>
        <v>0</v>
      </c>
      <c r="T453" s="6">
        <f>NAV!AA1243</f>
        <v>0</v>
      </c>
      <c r="U453" s="10">
        <f>NAV!AB1243</f>
        <v>0</v>
      </c>
      <c r="V453" s="6" t="str">
        <f>NAV!AC1243</f>
        <v>2년이상</v>
      </c>
    </row>
    <row r="454" spans="1:22">
      <c r="A454" s="7">
        <f t="shared" si="7"/>
        <v>453</v>
      </c>
      <c r="B454" s="7">
        <f>TYPE(종목정보tbl!$C454)</f>
        <v>1</v>
      </c>
      <c r="C454" s="6">
        <f>NAV!J1244</f>
        <v>0</v>
      </c>
      <c r="D454" s="6">
        <f>NAV!K1244</f>
        <v>0</v>
      </c>
      <c r="E454" s="6">
        <f>NAV!L1244</f>
        <v>0</v>
      </c>
      <c r="F454" s="6">
        <f>NAV!M1244</f>
        <v>0</v>
      </c>
      <c r="G454" s="6">
        <f>NAV!N1244</f>
        <v>0</v>
      </c>
      <c r="H454" s="6">
        <f>NAV!O1244</f>
        <v>0</v>
      </c>
      <c r="I454" s="6">
        <f>NAV!P1244</f>
        <v>0</v>
      </c>
      <c r="J454" s="6">
        <f>NAV!Q1244</f>
        <v>0</v>
      </c>
      <c r="K454" s="9">
        <f>NAV!R1244</f>
        <v>0</v>
      </c>
      <c r="L454" s="6">
        <f>NAV!S1244</f>
        <v>0</v>
      </c>
      <c r="M454" s="6">
        <f>NAV!T1244</f>
        <v>0</v>
      </c>
      <c r="N454" s="6" t="str">
        <f>NAV!U1244</f>
        <v>한국 원화(KRW)</v>
      </c>
      <c r="O454" s="6">
        <f>NAV!V1244</f>
        <v>1</v>
      </c>
      <c r="P454" s="6">
        <f>NAV!W1244</f>
        <v>0</v>
      </c>
      <c r="Q454" s="6">
        <f>NAV!X1244</f>
        <v>0</v>
      </c>
      <c r="R454" s="6">
        <f>NAV!Y1244</f>
        <v>0</v>
      </c>
      <c r="S454" s="6">
        <f>NAV!Z1244</f>
        <v>0</v>
      </c>
      <c r="T454" s="6">
        <f>NAV!AA1244</f>
        <v>0</v>
      </c>
      <c r="U454" s="10">
        <f>NAV!AB1244</f>
        <v>0</v>
      </c>
      <c r="V454" s="6" t="str">
        <f>NAV!AC1244</f>
        <v>2년이상</v>
      </c>
    </row>
    <row r="455" spans="1:22">
      <c r="A455" s="7">
        <f t="shared" si="7"/>
        <v>454</v>
      </c>
      <c r="B455" s="7">
        <f>TYPE(종목정보tbl!$C455)</f>
        <v>1</v>
      </c>
      <c r="C455" s="6">
        <f>NAV!J1245</f>
        <v>0</v>
      </c>
      <c r="D455" s="6">
        <f>NAV!K1245</f>
        <v>0</v>
      </c>
      <c r="E455" s="6">
        <f>NAV!L1245</f>
        <v>0</v>
      </c>
      <c r="F455" s="6">
        <f>NAV!M1245</f>
        <v>0</v>
      </c>
      <c r="G455" s="6">
        <f>NAV!N1245</f>
        <v>0</v>
      </c>
      <c r="H455" s="6">
        <f>NAV!O1245</f>
        <v>0</v>
      </c>
      <c r="I455" s="6">
        <f>NAV!P1245</f>
        <v>0</v>
      </c>
      <c r="J455" s="6">
        <f>NAV!Q1245</f>
        <v>0</v>
      </c>
      <c r="K455" s="9">
        <f>NAV!R1245</f>
        <v>0</v>
      </c>
      <c r="L455" s="6">
        <f>NAV!S1245</f>
        <v>0</v>
      </c>
      <c r="M455" s="6">
        <f>NAV!T1245</f>
        <v>0</v>
      </c>
      <c r="N455" s="6" t="str">
        <f>NAV!U1245</f>
        <v>한국 원화(KRW)</v>
      </c>
      <c r="O455" s="6">
        <f>NAV!V1245</f>
        <v>1</v>
      </c>
      <c r="P455" s="6">
        <f>NAV!W1245</f>
        <v>0</v>
      </c>
      <c r="Q455" s="6">
        <f>NAV!X1245</f>
        <v>0</v>
      </c>
      <c r="R455" s="6">
        <f>NAV!Y1245</f>
        <v>0</v>
      </c>
      <c r="S455" s="6">
        <f>NAV!Z1245</f>
        <v>0</v>
      </c>
      <c r="T455" s="6">
        <f>NAV!AA1245</f>
        <v>0</v>
      </c>
      <c r="U455" s="10">
        <f>NAV!AB1245</f>
        <v>0</v>
      </c>
      <c r="V455" s="6" t="str">
        <f>NAV!AC1245</f>
        <v>2년이상</v>
      </c>
    </row>
    <row r="456" spans="1:22">
      <c r="A456" s="7">
        <f t="shared" si="7"/>
        <v>455</v>
      </c>
      <c r="B456" s="7">
        <f>TYPE(종목정보tbl!$C456)</f>
        <v>1</v>
      </c>
      <c r="C456" s="6">
        <f>NAV!J1246</f>
        <v>0</v>
      </c>
      <c r="D456" s="6">
        <f>NAV!K1246</f>
        <v>0</v>
      </c>
      <c r="E456" s="6">
        <f>NAV!L1246</f>
        <v>0</v>
      </c>
      <c r="F456" s="6">
        <f>NAV!M1246</f>
        <v>0</v>
      </c>
      <c r="G456" s="6">
        <f>NAV!N1246</f>
        <v>0</v>
      </c>
      <c r="H456" s="6">
        <f>NAV!O1246</f>
        <v>0</v>
      </c>
      <c r="I456" s="6">
        <f>NAV!P1246</f>
        <v>0</v>
      </c>
      <c r="J456" s="6">
        <f>NAV!Q1246</f>
        <v>0</v>
      </c>
      <c r="K456" s="9">
        <f>NAV!R1246</f>
        <v>0</v>
      </c>
      <c r="L456" s="6">
        <f>NAV!S1246</f>
        <v>0</v>
      </c>
      <c r="M456" s="6">
        <f>NAV!T1246</f>
        <v>0</v>
      </c>
      <c r="N456" s="6" t="str">
        <f>NAV!U1246</f>
        <v>한국 원화(KRW)</v>
      </c>
      <c r="O456" s="6">
        <f>NAV!V1246</f>
        <v>1</v>
      </c>
      <c r="P456" s="6">
        <f>NAV!W1246</f>
        <v>0</v>
      </c>
      <c r="Q456" s="6">
        <f>NAV!X1246</f>
        <v>0</v>
      </c>
      <c r="R456" s="6">
        <f>NAV!Y1246</f>
        <v>0</v>
      </c>
      <c r="S456" s="6">
        <f>NAV!Z1246</f>
        <v>0</v>
      </c>
      <c r="T456" s="6">
        <f>NAV!AA1246</f>
        <v>0</v>
      </c>
      <c r="U456" s="10">
        <f>NAV!AB1246</f>
        <v>0</v>
      </c>
      <c r="V456" s="6" t="str">
        <f>NAV!AC1246</f>
        <v>2년이상</v>
      </c>
    </row>
    <row r="457" spans="1:22">
      <c r="A457" s="7">
        <f t="shared" si="7"/>
        <v>456</v>
      </c>
      <c r="B457" s="7">
        <f>TYPE(종목정보tbl!$C457)</f>
        <v>1</v>
      </c>
      <c r="C457" s="6">
        <f>NAV!J1247</f>
        <v>0</v>
      </c>
      <c r="D457" s="6">
        <f>NAV!K1247</f>
        <v>0</v>
      </c>
      <c r="E457" s="6">
        <f>NAV!L1247</f>
        <v>0</v>
      </c>
      <c r="F457" s="6">
        <f>NAV!M1247</f>
        <v>0</v>
      </c>
      <c r="G457" s="6">
        <f>NAV!N1247</f>
        <v>0</v>
      </c>
      <c r="H457" s="6">
        <f>NAV!O1247</f>
        <v>0</v>
      </c>
      <c r="I457" s="6">
        <f>NAV!P1247</f>
        <v>0</v>
      </c>
      <c r="J457" s="6">
        <f>NAV!Q1247</f>
        <v>0</v>
      </c>
      <c r="K457" s="9">
        <f>NAV!R1247</f>
        <v>0</v>
      </c>
      <c r="L457" s="6">
        <f>NAV!S1247</f>
        <v>0</v>
      </c>
      <c r="M457" s="6">
        <f>NAV!T1247</f>
        <v>0</v>
      </c>
      <c r="N457" s="6" t="str">
        <f>NAV!U1247</f>
        <v>한국 원화(KRW)</v>
      </c>
      <c r="O457" s="6">
        <f>NAV!V1247</f>
        <v>1</v>
      </c>
      <c r="P457" s="6">
        <f>NAV!W1247</f>
        <v>0</v>
      </c>
      <c r="Q457" s="6">
        <f>NAV!X1247</f>
        <v>0</v>
      </c>
      <c r="R457" s="6">
        <f>NAV!Y1247</f>
        <v>0</v>
      </c>
      <c r="S457" s="6">
        <f>NAV!Z1247</f>
        <v>0</v>
      </c>
      <c r="T457" s="6">
        <f>NAV!AA1247</f>
        <v>0</v>
      </c>
      <c r="U457" s="10">
        <f>NAV!AB1247</f>
        <v>0</v>
      </c>
      <c r="V457" s="6" t="str">
        <f>NAV!AC1247</f>
        <v>2년이상</v>
      </c>
    </row>
    <row r="458" spans="1:22">
      <c r="A458" s="7">
        <f t="shared" si="7"/>
        <v>457</v>
      </c>
      <c r="B458" s="7">
        <f>TYPE(종목정보tbl!$C458)</f>
        <v>1</v>
      </c>
      <c r="C458" s="6">
        <f>NAV!J1248</f>
        <v>0</v>
      </c>
      <c r="D458" s="6">
        <f>NAV!K1248</f>
        <v>0</v>
      </c>
      <c r="E458" s="6">
        <f>NAV!L1248</f>
        <v>0</v>
      </c>
      <c r="F458" s="6">
        <f>NAV!M1248</f>
        <v>0</v>
      </c>
      <c r="G458" s="6">
        <f>NAV!N1248</f>
        <v>0</v>
      </c>
      <c r="H458" s="6">
        <f>NAV!O1248</f>
        <v>0</v>
      </c>
      <c r="I458" s="6">
        <f>NAV!P1248</f>
        <v>0</v>
      </c>
      <c r="J458" s="6">
        <f>NAV!Q1248</f>
        <v>0</v>
      </c>
      <c r="K458" s="9">
        <f>NAV!R1248</f>
        <v>0</v>
      </c>
      <c r="L458" s="6">
        <f>NAV!S1248</f>
        <v>0</v>
      </c>
      <c r="M458" s="6">
        <f>NAV!T1248</f>
        <v>0</v>
      </c>
      <c r="N458" s="6" t="str">
        <f>NAV!U1248</f>
        <v>한국 원화(KRW)</v>
      </c>
      <c r="O458" s="6">
        <f>NAV!V1248</f>
        <v>1</v>
      </c>
      <c r="P458" s="6">
        <f>NAV!W1248</f>
        <v>0</v>
      </c>
      <c r="Q458" s="6">
        <f>NAV!X1248</f>
        <v>0</v>
      </c>
      <c r="R458" s="6">
        <f>NAV!Y1248</f>
        <v>0</v>
      </c>
      <c r="S458" s="6">
        <f>NAV!Z1248</f>
        <v>0</v>
      </c>
      <c r="T458" s="6">
        <f>NAV!AA1248</f>
        <v>0</v>
      </c>
      <c r="U458" s="10">
        <f>NAV!AB1248</f>
        <v>0</v>
      </c>
      <c r="V458" s="6" t="str">
        <f>NAV!AC1248</f>
        <v>2년이상</v>
      </c>
    </row>
    <row r="459" spans="1:22">
      <c r="A459" s="7">
        <f t="shared" si="7"/>
        <v>458</v>
      </c>
      <c r="B459" s="7">
        <f>TYPE(종목정보tbl!$C459)</f>
        <v>1</v>
      </c>
      <c r="C459" s="6">
        <f>NAV!J1249</f>
        <v>0</v>
      </c>
      <c r="D459" s="6">
        <f>NAV!K1249</f>
        <v>0</v>
      </c>
      <c r="E459" s="6">
        <f>NAV!L1249</f>
        <v>0</v>
      </c>
      <c r="F459" s="6">
        <f>NAV!M1249</f>
        <v>0</v>
      </c>
      <c r="G459" s="6">
        <f>NAV!N1249</f>
        <v>0</v>
      </c>
      <c r="H459" s="6">
        <f>NAV!O1249</f>
        <v>0</v>
      </c>
      <c r="I459" s="6">
        <f>NAV!P1249</f>
        <v>0</v>
      </c>
      <c r="J459" s="6">
        <f>NAV!Q1249</f>
        <v>0</v>
      </c>
      <c r="K459" s="9">
        <f>NAV!R1249</f>
        <v>0</v>
      </c>
      <c r="L459" s="6">
        <f>NAV!S1249</f>
        <v>0</v>
      </c>
      <c r="M459" s="6">
        <f>NAV!T1249</f>
        <v>0</v>
      </c>
      <c r="N459" s="6" t="str">
        <f>NAV!U1249</f>
        <v>한국 원화(KRW)</v>
      </c>
      <c r="O459" s="6">
        <f>NAV!V1249</f>
        <v>1</v>
      </c>
      <c r="P459" s="6">
        <f>NAV!W1249</f>
        <v>0</v>
      </c>
      <c r="Q459" s="6">
        <f>NAV!X1249</f>
        <v>0</v>
      </c>
      <c r="R459" s="6">
        <f>NAV!Y1249</f>
        <v>0</v>
      </c>
      <c r="S459" s="6">
        <f>NAV!Z1249</f>
        <v>0</v>
      </c>
      <c r="T459" s="6">
        <f>NAV!AA1249</f>
        <v>0</v>
      </c>
      <c r="U459" s="10">
        <f>NAV!AB1249</f>
        <v>0</v>
      </c>
      <c r="V459" s="6" t="str">
        <f>NAV!AC1249</f>
        <v>2년이상</v>
      </c>
    </row>
    <row r="460" spans="1:22">
      <c r="A460" s="7">
        <f t="shared" si="7"/>
        <v>459</v>
      </c>
      <c r="B460" s="7">
        <f>TYPE(종목정보tbl!$C460)</f>
        <v>1</v>
      </c>
      <c r="C460" s="6">
        <f>NAV!J1277</f>
        <v>0</v>
      </c>
      <c r="D460" s="6">
        <f>NAV!K1277</f>
        <v>0</v>
      </c>
      <c r="E460" s="6">
        <f>NAV!L1277</f>
        <v>0</v>
      </c>
      <c r="F460" s="6">
        <f>NAV!M1277</f>
        <v>0</v>
      </c>
      <c r="G460" s="6">
        <f>NAV!N1277</f>
        <v>0</v>
      </c>
      <c r="H460" s="6">
        <f>NAV!O1277</f>
        <v>0</v>
      </c>
      <c r="I460" s="6">
        <f>NAV!P1277</f>
        <v>0</v>
      </c>
      <c r="J460" s="6">
        <f>NAV!Q1277</f>
        <v>0</v>
      </c>
      <c r="K460" s="9">
        <f>NAV!R1277</f>
        <v>0</v>
      </c>
      <c r="L460" s="6">
        <f>NAV!S1277</f>
        <v>0</v>
      </c>
      <c r="M460" s="6">
        <f>NAV!T1277</f>
        <v>0</v>
      </c>
      <c r="N460" s="6" t="str">
        <f>NAV!U1277</f>
        <v>한국 원화(KRW)</v>
      </c>
      <c r="O460" s="6">
        <f>NAV!V1277</f>
        <v>1</v>
      </c>
      <c r="P460" s="6">
        <f>NAV!W1277</f>
        <v>0</v>
      </c>
      <c r="Q460" s="6">
        <f>NAV!X1277</f>
        <v>0</v>
      </c>
      <c r="R460" s="6">
        <f>NAV!Y1277</f>
        <v>0</v>
      </c>
      <c r="S460" s="6">
        <f>NAV!Z1277</f>
        <v>0</v>
      </c>
      <c r="T460" s="6">
        <f>NAV!AA1277</f>
        <v>0</v>
      </c>
      <c r="U460" s="10">
        <f>NAV!AB1277</f>
        <v>0</v>
      </c>
      <c r="V460" s="6" t="str">
        <f>NAV!AC1277</f>
        <v>2년이상</v>
      </c>
    </row>
    <row r="461" spans="1:22">
      <c r="A461" s="7">
        <f t="shared" si="7"/>
        <v>460</v>
      </c>
      <c r="B461" s="7">
        <f>TYPE(종목정보tbl!$C461)</f>
        <v>1</v>
      </c>
      <c r="C461" s="6">
        <f>NAV!J1278</f>
        <v>0</v>
      </c>
      <c r="D461" s="6">
        <f>NAV!K1278</f>
        <v>0</v>
      </c>
      <c r="E461" s="6">
        <f>NAV!L1278</f>
        <v>0</v>
      </c>
      <c r="F461" s="6">
        <f>NAV!M1278</f>
        <v>0</v>
      </c>
      <c r="G461" s="6">
        <f>NAV!N1278</f>
        <v>0</v>
      </c>
      <c r="H461" s="6">
        <f>NAV!O1278</f>
        <v>0</v>
      </c>
      <c r="I461" s="6">
        <f>NAV!P1278</f>
        <v>0</v>
      </c>
      <c r="J461" s="6">
        <f>NAV!Q1278</f>
        <v>0</v>
      </c>
      <c r="K461" s="9">
        <f>NAV!R1278</f>
        <v>0</v>
      </c>
      <c r="L461" s="6">
        <f>NAV!S1278</f>
        <v>0</v>
      </c>
      <c r="M461" s="6">
        <f>NAV!T1278</f>
        <v>0</v>
      </c>
      <c r="N461" s="6" t="str">
        <f>NAV!U1278</f>
        <v>한국 원화(KRW)</v>
      </c>
      <c r="O461" s="6">
        <f>NAV!V1278</f>
        <v>1</v>
      </c>
      <c r="P461" s="6">
        <f>NAV!W1278</f>
        <v>0</v>
      </c>
      <c r="Q461" s="6">
        <f>NAV!X1278</f>
        <v>0</v>
      </c>
      <c r="R461" s="6">
        <f>NAV!Y1278</f>
        <v>0</v>
      </c>
      <c r="S461" s="6">
        <f>NAV!Z1278</f>
        <v>0</v>
      </c>
      <c r="T461" s="6">
        <f>NAV!AA1278</f>
        <v>0</v>
      </c>
      <c r="U461" s="10">
        <f>NAV!AB1278</f>
        <v>0</v>
      </c>
      <c r="V461" s="6" t="str">
        <f>NAV!AC1278</f>
        <v>2년이상</v>
      </c>
    </row>
    <row r="462" spans="1:22">
      <c r="A462" s="7">
        <f t="shared" si="7"/>
        <v>461</v>
      </c>
      <c r="B462" s="7">
        <f>TYPE(종목정보tbl!$C462)</f>
        <v>1</v>
      </c>
      <c r="C462" s="6">
        <f>NAV!J1279</f>
        <v>0</v>
      </c>
      <c r="D462" s="6">
        <f>NAV!K1279</f>
        <v>0</v>
      </c>
      <c r="E462" s="6">
        <f>NAV!L1279</f>
        <v>0</v>
      </c>
      <c r="F462" s="6">
        <f>NAV!M1279</f>
        <v>0</v>
      </c>
      <c r="G462" s="6">
        <f>NAV!N1279</f>
        <v>0</v>
      </c>
      <c r="H462" s="6">
        <f>NAV!O1279</f>
        <v>0</v>
      </c>
      <c r="I462" s="6">
        <f>NAV!P1279</f>
        <v>0</v>
      </c>
      <c r="J462" s="6">
        <f>NAV!Q1279</f>
        <v>0</v>
      </c>
      <c r="K462" s="9">
        <f>NAV!R1279</f>
        <v>0</v>
      </c>
      <c r="L462" s="6">
        <f>NAV!S1279</f>
        <v>0</v>
      </c>
      <c r="M462" s="6">
        <f>NAV!T1279</f>
        <v>0</v>
      </c>
      <c r="N462" s="6" t="str">
        <f>NAV!U1279</f>
        <v>한국 원화(KRW)</v>
      </c>
      <c r="O462" s="6">
        <f>NAV!V1279</f>
        <v>1</v>
      </c>
      <c r="P462" s="6">
        <f>NAV!W1279</f>
        <v>0</v>
      </c>
      <c r="Q462" s="6">
        <f>NAV!X1279</f>
        <v>0</v>
      </c>
      <c r="R462" s="6">
        <f>NAV!Y1279</f>
        <v>0</v>
      </c>
      <c r="S462" s="6">
        <f>NAV!Z1279</f>
        <v>0</v>
      </c>
      <c r="T462" s="6">
        <f>NAV!AA1279</f>
        <v>0</v>
      </c>
      <c r="U462" s="10">
        <f>NAV!AB1279</f>
        <v>0</v>
      </c>
      <c r="V462" s="6" t="str">
        <f>NAV!AC1279</f>
        <v>2년이상</v>
      </c>
    </row>
    <row r="463" spans="1:22">
      <c r="A463" s="7">
        <f t="shared" si="7"/>
        <v>462</v>
      </c>
      <c r="B463" s="7">
        <f>TYPE(종목정보tbl!$C463)</f>
        <v>1</v>
      </c>
      <c r="C463" s="6">
        <f>NAV!J1280</f>
        <v>0</v>
      </c>
      <c r="D463" s="6">
        <f>NAV!K1280</f>
        <v>0</v>
      </c>
      <c r="E463" s="6">
        <f>NAV!L1280</f>
        <v>0</v>
      </c>
      <c r="F463" s="6">
        <f>NAV!M1280</f>
        <v>0</v>
      </c>
      <c r="G463" s="6">
        <f>NAV!N1280</f>
        <v>0</v>
      </c>
      <c r="H463" s="6">
        <f>NAV!O1280</f>
        <v>0</v>
      </c>
      <c r="I463" s="6">
        <f>NAV!P1280</f>
        <v>0</v>
      </c>
      <c r="J463" s="6">
        <f>NAV!Q1280</f>
        <v>0</v>
      </c>
      <c r="K463" s="9">
        <f>NAV!R1280</f>
        <v>0</v>
      </c>
      <c r="L463" s="6">
        <f>NAV!S1280</f>
        <v>0</v>
      </c>
      <c r="M463" s="6">
        <f>NAV!T1280</f>
        <v>0</v>
      </c>
      <c r="N463" s="6" t="str">
        <f>NAV!U1280</f>
        <v>한국 원화(KRW)</v>
      </c>
      <c r="O463" s="6">
        <f>NAV!V1280</f>
        <v>1</v>
      </c>
      <c r="P463" s="6">
        <f>NAV!W1280</f>
        <v>0</v>
      </c>
      <c r="Q463" s="6">
        <f>NAV!X1280</f>
        <v>0</v>
      </c>
      <c r="R463" s="6">
        <f>NAV!Y1280</f>
        <v>0</v>
      </c>
      <c r="S463" s="6">
        <f>NAV!Z1280</f>
        <v>0</v>
      </c>
      <c r="T463" s="6">
        <f>NAV!AA1280</f>
        <v>0</v>
      </c>
      <c r="U463" s="10">
        <f>NAV!AB1280</f>
        <v>0</v>
      </c>
      <c r="V463" s="6" t="str">
        <f>NAV!AC1280</f>
        <v>2년이상</v>
      </c>
    </row>
    <row r="464" spans="1:22">
      <c r="A464" s="7">
        <f t="shared" si="7"/>
        <v>463</v>
      </c>
      <c r="B464" s="7">
        <f>TYPE(종목정보tbl!$C464)</f>
        <v>1</v>
      </c>
      <c r="C464" s="6">
        <f>NAV!J1281</f>
        <v>0</v>
      </c>
      <c r="D464" s="6">
        <f>NAV!K1281</f>
        <v>0</v>
      </c>
      <c r="E464" s="6">
        <f>NAV!L1281</f>
        <v>0</v>
      </c>
      <c r="F464" s="6">
        <f>NAV!M1281</f>
        <v>0</v>
      </c>
      <c r="G464" s="6">
        <f>NAV!N1281</f>
        <v>0</v>
      </c>
      <c r="H464" s="6">
        <f>NAV!O1281</f>
        <v>0</v>
      </c>
      <c r="I464" s="6">
        <f>NAV!P1281</f>
        <v>0</v>
      </c>
      <c r="J464" s="6">
        <f>NAV!Q1281</f>
        <v>0</v>
      </c>
      <c r="K464" s="9">
        <f>NAV!R1281</f>
        <v>0</v>
      </c>
      <c r="L464" s="6">
        <f>NAV!S1281</f>
        <v>0</v>
      </c>
      <c r="M464" s="6">
        <f>NAV!T1281</f>
        <v>0</v>
      </c>
      <c r="N464" s="6" t="str">
        <f>NAV!U1281</f>
        <v>한국 원화(KRW)</v>
      </c>
      <c r="O464" s="6">
        <f>NAV!V1281</f>
        <v>1</v>
      </c>
      <c r="P464" s="6">
        <f>NAV!W1281</f>
        <v>0</v>
      </c>
      <c r="Q464" s="6">
        <f>NAV!X1281</f>
        <v>0</v>
      </c>
      <c r="R464" s="6">
        <f>NAV!Y1281</f>
        <v>0</v>
      </c>
      <c r="S464" s="6">
        <f>NAV!Z1281</f>
        <v>0</v>
      </c>
      <c r="T464" s="6">
        <f>NAV!AA1281</f>
        <v>0</v>
      </c>
      <c r="U464" s="10">
        <f>NAV!AB1281</f>
        <v>0</v>
      </c>
      <c r="V464" s="6" t="str">
        <f>NAV!AC1281</f>
        <v>2년이상</v>
      </c>
    </row>
    <row r="465" spans="1:22">
      <c r="A465" s="7">
        <f t="shared" si="7"/>
        <v>464</v>
      </c>
      <c r="B465" s="7">
        <f>TYPE(종목정보tbl!$C465)</f>
        <v>1</v>
      </c>
      <c r="C465" s="6">
        <f>NAV!J1282</f>
        <v>0</v>
      </c>
      <c r="D465" s="6">
        <f>NAV!K1282</f>
        <v>0</v>
      </c>
      <c r="E465" s="6">
        <f>NAV!L1282</f>
        <v>0</v>
      </c>
      <c r="F465" s="6">
        <f>NAV!M1282</f>
        <v>0</v>
      </c>
      <c r="G465" s="6">
        <f>NAV!N1282</f>
        <v>0</v>
      </c>
      <c r="H465" s="6">
        <f>NAV!O1282</f>
        <v>0</v>
      </c>
      <c r="I465" s="6">
        <f>NAV!P1282</f>
        <v>0</v>
      </c>
      <c r="J465" s="6">
        <f>NAV!Q1282</f>
        <v>0</v>
      </c>
      <c r="K465" s="9">
        <f>NAV!R1282</f>
        <v>0</v>
      </c>
      <c r="L465" s="6">
        <f>NAV!S1282</f>
        <v>0</v>
      </c>
      <c r="M465" s="6">
        <f>NAV!T1282</f>
        <v>0</v>
      </c>
      <c r="N465" s="6" t="str">
        <f>NAV!U1282</f>
        <v>한국 원화(KRW)</v>
      </c>
      <c r="O465" s="6">
        <f>NAV!V1282</f>
        <v>1</v>
      </c>
      <c r="P465" s="6">
        <f>NAV!W1282</f>
        <v>0</v>
      </c>
      <c r="Q465" s="6">
        <f>NAV!X1282</f>
        <v>0</v>
      </c>
      <c r="R465" s="6">
        <f>NAV!Y1282</f>
        <v>0</v>
      </c>
      <c r="S465" s="6">
        <f>NAV!Z1282</f>
        <v>0</v>
      </c>
      <c r="T465" s="6">
        <f>NAV!AA1282</f>
        <v>0</v>
      </c>
      <c r="U465" s="10">
        <f>NAV!AB1282</f>
        <v>0</v>
      </c>
      <c r="V465" s="6" t="str">
        <f>NAV!AC1282</f>
        <v>2년이상</v>
      </c>
    </row>
    <row r="466" spans="1:22">
      <c r="A466" s="7">
        <f t="shared" si="7"/>
        <v>465</v>
      </c>
      <c r="B466" s="7">
        <f>TYPE(종목정보tbl!$C466)</f>
        <v>1</v>
      </c>
      <c r="C466" s="6">
        <f>NAV!J1283</f>
        <v>0</v>
      </c>
      <c r="D466" s="6">
        <f>NAV!K1283</f>
        <v>0</v>
      </c>
      <c r="E466" s="6">
        <f>NAV!L1283</f>
        <v>0</v>
      </c>
      <c r="F466" s="6">
        <f>NAV!M1283</f>
        <v>0</v>
      </c>
      <c r="G466" s="6">
        <f>NAV!N1283</f>
        <v>0</v>
      </c>
      <c r="H466" s="6">
        <f>NAV!O1283</f>
        <v>0</v>
      </c>
      <c r="I466" s="6">
        <f>NAV!P1283</f>
        <v>0</v>
      </c>
      <c r="J466" s="6">
        <f>NAV!Q1283</f>
        <v>0</v>
      </c>
      <c r="K466" s="9">
        <f>NAV!R1283</f>
        <v>0</v>
      </c>
      <c r="L466" s="6">
        <f>NAV!S1283</f>
        <v>0</v>
      </c>
      <c r="M466" s="6">
        <f>NAV!T1283</f>
        <v>0</v>
      </c>
      <c r="N466" s="6" t="str">
        <f>NAV!U1283</f>
        <v>한국 원화(KRW)</v>
      </c>
      <c r="O466" s="6">
        <f>NAV!V1283</f>
        <v>1</v>
      </c>
      <c r="P466" s="6">
        <f>NAV!W1283</f>
        <v>0</v>
      </c>
      <c r="Q466" s="6">
        <f>NAV!X1283</f>
        <v>0</v>
      </c>
      <c r="R466" s="6">
        <f>NAV!Y1283</f>
        <v>0</v>
      </c>
      <c r="S466" s="6">
        <f>NAV!Z1283</f>
        <v>0</v>
      </c>
      <c r="T466" s="6">
        <f>NAV!AA1283</f>
        <v>0</v>
      </c>
      <c r="U466" s="10">
        <f>NAV!AB1283</f>
        <v>0</v>
      </c>
      <c r="V466" s="6" t="str">
        <f>NAV!AC1283</f>
        <v>2년이상</v>
      </c>
    </row>
    <row r="467" spans="1:22">
      <c r="A467" s="7">
        <f t="shared" si="7"/>
        <v>466</v>
      </c>
      <c r="B467" s="7">
        <f>TYPE(종목정보tbl!$C467)</f>
        <v>1</v>
      </c>
      <c r="C467" s="6">
        <f>NAV!J1284</f>
        <v>0</v>
      </c>
      <c r="D467" s="6">
        <f>NAV!K1284</f>
        <v>0</v>
      </c>
      <c r="E467" s="6">
        <f>NAV!L1284</f>
        <v>0</v>
      </c>
      <c r="F467" s="6">
        <f>NAV!M1284</f>
        <v>0</v>
      </c>
      <c r="G467" s="6">
        <f>NAV!N1284</f>
        <v>0</v>
      </c>
      <c r="H467" s="6">
        <f>NAV!O1284</f>
        <v>0</v>
      </c>
      <c r="I467" s="6">
        <f>NAV!P1284</f>
        <v>0</v>
      </c>
      <c r="J467" s="6">
        <f>NAV!Q1284</f>
        <v>0</v>
      </c>
      <c r="K467" s="9">
        <f>NAV!R1284</f>
        <v>0</v>
      </c>
      <c r="L467" s="6">
        <f>NAV!S1284</f>
        <v>0</v>
      </c>
      <c r="M467" s="6">
        <f>NAV!T1284</f>
        <v>0</v>
      </c>
      <c r="N467" s="6" t="str">
        <f>NAV!U1284</f>
        <v>한국 원화(KRW)</v>
      </c>
      <c r="O467" s="6">
        <f>NAV!V1284</f>
        <v>1</v>
      </c>
      <c r="P467" s="6">
        <f>NAV!W1284</f>
        <v>0</v>
      </c>
      <c r="Q467" s="6">
        <f>NAV!X1284</f>
        <v>0</v>
      </c>
      <c r="R467" s="6">
        <f>NAV!Y1284</f>
        <v>0</v>
      </c>
      <c r="S467" s="6">
        <f>NAV!Z1284</f>
        <v>0</v>
      </c>
      <c r="T467" s="6">
        <f>NAV!AA1284</f>
        <v>0</v>
      </c>
      <c r="U467" s="10">
        <f>NAV!AB1284</f>
        <v>0</v>
      </c>
      <c r="V467" s="6" t="str">
        <f>NAV!AC1284</f>
        <v>2년이상</v>
      </c>
    </row>
    <row r="468" spans="1:22">
      <c r="A468" s="7">
        <f t="shared" si="7"/>
        <v>467</v>
      </c>
      <c r="B468" s="7">
        <f>TYPE(종목정보tbl!$C468)</f>
        <v>1</v>
      </c>
      <c r="C468" s="6">
        <f>NAV!J1285</f>
        <v>0</v>
      </c>
      <c r="D468" s="6">
        <f>NAV!K1285</f>
        <v>0</v>
      </c>
      <c r="E468" s="6">
        <f>NAV!L1285</f>
        <v>0</v>
      </c>
      <c r="F468" s="6">
        <f>NAV!M1285</f>
        <v>0</v>
      </c>
      <c r="G468" s="6">
        <f>NAV!N1285</f>
        <v>0</v>
      </c>
      <c r="H468" s="6">
        <f>NAV!O1285</f>
        <v>0</v>
      </c>
      <c r="I468" s="6">
        <f>NAV!P1285</f>
        <v>0</v>
      </c>
      <c r="J468" s="6">
        <f>NAV!Q1285</f>
        <v>0</v>
      </c>
      <c r="K468" s="9">
        <f>NAV!R1285</f>
        <v>0</v>
      </c>
      <c r="L468" s="6">
        <f>NAV!S1285</f>
        <v>0</v>
      </c>
      <c r="M468" s="6">
        <f>NAV!T1285</f>
        <v>0</v>
      </c>
      <c r="N468" s="6" t="str">
        <f>NAV!U1285</f>
        <v>한국 원화(KRW)</v>
      </c>
      <c r="O468" s="6">
        <f>NAV!V1285</f>
        <v>1</v>
      </c>
      <c r="P468" s="6">
        <f>NAV!W1285</f>
        <v>0</v>
      </c>
      <c r="Q468" s="6">
        <f>NAV!X1285</f>
        <v>0</v>
      </c>
      <c r="R468" s="6">
        <f>NAV!Y1285</f>
        <v>0</v>
      </c>
      <c r="S468" s="6">
        <f>NAV!Z1285</f>
        <v>0</v>
      </c>
      <c r="T468" s="6">
        <f>NAV!AA1285</f>
        <v>0</v>
      </c>
      <c r="U468" s="10">
        <f>NAV!AB1285</f>
        <v>0</v>
      </c>
      <c r="V468" s="6" t="str">
        <f>NAV!AC1285</f>
        <v>2년이상</v>
      </c>
    </row>
    <row r="469" spans="1:22">
      <c r="A469" s="7">
        <f t="shared" si="7"/>
        <v>468</v>
      </c>
      <c r="B469" s="7">
        <f>TYPE(종목정보tbl!$C469)</f>
        <v>1</v>
      </c>
      <c r="C469" s="6">
        <f>NAV!J1286</f>
        <v>0</v>
      </c>
      <c r="D469" s="6">
        <f>NAV!K1286</f>
        <v>0</v>
      </c>
      <c r="E469" s="6">
        <f>NAV!L1286</f>
        <v>0</v>
      </c>
      <c r="F469" s="6">
        <f>NAV!M1286</f>
        <v>0</v>
      </c>
      <c r="G469" s="6">
        <f>NAV!N1286</f>
        <v>0</v>
      </c>
      <c r="H469" s="6">
        <f>NAV!O1286</f>
        <v>0</v>
      </c>
      <c r="I469" s="6">
        <f>NAV!P1286</f>
        <v>0</v>
      </c>
      <c r="J469" s="6">
        <f>NAV!Q1286</f>
        <v>0</v>
      </c>
      <c r="K469" s="9">
        <f>NAV!R1286</f>
        <v>0</v>
      </c>
      <c r="L469" s="6">
        <f>NAV!S1286</f>
        <v>0</v>
      </c>
      <c r="M469" s="6">
        <f>NAV!T1286</f>
        <v>0</v>
      </c>
      <c r="N469" s="6" t="str">
        <f>NAV!U1286</f>
        <v>한국 원화(KRW)</v>
      </c>
      <c r="O469" s="6">
        <f>NAV!V1286</f>
        <v>1</v>
      </c>
      <c r="P469" s="6">
        <f>NAV!W1286</f>
        <v>0</v>
      </c>
      <c r="Q469" s="6">
        <f>NAV!X1286</f>
        <v>0</v>
      </c>
      <c r="R469" s="6">
        <f>NAV!Y1286</f>
        <v>0</v>
      </c>
      <c r="S469" s="6">
        <f>NAV!Z1286</f>
        <v>0</v>
      </c>
      <c r="T469" s="6">
        <f>NAV!AA1286</f>
        <v>0</v>
      </c>
      <c r="U469" s="10">
        <f>NAV!AB1286</f>
        <v>0</v>
      </c>
      <c r="V469" s="6" t="str">
        <f>NAV!AC1286</f>
        <v>2년이상</v>
      </c>
    </row>
    <row r="470" spans="1:22">
      <c r="A470" s="7">
        <f t="shared" si="7"/>
        <v>469</v>
      </c>
      <c r="B470" s="7">
        <f>TYPE(종목정보tbl!$C470)</f>
        <v>1</v>
      </c>
      <c r="C470" s="6">
        <f>NAV!J1287</f>
        <v>0</v>
      </c>
      <c r="D470" s="6">
        <f>NAV!K1287</f>
        <v>0</v>
      </c>
      <c r="E470" s="6">
        <f>NAV!L1287</f>
        <v>0</v>
      </c>
      <c r="F470" s="6">
        <f>NAV!M1287</f>
        <v>0</v>
      </c>
      <c r="G470" s="6">
        <f>NAV!N1287</f>
        <v>0</v>
      </c>
      <c r="H470" s="6">
        <f>NAV!O1287</f>
        <v>0</v>
      </c>
      <c r="I470" s="6">
        <f>NAV!P1287</f>
        <v>0</v>
      </c>
      <c r="J470" s="6">
        <f>NAV!Q1287</f>
        <v>0</v>
      </c>
      <c r="K470" s="9">
        <f>NAV!R1287</f>
        <v>0</v>
      </c>
      <c r="L470" s="6">
        <f>NAV!S1287</f>
        <v>0</v>
      </c>
      <c r="M470" s="6">
        <f>NAV!T1287</f>
        <v>0</v>
      </c>
      <c r="N470" s="6" t="str">
        <f>NAV!U1287</f>
        <v>한국 원화(KRW)</v>
      </c>
      <c r="O470" s="6">
        <f>NAV!V1287</f>
        <v>1</v>
      </c>
      <c r="P470" s="6">
        <f>NAV!W1287</f>
        <v>0</v>
      </c>
      <c r="Q470" s="6">
        <f>NAV!X1287</f>
        <v>0</v>
      </c>
      <c r="R470" s="6">
        <f>NAV!Y1287</f>
        <v>0</v>
      </c>
      <c r="S470" s="6">
        <f>NAV!Z1287</f>
        <v>0</v>
      </c>
      <c r="T470" s="6">
        <f>NAV!AA1287</f>
        <v>0</v>
      </c>
      <c r="U470" s="10">
        <f>NAV!AB1287</f>
        <v>0</v>
      </c>
      <c r="V470" s="6" t="str">
        <f>NAV!AC1287</f>
        <v>2년이상</v>
      </c>
    </row>
    <row r="471" spans="1:22">
      <c r="A471" s="7"/>
      <c r="B471" s="7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</row>
  </sheetData>
  <phoneticPr fontId="7" type="noConversion"/>
  <pageMargins left="0.7" right="0.7" top="0.75" bottom="0.75" header="0.3" footer="0.3"/>
  <ignoredErrors>
    <ignoredError sqref="C2:V2 C4:V470 C3:E3 G3:V3" calculatedColumn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0" tint="-0.34998626667073579"/>
  </sheetPr>
  <dimension ref="A1:D37"/>
  <sheetViews>
    <sheetView workbookViewId="0"/>
  </sheetViews>
  <sheetFormatPr defaultRowHeight="13.5"/>
  <cols>
    <col min="1" max="1" width="17.109375" bestFit="1" customWidth="1"/>
    <col min="2" max="2" width="11.109375" customWidth="1"/>
    <col min="4" max="4" width="9.6640625" customWidth="1"/>
  </cols>
  <sheetData>
    <row r="1" spans="1:4" ht="14.25" thickBot="1">
      <c r="A1" s="715" t="s">
        <v>3130</v>
      </c>
      <c r="B1" s="715" t="s">
        <v>3131</v>
      </c>
      <c r="C1" s="715" t="s">
        <v>3132</v>
      </c>
      <c r="D1" s="716" t="s">
        <v>3133</v>
      </c>
    </row>
    <row r="2" spans="1:4">
      <c r="A2" s="717" t="s">
        <v>41</v>
      </c>
      <c r="B2" s="717" t="s">
        <v>3134</v>
      </c>
      <c r="C2" s="718" t="s">
        <v>3135</v>
      </c>
      <c r="D2" s="719"/>
    </row>
    <row r="3" spans="1:4">
      <c r="A3" s="720" t="s">
        <v>3136</v>
      </c>
      <c r="B3" s="720" t="s">
        <v>3137</v>
      </c>
      <c r="C3" s="714" t="s">
        <v>3135</v>
      </c>
      <c r="D3" s="721"/>
    </row>
    <row r="4" spans="1:4">
      <c r="A4" s="722" t="s">
        <v>3138</v>
      </c>
      <c r="B4" s="722" t="s">
        <v>3139</v>
      </c>
      <c r="C4" s="723" t="s">
        <v>3135</v>
      </c>
      <c r="D4" s="724"/>
    </row>
    <row r="5" spans="1:4">
      <c r="A5" s="720" t="s">
        <v>966</v>
      </c>
      <c r="B5" s="720" t="s">
        <v>3140</v>
      </c>
      <c r="C5" s="714" t="s">
        <v>3135</v>
      </c>
      <c r="D5" s="721"/>
    </row>
    <row r="6" spans="1:4">
      <c r="A6" s="722" t="s">
        <v>967</v>
      </c>
      <c r="B6" s="722" t="s">
        <v>3141</v>
      </c>
      <c r="C6" s="723" t="s">
        <v>3135</v>
      </c>
      <c r="D6" s="724" t="s">
        <v>3142</v>
      </c>
    </row>
    <row r="7" spans="1:4">
      <c r="A7" s="720" t="s">
        <v>968</v>
      </c>
      <c r="B7" s="720" t="s">
        <v>3143</v>
      </c>
      <c r="C7" s="714" t="s">
        <v>3135</v>
      </c>
      <c r="D7" s="721" t="s">
        <v>3142</v>
      </c>
    </row>
    <row r="8" spans="1:4">
      <c r="A8" s="722" t="s">
        <v>969</v>
      </c>
      <c r="B8" s="722" t="s">
        <v>3144</v>
      </c>
      <c r="C8" s="723" t="s">
        <v>3135</v>
      </c>
      <c r="D8" s="724" t="s">
        <v>3142</v>
      </c>
    </row>
    <row r="9" spans="1:4">
      <c r="A9" s="720" t="s">
        <v>3145</v>
      </c>
      <c r="B9" s="720" t="s">
        <v>3146</v>
      </c>
      <c r="C9" s="714" t="s">
        <v>3147</v>
      </c>
      <c r="D9" s="721" t="s">
        <v>3148</v>
      </c>
    </row>
    <row r="10" spans="1:4">
      <c r="A10" s="722" t="s">
        <v>3149</v>
      </c>
      <c r="B10" s="722" t="s">
        <v>3150</v>
      </c>
      <c r="C10" s="723" t="s">
        <v>3147</v>
      </c>
      <c r="D10" s="724" t="s">
        <v>3148</v>
      </c>
    </row>
    <row r="11" spans="1:4">
      <c r="A11" s="720" t="s">
        <v>3151</v>
      </c>
      <c r="B11" s="720" t="s">
        <v>3152</v>
      </c>
      <c r="C11" s="714" t="s">
        <v>3147</v>
      </c>
      <c r="D11" s="721"/>
    </row>
    <row r="12" spans="1:4">
      <c r="A12" s="722" t="s">
        <v>3153</v>
      </c>
      <c r="B12" s="722" t="s">
        <v>3154</v>
      </c>
      <c r="C12" s="723" t="s">
        <v>3147</v>
      </c>
      <c r="D12" s="724"/>
    </row>
    <row r="13" spans="1:4">
      <c r="A13" s="720" t="s">
        <v>975</v>
      </c>
      <c r="B13" s="720" t="s">
        <v>3155</v>
      </c>
      <c r="C13" s="714" t="s">
        <v>3135</v>
      </c>
      <c r="D13" s="721"/>
    </row>
    <row r="14" spans="1:4">
      <c r="A14" s="722" t="s">
        <v>3156</v>
      </c>
      <c r="B14" s="722" t="s">
        <v>3157</v>
      </c>
      <c r="C14" s="723" t="s">
        <v>3135</v>
      </c>
      <c r="D14" s="724"/>
    </row>
    <row r="15" spans="1:4">
      <c r="A15" s="720" t="s">
        <v>976</v>
      </c>
      <c r="B15" s="720" t="s">
        <v>3158</v>
      </c>
      <c r="C15" s="714" t="s">
        <v>3147</v>
      </c>
      <c r="D15" s="721"/>
    </row>
    <row r="16" spans="1:4">
      <c r="A16" s="722" t="s">
        <v>3159</v>
      </c>
      <c r="B16" s="722" t="s">
        <v>3160</v>
      </c>
      <c r="C16" s="723" t="s">
        <v>3135</v>
      </c>
      <c r="D16" s="724"/>
    </row>
    <row r="17" spans="1:4">
      <c r="A17" s="720" t="s">
        <v>3161</v>
      </c>
      <c r="B17" s="720" t="s">
        <v>3162</v>
      </c>
      <c r="C17" s="714" t="s">
        <v>3135</v>
      </c>
      <c r="D17" s="721"/>
    </row>
    <row r="18" spans="1:4">
      <c r="A18" s="722" t="s">
        <v>970</v>
      </c>
      <c r="B18" s="722" t="s">
        <v>3163</v>
      </c>
      <c r="C18" s="723" t="s">
        <v>3164</v>
      </c>
      <c r="D18" s="724" t="s">
        <v>3142</v>
      </c>
    </row>
    <row r="19" spans="1:4">
      <c r="A19" s="720" t="s">
        <v>971</v>
      </c>
      <c r="B19" s="720" t="s">
        <v>3165</v>
      </c>
      <c r="C19" s="714" t="s">
        <v>3164</v>
      </c>
      <c r="D19" s="721" t="s">
        <v>3142</v>
      </c>
    </row>
    <row r="20" spans="1:4">
      <c r="A20" s="722" t="s">
        <v>972</v>
      </c>
      <c r="B20" s="722" t="s">
        <v>3166</v>
      </c>
      <c r="C20" s="723" t="s">
        <v>3164</v>
      </c>
      <c r="D20" s="724" t="s">
        <v>3142</v>
      </c>
    </row>
    <row r="21" spans="1:4">
      <c r="A21" s="720" t="s">
        <v>973</v>
      </c>
      <c r="B21" s="720" t="s">
        <v>3167</v>
      </c>
      <c r="C21" s="714" t="s">
        <v>3168</v>
      </c>
      <c r="D21" s="721" t="s">
        <v>3142</v>
      </c>
    </row>
    <row r="22" spans="1:4">
      <c r="A22" s="722" t="s">
        <v>3169</v>
      </c>
      <c r="B22" s="722" t="s">
        <v>3170</v>
      </c>
      <c r="C22" s="723" t="s">
        <v>3168</v>
      </c>
      <c r="D22" s="724" t="s">
        <v>3142</v>
      </c>
    </row>
    <row r="23" spans="1:4">
      <c r="A23" s="720" t="s">
        <v>974</v>
      </c>
      <c r="B23" s="720" t="s">
        <v>3171</v>
      </c>
      <c r="C23" s="714" t="s">
        <v>3168</v>
      </c>
      <c r="D23" s="721" t="s">
        <v>3142</v>
      </c>
    </row>
    <row r="24" spans="1:4">
      <c r="A24" s="722" t="s">
        <v>3172</v>
      </c>
      <c r="B24" s="722" t="s">
        <v>3173</v>
      </c>
      <c r="C24" s="723" t="s">
        <v>3164</v>
      </c>
      <c r="D24" s="724"/>
    </row>
    <row r="25" spans="1:4">
      <c r="A25" s="720" t="s">
        <v>3174</v>
      </c>
      <c r="B25" s="720" t="s">
        <v>3175</v>
      </c>
      <c r="C25" s="714" t="s">
        <v>3135</v>
      </c>
      <c r="D25" s="721"/>
    </row>
    <row r="26" spans="1:4">
      <c r="A26" s="722" t="s">
        <v>975</v>
      </c>
      <c r="B26" s="722" t="s">
        <v>3176</v>
      </c>
      <c r="C26" s="723" t="s">
        <v>3164</v>
      </c>
      <c r="D26" s="724"/>
    </row>
    <row r="27" spans="1:4">
      <c r="A27" s="720" t="s">
        <v>3177</v>
      </c>
      <c r="B27" s="720" t="s">
        <v>3178</v>
      </c>
      <c r="C27" s="714" t="s">
        <v>3164</v>
      </c>
      <c r="D27" s="721"/>
    </row>
    <row r="28" spans="1:4">
      <c r="A28" s="722" t="s">
        <v>3179</v>
      </c>
      <c r="B28" s="722" t="s">
        <v>3180</v>
      </c>
      <c r="C28" s="723" t="s">
        <v>3164</v>
      </c>
      <c r="D28" s="724"/>
    </row>
    <row r="29" spans="1:4">
      <c r="A29" s="720" t="s">
        <v>3181</v>
      </c>
      <c r="B29" s="720" t="s">
        <v>3182</v>
      </c>
      <c r="C29" s="714" t="s">
        <v>3164</v>
      </c>
      <c r="D29" s="721"/>
    </row>
    <row r="30" spans="1:4">
      <c r="A30" s="722" t="s">
        <v>3183</v>
      </c>
      <c r="B30" s="722" t="s">
        <v>3184</v>
      </c>
      <c r="C30" s="723" t="s">
        <v>3164</v>
      </c>
      <c r="D30" s="724"/>
    </row>
    <row r="31" spans="1:4">
      <c r="A31" s="720" t="s">
        <v>3185</v>
      </c>
      <c r="B31" s="720" t="s">
        <v>3186</v>
      </c>
      <c r="C31" s="714" t="s">
        <v>3164</v>
      </c>
      <c r="D31" s="721"/>
    </row>
    <row r="32" spans="1:4">
      <c r="A32" s="722" t="s">
        <v>3187</v>
      </c>
      <c r="B32" s="722" t="s">
        <v>3188</v>
      </c>
      <c r="C32" s="723" t="s">
        <v>3164</v>
      </c>
      <c r="D32" s="724"/>
    </row>
    <row r="33" spans="1:4">
      <c r="A33" s="720" t="s">
        <v>3189</v>
      </c>
      <c r="B33" s="720" t="s">
        <v>3190</v>
      </c>
      <c r="C33" s="714" t="s">
        <v>3164</v>
      </c>
      <c r="D33" s="721"/>
    </row>
    <row r="34" spans="1:4">
      <c r="A34" s="722" t="s">
        <v>3191</v>
      </c>
      <c r="B34" s="722" t="s">
        <v>3192</v>
      </c>
      <c r="C34" s="723" t="s">
        <v>3164</v>
      </c>
      <c r="D34" s="724"/>
    </row>
    <row r="35" spans="1:4">
      <c r="A35" s="720" t="s">
        <v>3193</v>
      </c>
      <c r="B35" s="720" t="s">
        <v>3194</v>
      </c>
      <c r="C35" s="714" t="s">
        <v>3164</v>
      </c>
      <c r="D35" s="721"/>
    </row>
    <row r="36" spans="1:4">
      <c r="A36" s="722" t="s">
        <v>3193</v>
      </c>
      <c r="B36" s="722" t="s">
        <v>3195</v>
      </c>
      <c r="C36" s="723" t="s">
        <v>3135</v>
      </c>
      <c r="D36" s="724"/>
    </row>
    <row r="37" spans="1:4" ht="14.25" thickBot="1">
      <c r="A37" s="725" t="s">
        <v>3196</v>
      </c>
      <c r="B37" s="725" t="s">
        <v>3197</v>
      </c>
      <c r="C37" s="726" t="s">
        <v>3198</v>
      </c>
      <c r="D37" s="727"/>
    </row>
  </sheetData>
  <phoneticPr fontId="7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1" tint="0.499984740745262"/>
  </sheetPr>
  <dimension ref="B1:N60"/>
  <sheetViews>
    <sheetView workbookViewId="0">
      <selection activeCell="I49" sqref="I49"/>
    </sheetView>
  </sheetViews>
  <sheetFormatPr defaultColWidth="8.88671875" defaultRowHeight="13.5"/>
  <cols>
    <col min="1" max="1" width="8.88671875" style="11"/>
    <col min="2" max="2" width="10.77734375" style="11" customWidth="1"/>
    <col min="3" max="3" width="13.5546875" style="11" bestFit="1" customWidth="1"/>
    <col min="4" max="4" width="10.77734375" style="11" customWidth="1"/>
    <col min="5" max="5" width="28" style="11" bestFit="1" customWidth="1"/>
    <col min="6" max="6" width="34.44140625" style="11" bestFit="1" customWidth="1"/>
    <col min="7" max="7" width="10.77734375" style="11" customWidth="1"/>
    <col min="8" max="8" width="13.6640625" style="11" bestFit="1" customWidth="1"/>
    <col min="9" max="9" width="10.77734375" style="11" customWidth="1"/>
    <col min="10" max="10" width="15.33203125" style="11" bestFit="1" customWidth="1"/>
    <col min="11" max="11" width="29.21875" style="11" bestFit="1" customWidth="1"/>
    <col min="12" max="12" width="15.6640625" style="11" bestFit="1" customWidth="1"/>
    <col min="13" max="13" width="11.6640625" style="11" bestFit="1" customWidth="1"/>
    <col min="14" max="14" width="8.21875" style="11" bestFit="1" customWidth="1"/>
    <col min="15" max="16384" width="8.88671875" style="11"/>
  </cols>
  <sheetData>
    <row r="1" spans="2:14">
      <c r="E1" s="12"/>
    </row>
    <row r="2" spans="2:14">
      <c r="B2" s="13" t="s">
        <v>98</v>
      </c>
      <c r="C2" s="13" t="s">
        <v>142</v>
      </c>
      <c r="D2" s="13" t="s">
        <v>96</v>
      </c>
      <c r="E2" s="13" t="s">
        <v>97</v>
      </c>
      <c r="F2" s="13" t="s">
        <v>99</v>
      </c>
      <c r="G2" s="13" t="s">
        <v>148</v>
      </c>
      <c r="H2" s="13" t="s">
        <v>95</v>
      </c>
      <c r="I2" s="13" t="s">
        <v>100</v>
      </c>
      <c r="J2" s="13" t="s">
        <v>154</v>
      </c>
      <c r="K2" s="13" t="s">
        <v>196</v>
      </c>
      <c r="L2" s="13" t="s">
        <v>208</v>
      </c>
      <c r="M2" s="13" t="s">
        <v>209</v>
      </c>
      <c r="N2" s="13" t="s">
        <v>213</v>
      </c>
    </row>
    <row r="3" spans="2:14">
      <c r="B3" s="11" t="s">
        <v>136</v>
      </c>
      <c r="C3" s="11" t="s">
        <v>41</v>
      </c>
      <c r="D3" s="11" t="s">
        <v>112</v>
      </c>
      <c r="E3" s="11" t="str">
        <f>환율!A6</f>
        <v>미국 달러 (USD)</v>
      </c>
      <c r="F3" s="11" t="s">
        <v>126</v>
      </c>
      <c r="G3" s="11" t="s">
        <v>149</v>
      </c>
      <c r="H3" s="14">
        <v>1</v>
      </c>
      <c r="I3" s="11" t="s">
        <v>101</v>
      </c>
      <c r="J3" s="11" t="s">
        <v>155</v>
      </c>
      <c r="K3" s="11" t="s">
        <v>3470</v>
      </c>
      <c r="L3" s="11" t="s">
        <v>210</v>
      </c>
      <c r="M3" s="11" t="s">
        <v>223</v>
      </c>
      <c r="N3" s="11" t="s">
        <v>214</v>
      </c>
    </row>
    <row r="4" spans="2:14">
      <c r="B4" s="11" t="s">
        <v>141</v>
      </c>
      <c r="C4" s="11" t="s">
        <v>3136</v>
      </c>
      <c r="D4" s="11" t="s">
        <v>113</v>
      </c>
      <c r="E4" s="11" t="str">
        <f>환율!A7</f>
        <v>위안화 (CNH)</v>
      </c>
      <c r="F4" s="11" t="s">
        <v>127</v>
      </c>
      <c r="G4" s="11" t="s">
        <v>150</v>
      </c>
      <c r="H4" s="14">
        <v>100</v>
      </c>
      <c r="I4" s="11" t="s">
        <v>102</v>
      </c>
      <c r="J4" s="11" t="s">
        <v>161</v>
      </c>
      <c r="K4" s="11" t="s">
        <v>3471</v>
      </c>
      <c r="L4" s="11" t="s">
        <v>797</v>
      </c>
      <c r="M4" s="11" t="s">
        <v>224</v>
      </c>
      <c r="N4" s="11" t="s">
        <v>215</v>
      </c>
    </row>
    <row r="5" spans="2:14">
      <c r="B5" s="11" t="s">
        <v>137</v>
      </c>
      <c r="C5" s="11" t="s">
        <v>3138</v>
      </c>
      <c r="D5" s="11" t="s">
        <v>114</v>
      </c>
      <c r="E5" s="11" t="s">
        <v>94</v>
      </c>
      <c r="F5" s="11" t="s">
        <v>128</v>
      </c>
      <c r="G5" s="11" t="s">
        <v>151</v>
      </c>
      <c r="H5" s="14">
        <v>1000</v>
      </c>
      <c r="I5" s="11" t="s">
        <v>103</v>
      </c>
      <c r="J5" s="11" t="s">
        <v>156</v>
      </c>
      <c r="K5" s="11" t="s">
        <v>3472</v>
      </c>
      <c r="M5" s="11" t="s">
        <v>225</v>
      </c>
      <c r="N5" s="11" t="s">
        <v>242</v>
      </c>
    </row>
    <row r="6" spans="2:14">
      <c r="B6" s="11" t="s">
        <v>138</v>
      </c>
      <c r="C6" s="11" t="s">
        <v>966</v>
      </c>
      <c r="E6" s="11" t="str">
        <f>환율!A11</f>
        <v>일본 엔 (JPY) (100)</v>
      </c>
      <c r="F6" s="11" t="s">
        <v>129</v>
      </c>
      <c r="H6" s="14">
        <v>5000</v>
      </c>
      <c r="I6" s="11" t="s">
        <v>104</v>
      </c>
      <c r="J6" s="15" t="s">
        <v>241</v>
      </c>
      <c r="N6" s="11" t="s">
        <v>216</v>
      </c>
    </row>
    <row r="7" spans="2:14">
      <c r="B7" s="11" t="s">
        <v>139</v>
      </c>
      <c r="C7" s="11" t="s">
        <v>967</v>
      </c>
      <c r="E7" s="11" t="str">
        <f>환율!A12</f>
        <v>유로 (EUR)</v>
      </c>
      <c r="F7" s="11" t="s">
        <v>130</v>
      </c>
      <c r="H7" s="14">
        <v>10000</v>
      </c>
      <c r="I7" s="11" t="s">
        <v>105</v>
      </c>
      <c r="J7" s="11" t="s">
        <v>152</v>
      </c>
    </row>
    <row r="8" spans="2:14">
      <c r="B8" s="11" t="s">
        <v>140</v>
      </c>
      <c r="C8" s="11" t="s">
        <v>968</v>
      </c>
      <c r="E8" s="11" t="str">
        <f>환율!A13</f>
        <v>영국 파운드 (GBP)</v>
      </c>
      <c r="F8" s="11" t="s">
        <v>3473</v>
      </c>
      <c r="H8" s="14">
        <v>100000</v>
      </c>
      <c r="I8" s="11" t="s">
        <v>244</v>
      </c>
      <c r="J8" s="11" t="s">
        <v>157</v>
      </c>
    </row>
    <row r="9" spans="2:14">
      <c r="C9" s="11" t="s">
        <v>969</v>
      </c>
      <c r="E9" s="11" t="str">
        <f>환율!A14</f>
        <v>캐나다 달러 (CAD)</v>
      </c>
      <c r="F9" s="11" t="s">
        <v>131</v>
      </c>
      <c r="H9" s="14">
        <v>1000000</v>
      </c>
      <c r="I9" s="11" t="s">
        <v>294</v>
      </c>
      <c r="J9" s="11" t="s">
        <v>158</v>
      </c>
    </row>
    <row r="10" spans="2:14">
      <c r="C10" s="11" t="s">
        <v>3145</v>
      </c>
      <c r="E10" s="11" t="str">
        <f>환율!A15</f>
        <v>스위스 프랑 (CHF)</v>
      </c>
      <c r="F10" s="11" t="s">
        <v>201</v>
      </c>
      <c r="H10" s="14">
        <v>10000000</v>
      </c>
      <c r="I10" s="11" t="s">
        <v>295</v>
      </c>
      <c r="J10" s="11" t="s">
        <v>160</v>
      </c>
    </row>
    <row r="11" spans="2:14">
      <c r="C11" s="11" t="s">
        <v>3149</v>
      </c>
      <c r="E11" s="11" t="str">
        <f>환율!A16</f>
        <v>호주 달러 (AUD)</v>
      </c>
      <c r="F11" s="11" t="s">
        <v>132</v>
      </c>
      <c r="H11" s="14">
        <v>50000000</v>
      </c>
      <c r="I11" s="11" t="s">
        <v>305</v>
      </c>
      <c r="J11" s="11" t="s">
        <v>301</v>
      </c>
    </row>
    <row r="12" spans="2:14">
      <c r="C12" s="11" t="s">
        <v>3151</v>
      </c>
      <c r="E12" s="11" t="str">
        <f>환율!A17</f>
        <v>뉴질랜드 달러 (NZD)</v>
      </c>
      <c r="F12" s="11" t="s">
        <v>186</v>
      </c>
      <c r="H12" s="14">
        <v>100000000</v>
      </c>
      <c r="I12" s="11" t="s">
        <v>306</v>
      </c>
      <c r="J12" s="11" t="s">
        <v>302</v>
      </c>
    </row>
    <row r="13" spans="2:14">
      <c r="C13" s="11" t="s">
        <v>3153</v>
      </c>
      <c r="E13" s="11" t="str">
        <f>환율!A18</f>
        <v>홍콩 달러 (HKD)</v>
      </c>
      <c r="F13" s="11" t="s">
        <v>133</v>
      </c>
      <c r="I13" s="11" t="s">
        <v>307</v>
      </c>
      <c r="J13" s="15" t="s">
        <v>241</v>
      </c>
    </row>
    <row r="14" spans="2:14">
      <c r="C14" s="11" t="s">
        <v>975</v>
      </c>
      <c r="E14" s="11" t="str">
        <f>환율!A19</f>
        <v>대만 달러 (TWD)</v>
      </c>
      <c r="F14" s="11" t="s">
        <v>134</v>
      </c>
      <c r="I14" s="11" t="s">
        <v>308</v>
      </c>
      <c r="J14" s="11" t="s">
        <v>118</v>
      </c>
    </row>
    <row r="15" spans="2:14">
      <c r="C15" s="11" t="s">
        <v>3156</v>
      </c>
      <c r="E15" s="11" t="str">
        <f>환율!A20</f>
        <v>몽골 투그릭 (MNT)</v>
      </c>
      <c r="F15" s="11" t="s">
        <v>135</v>
      </c>
      <c r="I15" s="11" t="s">
        <v>309</v>
      </c>
      <c r="J15" s="11" t="s">
        <v>119</v>
      </c>
    </row>
    <row r="16" spans="2:14">
      <c r="C16" s="11" t="s">
        <v>976</v>
      </c>
      <c r="E16" s="11" t="str">
        <f>환율!A21</f>
        <v>카자흐스탄 텡게 (KZT)</v>
      </c>
      <c r="I16" s="11" t="s">
        <v>310</v>
      </c>
      <c r="J16" s="11" t="s">
        <v>121</v>
      </c>
    </row>
    <row r="17" spans="3:9">
      <c r="C17" s="11" t="s">
        <v>3159</v>
      </c>
      <c r="E17" s="11" t="str">
        <f>환율!A22</f>
        <v>태국 밧 (THB)</v>
      </c>
      <c r="F17" s="13" t="s">
        <v>184</v>
      </c>
      <c r="I17" s="11" t="s">
        <v>311</v>
      </c>
    </row>
    <row r="18" spans="3:9">
      <c r="C18" s="11" t="s">
        <v>3161</v>
      </c>
      <c r="E18" s="11" t="str">
        <f>환율!A23</f>
        <v>싱가포르 달러 (SGD)</v>
      </c>
      <c r="F18" s="11" t="s">
        <v>185</v>
      </c>
      <c r="I18" s="11" t="s">
        <v>312</v>
      </c>
    </row>
    <row r="19" spans="3:9">
      <c r="C19" s="11" t="s">
        <v>970</v>
      </c>
      <c r="E19" s="11" t="str">
        <f>환율!A24</f>
        <v>인도네시아 루피아 (IDR) (100)</v>
      </c>
      <c r="F19" s="11" t="s">
        <v>195</v>
      </c>
      <c r="I19" s="11" t="s">
        <v>313</v>
      </c>
    </row>
    <row r="20" spans="3:9">
      <c r="C20" s="11" t="s">
        <v>971</v>
      </c>
      <c r="E20" s="11" t="str">
        <f>환율!A25</f>
        <v>말레이시아 링깃 (MYR)</v>
      </c>
      <c r="I20" s="11" t="s">
        <v>314</v>
      </c>
    </row>
    <row r="21" spans="3:9">
      <c r="C21" s="11" t="s">
        <v>972</v>
      </c>
      <c r="E21" s="11" t="str">
        <f>환율!A26</f>
        <v>필리핀 페소 (PHP)</v>
      </c>
      <c r="F21" s="13" t="s">
        <v>111</v>
      </c>
      <c r="I21" s="11" t="s">
        <v>315</v>
      </c>
    </row>
    <row r="22" spans="3:9">
      <c r="C22" s="11" t="s">
        <v>973</v>
      </c>
      <c r="E22" s="11" t="str">
        <f>환율!A27</f>
        <v>베트남 동 (VND) (100)</v>
      </c>
      <c r="F22" s="11" t="s">
        <v>3457</v>
      </c>
      <c r="I22" s="11" t="s">
        <v>316</v>
      </c>
    </row>
    <row r="23" spans="3:9">
      <c r="C23" s="11" t="s">
        <v>3169</v>
      </c>
      <c r="E23" s="11" t="str">
        <f>환율!A28</f>
        <v>브루나이 달러 (BND)</v>
      </c>
      <c r="F23" s="11" t="s">
        <v>195</v>
      </c>
      <c r="I23" s="11" t="s">
        <v>317</v>
      </c>
    </row>
    <row r="24" spans="3:9">
      <c r="C24" s="11" t="s">
        <v>974</v>
      </c>
      <c r="E24" s="11" t="str">
        <f>환율!A29</f>
        <v>인도 루피 (INR)</v>
      </c>
      <c r="F24" s="11" t="s">
        <v>202</v>
      </c>
      <c r="I24" s="11" t="s">
        <v>318</v>
      </c>
    </row>
    <row r="25" spans="3:9">
      <c r="C25" s="11" t="s">
        <v>3172</v>
      </c>
      <c r="E25" s="11" t="str">
        <f>환율!A30</f>
        <v>파키스탄 루피 (PKR)</v>
      </c>
      <c r="F25" s="11" t="s">
        <v>132</v>
      </c>
      <c r="I25" s="11" t="s">
        <v>319</v>
      </c>
    </row>
    <row r="26" spans="3:9">
      <c r="C26" s="11" t="s">
        <v>3504</v>
      </c>
      <c r="E26" s="11" t="str">
        <f>환율!A31</f>
        <v>방글라데시 타카 (BDT)</v>
      </c>
      <c r="I26" s="11" t="s">
        <v>320</v>
      </c>
    </row>
    <row r="27" spans="3:9">
      <c r="E27" s="11" t="str">
        <f>환율!A32</f>
        <v>캄보디아 리엘 (KHR)</v>
      </c>
      <c r="I27" s="11" t="s">
        <v>321</v>
      </c>
    </row>
    <row r="28" spans="3:9">
      <c r="C28" s="13" t="s">
        <v>143</v>
      </c>
      <c r="E28" s="11" t="str">
        <f>환율!A33</f>
        <v>마카오 파타카 (MOP)</v>
      </c>
      <c r="I28" s="11" t="s">
        <v>322</v>
      </c>
    </row>
    <row r="29" spans="3:9">
      <c r="C29" s="11" t="s">
        <v>283</v>
      </c>
      <c r="E29" s="11" t="str">
        <f>환율!A34</f>
        <v>네팔 루피 (NPR)</v>
      </c>
      <c r="I29" s="11" t="s">
        <v>323</v>
      </c>
    </row>
    <row r="30" spans="3:9">
      <c r="C30" s="11" t="s">
        <v>115</v>
      </c>
      <c r="E30" s="11" t="str">
        <f>환율!A35</f>
        <v>스리랑카 루피 (LKR)</v>
      </c>
      <c r="I30" s="11" t="s">
        <v>324</v>
      </c>
    </row>
    <row r="31" spans="3:9">
      <c r="C31" s="11" t="s">
        <v>116</v>
      </c>
      <c r="E31" s="11" t="str">
        <f>환율!A36</f>
        <v>우즈베키스탄 숨 (UZS)</v>
      </c>
      <c r="I31" s="11" t="s">
        <v>325</v>
      </c>
    </row>
    <row r="32" spans="3:9">
      <c r="C32" s="11" t="s">
        <v>145</v>
      </c>
      <c r="E32" s="11" t="str">
        <f>환율!A37</f>
        <v>미얀마 짯 (MMK)</v>
      </c>
      <c r="I32" s="11" t="s">
        <v>106</v>
      </c>
    </row>
    <row r="33" spans="3:9">
      <c r="C33" s="11" t="s">
        <v>146</v>
      </c>
      <c r="E33" s="11" t="str">
        <f>환율!A38</f>
        <v>멕시코 페소 (MXN)</v>
      </c>
      <c r="I33" s="11" t="s">
        <v>107</v>
      </c>
    </row>
    <row r="34" spans="3:9">
      <c r="C34" s="11" t="s">
        <v>147</v>
      </c>
      <c r="E34" s="11" t="str">
        <f>환율!A39</f>
        <v>브라질 헤알 (BRL)</v>
      </c>
      <c r="I34" s="11" t="s">
        <v>108</v>
      </c>
    </row>
    <row r="35" spans="3:9">
      <c r="E35" s="11" t="str">
        <f>환율!A40</f>
        <v>아르헨티나 페소 (ARS)</v>
      </c>
      <c r="I35" s="11" t="s">
        <v>109</v>
      </c>
    </row>
    <row r="36" spans="3:9">
      <c r="E36" s="11" t="str">
        <f>환율!A41</f>
        <v>칠레 페소 (CLP)</v>
      </c>
      <c r="I36" s="11" t="s">
        <v>110</v>
      </c>
    </row>
    <row r="37" spans="3:9">
      <c r="E37" s="11" t="str">
        <f>환율!A42</f>
        <v>콜롬비아 페소 (COP)</v>
      </c>
      <c r="I37" s="11" t="s">
        <v>245</v>
      </c>
    </row>
    <row r="38" spans="3:9">
      <c r="E38" s="11" t="str">
        <f>환율!A43</f>
        <v>스웨덴 크로나 (SEK)</v>
      </c>
      <c r="I38" s="11" t="s">
        <v>296</v>
      </c>
    </row>
    <row r="39" spans="3:9">
      <c r="E39" s="11" t="str">
        <f>환율!A44</f>
        <v>덴마크 크로네 (DKK)</v>
      </c>
      <c r="I39" s="11" t="s">
        <v>297</v>
      </c>
    </row>
    <row r="40" spans="3:9">
      <c r="E40" s="11" t="str">
        <f>환율!A45</f>
        <v>노르웨이 크로네 (NOK)</v>
      </c>
      <c r="I40" s="11" t="s">
        <v>3466</v>
      </c>
    </row>
    <row r="41" spans="3:9">
      <c r="E41" s="11" t="str">
        <f>환율!A46</f>
        <v>러시아 루블 (RUB)</v>
      </c>
      <c r="I41" s="11" t="s">
        <v>3467</v>
      </c>
    </row>
    <row r="42" spans="3:9">
      <c r="E42" s="11" t="str">
        <f>환율!A47</f>
        <v>헝가리 포린트 (HUF)</v>
      </c>
      <c r="I42" s="11" t="s">
        <v>3429</v>
      </c>
    </row>
    <row r="43" spans="3:9">
      <c r="E43" s="11" t="str">
        <f>환율!A48</f>
        <v>폴란드 즈워티 (PLN)</v>
      </c>
      <c r="I43" s="11" t="s">
        <v>3430</v>
      </c>
    </row>
    <row r="44" spans="3:9">
      <c r="E44" s="11" t="str">
        <f>환율!A49</f>
        <v>체코 코루나 (CZK)</v>
      </c>
      <c r="I44" s="11" t="s">
        <v>3431</v>
      </c>
    </row>
    <row r="45" spans="3:9">
      <c r="E45" s="11" t="str">
        <f>환율!A50</f>
        <v>루마니아 레우 (RON)</v>
      </c>
      <c r="I45" s="11" t="s">
        <v>3432</v>
      </c>
    </row>
    <row r="46" spans="3:9">
      <c r="E46" s="11" t="str">
        <f>환율!A51</f>
        <v>사우디아라비아 리얄 (SAR)</v>
      </c>
      <c r="I46" s="11" t="s">
        <v>3433</v>
      </c>
    </row>
    <row r="47" spans="3:9">
      <c r="E47" s="11" t="str">
        <f>환율!A52</f>
        <v>카타르 리얄 (QAR)</v>
      </c>
      <c r="I47" s="11" t="s">
        <v>3434</v>
      </c>
    </row>
    <row r="48" spans="3:9">
      <c r="E48" s="11" t="str">
        <f>환율!A53</f>
        <v>이스라엘 셰켈 (ILS)</v>
      </c>
      <c r="I48" s="11" t="s">
        <v>3435</v>
      </c>
    </row>
    <row r="49" spans="5:9">
      <c r="E49" s="11" t="str">
        <f>환율!A54</f>
        <v>요르단 디나르 (JOD)</v>
      </c>
      <c r="I49" s="11" t="s">
        <v>3436</v>
      </c>
    </row>
    <row r="50" spans="5:9">
      <c r="E50" s="11" t="str">
        <f>환율!A55</f>
        <v>쿠웨이트 디나르 (KWD)</v>
      </c>
      <c r="I50" s="11" t="s">
        <v>3465</v>
      </c>
    </row>
    <row r="51" spans="5:9">
      <c r="E51" s="11" t="str">
        <f>환율!A56</f>
        <v>바레인 디나르 (BHD)</v>
      </c>
      <c r="I51" s="11" t="s">
        <v>3468</v>
      </c>
    </row>
    <row r="52" spans="5:9">
      <c r="E52" s="11" t="str">
        <f>환율!A57</f>
        <v>아랍에미리트 디르함 (AED)</v>
      </c>
      <c r="I52" s="11" t="s">
        <v>3469</v>
      </c>
    </row>
    <row r="53" spans="5:9">
      <c r="E53" s="11" t="str">
        <f>환율!A58</f>
        <v>튀르키예 리라 (TRY)</v>
      </c>
    </row>
    <row r="54" spans="5:9">
      <c r="E54" s="11" t="str">
        <f>환율!A59</f>
        <v>오만 리얄 (OMR)</v>
      </c>
    </row>
    <row r="55" spans="5:9">
      <c r="E55" s="11" t="str">
        <f>환율!A60</f>
        <v>남아프리카공화국 랜드 (ZAR)</v>
      </c>
    </row>
    <row r="56" spans="5:9">
      <c r="E56" s="11" t="str">
        <f>환율!A61</f>
        <v>이집트 파운드 (EGP)</v>
      </c>
    </row>
    <row r="57" spans="5:9">
      <c r="E57" s="11" t="str">
        <f>환율!A62</f>
        <v>케냐 실링 (KES)</v>
      </c>
    </row>
    <row r="58" spans="5:9">
      <c r="E58" s="11" t="str">
        <f>환율!A63</f>
        <v>리비아 디나르 (LYD)</v>
      </c>
    </row>
    <row r="59" spans="5:9">
      <c r="E59" s="11" t="str">
        <f>환율!A64</f>
        <v>에티오피아 비르 (ETB)</v>
      </c>
    </row>
    <row r="60" spans="5:9">
      <c r="E60" s="11" t="str">
        <f>환율!A65</f>
        <v>피지 달러 (FJD)</v>
      </c>
    </row>
  </sheetData>
  <phoneticPr fontId="7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개요</vt:lpstr>
      <vt:lpstr>NAV</vt:lpstr>
      <vt:lpstr>보고서</vt:lpstr>
      <vt:lpstr>&gt;</vt:lpstr>
      <vt:lpstr>검증</vt:lpstr>
      <vt:lpstr>체크리스트</vt:lpstr>
      <vt:lpstr>&gt;&gt;</vt:lpstr>
      <vt:lpstr>MEMO</vt:lpstr>
      <vt:lpstr>FS</vt:lpstr>
      <vt:lpstr>기초자산</vt:lpstr>
      <vt:lpstr>환율</vt:lpstr>
      <vt:lpstr>상장종가</vt:lpstr>
      <vt:lpstr>요청리스트</vt:lpstr>
      <vt:lpstr>&gt;&gt;&gt;</vt:lpstr>
      <vt:lpstr>MRC_총괄</vt:lpstr>
      <vt:lpstr>MRC_별첨</vt:lpstr>
      <vt:lpstr>종목정보tbl</vt:lpstr>
      <vt:lpstr>종목코드tbl</vt:lpstr>
      <vt:lpstr>Dropbox</vt:lpstr>
    </vt:vector>
  </TitlesOfParts>
  <Company>G&amp;A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조영재</dc:creator>
  <cp:lastModifiedBy>다.채동우</cp:lastModifiedBy>
  <cp:lastPrinted>2024-03-15T12:11:38Z</cp:lastPrinted>
  <dcterms:created xsi:type="dcterms:W3CDTF">2006-05-16T01:33:55Z</dcterms:created>
  <dcterms:modified xsi:type="dcterms:W3CDTF">2024-08-30T05:53:44Z</dcterms:modified>
  <cp:contentStatus/>
</cp:coreProperties>
</file>